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drawings/drawing9.xml" ContentType="application/vnd.openxmlformats-officedocument.drawing+xml"/>
  <Override PartName="/xl/tables/table11.xml" ContentType="application/vnd.openxmlformats-officedocument.spreadsheetml.table+xml"/>
  <Override PartName="/xl/drawings/drawing10.xml" ContentType="application/vnd.openxmlformats-officedocument.drawing+xml"/>
  <Override PartName="/xl/tables/table12.xml" ContentType="application/vnd.openxmlformats-officedocument.spreadsheetml.table+xml"/>
  <Override PartName="/xl/drawings/drawing11.xml" ContentType="application/vnd.openxmlformats-officedocument.drawing+xml"/>
  <Override PartName="/xl/tables/table13.xml" ContentType="application/vnd.openxmlformats-officedocument.spreadsheetml.table+xml"/>
  <Override PartName="/xl/drawings/drawing12.xml" ContentType="application/vnd.openxmlformats-officedocument.drawing+xml"/>
  <Override PartName="/xl/tables/table14.xml" ContentType="application/vnd.openxmlformats-officedocument.spreadsheetml.table+xml"/>
  <Override PartName="/xl/drawings/drawing13.xml" ContentType="application/vnd.openxmlformats-officedocument.drawing+xml"/>
  <Override PartName="/xl/tables/table15.xml" ContentType="application/vnd.openxmlformats-officedocument.spreadsheetml.table+xml"/>
  <Override PartName="/xl/drawings/drawing14.xml" ContentType="application/vnd.openxmlformats-officedocument.drawing+xml"/>
  <Override PartName="/xl/tables/table16.xml" ContentType="application/vnd.openxmlformats-officedocument.spreadsheetml.table+xml"/>
  <Override PartName="/xl/drawings/drawing15.xml" ContentType="application/vnd.openxmlformats-officedocument.drawing+xml"/>
  <Override PartName="/xl/tables/table17.xml" ContentType="application/vnd.openxmlformats-officedocument.spreadsheetml.table+xml"/>
  <Override PartName="/xl/drawings/drawing16.xml" ContentType="application/vnd.openxmlformats-officedocument.drawing+xml"/>
  <Override PartName="/xl/tables/table18.xml" ContentType="application/vnd.openxmlformats-officedocument.spreadsheetml.table+xml"/>
  <Override PartName="/xl/drawings/drawing17.xml" ContentType="application/vnd.openxmlformats-officedocument.drawing+xml"/>
  <Override PartName="/xl/tables/table19.xml" ContentType="application/vnd.openxmlformats-officedocument.spreadsheetml.table+xml"/>
  <Override PartName="/xl/drawings/drawing18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 codeName="ThisWorkbook"/>
  <xr:revisionPtr revIDLastSave="0" documentId="8_{27E6B7F2-D44C-466C-AF81-815D12D1A340}" xr6:coauthVersionLast="47" xr6:coauthVersionMax="47" xr10:uidLastSave="{00000000-0000-0000-0000-000000000000}"/>
  <bookViews>
    <workbookView xWindow="780" yWindow="780" windowWidth="21600" windowHeight="11175" tabRatio="343" firstSheet="16" activeTab="16" xr2:uid="{00000000-000D-0000-FFFF-FFFF00000000}"/>
  </bookViews>
  <sheets>
    <sheet name="4月" sheetId="18" r:id="rId1"/>
    <sheet name="5月" sheetId="19" r:id="rId2"/>
    <sheet name="6月" sheetId="20" r:id="rId3"/>
    <sheet name="7月" sheetId="21" r:id="rId4"/>
    <sheet name="8月" sheetId="22" r:id="rId5"/>
    <sheet name="9月" sheetId="23" r:id="rId6"/>
    <sheet name="10月" sheetId="24" r:id="rId7"/>
    <sheet name="11月" sheetId="25" r:id="rId8"/>
    <sheet name="12月" sheetId="15" r:id="rId9"/>
    <sheet name="1月" sheetId="4" r:id="rId10"/>
    <sheet name="2月" sheetId="5" r:id="rId11"/>
    <sheet name="3月" sheetId="17" r:id="rId12"/>
    <sheet name="25年4月" sheetId="28" r:id="rId13"/>
    <sheet name="25年5月" sheetId="30" r:id="rId14"/>
    <sheet name="25年6月" sheetId="29" r:id="rId15"/>
    <sheet name="25年7月" sheetId="31" r:id="rId16"/>
    <sheet name="25年8月" sheetId="32" r:id="rId17"/>
    <sheet name="25年9月" sheetId="33" r:id="rId18"/>
    <sheet name="25年10月" sheetId="34" r:id="rId19"/>
    <sheet name="25年11月" sheetId="35" r:id="rId20"/>
    <sheet name="コピー元" sheetId="27" r:id="rId21"/>
    <sheet name="従業員名" sheetId="16" r:id="rId22"/>
  </sheets>
  <definedNames>
    <definedName name="_xlnm._FilterDatabase" localSheetId="18" hidden="1">'25年10月'!$B$8:$AH$66</definedName>
    <definedName name="_xlnm._FilterDatabase" localSheetId="19" hidden="1">'25年11月'!$B$8:$AH$66</definedName>
    <definedName name="_xlnm._FilterDatabase" localSheetId="12" hidden="1">'25年4月'!$B$8:$AH$66</definedName>
    <definedName name="_xlnm._FilterDatabase" localSheetId="13" hidden="1">'25年5月'!$B$8:$AH$66</definedName>
    <definedName name="_xlnm._FilterDatabase" localSheetId="14" hidden="1">'25年6月'!$B$8:$AH$66</definedName>
    <definedName name="_xlnm._FilterDatabase" localSheetId="15" hidden="1">'25年7月'!$B$8:$AH$66</definedName>
    <definedName name="_xlnm._FilterDatabase" localSheetId="16" hidden="1">'25年8月'!$B$8:$AH$66</definedName>
    <definedName name="_xlnm._FilterDatabase" localSheetId="17" hidden="1">'25年9月'!$B$8:$AH$66</definedName>
    <definedName name="_xlnm._FilterDatabase" localSheetId="20" hidden="1">コピー元!$B$8:$AH$66</definedName>
    <definedName name="CalendarYear">'1月'!$AH$6</definedName>
    <definedName name="ColumnTitle13" localSheetId="18">従業員名[[#Headers],[備品名]]</definedName>
    <definedName name="ColumnTitle13" localSheetId="19">従業員名[[#Headers],[備品名]]</definedName>
    <definedName name="ColumnTitle13" localSheetId="12">従業員名[[#Headers],[備品名]]</definedName>
    <definedName name="ColumnTitle13" localSheetId="13">従業員名[[#Headers],[備品名]]</definedName>
    <definedName name="ColumnTitle13" localSheetId="14">従業員名[[#Headers],[備品名]]</definedName>
    <definedName name="ColumnTitle13" localSheetId="15">従業員名[[#Headers],[備品名]]</definedName>
    <definedName name="ColumnTitle13" localSheetId="16">従業員名[[#Headers],[備品名]]</definedName>
    <definedName name="ColumnTitle13" localSheetId="17">従業員名[[#Headers],[備品名]]</definedName>
    <definedName name="ColumnTitle13" localSheetId="20">従業員名[[#Headers],[備品名]]</definedName>
    <definedName name="ColumnTitle13">従業員名[[#Headers],[備品名]]</definedName>
    <definedName name="Employee_Absence_Title">'1月'!$B$1</definedName>
    <definedName name="Key_name">'1月'!$B$4</definedName>
    <definedName name="KeyCustom1">'1月'!$N$4</definedName>
    <definedName name="KeyCustom1Label">'1月'!$O$4</definedName>
    <definedName name="KeyCustom2">'1月'!$R$4</definedName>
    <definedName name="KeyCustom2Label">'1月'!$S$4</definedName>
    <definedName name="KeyPersonal">'1月'!$G$4</definedName>
    <definedName name="KeyPersonalLabel">'1月'!$H$4</definedName>
    <definedName name="KeySick">'1月'!$K$4</definedName>
    <definedName name="KeySickLabel">'1月'!$L$4</definedName>
    <definedName name="KeyVacation">'1月'!$C$4</definedName>
    <definedName name="KeyVacationLabel">'1月'!$D$4</definedName>
    <definedName name="MonthName" localSheetId="6">'10月'!$B$2</definedName>
    <definedName name="MonthName" localSheetId="7">'11月'!$B$2</definedName>
    <definedName name="MonthName" localSheetId="8">'12月'!$B$2</definedName>
    <definedName name="MonthName" localSheetId="9">'1月'!$B$2</definedName>
    <definedName name="MonthName" localSheetId="18">'25年10月'!$B$2</definedName>
    <definedName name="MonthName" localSheetId="19">'25年11月'!$B$2</definedName>
    <definedName name="MonthName" localSheetId="12">'25年4月'!$B$2</definedName>
    <definedName name="MonthName" localSheetId="13">'25年5月'!$B$2</definedName>
    <definedName name="MonthName" localSheetId="14">'25年6月'!$B$2</definedName>
    <definedName name="MonthName" localSheetId="15">'25年7月'!$B$2</definedName>
    <definedName name="MonthName" localSheetId="16">'25年8月'!$B$2</definedName>
    <definedName name="MonthName" localSheetId="17">'25年9月'!$B$2</definedName>
    <definedName name="MonthName" localSheetId="10">'2月'!$B$2</definedName>
    <definedName name="MonthName" localSheetId="11">'3月'!$B$2</definedName>
    <definedName name="MonthName" localSheetId="0">'4月'!$B$2</definedName>
    <definedName name="MonthName" localSheetId="1">'5月'!$B$4</definedName>
    <definedName name="MonthName" localSheetId="2">'6月'!$B$2</definedName>
    <definedName name="MonthName" localSheetId="3">'7月'!$B$2</definedName>
    <definedName name="MonthName" localSheetId="4">'8月'!$B$2</definedName>
    <definedName name="MonthName" localSheetId="5">'9月'!$B$2</definedName>
    <definedName name="MonthName" localSheetId="20">コピー元!$B$2</definedName>
    <definedName name="_xlnm.Print_Titles" localSheetId="6">'10月'!$6:$8</definedName>
    <definedName name="_xlnm.Print_Titles" localSheetId="7">'11月'!$6:$8</definedName>
    <definedName name="_xlnm.Print_Titles" localSheetId="8">'12月'!$6:$8</definedName>
    <definedName name="_xlnm.Print_Titles" localSheetId="9">'1月'!$6:$8</definedName>
    <definedName name="_xlnm.Print_Titles" localSheetId="18">'25年10月'!$6:$8</definedName>
    <definedName name="_xlnm.Print_Titles" localSheetId="19">'25年11月'!$6:$8</definedName>
    <definedName name="_xlnm.Print_Titles" localSheetId="12">'25年4月'!$6:$8</definedName>
    <definedName name="_xlnm.Print_Titles" localSheetId="13">'25年5月'!$6:$8</definedName>
    <definedName name="_xlnm.Print_Titles" localSheetId="14">'25年6月'!$6:$8</definedName>
    <definedName name="_xlnm.Print_Titles" localSheetId="15">'25年7月'!$6:$8</definedName>
    <definedName name="_xlnm.Print_Titles" localSheetId="16">'25年8月'!$6:$8</definedName>
    <definedName name="_xlnm.Print_Titles" localSheetId="17">'25年9月'!$6:$8</definedName>
    <definedName name="_xlnm.Print_Titles" localSheetId="10">'2月'!$6:$8</definedName>
    <definedName name="_xlnm.Print_Titles" localSheetId="11">'3月'!$6:$8</definedName>
    <definedName name="_xlnm.Print_Titles" localSheetId="0">'4月'!$7:$29</definedName>
    <definedName name="_xlnm.Print_Titles" localSheetId="1">'5月'!$4:$6</definedName>
    <definedName name="_xlnm.Print_Titles" localSheetId="2">'6月'!$6:$8</definedName>
    <definedName name="_xlnm.Print_Titles" localSheetId="3">'7月'!$7:$8</definedName>
    <definedName name="_xlnm.Print_Titles" localSheetId="4">'8月'!$6:$8</definedName>
    <definedName name="_xlnm.Print_Titles" localSheetId="5">'9月'!$6:$8</definedName>
    <definedName name="_xlnm.Print_Titles" localSheetId="20">コピー元!$6:$8</definedName>
    <definedName name="Title1" localSheetId="18">月1[[#Headers],[備品名]]</definedName>
    <definedName name="Title1" localSheetId="19">月1[[#Headers],[備品名]]</definedName>
    <definedName name="Title1" localSheetId="12">月1[[#Headers],[備品名]]</definedName>
    <definedName name="Title1" localSheetId="13">月1[[#Headers],[備品名]]</definedName>
    <definedName name="Title1" localSheetId="14">月1[[#Headers],[備品名]]</definedName>
    <definedName name="Title1" localSheetId="15">月1[[#Headers],[備品名]]</definedName>
    <definedName name="Title1" localSheetId="16">月1[[#Headers],[備品名]]</definedName>
    <definedName name="Title1" localSheetId="17">月1[[#Headers],[備品名]]</definedName>
    <definedName name="Title1" localSheetId="20">月1[[#Headers],[備品名]]</definedName>
    <definedName name="Title1">月1[[#Headers],[備品名]]</definedName>
    <definedName name="Title10" localSheetId="18">月10[[#Headers],[従業員名]]</definedName>
    <definedName name="Title10" localSheetId="19">月10[[#Headers],[従業員名]]</definedName>
    <definedName name="Title10" localSheetId="12">月10[[#Headers],[従業員名]]</definedName>
    <definedName name="Title10" localSheetId="13">月10[[#Headers],[従業員名]]</definedName>
    <definedName name="Title10" localSheetId="14">月10[[#Headers],[従業員名]]</definedName>
    <definedName name="Title10" localSheetId="15">月10[[#Headers],[従業員名]]</definedName>
    <definedName name="Title10" localSheetId="16">月10[[#Headers],[従業員名]]</definedName>
    <definedName name="Title10" localSheetId="17">月10[[#Headers],[従業員名]]</definedName>
    <definedName name="Title10" localSheetId="20">月10[[#Headers],[従業員名]]</definedName>
    <definedName name="Title10">月10[[#Headers],[従業員名]]</definedName>
    <definedName name="Title11" localSheetId="18">月11[[#Headers],[従業員名]]</definedName>
    <definedName name="Title11" localSheetId="19">月11[[#Headers],[従業員名]]</definedName>
    <definedName name="Title11" localSheetId="12">月11[[#Headers],[従業員名]]</definedName>
    <definedName name="Title11" localSheetId="13">月11[[#Headers],[従業員名]]</definedName>
    <definedName name="Title11" localSheetId="14">月11[[#Headers],[従業員名]]</definedName>
    <definedName name="Title11" localSheetId="15">月11[[#Headers],[従業員名]]</definedName>
    <definedName name="Title11" localSheetId="16">月11[[#Headers],[従業員名]]</definedName>
    <definedName name="Title11" localSheetId="17">月11[[#Headers],[従業員名]]</definedName>
    <definedName name="Title11" localSheetId="20">月11[[#Headers],[従業員名]]</definedName>
    <definedName name="Title11">月11[[#Headers],[従業員名]]</definedName>
    <definedName name="Title12" localSheetId="18">月12[[#Headers],[従業員名]]</definedName>
    <definedName name="Title12" localSheetId="19">月12[[#Headers],[従業員名]]</definedName>
    <definedName name="Title12" localSheetId="12">月12[[#Headers],[従業員名]]</definedName>
    <definedName name="Title12" localSheetId="13">月12[[#Headers],[従業員名]]</definedName>
    <definedName name="Title12" localSheetId="14">月12[[#Headers],[従業員名]]</definedName>
    <definedName name="Title12" localSheetId="15">月12[[#Headers],[従業員名]]</definedName>
    <definedName name="Title12" localSheetId="16">月12[[#Headers],[従業員名]]</definedName>
    <definedName name="Title12" localSheetId="17">月12[[#Headers],[従業員名]]</definedName>
    <definedName name="Title12" localSheetId="20">月12[[#Headers],[従業員名]]</definedName>
    <definedName name="Title12">月12[[#Headers],[従業員名]]</definedName>
    <definedName name="Title2" localSheetId="18">月2[[#Headers],[従業員名]]</definedName>
    <definedName name="Title2" localSheetId="19">月2[[#Headers],[従業員名]]</definedName>
    <definedName name="Title2" localSheetId="12">月2[[#Headers],[従業員名]]</definedName>
    <definedName name="Title2" localSheetId="13">月2[[#Headers],[従業員名]]</definedName>
    <definedName name="Title2" localSheetId="14">月2[[#Headers],[従業員名]]</definedName>
    <definedName name="Title2" localSheetId="15">月2[[#Headers],[従業員名]]</definedName>
    <definedName name="Title2" localSheetId="16">月2[[#Headers],[従業員名]]</definedName>
    <definedName name="Title2" localSheetId="17">月2[[#Headers],[従業員名]]</definedName>
    <definedName name="Title2" localSheetId="20">月2[[#Headers],[従業員名]]</definedName>
    <definedName name="Title2">月2[[#Headers],[従業員名]]</definedName>
    <definedName name="Title3" localSheetId="18">月3[[#Headers],[従業員名]]</definedName>
    <definedName name="Title3" localSheetId="19">月3[[#Headers],[従業員名]]</definedName>
    <definedName name="Title3" localSheetId="12">月3[[#Headers],[従業員名]]</definedName>
    <definedName name="Title3" localSheetId="13">月3[[#Headers],[従業員名]]</definedName>
    <definedName name="Title3" localSheetId="14">月3[[#Headers],[従業員名]]</definedName>
    <definedName name="Title3" localSheetId="15">月3[[#Headers],[従業員名]]</definedName>
    <definedName name="Title3" localSheetId="16">月3[[#Headers],[従業員名]]</definedName>
    <definedName name="Title3" localSheetId="17">月3[[#Headers],[従業員名]]</definedName>
    <definedName name="Title3" localSheetId="20">月3[[#Headers],[従業員名]]</definedName>
    <definedName name="Title3">月3[[#Headers],[従業員名]]</definedName>
    <definedName name="Title4" localSheetId="18">_3月_5[[#Headers],[従業員名]]</definedName>
    <definedName name="Title4" localSheetId="19">_3月_5[[#Headers],[従業員名]]</definedName>
    <definedName name="Title4" localSheetId="12">_3月_5[[#Headers],[従業員名]]</definedName>
    <definedName name="Title4" localSheetId="13">_3月_5[[#Headers],[従業員名]]</definedName>
    <definedName name="Title4" localSheetId="14">_3月_5[[#Headers],[従業員名]]</definedName>
    <definedName name="Title4" localSheetId="15">_3月_5[[#Headers],[従業員名]]</definedName>
    <definedName name="Title4" localSheetId="16">_3月_5[[#Headers],[従業員名]]</definedName>
    <definedName name="Title4" localSheetId="17">_3月_5[[#Headers],[従業員名]]</definedName>
    <definedName name="Title4" localSheetId="20">_3月_5[[#Headers],[従業員名]]</definedName>
    <definedName name="Title4">_3月_5[[#Headers],[従業員名]]</definedName>
    <definedName name="Title5" localSheetId="18">_3月_58[[#Headers],[従業員名]]</definedName>
    <definedName name="Title5" localSheetId="19">_3月_58[[#Headers],[従業員名]]</definedName>
    <definedName name="Title5" localSheetId="12">_3月_58[[#Headers],[従業員名]]</definedName>
    <definedName name="Title5" localSheetId="13">_3月_58[[#Headers],[従業員名]]</definedName>
    <definedName name="Title5" localSheetId="14">_3月_58[[#Headers],[従業員名]]</definedName>
    <definedName name="Title5" localSheetId="15">_3月_58[[#Headers],[従業員名]]</definedName>
    <definedName name="Title5" localSheetId="16">_3月_58[[#Headers],[従業員名]]</definedName>
    <definedName name="Title5" localSheetId="17">_3月_58[[#Headers],[従業員名]]</definedName>
    <definedName name="Title5" localSheetId="20">_3月_58[[#Headers],[従業員名]]</definedName>
    <definedName name="Title5">_3月_58[[#Headers],[従業員名]]</definedName>
    <definedName name="Title6" localSheetId="18">月6[[#Headers],[従業員名]]</definedName>
    <definedName name="Title6" localSheetId="19">月6[[#Headers],[従業員名]]</definedName>
    <definedName name="Title6" localSheetId="12">月6[[#Headers],[従業員名]]</definedName>
    <definedName name="Title6" localSheetId="13">月6[[#Headers],[従業員名]]</definedName>
    <definedName name="Title6" localSheetId="14">月6[[#Headers],[従業員名]]</definedName>
    <definedName name="Title6" localSheetId="15">月6[[#Headers],[従業員名]]</definedName>
    <definedName name="Title6" localSheetId="16">月6[[#Headers],[従業員名]]</definedName>
    <definedName name="Title6" localSheetId="17">月6[[#Headers],[従業員名]]</definedName>
    <definedName name="Title6" localSheetId="20">月6[[#Headers],[従業員名]]</definedName>
    <definedName name="Title6">月6[[#Headers],[従業員名]]</definedName>
    <definedName name="Title7" localSheetId="18">月7[[#Headers],[従業員名]]</definedName>
    <definedName name="Title7" localSheetId="19">月7[[#Headers],[従業員名]]</definedName>
    <definedName name="Title7" localSheetId="12">月7[[#Headers],[従業員名]]</definedName>
    <definedName name="Title7" localSheetId="13">月7[[#Headers],[従業員名]]</definedName>
    <definedName name="Title7" localSheetId="14">月7[[#Headers],[従業員名]]</definedName>
    <definedName name="Title7" localSheetId="15">月7[[#Headers],[従業員名]]</definedName>
    <definedName name="Title7" localSheetId="16">月7[[#Headers],[従業員名]]</definedName>
    <definedName name="Title7" localSheetId="17">月7[[#Headers],[従業員名]]</definedName>
    <definedName name="Title7" localSheetId="20">月7[[#Headers],[従業員名]]</definedName>
    <definedName name="Title7">月7[[#Headers],[従業員名]]</definedName>
    <definedName name="Title8" localSheetId="18">月8[[#Headers],[従業員名]]</definedName>
    <definedName name="Title8" localSheetId="19">月8[[#Headers],[従業員名]]</definedName>
    <definedName name="Title8" localSheetId="12">月8[[#Headers],[従業員名]]</definedName>
    <definedName name="Title8" localSheetId="13">月8[[#Headers],[従業員名]]</definedName>
    <definedName name="Title8" localSheetId="14">月8[[#Headers],[従業員名]]</definedName>
    <definedName name="Title8" localSheetId="15">月8[[#Headers],[従業員名]]</definedName>
    <definedName name="Title8" localSheetId="16">月8[[#Headers],[従業員名]]</definedName>
    <definedName name="Title8" localSheetId="17">月8[[#Headers],[従業員名]]</definedName>
    <definedName name="Title8" localSheetId="20">月8[[#Headers],[従業員名]]</definedName>
    <definedName name="Title8">月8[[#Headers],[従業員名]]</definedName>
    <definedName name="Title9" localSheetId="18">月9[[#Headers],[従業員名]]</definedName>
    <definedName name="Title9" localSheetId="19">月9[[#Headers],[従業員名]]</definedName>
    <definedName name="Title9" localSheetId="12">月9[[#Headers],[従業員名]]</definedName>
    <definedName name="Title9" localSheetId="13">月9[[#Headers],[従業員名]]</definedName>
    <definedName name="Title9" localSheetId="14">月9[[#Headers],[従業員名]]</definedName>
    <definedName name="Title9" localSheetId="15">月9[[#Headers],[従業員名]]</definedName>
    <definedName name="Title9" localSheetId="16">月9[[#Headers],[従業員名]]</definedName>
    <definedName name="Title9" localSheetId="17">月9[[#Headers],[従業員名]]</definedName>
    <definedName name="Title9" localSheetId="20">月9[[#Headers],[従業員名]]</definedName>
    <definedName name="Title9">月9[[#Headers],[従業員名]]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35" l="1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Z7" i="34"/>
  <c r="AA7" i="34"/>
  <c r="AB7" i="34"/>
  <c r="AC7" i="34"/>
  <c r="AD7" i="34"/>
  <c r="AE7" i="34"/>
  <c r="AF7" i="34"/>
  <c r="C7" i="34"/>
  <c r="AG66" i="35"/>
  <c r="AF66" i="35"/>
  <c r="AE66" i="35"/>
  <c r="AD66" i="35"/>
  <c r="AC66" i="35"/>
  <c r="AB66" i="35"/>
  <c r="AA66" i="35"/>
  <c r="Z66" i="35"/>
  <c r="Y66" i="35"/>
  <c r="X66" i="35"/>
  <c r="W66" i="35"/>
  <c r="V66" i="35"/>
  <c r="U66" i="35"/>
  <c r="T66" i="35"/>
  <c r="S66" i="35"/>
  <c r="R66" i="35"/>
  <c r="Q66" i="35"/>
  <c r="P66" i="35"/>
  <c r="O66" i="35"/>
  <c r="N66" i="35"/>
  <c r="M66" i="35"/>
  <c r="L66" i="35"/>
  <c r="K66" i="35"/>
  <c r="J66" i="35"/>
  <c r="I66" i="35"/>
  <c r="H66" i="35"/>
  <c r="G66" i="35"/>
  <c r="F66" i="35"/>
  <c r="E66" i="35"/>
  <c r="D66" i="35"/>
  <c r="C66" i="35"/>
  <c r="AH65" i="35"/>
  <c r="AH64" i="35"/>
  <c r="AH63" i="35"/>
  <c r="AH62" i="35"/>
  <c r="AH61" i="35"/>
  <c r="AH60" i="35"/>
  <c r="AH59" i="35"/>
  <c r="AH58" i="35"/>
  <c r="AH57" i="35"/>
  <c r="AH56" i="35"/>
  <c r="AH55" i="35"/>
  <c r="AH54" i="35"/>
  <c r="AH53" i="35"/>
  <c r="AH52" i="35"/>
  <c r="AH51" i="35"/>
  <c r="AH50" i="35"/>
  <c r="AH49" i="35"/>
  <c r="AH48" i="35"/>
  <c r="AH47" i="35"/>
  <c r="AH46" i="35"/>
  <c r="AH45" i="35"/>
  <c r="AH44" i="35"/>
  <c r="AH43" i="35"/>
  <c r="AH42" i="35"/>
  <c r="AH41" i="35"/>
  <c r="AH40" i="35"/>
  <c r="AH39" i="35"/>
  <c r="AH38" i="35"/>
  <c r="AH37" i="35"/>
  <c r="AH36" i="35"/>
  <c r="AH35" i="35"/>
  <c r="AH34" i="35"/>
  <c r="AH33" i="35"/>
  <c r="AH32" i="35"/>
  <c r="AH31" i="35"/>
  <c r="AH30" i="35"/>
  <c r="AH29" i="35"/>
  <c r="AH28" i="35"/>
  <c r="AH27" i="35"/>
  <c r="AH26" i="35"/>
  <c r="AH25" i="35"/>
  <c r="AH24" i="35"/>
  <c r="AH23" i="35"/>
  <c r="AH22" i="35"/>
  <c r="AH21" i="35"/>
  <c r="AH20" i="35"/>
  <c r="AH19" i="35"/>
  <c r="AH18" i="35"/>
  <c r="AH17" i="35"/>
  <c r="AH16" i="35"/>
  <c r="AH15" i="35"/>
  <c r="AH14" i="35"/>
  <c r="AH13" i="35"/>
  <c r="AH12" i="35"/>
  <c r="AH11" i="35"/>
  <c r="AH10" i="35"/>
  <c r="AH9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AG66" i="34"/>
  <c r="AF66" i="34"/>
  <c r="AE66" i="34"/>
  <c r="AD66" i="34"/>
  <c r="AC66" i="34"/>
  <c r="AB66" i="34"/>
  <c r="AA66" i="34"/>
  <c r="Z66" i="34"/>
  <c r="Y66" i="34"/>
  <c r="X66" i="34"/>
  <c r="W66" i="34"/>
  <c r="V66" i="34"/>
  <c r="U66" i="34"/>
  <c r="T66" i="34"/>
  <c r="S66" i="34"/>
  <c r="R66" i="34"/>
  <c r="Q66" i="34"/>
  <c r="P66" i="34"/>
  <c r="O66" i="34"/>
  <c r="N66" i="34"/>
  <c r="M66" i="34"/>
  <c r="L66" i="34"/>
  <c r="K66" i="34"/>
  <c r="J66" i="34"/>
  <c r="I66" i="34"/>
  <c r="H66" i="34"/>
  <c r="G66" i="34"/>
  <c r="F66" i="34"/>
  <c r="E66" i="34"/>
  <c r="D66" i="34"/>
  <c r="C66" i="34"/>
  <c r="B66" i="34"/>
  <c r="AH65" i="34"/>
  <c r="AH64" i="34"/>
  <c r="AH63" i="34"/>
  <c r="AH62" i="34"/>
  <c r="AH61" i="34"/>
  <c r="AH60" i="34"/>
  <c r="AH59" i="34"/>
  <c r="AH58" i="34"/>
  <c r="AH57" i="34"/>
  <c r="AH56" i="34"/>
  <c r="AH55" i="34"/>
  <c r="AH54" i="34"/>
  <c r="AH53" i="34"/>
  <c r="AH52" i="34"/>
  <c r="AH51" i="34"/>
  <c r="AH50" i="34"/>
  <c r="AH49" i="34"/>
  <c r="AH48" i="34"/>
  <c r="AH47" i="34"/>
  <c r="AH46" i="34"/>
  <c r="AH45" i="34"/>
  <c r="AH44" i="34"/>
  <c r="AH43" i="34"/>
  <c r="AH42" i="34"/>
  <c r="AH41" i="34"/>
  <c r="AH40" i="34"/>
  <c r="AH39" i="34"/>
  <c r="AH38" i="34"/>
  <c r="AH37" i="34"/>
  <c r="AH36" i="34"/>
  <c r="AH35" i="34"/>
  <c r="AH34" i="34"/>
  <c r="AH33" i="34"/>
  <c r="AH32" i="34"/>
  <c r="AH31" i="34"/>
  <c r="AH30" i="34"/>
  <c r="AH29" i="34"/>
  <c r="AH28" i="34"/>
  <c r="AH27" i="34"/>
  <c r="AH26" i="34"/>
  <c r="AH25" i="34"/>
  <c r="AH24" i="34"/>
  <c r="AH23" i="34"/>
  <c r="AH22" i="34"/>
  <c r="AH21" i="34"/>
  <c r="AH20" i="34"/>
  <c r="AH19" i="34"/>
  <c r="AH18" i="34"/>
  <c r="AH17" i="34"/>
  <c r="AH16" i="34"/>
  <c r="AH15" i="34"/>
  <c r="AH14" i="34"/>
  <c r="AH13" i="34"/>
  <c r="AH12" i="34"/>
  <c r="AH11" i="34"/>
  <c r="AH10" i="34"/>
  <c r="AH9" i="34"/>
  <c r="B66" i="33"/>
  <c r="B66" i="32"/>
  <c r="B66" i="31"/>
  <c r="AG66" i="33"/>
  <c r="AF66" i="33"/>
  <c r="AE66" i="33"/>
  <c r="AD66" i="33"/>
  <c r="AC66" i="33"/>
  <c r="AB66" i="33"/>
  <c r="AA66" i="33"/>
  <c r="Z66" i="33"/>
  <c r="Y66" i="33"/>
  <c r="X66" i="33"/>
  <c r="W66" i="33"/>
  <c r="V66" i="33"/>
  <c r="U66" i="33"/>
  <c r="T66" i="33"/>
  <c r="S66" i="33"/>
  <c r="R66" i="33"/>
  <c r="Q66" i="33"/>
  <c r="P66" i="33"/>
  <c r="O66" i="33"/>
  <c r="N66" i="33"/>
  <c r="M66" i="33"/>
  <c r="L66" i="33"/>
  <c r="K66" i="33"/>
  <c r="J66" i="33"/>
  <c r="I66" i="33"/>
  <c r="H66" i="33"/>
  <c r="G66" i="33"/>
  <c r="F66" i="33"/>
  <c r="E66" i="33"/>
  <c r="D66" i="33"/>
  <c r="C66" i="33"/>
  <c r="AH65" i="33"/>
  <c r="AH64" i="33"/>
  <c r="AH63" i="33"/>
  <c r="AH62" i="33"/>
  <c r="AH61" i="33"/>
  <c r="AH60" i="33"/>
  <c r="AH59" i="33"/>
  <c r="AH58" i="33"/>
  <c r="AH57" i="33"/>
  <c r="AH56" i="33"/>
  <c r="AH55" i="33"/>
  <c r="AH54" i="33"/>
  <c r="AH53" i="33"/>
  <c r="AH52" i="33"/>
  <c r="AH51" i="33"/>
  <c r="AH50" i="33"/>
  <c r="AH49" i="33"/>
  <c r="AH48" i="33"/>
  <c r="AH47" i="33"/>
  <c r="AH46" i="33"/>
  <c r="AH45" i="33"/>
  <c r="AH44" i="33"/>
  <c r="AH43" i="33"/>
  <c r="AH42" i="33"/>
  <c r="AH41" i="33"/>
  <c r="AH40" i="33"/>
  <c r="AH39" i="33"/>
  <c r="AH38" i="33"/>
  <c r="AH37" i="33"/>
  <c r="AH36" i="33"/>
  <c r="AH35" i="33"/>
  <c r="AH34" i="33"/>
  <c r="AH33" i="33"/>
  <c r="AH32" i="33"/>
  <c r="AH31" i="33"/>
  <c r="AH30" i="33"/>
  <c r="AH29" i="33"/>
  <c r="AH28" i="33"/>
  <c r="AH27" i="33"/>
  <c r="AH26" i="33"/>
  <c r="AH25" i="33"/>
  <c r="AH24" i="33"/>
  <c r="AH23" i="33"/>
  <c r="AH22" i="33"/>
  <c r="AH21" i="33"/>
  <c r="AH20" i="33"/>
  <c r="AH19" i="33"/>
  <c r="AH18" i="33"/>
  <c r="AH17" i="33"/>
  <c r="AH16" i="33"/>
  <c r="AH15" i="33"/>
  <c r="AH14" i="33"/>
  <c r="AH13" i="33"/>
  <c r="AH12" i="33"/>
  <c r="AH11" i="33"/>
  <c r="AH10" i="33"/>
  <c r="AH9" i="33"/>
  <c r="AG66" i="32"/>
  <c r="AF66" i="32"/>
  <c r="AE66" i="32"/>
  <c r="AD66" i="32"/>
  <c r="AC66" i="32"/>
  <c r="AB66" i="32"/>
  <c r="AA66" i="32"/>
  <c r="Z66" i="32"/>
  <c r="Y66" i="32"/>
  <c r="X66" i="32"/>
  <c r="W66" i="32"/>
  <c r="V66" i="32"/>
  <c r="U66" i="32"/>
  <c r="T66" i="32"/>
  <c r="S66" i="32"/>
  <c r="R66" i="32"/>
  <c r="Q66" i="32"/>
  <c r="P66" i="32"/>
  <c r="O66" i="32"/>
  <c r="N66" i="32"/>
  <c r="M66" i="32"/>
  <c r="L66" i="32"/>
  <c r="K66" i="32"/>
  <c r="J66" i="32"/>
  <c r="I66" i="32"/>
  <c r="H66" i="32"/>
  <c r="G66" i="32"/>
  <c r="F66" i="32"/>
  <c r="E66" i="32"/>
  <c r="D66" i="32"/>
  <c r="C66" i="32"/>
  <c r="AH65" i="32"/>
  <c r="AH64" i="32"/>
  <c r="AH63" i="32"/>
  <c r="AH62" i="32"/>
  <c r="AH61" i="32"/>
  <c r="AH60" i="32"/>
  <c r="AH59" i="32"/>
  <c r="AH58" i="32"/>
  <c r="AH57" i="32"/>
  <c r="AH56" i="32"/>
  <c r="AH55" i="32"/>
  <c r="AH54" i="32"/>
  <c r="AH53" i="32"/>
  <c r="AH52" i="32"/>
  <c r="AH51" i="32"/>
  <c r="AH50" i="32"/>
  <c r="AH49" i="32"/>
  <c r="AH48" i="32"/>
  <c r="AH47" i="32"/>
  <c r="AH46" i="32"/>
  <c r="AH45" i="32"/>
  <c r="AH44" i="32"/>
  <c r="AH43" i="32"/>
  <c r="AH42" i="32"/>
  <c r="AH41" i="32"/>
  <c r="AH40" i="32"/>
  <c r="AH39" i="32"/>
  <c r="AH38" i="32"/>
  <c r="AH37" i="32"/>
  <c r="AH36" i="32"/>
  <c r="AH35" i="32"/>
  <c r="AH34" i="32"/>
  <c r="AH33" i="32"/>
  <c r="AH32" i="32"/>
  <c r="AH31" i="32"/>
  <c r="AH30" i="32"/>
  <c r="AH29" i="32"/>
  <c r="AH28" i="32"/>
  <c r="AH27" i="32"/>
  <c r="AH26" i="32"/>
  <c r="AH25" i="32"/>
  <c r="AH24" i="32"/>
  <c r="AH23" i="32"/>
  <c r="AH22" i="32"/>
  <c r="AH21" i="32"/>
  <c r="AH20" i="32"/>
  <c r="AH19" i="32"/>
  <c r="AH18" i="32"/>
  <c r="AH17" i="32"/>
  <c r="AH16" i="32"/>
  <c r="AH15" i="32"/>
  <c r="AH14" i="32"/>
  <c r="AH13" i="32"/>
  <c r="AH12" i="32"/>
  <c r="AH11" i="32"/>
  <c r="AH10" i="32"/>
  <c r="AH9" i="32"/>
  <c r="AG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C7" i="31"/>
  <c r="AG66" i="31"/>
  <c r="AF66" i="31"/>
  <c r="AE66" i="31"/>
  <c r="AD66" i="31"/>
  <c r="AC66" i="31"/>
  <c r="AB66" i="31"/>
  <c r="AA66" i="31"/>
  <c r="Z66" i="31"/>
  <c r="Y66" i="31"/>
  <c r="X66" i="31"/>
  <c r="W66" i="31"/>
  <c r="V66" i="31"/>
  <c r="U66" i="31"/>
  <c r="T66" i="31"/>
  <c r="S66" i="31"/>
  <c r="R66" i="31"/>
  <c r="Q66" i="31"/>
  <c r="P66" i="31"/>
  <c r="O66" i="31"/>
  <c r="N66" i="31"/>
  <c r="M66" i="31"/>
  <c r="L66" i="31"/>
  <c r="K66" i="31"/>
  <c r="J66" i="31"/>
  <c r="I66" i="31"/>
  <c r="H66" i="31"/>
  <c r="G66" i="31"/>
  <c r="F66" i="31"/>
  <c r="E66" i="31"/>
  <c r="D66" i="31"/>
  <c r="C66" i="31"/>
  <c r="AH65" i="31"/>
  <c r="AH64" i="31"/>
  <c r="AH63" i="31"/>
  <c r="AH62" i="31"/>
  <c r="AH61" i="31"/>
  <c r="AH60" i="31"/>
  <c r="AH59" i="31"/>
  <c r="AH58" i="31"/>
  <c r="AH57" i="31"/>
  <c r="AH56" i="31"/>
  <c r="AH55" i="31"/>
  <c r="AH54" i="31"/>
  <c r="AH53" i="31"/>
  <c r="AH52" i="31"/>
  <c r="AH51" i="31"/>
  <c r="AH50" i="31"/>
  <c r="AH49" i="31"/>
  <c r="AH48" i="31"/>
  <c r="AH47" i="31"/>
  <c r="AH46" i="31"/>
  <c r="AH45" i="31"/>
  <c r="AH44" i="31"/>
  <c r="AH43" i="31"/>
  <c r="AH42" i="31"/>
  <c r="AH41" i="31"/>
  <c r="AH40" i="31"/>
  <c r="AH39" i="31"/>
  <c r="AH38" i="31"/>
  <c r="AH37" i="31"/>
  <c r="AH36" i="31"/>
  <c r="AH35" i="31"/>
  <c r="AH34" i="31"/>
  <c r="AH33" i="31"/>
  <c r="AH32" i="31"/>
  <c r="AH31" i="31"/>
  <c r="AH30" i="31"/>
  <c r="AH29" i="31"/>
  <c r="AH28" i="31"/>
  <c r="AH27" i="31"/>
  <c r="AH26" i="31"/>
  <c r="AH25" i="31"/>
  <c r="AH24" i="31"/>
  <c r="AH23" i="31"/>
  <c r="AH22" i="31"/>
  <c r="AH21" i="31"/>
  <c r="AH20" i="31"/>
  <c r="AH19" i="31"/>
  <c r="AH18" i="31"/>
  <c r="AH17" i="31"/>
  <c r="AH16" i="31"/>
  <c r="AH15" i="31"/>
  <c r="AH14" i="31"/>
  <c r="AH13" i="31"/>
  <c r="AH12" i="31"/>
  <c r="AH11" i="31"/>
  <c r="AH10" i="31"/>
  <c r="AH9" i="31"/>
  <c r="B66" i="29"/>
  <c r="AG66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B66" i="30"/>
  <c r="AH65" i="30"/>
  <c r="AH64" i="30"/>
  <c r="AH63" i="30"/>
  <c r="AH62" i="30"/>
  <c r="AH61" i="30"/>
  <c r="AH60" i="30"/>
  <c r="AH59" i="30"/>
  <c r="AH58" i="30"/>
  <c r="AH57" i="30"/>
  <c r="AH56" i="30"/>
  <c r="AH55" i="30"/>
  <c r="AH54" i="30"/>
  <c r="AH53" i="30"/>
  <c r="AH52" i="30"/>
  <c r="AH51" i="30"/>
  <c r="AH50" i="30"/>
  <c r="AH49" i="30"/>
  <c r="AH48" i="30"/>
  <c r="AH47" i="30"/>
  <c r="AH46" i="30"/>
  <c r="AH45" i="30"/>
  <c r="AH44" i="30"/>
  <c r="AH43" i="30"/>
  <c r="AH42" i="30"/>
  <c r="AH41" i="30"/>
  <c r="AH40" i="30"/>
  <c r="AH39" i="30"/>
  <c r="AH38" i="30"/>
  <c r="AH37" i="30"/>
  <c r="AH36" i="30"/>
  <c r="AH35" i="30"/>
  <c r="AH34" i="30"/>
  <c r="AH33" i="30"/>
  <c r="AH32" i="30"/>
  <c r="AH31" i="30"/>
  <c r="AH30" i="30"/>
  <c r="AH29" i="30"/>
  <c r="AH28" i="30"/>
  <c r="AH27" i="30"/>
  <c r="AH26" i="30"/>
  <c r="AH25" i="30"/>
  <c r="AH24" i="30"/>
  <c r="AH23" i="30"/>
  <c r="AH22" i="30"/>
  <c r="AH21" i="30"/>
  <c r="AH20" i="30"/>
  <c r="AH19" i="30"/>
  <c r="AH18" i="30"/>
  <c r="AH17" i="30"/>
  <c r="AH16" i="30"/>
  <c r="AH15" i="30"/>
  <c r="AH14" i="30"/>
  <c r="AH13" i="30"/>
  <c r="AH12" i="30"/>
  <c r="AH11" i="30"/>
  <c r="AH10" i="30"/>
  <c r="AH9" i="30"/>
  <c r="AG66" i="29"/>
  <c r="AF66" i="29"/>
  <c r="AE66" i="29"/>
  <c r="AD66" i="29"/>
  <c r="AC66" i="29"/>
  <c r="AB66" i="29"/>
  <c r="AA66" i="29"/>
  <c r="Z66" i="29"/>
  <c r="Y66" i="29"/>
  <c r="X66" i="29"/>
  <c r="W66" i="29"/>
  <c r="V66" i="29"/>
  <c r="U66" i="29"/>
  <c r="T66" i="29"/>
  <c r="S66" i="29"/>
  <c r="R66" i="29"/>
  <c r="Q66" i="29"/>
  <c r="P66" i="29"/>
  <c r="O66" i="29"/>
  <c r="N66" i="29"/>
  <c r="M66" i="29"/>
  <c r="L66" i="29"/>
  <c r="K66" i="29"/>
  <c r="J66" i="29"/>
  <c r="I66" i="29"/>
  <c r="H66" i="29"/>
  <c r="G66" i="29"/>
  <c r="F66" i="29"/>
  <c r="E66" i="29"/>
  <c r="D66" i="29"/>
  <c r="C66" i="29"/>
  <c r="AH65" i="29"/>
  <c r="AH64" i="29"/>
  <c r="AH63" i="29"/>
  <c r="AH62" i="29"/>
  <c r="AH61" i="29"/>
  <c r="AH60" i="29"/>
  <c r="AH59" i="29"/>
  <c r="AH58" i="29"/>
  <c r="AH57" i="29"/>
  <c r="AH56" i="29"/>
  <c r="AH55" i="29"/>
  <c r="AH54" i="29"/>
  <c r="AH53" i="29"/>
  <c r="AH52" i="29"/>
  <c r="AH51" i="29"/>
  <c r="AH50" i="29"/>
  <c r="AH49" i="29"/>
  <c r="AH48" i="29"/>
  <c r="AH47" i="29"/>
  <c r="AH46" i="29"/>
  <c r="AH45" i="29"/>
  <c r="AH44" i="29"/>
  <c r="AH43" i="29"/>
  <c r="AH42" i="29"/>
  <c r="AH41" i="29"/>
  <c r="AH40" i="29"/>
  <c r="AH39" i="29"/>
  <c r="AH38" i="29"/>
  <c r="AH37" i="29"/>
  <c r="AH36" i="29"/>
  <c r="AH35" i="29"/>
  <c r="AH34" i="29"/>
  <c r="AH33" i="29"/>
  <c r="AH32" i="29"/>
  <c r="AH31" i="29"/>
  <c r="AH30" i="29"/>
  <c r="AH29" i="29"/>
  <c r="AH28" i="29"/>
  <c r="AH27" i="29"/>
  <c r="AH26" i="29"/>
  <c r="AH25" i="29"/>
  <c r="AH24" i="29"/>
  <c r="AH23" i="29"/>
  <c r="AH22" i="29"/>
  <c r="AH21" i="29"/>
  <c r="AH20" i="29"/>
  <c r="AH19" i="29"/>
  <c r="AH18" i="29"/>
  <c r="AH17" i="29"/>
  <c r="AH16" i="29"/>
  <c r="AH15" i="29"/>
  <c r="AH14" i="29"/>
  <c r="AH13" i="29"/>
  <c r="AH12" i="29"/>
  <c r="AH11" i="29"/>
  <c r="AH10" i="29"/>
  <c r="AH9" i="29"/>
  <c r="AG66" i="28"/>
  <c r="AF66" i="28"/>
  <c r="AE66" i="28"/>
  <c r="AD66" i="28"/>
  <c r="AC66" i="28"/>
  <c r="AB66" i="28"/>
  <c r="AA66" i="28"/>
  <c r="Z66" i="28"/>
  <c r="Y66" i="28"/>
  <c r="X66" i="28"/>
  <c r="W66" i="28"/>
  <c r="V66" i="28"/>
  <c r="U66" i="28"/>
  <c r="T66" i="28"/>
  <c r="S66" i="28"/>
  <c r="R66" i="28"/>
  <c r="Q66" i="28"/>
  <c r="P66" i="28"/>
  <c r="O66" i="28"/>
  <c r="N66" i="28"/>
  <c r="M66" i="28"/>
  <c r="L66" i="28"/>
  <c r="K66" i="28"/>
  <c r="J66" i="28"/>
  <c r="I66" i="28"/>
  <c r="H66" i="28"/>
  <c r="G66" i="28"/>
  <c r="F66" i="28"/>
  <c r="E66" i="28"/>
  <c r="D66" i="28"/>
  <c r="C66" i="28"/>
  <c r="B66" i="28"/>
  <c r="AH65" i="28"/>
  <c r="AH64" i="28"/>
  <c r="AH63" i="28"/>
  <c r="AH62" i="28"/>
  <c r="AH61" i="28"/>
  <c r="AH60" i="28"/>
  <c r="AH59" i="28"/>
  <c r="AH58" i="28"/>
  <c r="AH57" i="28"/>
  <c r="AH56" i="28"/>
  <c r="AH55" i="28"/>
  <c r="AH54" i="28"/>
  <c r="AH53" i="28"/>
  <c r="AH52" i="28"/>
  <c r="AH51" i="28"/>
  <c r="AH50" i="28"/>
  <c r="AH49" i="28"/>
  <c r="AH48" i="28"/>
  <c r="AH47" i="28"/>
  <c r="AH46" i="28"/>
  <c r="AH45" i="28"/>
  <c r="AH44" i="28"/>
  <c r="AH43" i="28"/>
  <c r="AH42" i="28"/>
  <c r="AH41" i="28"/>
  <c r="AH40" i="28"/>
  <c r="AH39" i="28"/>
  <c r="AH38" i="28"/>
  <c r="AH37" i="28"/>
  <c r="AH36" i="28"/>
  <c r="AH35" i="28"/>
  <c r="AH34" i="28"/>
  <c r="AH33" i="28"/>
  <c r="AH32" i="28"/>
  <c r="AH31" i="28"/>
  <c r="AH30" i="28"/>
  <c r="AH29" i="28"/>
  <c r="AH28" i="28"/>
  <c r="AH27" i="28"/>
  <c r="AH26" i="28"/>
  <c r="AH25" i="28"/>
  <c r="AH24" i="28"/>
  <c r="AH23" i="28"/>
  <c r="AH22" i="28"/>
  <c r="AH21" i="28"/>
  <c r="AH20" i="28"/>
  <c r="AH19" i="28"/>
  <c r="AH18" i="28"/>
  <c r="AH17" i="28"/>
  <c r="AH16" i="28"/>
  <c r="AH15" i="28"/>
  <c r="AH14" i="28"/>
  <c r="AH13" i="28"/>
  <c r="AH12" i="28"/>
  <c r="AH11" i="28"/>
  <c r="AH10" i="28"/>
  <c r="AH9" i="28"/>
  <c r="AH62" i="27"/>
  <c r="AH63" i="27"/>
  <c r="AH64" i="27"/>
  <c r="AH65" i="27"/>
  <c r="AH53" i="27"/>
  <c r="AH54" i="27"/>
  <c r="AH55" i="27"/>
  <c r="AH56" i="27"/>
  <c r="AH57" i="27"/>
  <c r="AH58" i="27"/>
  <c r="AH59" i="27"/>
  <c r="AH60" i="27"/>
  <c r="AH61" i="27"/>
  <c r="AH42" i="27"/>
  <c r="AH52" i="5"/>
  <c r="AH51" i="5"/>
  <c r="AH50" i="5"/>
  <c r="AH49" i="5"/>
  <c r="AH48" i="5"/>
  <c r="AH47" i="5"/>
  <c r="AH46" i="5"/>
  <c r="AH45" i="5"/>
  <c r="AH44" i="5"/>
  <c r="AH43" i="5"/>
  <c r="AH42" i="5"/>
  <c r="AH41" i="5"/>
  <c r="AH52" i="4"/>
  <c r="AH51" i="4"/>
  <c r="AH50" i="4"/>
  <c r="AH49" i="4"/>
  <c r="AH48" i="4"/>
  <c r="AH47" i="4"/>
  <c r="AH46" i="4"/>
  <c r="AH45" i="4"/>
  <c r="AH44" i="4"/>
  <c r="AH43" i="4"/>
  <c r="AH42" i="4"/>
  <c r="AH41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10" i="17"/>
  <c r="AH11" i="17"/>
  <c r="AH12" i="17"/>
  <c r="AH13" i="17"/>
  <c r="AH14" i="17"/>
  <c r="AH15" i="17"/>
  <c r="AH16" i="17"/>
  <c r="AH17" i="17"/>
  <c r="AH18" i="17"/>
  <c r="AH19" i="17"/>
  <c r="AH20" i="17"/>
  <c r="AH21" i="17"/>
  <c r="AH22" i="17"/>
  <c r="AH23" i="17"/>
  <c r="AH24" i="17"/>
  <c r="AH25" i="17"/>
  <c r="AH26" i="17"/>
  <c r="AH27" i="17"/>
  <c r="AH28" i="17"/>
  <c r="AH29" i="17"/>
  <c r="AH30" i="17"/>
  <c r="AH31" i="17"/>
  <c r="AH32" i="17"/>
  <c r="AH33" i="17"/>
  <c r="AH34" i="17"/>
  <c r="AH35" i="17"/>
  <c r="AH36" i="17"/>
  <c r="AH37" i="17"/>
  <c r="AH38" i="17"/>
  <c r="AH39" i="17"/>
  <c r="AH40" i="17"/>
  <c r="AH41" i="17"/>
  <c r="AH42" i="17"/>
  <c r="AH43" i="17"/>
  <c r="AH44" i="17"/>
  <c r="AH45" i="17"/>
  <c r="AH46" i="17"/>
  <c r="AH47" i="17"/>
  <c r="AH48" i="17"/>
  <c r="AH49" i="17"/>
  <c r="AH50" i="17"/>
  <c r="AH51" i="17"/>
  <c r="AH52" i="17"/>
  <c r="AH9" i="17"/>
  <c r="AA53" i="17"/>
  <c r="S53" i="17"/>
  <c r="K53" i="17"/>
  <c r="C53" i="17"/>
  <c r="B53" i="17"/>
  <c r="D53" i="17"/>
  <c r="E53" i="17"/>
  <c r="F53" i="17"/>
  <c r="G53" i="17"/>
  <c r="H53" i="17"/>
  <c r="I53" i="17"/>
  <c r="J53" i="17"/>
  <c r="L53" i="17"/>
  <c r="M53" i="17"/>
  <c r="N53" i="17"/>
  <c r="O53" i="17"/>
  <c r="P53" i="17"/>
  <c r="Q53" i="17"/>
  <c r="R53" i="17"/>
  <c r="T53" i="17"/>
  <c r="U53" i="17"/>
  <c r="V53" i="17"/>
  <c r="W53" i="17"/>
  <c r="X53" i="17"/>
  <c r="Y53" i="17"/>
  <c r="Z53" i="17"/>
  <c r="AB53" i="17"/>
  <c r="AC53" i="17"/>
  <c r="AD53" i="17"/>
  <c r="AE53" i="17"/>
  <c r="AF53" i="17"/>
  <c r="AG53" i="17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9" i="1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B66" i="27"/>
  <c r="AH10" i="15"/>
  <c r="AH11" i="15"/>
  <c r="AH12" i="15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25" i="15"/>
  <c r="AH26" i="15"/>
  <c r="AH27" i="15"/>
  <c r="AH28" i="15"/>
  <c r="AH29" i="15"/>
  <c r="AH30" i="15"/>
  <c r="AH31" i="15"/>
  <c r="AH32" i="15"/>
  <c r="AH33" i="15"/>
  <c r="AH34" i="15"/>
  <c r="AH35" i="15"/>
  <c r="AH36" i="15"/>
  <c r="AH37" i="15"/>
  <c r="AH38" i="15"/>
  <c r="AH39" i="15"/>
  <c r="AH40" i="15"/>
  <c r="AH41" i="15"/>
  <c r="AH42" i="15"/>
  <c r="AH43" i="15"/>
  <c r="AH44" i="15"/>
  <c r="AH45" i="15"/>
  <c r="AH46" i="15"/>
  <c r="AH47" i="15"/>
  <c r="AH48" i="15"/>
  <c r="AH49" i="15"/>
  <c r="AH50" i="15"/>
  <c r="AH51" i="15"/>
  <c r="AH52" i="15"/>
  <c r="AG66" i="27"/>
  <c r="AF66" i="27"/>
  <c r="AE66" i="27"/>
  <c r="AD66" i="27"/>
  <c r="AC66" i="27"/>
  <c r="AB66" i="27"/>
  <c r="AA66" i="27"/>
  <c r="Z66" i="27"/>
  <c r="Y66" i="27"/>
  <c r="X66" i="27"/>
  <c r="W66" i="27"/>
  <c r="V66" i="27"/>
  <c r="U66" i="27"/>
  <c r="T66" i="27"/>
  <c r="S66" i="27"/>
  <c r="R66" i="27"/>
  <c r="Q66" i="27"/>
  <c r="P66" i="27"/>
  <c r="O66" i="27"/>
  <c r="N66" i="27"/>
  <c r="M66" i="27"/>
  <c r="L66" i="27"/>
  <c r="K66" i="27"/>
  <c r="J66" i="27"/>
  <c r="I66" i="27"/>
  <c r="H66" i="27"/>
  <c r="G66" i="27"/>
  <c r="F66" i="27"/>
  <c r="E66" i="27"/>
  <c r="D66" i="27"/>
  <c r="C66" i="27"/>
  <c r="AH52" i="27"/>
  <c r="AH51" i="27"/>
  <c r="AH50" i="27"/>
  <c r="AH49" i="27"/>
  <c r="AH48" i="27"/>
  <c r="AH47" i="27"/>
  <c r="AH46" i="27"/>
  <c r="AH45" i="27"/>
  <c r="AH44" i="27"/>
  <c r="AH43" i="27"/>
  <c r="AH41" i="27"/>
  <c r="AH40" i="27"/>
  <c r="AH39" i="27"/>
  <c r="AH38" i="27"/>
  <c r="AH37" i="27"/>
  <c r="AH36" i="27"/>
  <c r="AH35" i="27"/>
  <c r="AH34" i="27"/>
  <c r="AH33" i="27"/>
  <c r="AH32" i="27"/>
  <c r="AH31" i="27"/>
  <c r="AH30" i="27"/>
  <c r="AH29" i="27"/>
  <c r="AH28" i="27"/>
  <c r="AH27" i="27"/>
  <c r="AH26" i="27"/>
  <c r="AH25" i="27"/>
  <c r="AH24" i="27"/>
  <c r="AH23" i="27"/>
  <c r="AH22" i="27"/>
  <c r="AH21" i="27"/>
  <c r="AH20" i="27"/>
  <c r="AH19" i="27"/>
  <c r="AH18" i="27"/>
  <c r="AH17" i="27"/>
  <c r="AH16" i="27"/>
  <c r="AH15" i="27"/>
  <c r="AH14" i="27"/>
  <c r="AH13" i="27"/>
  <c r="AH12" i="27"/>
  <c r="AH11" i="27"/>
  <c r="AH10" i="27"/>
  <c r="AH9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AH52" i="25"/>
  <c r="AH41" i="25"/>
  <c r="AH42" i="25"/>
  <c r="AH43" i="25"/>
  <c r="AH44" i="25"/>
  <c r="AH45" i="25"/>
  <c r="AH46" i="25"/>
  <c r="AH47" i="25"/>
  <c r="AH48" i="25"/>
  <c r="AH49" i="25"/>
  <c r="AH50" i="25"/>
  <c r="AH51" i="25"/>
  <c r="AH30" i="25"/>
  <c r="AH20" i="25"/>
  <c r="AH21" i="25"/>
  <c r="AH22" i="25"/>
  <c r="AH23" i="25"/>
  <c r="AH24" i="25"/>
  <c r="AH25" i="25"/>
  <c r="AH26" i="25"/>
  <c r="AH27" i="25"/>
  <c r="AH28" i="25"/>
  <c r="AH29" i="25"/>
  <c r="AH15" i="21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H10" i="25"/>
  <c r="AH11" i="25"/>
  <c r="AH12" i="25"/>
  <c r="AH13" i="25"/>
  <c r="AH14" i="25"/>
  <c r="AH15" i="25"/>
  <c r="AH16" i="25"/>
  <c r="AH17" i="25"/>
  <c r="AH18" i="25"/>
  <c r="AH19" i="25"/>
  <c r="AH31" i="25"/>
  <c r="AH32" i="25"/>
  <c r="AH33" i="25"/>
  <c r="AH34" i="25"/>
  <c r="AH35" i="25"/>
  <c r="AH36" i="25"/>
  <c r="AH37" i="25"/>
  <c r="AH38" i="25"/>
  <c r="AH39" i="25"/>
  <c r="AH40" i="25"/>
  <c r="AH9" i="25"/>
  <c r="AH10" i="24"/>
  <c r="AH11" i="24"/>
  <c r="AH12" i="24"/>
  <c r="AH13" i="24"/>
  <c r="AH14" i="24"/>
  <c r="AH15" i="24"/>
  <c r="AH16" i="24"/>
  <c r="AH17" i="24"/>
  <c r="AH18" i="24"/>
  <c r="AH19" i="24"/>
  <c r="AH20" i="24"/>
  <c r="AH21" i="24"/>
  <c r="AH22" i="24"/>
  <c r="AH23" i="24"/>
  <c r="AH24" i="24"/>
  <c r="AH25" i="24"/>
  <c r="AH26" i="24"/>
  <c r="AH27" i="24"/>
  <c r="AH28" i="24"/>
  <c r="AH29" i="24"/>
  <c r="AH9" i="24"/>
  <c r="AH10" i="23"/>
  <c r="AH11" i="23"/>
  <c r="AH12" i="23"/>
  <c r="AH13" i="23"/>
  <c r="AH14" i="23"/>
  <c r="AH15" i="23"/>
  <c r="AH16" i="23"/>
  <c r="AH17" i="23"/>
  <c r="AH18" i="23"/>
  <c r="AH19" i="23"/>
  <c r="AH20" i="23"/>
  <c r="AH21" i="23"/>
  <c r="AH22" i="23"/>
  <c r="AH23" i="23"/>
  <c r="AH24" i="23"/>
  <c r="AH25" i="23"/>
  <c r="AH26" i="23"/>
  <c r="AH27" i="23"/>
  <c r="AH28" i="23"/>
  <c r="AH29" i="23"/>
  <c r="AH9" i="23"/>
  <c r="AH10" i="22"/>
  <c r="AH11" i="22"/>
  <c r="AH12" i="22"/>
  <c r="AH13" i="22"/>
  <c r="AH14" i="22"/>
  <c r="AH15" i="22"/>
  <c r="AH16" i="22"/>
  <c r="AH17" i="22"/>
  <c r="AH18" i="22"/>
  <c r="AH19" i="22"/>
  <c r="AH20" i="22"/>
  <c r="AH21" i="22"/>
  <c r="AH22" i="22"/>
  <c r="AH23" i="22"/>
  <c r="AH24" i="22"/>
  <c r="AH25" i="22"/>
  <c r="AH26" i="22"/>
  <c r="AH27" i="22"/>
  <c r="AH28" i="22"/>
  <c r="AH29" i="22"/>
  <c r="AH9" i="22"/>
  <c r="AH10" i="21"/>
  <c r="AH11" i="21"/>
  <c r="AH12" i="21"/>
  <c r="AH13" i="21"/>
  <c r="AH14" i="21"/>
  <c r="AH16" i="21"/>
  <c r="AH17" i="21"/>
  <c r="AH18" i="21"/>
  <c r="AH19" i="21"/>
  <c r="AH20" i="21"/>
  <c r="AH21" i="21"/>
  <c r="AH22" i="21"/>
  <c r="AH23" i="21"/>
  <c r="AH24" i="21"/>
  <c r="AH25" i="21"/>
  <c r="AH26" i="21"/>
  <c r="AH27" i="21"/>
  <c r="AH28" i="21"/>
  <c r="AH29" i="21"/>
  <c r="AH9" i="21"/>
  <c r="AH10" i="20"/>
  <c r="AH11" i="20"/>
  <c r="AH12" i="20"/>
  <c r="AH13" i="20"/>
  <c r="AH14" i="20"/>
  <c r="AH15" i="20"/>
  <c r="AH16" i="20"/>
  <c r="AH17" i="20"/>
  <c r="AH18" i="20"/>
  <c r="AH19" i="20"/>
  <c r="AH20" i="20"/>
  <c r="AH21" i="20"/>
  <c r="AH22" i="20"/>
  <c r="AH23" i="20"/>
  <c r="AH24" i="20"/>
  <c r="AH25" i="20"/>
  <c r="AH26" i="20"/>
  <c r="AH27" i="20"/>
  <c r="AH28" i="20"/>
  <c r="AH29" i="20"/>
  <c r="AH9" i="20"/>
  <c r="AH29" i="19"/>
  <c r="AH28" i="19"/>
  <c r="AH27" i="19"/>
  <c r="AH26" i="19"/>
  <c r="AH25" i="19"/>
  <c r="AH24" i="19"/>
  <c r="AH23" i="19"/>
  <c r="AH22" i="19"/>
  <c r="AH21" i="19"/>
  <c r="AH20" i="19"/>
  <c r="AH19" i="19"/>
  <c r="AH18" i="19"/>
  <c r="AH17" i="19"/>
  <c r="AH16" i="19"/>
  <c r="AH15" i="19"/>
  <c r="AH14" i="19"/>
  <c r="AH30" i="19" s="1"/>
  <c r="AH13" i="19"/>
  <c r="AH12" i="19"/>
  <c r="AH11" i="19"/>
  <c r="AH10" i="19"/>
  <c r="AH9" i="19"/>
  <c r="AH29" i="18"/>
  <c r="AH28" i="18"/>
  <c r="AH27" i="18"/>
  <c r="AH26" i="18"/>
  <c r="AH25" i="18"/>
  <c r="AH24" i="18"/>
  <c r="AH23" i="18"/>
  <c r="AH22" i="18"/>
  <c r="AH21" i="18"/>
  <c r="AH20" i="18"/>
  <c r="AH19" i="18"/>
  <c r="AH18" i="18"/>
  <c r="AH17" i="18"/>
  <c r="AH16" i="18"/>
  <c r="AH15" i="18"/>
  <c r="AH14" i="18"/>
  <c r="AH13" i="18"/>
  <c r="AH12" i="18"/>
  <c r="AH11" i="18"/>
  <c r="AH30" i="18" s="1"/>
  <c r="AH10" i="18"/>
  <c r="AH9" i="18"/>
  <c r="B53" i="15"/>
  <c r="B53" i="25"/>
  <c r="B30" i="24"/>
  <c r="B30" i="23"/>
  <c r="B30" i="22"/>
  <c r="B30" i="21"/>
  <c r="B30" i="20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D30" i="19"/>
  <c r="AE30" i="19"/>
  <c r="AF30" i="19"/>
  <c r="AG30" i="19"/>
  <c r="B30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B53" i="4"/>
  <c r="AG53" i="25"/>
  <c r="AF53" i="25"/>
  <c r="AE53" i="25"/>
  <c r="AD53" i="25"/>
  <c r="AC53" i="25"/>
  <c r="AB53" i="25"/>
  <c r="AA53" i="25"/>
  <c r="Z53" i="25"/>
  <c r="Y53" i="25"/>
  <c r="X53" i="25"/>
  <c r="W53" i="25"/>
  <c r="V53" i="25"/>
  <c r="U53" i="25"/>
  <c r="T53" i="25"/>
  <c r="S53" i="25"/>
  <c r="R53" i="25"/>
  <c r="Q53" i="25"/>
  <c r="P53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AG30" i="24"/>
  <c r="AF30" i="24"/>
  <c r="AE30" i="24"/>
  <c r="AD30" i="24"/>
  <c r="AC30" i="24"/>
  <c r="AB30" i="24"/>
  <c r="AA30" i="24"/>
  <c r="Z30" i="24"/>
  <c r="Y30" i="24"/>
  <c r="X30" i="24"/>
  <c r="W30" i="24"/>
  <c r="V30" i="24"/>
  <c r="U30" i="24"/>
  <c r="T30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AG30" i="23"/>
  <c r="AF30" i="23"/>
  <c r="AE30" i="23"/>
  <c r="AD30" i="23"/>
  <c r="AC30" i="23"/>
  <c r="AB30" i="23"/>
  <c r="AA30" i="23"/>
  <c r="Z30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C30" i="23"/>
  <c r="AG30" i="22"/>
  <c r="AF30" i="22"/>
  <c r="AE30" i="22"/>
  <c r="AD30" i="22"/>
  <c r="AC30" i="22"/>
  <c r="AB30" i="22"/>
  <c r="AA30" i="22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AH30" i="23"/>
  <c r="AH30" i="21"/>
  <c r="AH30" i="22"/>
  <c r="AH53" i="25"/>
  <c r="AH30" i="20"/>
  <c r="AH30" i="24"/>
  <c r="AG53" i="15"/>
  <c r="AF53" i="15"/>
  <c r="AH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D7" i="18"/>
  <c r="AC7" i="18"/>
  <c r="L7" i="18"/>
  <c r="C7" i="18"/>
  <c r="M7" i="18"/>
  <c r="U7" i="18"/>
  <c r="F7" i="18"/>
  <c r="N7" i="18"/>
  <c r="V7" i="18"/>
  <c r="AD7" i="18"/>
  <c r="W7" i="18"/>
  <c r="H7" i="18"/>
  <c r="P7" i="18"/>
  <c r="X7" i="18"/>
  <c r="AF7" i="18"/>
  <c r="T7" i="18"/>
  <c r="I7" i="18"/>
  <c r="Q7" i="18"/>
  <c r="Y7" i="18"/>
  <c r="G7" i="18"/>
  <c r="O7" i="18"/>
  <c r="AE7" i="18"/>
  <c r="J7" i="18"/>
  <c r="R7" i="18"/>
  <c r="Z7" i="18"/>
  <c r="AB7" i="18"/>
  <c r="E7" i="18"/>
  <c r="K7" i="18"/>
  <c r="S7" i="18"/>
  <c r="AA7" i="18"/>
  <c r="J7" i="19"/>
  <c r="C7" i="19"/>
  <c r="V7" i="19"/>
  <c r="Z7" i="19"/>
  <c r="Q7" i="19"/>
  <c r="M7" i="19"/>
  <c r="AA7" i="19"/>
  <c r="S7" i="19"/>
  <c r="D7" i="19"/>
  <c r="G7" i="19"/>
  <c r="N7" i="19"/>
  <c r="I7" i="19"/>
  <c r="K7" i="19"/>
  <c r="W7" i="19"/>
  <c r="AF7" i="19"/>
  <c r="F7" i="19"/>
  <c r="E7" i="19"/>
  <c r="L7" i="19"/>
  <c r="X7" i="19"/>
  <c r="T7" i="19"/>
  <c r="O7" i="19"/>
  <c r="R7" i="19"/>
  <c r="AE7" i="19"/>
  <c r="AG7" i="19"/>
  <c r="P7" i="19"/>
  <c r="AC7" i="19"/>
  <c r="AD7" i="19"/>
  <c r="AB7" i="19"/>
  <c r="Y7" i="19"/>
  <c r="H7" i="19"/>
  <c r="U7" i="19"/>
  <c r="AD7" i="20"/>
  <c r="AC7" i="20"/>
  <c r="J7" i="20"/>
  <c r="F7" i="20"/>
  <c r="W7" i="20"/>
  <c r="O7" i="20"/>
  <c r="E7" i="20"/>
  <c r="X7" i="20"/>
  <c r="Z7" i="20"/>
  <c r="Q7" i="20"/>
  <c r="AB7" i="20"/>
  <c r="AE7" i="20"/>
  <c r="U7" i="20"/>
  <c r="K7" i="20"/>
  <c r="P7" i="20"/>
  <c r="AA7" i="20"/>
  <c r="T7" i="20"/>
  <c r="D7" i="20"/>
  <c r="G7" i="20"/>
  <c r="N7" i="20"/>
  <c r="I7" i="20"/>
  <c r="H7" i="20"/>
  <c r="V7" i="20"/>
  <c r="M7" i="20"/>
  <c r="C7" i="20"/>
  <c r="Y7" i="20"/>
  <c r="L7" i="20"/>
  <c r="AF7" i="20"/>
  <c r="S7" i="20"/>
  <c r="R7" i="20"/>
  <c r="P7" i="21"/>
  <c r="AA7" i="21"/>
  <c r="AB7" i="21"/>
  <c r="M7" i="21"/>
  <c r="AC7" i="21"/>
  <c r="G7" i="21"/>
  <c r="X7" i="21"/>
  <c r="C7" i="21"/>
  <c r="U7" i="21"/>
  <c r="AF7" i="21"/>
  <c r="E7" i="21"/>
  <c r="K7" i="21"/>
  <c r="W7" i="21"/>
  <c r="Z7" i="21"/>
  <c r="AD7" i="21"/>
  <c r="R7" i="21"/>
  <c r="O7" i="21"/>
  <c r="AE7" i="21"/>
  <c r="F7" i="21"/>
  <c r="S7" i="21"/>
  <c r="Y7" i="21"/>
  <c r="AG7" i="21"/>
  <c r="J7" i="21"/>
  <c r="T7" i="21"/>
  <c r="D7" i="21"/>
  <c r="L7" i="21"/>
  <c r="Q7" i="21"/>
  <c r="N7" i="21"/>
  <c r="V7" i="21"/>
  <c r="I7" i="21"/>
  <c r="H7" i="21"/>
  <c r="AE7" i="22"/>
  <c r="V7" i="22"/>
  <c r="L7" i="22"/>
  <c r="Y7" i="22"/>
  <c r="X7" i="22"/>
  <c r="N7" i="22"/>
  <c r="AC7" i="22"/>
  <c r="AD7" i="22"/>
  <c r="F7" i="22"/>
  <c r="Q7" i="22"/>
  <c r="D7" i="22"/>
  <c r="K7" i="22"/>
  <c r="AB7" i="22"/>
  <c r="M7" i="22"/>
  <c r="O7" i="22"/>
  <c r="Z7" i="22"/>
  <c r="T7" i="22"/>
  <c r="H7" i="22"/>
  <c r="I7" i="22"/>
  <c r="G7" i="22"/>
  <c r="W7" i="22"/>
  <c r="R7" i="22"/>
  <c r="E7" i="22"/>
  <c r="S7" i="22"/>
  <c r="J7" i="22"/>
  <c r="AA7" i="22"/>
  <c r="P7" i="22"/>
  <c r="AF7" i="22"/>
  <c r="C7" i="22"/>
  <c r="AG7" i="22"/>
  <c r="U7" i="22"/>
  <c r="W7" i="23"/>
  <c r="V7" i="23"/>
  <c r="U7" i="23"/>
  <c r="P7" i="23"/>
  <c r="C7" i="23"/>
  <c r="AB7" i="23"/>
  <c r="T7" i="23"/>
  <c r="D7" i="23"/>
  <c r="I7" i="23"/>
  <c r="AE7" i="23"/>
  <c r="X7" i="23"/>
  <c r="K7" i="23"/>
  <c r="N7" i="23"/>
  <c r="Q7" i="23"/>
  <c r="Y7" i="23"/>
  <c r="H7" i="23"/>
  <c r="G7" i="23"/>
  <c r="F7" i="23"/>
  <c r="E7" i="23"/>
  <c r="AA7" i="23"/>
  <c r="M7" i="23"/>
  <c r="J7" i="23"/>
  <c r="O7" i="23"/>
  <c r="AD7" i="23"/>
  <c r="AC7" i="23"/>
  <c r="R7" i="23"/>
  <c r="Z7" i="23"/>
  <c r="S7" i="23"/>
  <c r="L7" i="23"/>
  <c r="AF7" i="23"/>
  <c r="U7" i="24"/>
  <c r="F7" i="24"/>
  <c r="Y7" i="24"/>
  <c r="R7" i="24"/>
  <c r="AB7" i="24"/>
  <c r="Z7" i="24"/>
  <c r="D7" i="24"/>
  <c r="AC7" i="24"/>
  <c r="H7" i="24"/>
  <c r="O7" i="24"/>
  <c r="AF7" i="24"/>
  <c r="L7" i="24"/>
  <c r="AA7" i="24"/>
  <c r="J7" i="24"/>
  <c r="G7" i="24"/>
  <c r="AE7" i="24"/>
  <c r="C7" i="24"/>
  <c r="P7" i="24"/>
  <c r="K7" i="24"/>
  <c r="T7" i="24"/>
  <c r="I7" i="24"/>
  <c r="W7" i="24"/>
  <c r="AD7" i="24"/>
  <c r="M7" i="24"/>
  <c r="V7" i="24"/>
  <c r="AG7" i="24"/>
  <c r="E7" i="24"/>
  <c r="X7" i="24"/>
  <c r="N7" i="24"/>
  <c r="Q7" i="24"/>
  <c r="S7" i="24"/>
  <c r="AA7" i="25"/>
  <c r="R7" i="25"/>
  <c r="M7" i="25"/>
  <c r="AE7" i="25"/>
  <c r="AF7" i="25"/>
  <c r="S7" i="25"/>
  <c r="H7" i="25"/>
  <c r="I7" i="25"/>
  <c r="N7" i="25"/>
  <c r="AC7" i="25"/>
  <c r="L7" i="25"/>
  <c r="X7" i="25"/>
  <c r="T7" i="25"/>
  <c r="V7" i="25"/>
  <c r="G7" i="25"/>
  <c r="O7" i="25"/>
  <c r="C7" i="25"/>
  <c r="AD7" i="25"/>
  <c r="F7" i="25"/>
  <c r="P7" i="25"/>
  <c r="E7" i="25"/>
  <c r="W7" i="25"/>
  <c r="K7" i="25"/>
  <c r="Q7" i="25"/>
  <c r="D7" i="25"/>
  <c r="Z7" i="25"/>
  <c r="AB7" i="25"/>
  <c r="J7" i="25"/>
  <c r="Y7" i="25"/>
  <c r="U7" i="25"/>
  <c r="AA7" i="15"/>
  <c r="AC7" i="15"/>
  <c r="Y7" i="15"/>
  <c r="D7" i="15"/>
  <c r="AG7" i="15"/>
  <c r="E7" i="15"/>
  <c r="J7" i="15"/>
  <c r="AD7" i="15"/>
  <c r="O7" i="15"/>
  <c r="P7" i="15"/>
  <c r="M7" i="15"/>
  <c r="C7" i="15"/>
  <c r="R7" i="15"/>
  <c r="K7" i="15"/>
  <c r="AF7" i="15"/>
  <c r="U7" i="15"/>
  <c r="AE7" i="15"/>
  <c r="H7" i="15"/>
  <c r="S7" i="15"/>
  <c r="AB7" i="15"/>
  <c r="Q7" i="15"/>
  <c r="X7" i="15"/>
  <c r="T7" i="15"/>
  <c r="L7" i="15"/>
  <c r="F7" i="15"/>
  <c r="I7" i="15"/>
  <c r="N7" i="15"/>
  <c r="G7" i="15"/>
  <c r="W7" i="15"/>
  <c r="V7" i="15"/>
  <c r="Z7" i="15"/>
  <c r="M7" i="5"/>
  <c r="U7" i="5"/>
  <c r="S7" i="5"/>
  <c r="R7" i="5"/>
  <c r="G7" i="5"/>
  <c r="V7" i="5"/>
  <c r="W7" i="5"/>
  <c r="D7" i="5"/>
  <c r="O7" i="5"/>
  <c r="C7" i="5"/>
  <c r="F7" i="5"/>
  <c r="K7" i="5"/>
  <c r="AB7" i="5"/>
  <c r="J7" i="5"/>
  <c r="X7" i="5"/>
  <c r="Q7" i="5"/>
  <c r="Z7" i="5"/>
  <c r="AC7" i="5"/>
  <c r="Y7" i="5"/>
  <c r="AA7" i="5"/>
  <c r="L7" i="5"/>
  <c r="AD7" i="5"/>
  <c r="N7" i="5"/>
  <c r="I7" i="5"/>
  <c r="T7" i="5"/>
  <c r="H7" i="5"/>
  <c r="AE7" i="5"/>
  <c r="P7" i="5"/>
  <c r="E7" i="5"/>
  <c r="P7" i="17"/>
  <c r="AE7" i="17"/>
  <c r="M7" i="17"/>
  <c r="AB7" i="17"/>
  <c r="Y7" i="17"/>
  <c r="W7" i="17"/>
  <c r="AG7" i="17"/>
  <c r="L7" i="17"/>
  <c r="Z7" i="17"/>
  <c r="H7" i="17"/>
  <c r="N7" i="17"/>
  <c r="T7" i="17"/>
  <c r="Q7" i="17"/>
  <c r="X7" i="17"/>
  <c r="R7" i="17"/>
  <c r="U7" i="17"/>
  <c r="D7" i="17"/>
  <c r="G7" i="17"/>
  <c r="O7" i="17"/>
  <c r="V7" i="17"/>
  <c r="S7" i="17"/>
  <c r="AC7" i="17"/>
  <c r="I7" i="17"/>
  <c r="F7" i="17"/>
  <c r="C7" i="17"/>
  <c r="K7" i="17"/>
  <c r="E7" i="17"/>
  <c r="AD7" i="17"/>
  <c r="J7" i="17"/>
  <c r="AF7" i="17"/>
  <c r="AA7" i="17"/>
  <c r="AH66" i="35" l="1"/>
  <c r="AH66" i="34"/>
  <c r="AH66" i="33"/>
  <c r="AH66" i="32"/>
  <c r="AH66" i="31"/>
  <c r="AH66" i="29"/>
  <c r="AH66" i="30"/>
  <c r="AH66" i="28"/>
  <c r="AH53" i="4"/>
  <c r="AH66" i="27"/>
  <c r="AH53" i="5"/>
  <c r="AH53" i="17"/>
</calcChain>
</file>

<file path=xl/sharedStrings.xml><?xml version="1.0" encoding="utf-8"?>
<sst xmlns="http://schemas.openxmlformats.org/spreadsheetml/2006/main" count="14752" uniqueCount="184">
  <si>
    <t>デモ機予約表</t>
    <rPh sb="2" eb="3">
      <t>キ</t>
    </rPh>
    <rPh sb="3" eb="5">
      <t>ヨヤク</t>
    </rPh>
    <rPh sb="5" eb="6">
      <t>ヒョウ</t>
    </rPh>
    <phoneticPr fontId="10"/>
  </si>
  <si>
    <t>4月</t>
    <phoneticPr fontId="4" type="noConversion"/>
  </si>
  <si>
    <t>欠勤の種類キー</t>
  </si>
  <si>
    <t>C</t>
    <phoneticPr fontId="10"/>
  </si>
  <si>
    <t>確定</t>
    <rPh sb="0" eb="2">
      <t>カクテイ</t>
    </rPh>
    <phoneticPr fontId="10"/>
  </si>
  <si>
    <t>T</t>
    <phoneticPr fontId="10"/>
  </si>
  <si>
    <t>仮確定</t>
    <rPh sb="0" eb="3">
      <t>カリカクテイ</t>
    </rPh>
    <phoneticPr fontId="10"/>
  </si>
  <si>
    <t>カスタム 1</t>
  </si>
  <si>
    <t>カスタム 2</t>
  </si>
  <si>
    <t>従業員名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</si>
  <si>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</si>
  <si>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</si>
  <si>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</si>
  <si>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</si>
  <si>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</si>
  <si>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</si>
  <si>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</si>
  <si>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</si>
  <si>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</si>
  <si>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</si>
  <si>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</si>
  <si>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</si>
  <si>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</si>
  <si>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</si>
  <si>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</si>
  <si>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</si>
  <si>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</si>
  <si>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</si>
  <si>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</si>
  <si>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</si>
  <si>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</si>
  <si>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</si>
  <si>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</si>
  <si>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</si>
  <si>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</si>
  <si>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</si>
  <si>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</si>
  <si>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</si>
  <si>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</si>
  <si>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</si>
  <si>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 xml:space="preserve"> </t>
  </si>
  <si>
    <t>合計日数</t>
  </si>
  <si>
    <t>デモ機１</t>
    <rPh sb="2" eb="3">
      <t>キ</t>
    </rPh>
    <phoneticPr fontId="10"/>
  </si>
  <si>
    <t>デモ機２</t>
    <rPh sb="2" eb="3">
      <t>キ</t>
    </rPh>
    <phoneticPr fontId="10"/>
  </si>
  <si>
    <t>デモ機３</t>
    <rPh sb="2" eb="3">
      <t>キ</t>
    </rPh>
    <phoneticPr fontId="10"/>
  </si>
  <si>
    <t>デモ機４</t>
    <rPh sb="2" eb="3">
      <t>キ</t>
    </rPh>
    <phoneticPr fontId="10"/>
  </si>
  <si>
    <t>デモ機５</t>
    <rPh sb="2" eb="3">
      <t>キ</t>
    </rPh>
    <phoneticPr fontId="10"/>
  </si>
  <si>
    <t>デモ機６</t>
    <rPh sb="2" eb="3">
      <t>キ</t>
    </rPh>
    <phoneticPr fontId="10"/>
  </si>
  <si>
    <t>デモ機７</t>
    <rPh sb="2" eb="3">
      <t>キ</t>
    </rPh>
    <phoneticPr fontId="10"/>
  </si>
  <si>
    <t>デモ機８</t>
    <rPh sb="2" eb="3">
      <t>キ</t>
    </rPh>
    <phoneticPr fontId="10"/>
  </si>
  <si>
    <t>デモ機９</t>
    <rPh sb="2" eb="3">
      <t>キ</t>
    </rPh>
    <phoneticPr fontId="10"/>
  </si>
  <si>
    <t>デモ機１０</t>
    <rPh sb="2" eb="3">
      <t>キ</t>
    </rPh>
    <phoneticPr fontId="10"/>
  </si>
  <si>
    <t>デモ機１１</t>
    <rPh sb="2" eb="3">
      <t>キ</t>
    </rPh>
    <phoneticPr fontId="10"/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</si>
  <si>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</si>
  <si>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</si>
  <si>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</si>
  <si>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</si>
  <si>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</si>
  <si>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</si>
  <si>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</si>
  <si>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</si>
  <si>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</si>
  <si>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</si>
  <si>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5月</t>
    <phoneticPr fontId="10"/>
  </si>
  <si>
    <t>31</t>
  </si>
  <si>
    <t>6月</t>
    <phoneticPr fontId="10"/>
  </si>
  <si>
    <t>C</t>
  </si>
  <si>
    <t>7月</t>
    <phoneticPr fontId="10"/>
  </si>
  <si>
    <t>T</t>
  </si>
  <si>
    <t>Ｔ</t>
  </si>
  <si>
    <t>ｇ</t>
  </si>
  <si>
    <t>8月</t>
    <phoneticPr fontId="10"/>
  </si>
  <si>
    <t>9月</t>
    <phoneticPr fontId="10"/>
  </si>
  <si>
    <t>10月</t>
    <phoneticPr fontId="10"/>
  </si>
  <si>
    <t>11月</t>
    <phoneticPr fontId="10"/>
  </si>
  <si>
    <t>FEデモ機１</t>
    <rPh sb="4" eb="5">
      <t>キ</t>
    </rPh>
    <phoneticPr fontId="10"/>
  </si>
  <si>
    <t>FEデモ機２</t>
    <rPh sb="4" eb="5">
      <t>キ</t>
    </rPh>
    <phoneticPr fontId="10"/>
  </si>
  <si>
    <t>FEデモ機３</t>
    <rPh sb="4" eb="5">
      <t>キ</t>
    </rPh>
    <phoneticPr fontId="10"/>
  </si>
  <si>
    <t>FEデモ機４</t>
    <rPh sb="4" eb="5">
      <t>キ</t>
    </rPh>
    <phoneticPr fontId="10"/>
  </si>
  <si>
    <t>FEデモ機５</t>
    <rPh sb="4" eb="5">
      <t>キ</t>
    </rPh>
    <phoneticPr fontId="10"/>
  </si>
  <si>
    <t>FEデモ機６</t>
    <rPh sb="4" eb="5">
      <t>キ</t>
    </rPh>
    <phoneticPr fontId="10"/>
  </si>
  <si>
    <t>FEデモ機７</t>
    <rPh sb="4" eb="5">
      <t>キ</t>
    </rPh>
    <phoneticPr fontId="10"/>
  </si>
  <si>
    <t>FEデモ機８</t>
    <rPh sb="4" eb="5">
      <t>キ</t>
    </rPh>
    <phoneticPr fontId="10"/>
  </si>
  <si>
    <t>FEデモ機９</t>
    <rPh sb="4" eb="5">
      <t>キ</t>
    </rPh>
    <phoneticPr fontId="10"/>
  </si>
  <si>
    <t>FEデモ機１０</t>
    <rPh sb="4" eb="5">
      <t>キ</t>
    </rPh>
    <phoneticPr fontId="10"/>
  </si>
  <si>
    <t>FEデモ機１１</t>
    <rPh sb="4" eb="5">
      <t>キ</t>
    </rPh>
    <phoneticPr fontId="10"/>
  </si>
  <si>
    <t>RTデモ機１</t>
    <rPh sb="4" eb="5">
      <t>キ</t>
    </rPh>
    <phoneticPr fontId="10"/>
  </si>
  <si>
    <t>RTデモ機２</t>
    <rPh sb="4" eb="5">
      <t>キ</t>
    </rPh>
    <phoneticPr fontId="10"/>
  </si>
  <si>
    <t>RTデモ機３</t>
    <rPh sb="4" eb="5">
      <t>キ</t>
    </rPh>
    <phoneticPr fontId="10"/>
  </si>
  <si>
    <t>RTデモ機４</t>
    <rPh sb="4" eb="5">
      <t>キ</t>
    </rPh>
    <phoneticPr fontId="10"/>
  </si>
  <si>
    <t>RTデモ機５</t>
    <rPh sb="4" eb="5">
      <t>キ</t>
    </rPh>
    <phoneticPr fontId="10"/>
  </si>
  <si>
    <t>RTデモ機６</t>
    <rPh sb="4" eb="5">
      <t>キ</t>
    </rPh>
    <phoneticPr fontId="10"/>
  </si>
  <si>
    <t>RTデモ機７</t>
    <rPh sb="4" eb="5">
      <t>キ</t>
    </rPh>
    <phoneticPr fontId="10"/>
  </si>
  <si>
    <t>RTデモ機８</t>
    <rPh sb="4" eb="5">
      <t>キ</t>
    </rPh>
    <phoneticPr fontId="10"/>
  </si>
  <si>
    <t>RTデモ機９</t>
    <rPh sb="4" eb="5">
      <t>キ</t>
    </rPh>
    <phoneticPr fontId="10"/>
  </si>
  <si>
    <t>RTデモ機１０</t>
    <rPh sb="4" eb="5">
      <t>キ</t>
    </rPh>
    <phoneticPr fontId="10"/>
  </si>
  <si>
    <t>RTデモ機１１</t>
    <rPh sb="4" eb="5">
      <t>キ</t>
    </rPh>
    <phoneticPr fontId="10"/>
  </si>
  <si>
    <t>PC1(Excelなし)</t>
  </si>
  <si>
    <t>PC2(Excelなし)</t>
  </si>
  <si>
    <t>PC3(Excelなし)</t>
  </si>
  <si>
    <t>PC4(Excelなし)</t>
  </si>
  <si>
    <t>PC5(Excelなし)</t>
  </si>
  <si>
    <t>PC6(Excelなし)</t>
  </si>
  <si>
    <t>PC7(Excelなし)</t>
  </si>
  <si>
    <t>PC8(Excelなし)</t>
  </si>
  <si>
    <t>PC9(Excelなし)</t>
  </si>
  <si>
    <t>PC10(Excelなし)</t>
  </si>
  <si>
    <t>PC20(Excelあり)</t>
  </si>
  <si>
    <t>PC21(Excelあり)</t>
  </si>
  <si>
    <t>PC22(Excelあり)</t>
  </si>
  <si>
    <t>PC23(Excelあり)</t>
  </si>
  <si>
    <t>PC24(Excelあり)</t>
  </si>
  <si>
    <t>PC25(Excelあり)</t>
  </si>
  <si>
    <t>PC26(Excelあり)</t>
  </si>
  <si>
    <t>PC27(Excelあり)</t>
  </si>
  <si>
    <t>PC28(Excelあり)</t>
  </si>
  <si>
    <t>PC29(Excelあり)</t>
  </si>
  <si>
    <t>PC30(Excelあり)</t>
  </si>
  <si>
    <t>PC31(Excelあり)</t>
  </si>
  <si>
    <t>12月</t>
    <phoneticPr fontId="10"/>
  </si>
  <si>
    <t>1月</t>
    <phoneticPr fontId="10"/>
  </si>
  <si>
    <t>仮予約</t>
    <rPh sb="0" eb="3">
      <t>カリヨヤク</t>
    </rPh>
    <phoneticPr fontId="10"/>
  </si>
  <si>
    <t>備品名</t>
    <rPh sb="0" eb="2">
      <t>ビヒン</t>
    </rPh>
    <rPh sb="2" eb="3">
      <t>メイ</t>
    </rPh>
    <phoneticPr fontId="10"/>
  </si>
  <si>
    <t>PC1(Excelなし)</t>
    <phoneticPr fontId="10"/>
  </si>
  <si>
    <t>PC2(Excelなし)</t>
    <phoneticPr fontId="10"/>
  </si>
  <si>
    <t>PC3(Excelなし)</t>
    <phoneticPr fontId="10"/>
  </si>
  <si>
    <t>PC4(Excelなし)</t>
    <phoneticPr fontId="10"/>
  </si>
  <si>
    <t>PC5(Excelなし)</t>
    <phoneticPr fontId="10"/>
  </si>
  <si>
    <t>PC6(Excelなし)</t>
    <phoneticPr fontId="10"/>
  </si>
  <si>
    <t>PC7(Excelなし)</t>
    <phoneticPr fontId="10"/>
  </si>
  <si>
    <t>PC8(Excelなし)</t>
    <phoneticPr fontId="10"/>
  </si>
  <si>
    <t>PC9(Excelなし)</t>
    <phoneticPr fontId="10"/>
  </si>
  <si>
    <t>PC10(Excelなし)</t>
    <phoneticPr fontId="10"/>
  </si>
  <si>
    <t>2月</t>
    <phoneticPr fontId="10"/>
  </si>
  <si>
    <t xml:space="preserve">  </t>
  </si>
  <si>
    <t>3月</t>
    <phoneticPr fontId="10"/>
  </si>
  <si>
    <t>4月</t>
    <rPh sb="1" eb="2">
      <t>ガツ</t>
    </rPh>
    <phoneticPr fontId="10"/>
  </si>
  <si>
    <t>火</t>
  </si>
  <si>
    <t>水</t>
  </si>
  <si>
    <t>木</t>
  </si>
  <si>
    <t>金</t>
  </si>
  <si>
    <t>土</t>
  </si>
  <si>
    <t>日</t>
  </si>
  <si>
    <t>月</t>
  </si>
  <si>
    <t>PC50(Excelあり)</t>
  </si>
  <si>
    <t>PC51(Excelあり)</t>
  </si>
  <si>
    <t>PC52(Excelあり)</t>
  </si>
  <si>
    <t>PC53(Excelあり)</t>
  </si>
  <si>
    <t>PC54(Excelあり)</t>
  </si>
  <si>
    <t>PC55(Excelあり)</t>
  </si>
  <si>
    <t>PC56(Excelあり)</t>
  </si>
  <si>
    <t>PC57(Excelあり)</t>
  </si>
  <si>
    <t>PC58(Excelあり)</t>
  </si>
  <si>
    <t>PC59(Excelあり)</t>
  </si>
  <si>
    <t>PC60(Excelあり)</t>
  </si>
  <si>
    <t>PC61(Excelあり)</t>
  </si>
  <si>
    <t>PC62(Excelあり)</t>
  </si>
  <si>
    <t>5月</t>
  </si>
  <si>
    <t>PC20(Excelあり)</t>
    <phoneticPr fontId="10"/>
  </si>
  <si>
    <t>6月</t>
  </si>
  <si>
    <t>c</t>
  </si>
  <si>
    <t>7月</t>
  </si>
  <si>
    <t>8月</t>
    <rPh sb="1" eb="2">
      <t>ガツ</t>
    </rPh>
    <phoneticPr fontId="10"/>
  </si>
  <si>
    <t>金</t>
    <rPh sb="0" eb="1">
      <t>カネ</t>
    </rPh>
    <phoneticPr fontId="10"/>
  </si>
  <si>
    <t>9月</t>
    <rPh sb="1" eb="2">
      <t>ガツ</t>
    </rPh>
    <phoneticPr fontId="10"/>
  </si>
  <si>
    <t>月</t>
    <rPh sb="0" eb="1">
      <t>ゲツ</t>
    </rPh>
    <phoneticPr fontId="10"/>
  </si>
  <si>
    <t>10月</t>
  </si>
  <si>
    <t>31</t>
    <phoneticPr fontId="10"/>
  </si>
  <si>
    <t>t</t>
    <phoneticPr fontId="10"/>
  </si>
  <si>
    <t>11月</t>
  </si>
  <si>
    <t>コピー元</t>
  </si>
  <si>
    <t>備品名</t>
    <rPh sb="0" eb="3">
      <t>ビヒンメイ</t>
    </rPh>
    <phoneticPr fontId="10"/>
  </si>
  <si>
    <t>PC21(Excelあり)</t>
    <phoneticPr fontId="10"/>
  </si>
  <si>
    <t>PC22(Excelあり)</t>
    <phoneticPr fontId="10"/>
  </si>
  <si>
    <t>PC23(Excelあり)</t>
    <phoneticPr fontId="10"/>
  </si>
  <si>
    <t>PC24(Excelあり)</t>
    <phoneticPr fontId="10"/>
  </si>
  <si>
    <t>PC25(Excelあり)</t>
    <phoneticPr fontId="10"/>
  </si>
  <si>
    <t>PC26(Excelあり)</t>
    <phoneticPr fontId="10"/>
  </si>
  <si>
    <t>PC27(Excelあり)</t>
    <phoneticPr fontId="10"/>
  </si>
  <si>
    <t>PC28(Excelあり)</t>
    <phoneticPr fontId="10"/>
  </si>
  <si>
    <t>PC29(Excelあり)</t>
    <phoneticPr fontId="10"/>
  </si>
  <si>
    <t>PC30(Excelあり)</t>
    <phoneticPr fontId="10"/>
  </si>
  <si>
    <t>PC31(Excelあり)</t>
    <phoneticPr fontId="10"/>
  </si>
  <si>
    <t>PC50(Excelあり)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</si>
</sst>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;0;"/>
    <numFmt numFmtId="177" formatCode="0_ "/>
  </numFmts>
  <fonts count="19" x14ac:knownFonts="1">
    <font>
      <sz val="11"/>
      <color theme="0"/>
      <name val="Meiryo UI"/>
      <family val="3"/>
      <charset val="128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Meiryo UI"/>
      <family val="3"/>
      <charset val="128"/>
    </font>
    <font>
      <sz val="11"/>
      <color theme="4" tint="-0.499984740745262"/>
      <name val="Meiryo UI"/>
      <family val="3"/>
      <charset val="128"/>
    </font>
    <font>
      <b/>
      <sz val="26"/>
      <color theme="3"/>
      <name val="Meiryo UI"/>
      <family val="3"/>
      <charset val="128"/>
    </font>
    <font>
      <b/>
      <sz val="18"/>
      <color theme="3"/>
      <name val="Meiryo UI"/>
      <family val="3"/>
      <charset val="128"/>
    </font>
    <font>
      <b/>
      <sz val="18"/>
      <color theme="4" tint="9.9948118533890809E-2"/>
      <name val="Meiryo UI"/>
      <family val="3"/>
      <charset val="128"/>
    </font>
    <font>
      <sz val="6"/>
      <name val="Meiryo UI"/>
      <family val="3"/>
      <charset val="128"/>
    </font>
    <font>
      <sz val="11"/>
      <color rgb="FF000000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8"/>
      <color theme="4" tint="-0.24994659260841701"/>
      <name val="Meiryo UI"/>
      <family val="3"/>
      <charset val="128"/>
    </font>
    <font>
      <b/>
      <sz val="26"/>
      <color theme="3" tint="-0.24994659260841701"/>
      <name val="Meiryo UI"/>
      <family val="3"/>
      <charset val="128"/>
    </font>
    <font>
      <b/>
      <sz val="36"/>
      <color theme="6" tint="0.39997558519241921"/>
      <name val="Meiryo UI"/>
      <family val="3"/>
      <charset val="128"/>
    </font>
    <font>
      <b/>
      <sz val="11"/>
      <color rgb="FF000000"/>
      <name val="Meiryo UI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55B37C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8">
    <xf numFmtId="0" fontId="0" fillId="0" borderId="0">
      <alignment horizontal="left" vertical="center"/>
    </xf>
    <xf numFmtId="0" fontId="7" fillId="0" borderId="0" applyNumberFormat="0" applyFill="0" applyBorder="0" applyProtection="0">
      <alignment vertical="top"/>
    </xf>
    <xf numFmtId="0" fontId="16" fillId="0" borderId="0" applyNumberFormat="0" applyFill="0" applyBorder="0" applyProtection="0">
      <alignment vertical="top"/>
    </xf>
    <xf numFmtId="0" fontId="15" fillId="2" borderId="0" applyNumberFormat="0" applyBorder="0" applyProtection="0">
      <alignment horizontal="center" vertical="center"/>
    </xf>
    <xf numFmtId="0" fontId="12" fillId="20" borderId="0" applyNumberFormat="0" applyProtection="0">
      <alignment horizontal="right" vertical="center" indent="1"/>
    </xf>
    <xf numFmtId="0" fontId="13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1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1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12" fillId="10" borderId="0" applyNumberFormat="0" applyBorder="0" applyAlignment="0" applyProtection="0"/>
    <xf numFmtId="0" fontId="3" fillId="11" borderId="0" applyNumberFormat="0" applyBorder="0" applyAlignment="0" applyProtection="0"/>
    <xf numFmtId="0" fontId="13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177" fontId="13" fillId="0" borderId="0" applyFill="0" applyBorder="0" applyProtection="0">
      <alignment horizontal="center" vertical="center"/>
    </xf>
    <xf numFmtId="0" fontId="13" fillId="0" borderId="0" applyNumberFormat="0" applyFill="0" applyBorder="0">
      <alignment horizontal="left" vertical="center" wrapText="1" indent="2"/>
    </xf>
    <xf numFmtId="0" fontId="6" fillId="0" borderId="0">
      <alignment horizontal="center"/>
    </xf>
  </cellStyleXfs>
  <cellXfs count="38">
    <xf numFmtId="0" fontId="0" fillId="0" borderId="0" xfId="0">
      <alignment horizontal="left" vertical="center"/>
    </xf>
    <xf numFmtId="0" fontId="8" fillId="0" borderId="0" xfId="1" applyFont="1" applyAlignment="1" applyProtection="1">
      <alignment horizontal="left" indent="1"/>
    </xf>
    <xf numFmtId="0" fontId="9" fillId="0" borderId="0" xfId="1" applyFont="1" applyAlignment="1" applyProtection="1">
      <alignment horizontal="left" indent="1"/>
    </xf>
    <xf numFmtId="0" fontId="0" fillId="0" borderId="0" xfId="0" applyAlignment="1">
      <alignment horizontal="left" wrapText="1" indent="1"/>
    </xf>
    <xf numFmtId="0" fontId="0" fillId="0" borderId="0" xfId="0" applyAlignment="1">
      <alignment horizontal="left" indent="1"/>
    </xf>
    <xf numFmtId="0" fontId="11" fillId="0" borderId="0" xfId="0" applyFont="1" applyAlignment="1"/>
    <xf numFmtId="0" fontId="7" fillId="0" borderId="2" xfId="1" applyBorder="1" applyAlignment="1" applyProtection="1">
      <alignment vertical="center"/>
    </xf>
    <xf numFmtId="0" fontId="0" fillId="0" borderId="2" xfId="0" applyBorder="1">
      <alignment horizontal="left" vertical="center"/>
    </xf>
    <xf numFmtId="0" fontId="12" fillId="0" borderId="0" xfId="4" applyFill="1" applyAlignment="1" applyProtection="1">
      <alignment horizontal="left" vertical="center" indent="1"/>
    </xf>
    <xf numFmtId="0" fontId="5" fillId="15" borderId="0" xfId="12" applyFont="1" applyAlignment="1" applyProtection="1">
      <alignment horizontal="center" vertical="center"/>
    </xf>
    <xf numFmtId="0" fontId="5" fillId="10" borderId="0" xfId="19" applyFont="1" applyAlignment="1" applyProtection="1">
      <alignment horizontal="center" vertical="center"/>
    </xf>
    <xf numFmtId="0" fontId="5" fillId="13" borderId="0" xfId="23" applyFont="1" applyAlignment="1" applyProtection="1">
      <alignment horizontal="center" vertical="center"/>
    </xf>
    <xf numFmtId="176" fontId="14" fillId="9" borderId="0" xfId="8" applyNumberFormat="1" applyFont="1" applyAlignment="1" applyProtection="1">
      <alignment horizontal="center" vertical="center"/>
    </xf>
    <xf numFmtId="176" fontId="14" fillId="3" borderId="0" xfId="24" applyNumberFormat="1" applyFont="1" applyFill="1" applyAlignment="1" applyProtection="1">
      <alignment horizontal="center" vertical="center"/>
    </xf>
    <xf numFmtId="0" fontId="0" fillId="0" borderId="1" xfId="0" applyBorder="1">
      <alignment horizontal="left" vertical="center"/>
    </xf>
    <xf numFmtId="0" fontId="15" fillId="0" borderId="0" xfId="3" applyFill="1" applyProtection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21" applyFill="1" applyBorder="1" applyAlignment="1" applyProtection="1">
      <alignment horizontal="left" vertical="center" indent="1"/>
    </xf>
    <xf numFmtId="0" fontId="0" fillId="0" borderId="0" xfId="0" applyAlignment="1">
      <alignment horizontal="center" vertical="center"/>
    </xf>
    <xf numFmtId="0" fontId="13" fillId="21" borderId="0" xfId="21" applyFill="1" applyBorder="1" applyAlignment="1" applyProtection="1">
      <alignment horizontal="center" vertical="center"/>
    </xf>
    <xf numFmtId="0" fontId="13" fillId="0" borderId="0" xfId="26" applyFill="1" applyBorder="1">
      <alignment horizontal="left" vertical="center" wrapText="1" indent="2"/>
    </xf>
    <xf numFmtId="0" fontId="0" fillId="0" borderId="0" xfId="0" applyAlignment="1">
      <alignment horizontal="left" vertical="center" indent="1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left" indent="1"/>
    </xf>
    <xf numFmtId="0" fontId="0" fillId="0" borderId="4" xfId="0" applyBorder="1">
      <alignment horizontal="left" vertical="center"/>
    </xf>
    <xf numFmtId="0" fontId="6" fillId="0" borderId="4" xfId="27" applyBorder="1">
      <alignment horizontal="center"/>
    </xf>
    <xf numFmtId="177" fontId="13" fillId="0" borderId="0" xfId="25" applyFill="1" applyBorder="1" applyProtection="1">
      <alignment horizontal="center" vertical="center"/>
    </xf>
    <xf numFmtId="0" fontId="17" fillId="0" borderId="0" xfId="3" applyFont="1" applyFill="1" applyAlignment="1" applyProtection="1">
      <alignment horizontal="left" vertical="top"/>
    </xf>
    <xf numFmtId="0" fontId="17" fillId="0" borderId="0" xfId="3" applyFont="1" applyFill="1" applyAlignment="1" applyProtection="1">
      <alignment vertical="top"/>
    </xf>
    <xf numFmtId="0" fontId="0" fillId="22" borderId="0" xfId="0" applyFill="1" applyAlignment="1">
      <alignment horizontal="center" vertical="center"/>
    </xf>
    <xf numFmtId="0" fontId="13" fillId="0" borderId="0" xfId="26" applyNumberFormat="1" applyFill="1" applyBorder="1">
      <alignment horizontal="left" vertical="center" wrapText="1" indent="2"/>
    </xf>
    <xf numFmtId="0" fontId="13" fillId="0" borderId="0" xfId="26">
      <alignment horizontal="left" vertical="center" wrapText="1" indent="2"/>
    </xf>
    <xf numFmtId="0" fontId="18" fillId="23" borderId="0" xfId="0" applyFont="1" applyFill="1" applyAlignment="1">
      <alignment horizontal="center" vertical="center"/>
    </xf>
    <xf numFmtId="0" fontId="5" fillId="10" borderId="0" xfId="19" applyFont="1" applyAlignment="1">
      <alignment horizontal="center" vertical="center"/>
    </xf>
    <xf numFmtId="0" fontId="5" fillId="0" borderId="0" xfId="19" applyFont="1" applyFill="1" applyAlignment="1" applyProtection="1">
      <alignment horizontal="center" vertical="center"/>
    </xf>
    <xf numFmtId="0" fontId="15" fillId="0" borderId="0" xfId="3" applyFill="1" applyAlignment="1" applyProtection="1">
      <alignment horizontal="left" vertical="center"/>
    </xf>
    <xf numFmtId="0" fontId="13" fillId="0" borderId="0" xfId="21" applyFill="1" applyAlignment="1" applyProtection="1">
      <alignment horizontal="left" vertical="center" indent="1"/>
    </xf>
  </cellXfs>
  <cellStyles count="28">
    <cellStyle name="20% - アクセント 1" xfId="15" builtinId="30" customBuiltin="1"/>
    <cellStyle name="20% - アクセント 3" xfId="21" builtinId="38" customBuiltin="1"/>
    <cellStyle name="20% - アクセント 4" xfId="7" builtinId="42" customBuiltin="1"/>
    <cellStyle name="20% - アクセント 6" xfId="11" builtinId="50" customBuiltin="1"/>
    <cellStyle name="40% - アクセント 1" xfId="16" builtinId="31" customBuiltin="1"/>
    <cellStyle name="40% - アクセント 2" xfId="19" builtinId="35" customBuiltin="1"/>
    <cellStyle name="40% - アクセント 3" xfId="22" builtinId="39" customBuiltin="1"/>
    <cellStyle name="40% - アクセント 4" xfId="8" builtinId="43" customBuiltin="1"/>
    <cellStyle name="40% - アクセント 5" xfId="24" builtinId="47" customBuiltin="1"/>
    <cellStyle name="40% - アクセント 6" xfId="12" builtinId="51" customBuiltin="1"/>
    <cellStyle name="60% - アクセント 1" xfId="17" builtinId="32" customBuiltin="1"/>
    <cellStyle name="60% - アクセント 3" xfId="23" builtinId="40" customBuiltin="1"/>
    <cellStyle name="60% - アクセント 4" xfId="9" builtinId="44" customBuiltin="1"/>
    <cellStyle name="60% - アクセント 6" xfId="13" builtinId="52" customBuiltin="1"/>
    <cellStyle name="アクセント 1" xfId="14" builtinId="29" customBuiltin="1"/>
    <cellStyle name="アクセント 2" xfId="18" builtinId="33" customBuiltin="1"/>
    <cellStyle name="アクセント 3" xfId="20" builtinId="37" customBuiltin="1"/>
    <cellStyle name="アクセント 4" xfId="6" builtinId="41" customBuiltin="1"/>
    <cellStyle name="アクセント 6" xfId="10" builtinId="49" customBuiltin="1"/>
    <cellStyle name="タイトル" xfId="1" builtinId="15" customBuiltin="1"/>
    <cellStyle name="ラベル" xfId="27" xr:uid="{00000000-0005-0000-0000-000018000000}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25" builtinId="25" customBuiltin="1"/>
    <cellStyle name="従業員" xfId="26" xr:uid="{00000000-0005-0000-0000-000013000000}"/>
    <cellStyle name="標準" xfId="0" builtinId="0" customBuiltin="1"/>
  </cellStyles>
  <dxfs count="2131"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3"/>
      </font>
      <border>
        <vertical/>
        <horizontal/>
      </border>
    </dxf>
    <dxf>
      <font>
        <color theme="0"/>
      </font>
      <border>
        <vertical/>
        <horizontal/>
      </border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177" formatCode="0_ 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177" formatCode="0_ 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177" formatCode="0_ 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177" formatCode="0_ 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177" formatCode="0_ 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177" formatCode="0_ 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177" formatCode="0_ 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177" formatCode="0_ 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177" formatCode="0_ 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177" formatCode="0_ 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177" formatCode="0_ 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auto="1"/>
        <name val="Meiryo UI"/>
        <family val="3"/>
        <charset val="128"/>
        <scheme val="minor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Meiryo UI"/>
        <family val="3"/>
        <charset val="128"/>
        <scheme val="minor"/>
      </font>
      <protection locked="1" hidden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177" formatCode="0_ 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color auto="1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177" formatCode="0_ "/>
      <fill>
        <patternFill patternType="none">
          <fgColor indexed="64"/>
          <bgColor indexed="65"/>
        </patternFill>
      </fill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177" formatCode="0_ 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177" formatCode="0_ 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177" formatCode="0_ 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color auto="1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177" formatCode="0_ 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color auto="1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177" formatCode="0_ 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177" formatCode="0_ 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177" formatCode="0_ 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alignment horizontal="center" vertical="center" textRotation="0" wrapText="0" indent="0" justifyLastLine="0" shrinkToFit="0" readingOrder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177" formatCode="0_ "/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numFmt numFmtId="176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ont>
        <strike val="0"/>
        <outline val="0"/>
        <shadow val="0"/>
        <u val="none"/>
        <vertAlign val="baseline"/>
        <name val="Meiryo UI"/>
        <family val="3"/>
        <charset val="128"/>
      </font>
      <protection locked="1" hidden="0"/>
    </dxf>
    <dxf>
      <fill>
        <patternFill patternType="solid">
          <bgColor theme="5" tint="0.39994506668294322"/>
        </patternFill>
      </fill>
      <border diagonalUp="0" diagonalDown="0">
        <left/>
        <right/>
        <top style="thin">
          <color theme="5" tint="0.59996337778862885"/>
        </top>
        <bottom style="thick">
          <color theme="5"/>
        </bottom>
        <vertical style="thick">
          <color theme="0"/>
        </vertical>
        <horizontal style="thin">
          <color theme="5" tint="0.59996337778862885"/>
        </horizontal>
      </border>
    </dxf>
    <dxf>
      <font>
        <color theme="1"/>
      </font>
      <fill>
        <patternFill patternType="solid">
          <bgColor theme="5" tint="0.39994506668294322"/>
        </patternFill>
      </fill>
      <border diagonalUp="0" diagonalDown="0">
        <left/>
        <right/>
        <top style="thin">
          <color theme="5" tint="0.59996337778862885"/>
        </top>
        <bottom style="thick">
          <color theme="5"/>
        </bottom>
        <vertical style="thick">
          <color theme="0"/>
        </vertical>
        <horizontal style="thin">
          <color theme="5" tint="0.59996337778862885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top style="thick">
          <color theme="5" tint="0.59996337778862885"/>
        </top>
        <bottom style="thick">
          <color theme="5" tint="0.59996337778862885"/>
        </bottom>
        <vertical style="thin">
          <color theme="0"/>
        </vertical>
        <horizontal style="thick">
          <color theme="5" tint="0.59996337778862885"/>
        </horizontal>
      </border>
    </dxf>
    <dxf>
      <fill>
        <patternFill>
          <bgColor theme="5" tint="0.79998168889431442"/>
        </patternFill>
      </fill>
      <border>
        <top style="thick">
          <color theme="0"/>
        </top>
        <bottom style="thick">
          <color theme="0"/>
        </bottom>
        <horizontal style="thick">
          <color theme="0"/>
        </horizontal>
      </border>
    </dxf>
    <dxf>
      <fill>
        <patternFill patternType="none">
          <fgColor auto="1"/>
          <bgColor auto="1"/>
        </patternFill>
      </fill>
      <border>
        <top style="thick">
          <color theme="0"/>
        </top>
        <bottom style="thick">
          <color theme="0"/>
        </bottom>
        <horizontal style="thick">
          <color theme="0"/>
        </horizontal>
      </border>
    </dxf>
    <dxf>
      <font>
        <b/>
        <i val="0"/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5" tint="0.59996337778862885"/>
        </top>
        <bottom style="thin">
          <color theme="5" tint="0.59996337778862885"/>
        </bottom>
        <vertical/>
        <horizontal style="thin">
          <color theme="5" tint="0.59996337778862885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5" tint="0.59996337778862885"/>
        </top>
        <bottom style="thin">
          <color theme="5" tint="0.59996337778862885"/>
        </bottom>
        <vertical/>
        <horizontal style="thin">
          <color theme="5" tint="0.59996337778862885"/>
        </horizontal>
      </border>
    </dxf>
    <dxf>
      <font>
        <color theme="1"/>
      </font>
      <fill>
        <patternFill>
          <bgColor theme="5" tint="0.39994506668294322"/>
        </patternFill>
      </fill>
      <border diagonalUp="0" diagonalDown="0">
        <left style="thin">
          <color theme="0"/>
        </left>
        <right style="thin">
          <color theme="0"/>
        </right>
        <top style="thick">
          <color theme="0"/>
        </top>
        <bottom style="thick">
          <color theme="5"/>
        </bottom>
        <vertical style="thick">
          <color theme="0"/>
        </vertical>
        <horizontal/>
      </border>
    </dxf>
    <dxf>
      <font>
        <color theme="0"/>
      </font>
      <fill>
        <patternFill>
          <bgColor theme="5" tint="-0.24994659260841701"/>
        </patternFill>
      </fill>
      <border>
        <top style="thin">
          <color theme="5" tint="0.59996337778862885"/>
        </top>
        <bottom style="thin">
          <color theme="5" tint="0.59996337778862885"/>
        </bottom>
        <horizontal style="thin">
          <color theme="5" tint="0.59996337778862885"/>
        </horizontal>
      </border>
    </dxf>
    <dxf>
      <font>
        <b/>
        <i val="0"/>
        <color theme="0"/>
      </font>
      <border diagonalUp="0" diagonalDown="0">
        <left/>
        <right/>
        <top/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ill>
        <patternFill patternType="solid">
          <fgColor theme="5" tint="0.39994506668294322"/>
          <bgColor theme="5" tint="0.39991454817346722"/>
        </patternFill>
      </fill>
      <border diagonalUp="0" diagonalDown="0">
        <left/>
        <right/>
        <top style="thin">
          <color theme="5" tint="0.59996337778862885"/>
        </top>
        <bottom style="thick">
          <color theme="5"/>
        </bottom>
        <vertical style="thick">
          <color theme="0"/>
        </vertical>
        <horizontal style="thin">
          <color theme="5" tint="0.59996337778862885"/>
        </horizontal>
      </border>
    </dxf>
    <dxf>
      <font>
        <color theme="1"/>
      </font>
      <fill>
        <patternFill patternType="solid">
          <fgColor theme="5" tint="0.39994506668294322"/>
          <bgColor theme="5" tint="0.39991454817346722"/>
        </patternFill>
      </fill>
      <border diagonalUp="0" diagonalDown="0">
        <left/>
        <right/>
        <top style="thin">
          <color theme="5" tint="0.59996337778862885"/>
        </top>
        <bottom style="thick">
          <color theme="5"/>
        </bottom>
        <vertical style="thick">
          <color theme="0"/>
        </vertical>
        <horizontal style="thin">
          <color theme="5" tint="0.59996337778862885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5" tint="0.59996337778862885"/>
        </top>
        <bottom style="thin">
          <color theme="5" tint="0.59996337778862885"/>
        </bottom>
        <vertical/>
        <horizontal style="thin">
          <color theme="5" tint="0.59996337778862885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5" tint="0.59996337778862885"/>
        </top>
        <bottom style="thin">
          <color theme="5" tint="0.59996337778862885"/>
        </bottom>
        <vertical/>
        <horizontal style="thin">
          <color theme="5" tint="0.59996337778862885"/>
        </horizontal>
      </border>
    </dxf>
    <dxf>
      <fill>
        <patternFill>
          <bgColor theme="5" tint="0.79998168889431442"/>
        </patternFill>
      </fill>
      <border>
        <top style="thick">
          <color theme="0"/>
        </top>
        <bottom style="thick">
          <color theme="0"/>
        </bottom>
        <horizontal style="thick">
          <color theme="0"/>
        </horizontal>
      </border>
    </dxf>
    <dxf>
      <fill>
        <patternFill patternType="none">
          <fgColor auto="1"/>
          <bgColor auto="1"/>
        </patternFill>
      </fill>
      <border>
        <top style="thick">
          <color theme="0"/>
        </top>
        <bottom style="thick">
          <color theme="0"/>
        </bottom>
        <horizontal style="thick">
          <color theme="0"/>
        </horizontal>
      </border>
    </dxf>
    <dxf>
      <font>
        <color auto="1"/>
      </font>
      <fill>
        <patternFill>
          <fgColor theme="5" tint="0.39994506668294322"/>
          <bgColor theme="5" tint="0.3999145481734672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5" tint="0.59996337778862885"/>
        </top>
        <bottom style="thick">
          <color theme="5"/>
        </bottom>
        <vertical style="thick">
          <color theme="0"/>
        </vertical>
        <horizontal style="thin">
          <color theme="5" tint="0.59996337778862885"/>
        </horizontal>
      </border>
    </dxf>
    <dxf>
      <font>
        <color theme="0"/>
      </font>
      <fill>
        <patternFill>
          <fgColor theme="5" tint="-0.24994659260841701"/>
          <bgColor theme="5" tint="-0.24994659260841701"/>
        </patternFill>
      </fill>
      <border>
        <top style="thin">
          <color theme="5" tint="0.59996337778862885"/>
        </top>
        <bottom style="thin">
          <color theme="5" tint="0.59996337778862885"/>
        </bottom>
        <horizontal style="thin">
          <color theme="5" tint="0.59996337778862885"/>
        </horizontal>
      </border>
    </dxf>
    <dxf>
      <font>
        <b/>
        <i val="0"/>
        <color auto="1"/>
      </font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ck">
          <color theme="0"/>
        </vertical>
        <horizontal style="thick">
          <color theme="0"/>
        </horizontal>
      </border>
    </dxf>
  </dxfs>
  <tableStyles count="2" defaultPivotStyle="PivotStyleLight16">
    <tableStyle name="従業員の欠勤テーブル" pivot="0" count="9" xr9:uid="{00000000-0011-0000-FFFF-FFFF00000000}">
      <tableStyleElement type="wholeTable" dxfId="2130"/>
      <tableStyleElement type="headerRow" dxfId="2129"/>
      <tableStyleElement type="totalRow" dxfId="2128"/>
      <tableStyleElement type="firstRowStripe" dxfId="2127"/>
      <tableStyleElement type="secondRowStripe" dxfId="2126"/>
      <tableStyleElement type="firstHeaderCell" dxfId="2125"/>
      <tableStyleElement type="lastHeaderCell" dxfId="2124"/>
      <tableStyleElement type="firstTotalCell" dxfId="2123"/>
      <tableStyleElement type="lastTotalCell" dxfId="2122"/>
    </tableStyle>
    <tableStyle name="従業員の欠勤テーブル 2" pivot="0" count="13" xr9:uid="{3374F2B5-EC6B-E245-A90B-F84953DFCF99}">
      <tableStyleElement type="wholeTable" dxfId="2121"/>
      <tableStyleElement type="headerRow" dxfId="2120"/>
      <tableStyleElement type="totalRow" dxfId="2119"/>
      <tableStyleElement type="firstColumn" dxfId="2118"/>
      <tableStyleElement type="lastColumn" dxfId="2117"/>
      <tableStyleElement type="firstRowStripe" dxfId="2116"/>
      <tableStyleElement type="secondRowStripe" dxfId="2115"/>
      <tableStyleElement type="firstColumnStripe" dxfId="2114"/>
      <tableStyleElement type="secondColumnStripe" dxfId="2113"/>
      <tableStyleElement type="firstHeaderCell" dxfId="2112"/>
      <tableStyleElement type="lastHeaderCell" dxfId="2111"/>
      <tableStyleElement type="firstTotalCell" dxfId="2110"/>
      <tableStyleElement type="lastTotalCell" dxfId="210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9</xdr:row>
      <xdr:rowOff>371475</xdr:rowOff>
    </xdr:from>
    <xdr:to>
      <xdr:col>15</xdr:col>
      <xdr:colOff>161925</xdr:colOff>
      <xdr:row>12</xdr:row>
      <xdr:rowOff>333375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C6EF6F8-350C-96E4-D050-FCD98360B2EA}"/>
            </a:ext>
          </a:extLst>
        </xdr:cNvPr>
        <xdr:cNvSpPr txBox="1"/>
      </xdr:nvSpPr>
      <xdr:spPr>
        <a:xfrm>
          <a:off x="7162800" y="3238500"/>
          <a:ext cx="77152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小牧操作体験会</a:t>
          </a:r>
        </a:p>
      </xdr:txBody>
    </xdr:sp>
    <xdr:clientData/>
  </xdr:twoCellAnchor>
  <xdr:twoCellAnchor>
    <xdr:from>
      <xdr:col>13</xdr:col>
      <xdr:colOff>228600</xdr:colOff>
      <xdr:row>22</xdr:row>
      <xdr:rowOff>180975</xdr:rowOff>
    </xdr:from>
    <xdr:to>
      <xdr:col>15</xdr:col>
      <xdr:colOff>180975</xdr:colOff>
      <xdr:row>25</xdr:row>
      <xdr:rowOff>142875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15B06F7-2B17-4B21-B9B3-8EAF9924E4BC}"/>
            </a:ext>
            <a:ext uri="{147F2762-F138-4A5C-976F-8EAC2B608ADB}">
              <a16:predDERef xmlns:a16="http://schemas.microsoft.com/office/drawing/2014/main" pred="{7C6EF6F8-350C-96E4-D050-FCD98360B2EA}"/>
            </a:ext>
          </a:extLst>
        </xdr:cNvPr>
        <xdr:cNvSpPr txBox="1"/>
      </xdr:nvSpPr>
      <xdr:spPr>
        <a:xfrm>
          <a:off x="7181850" y="8001000"/>
          <a:ext cx="77152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小牧操作体験会</a:t>
          </a:r>
        </a:p>
      </xdr:txBody>
    </xdr:sp>
    <xdr:clientData/>
  </xdr:twoCellAnchor>
  <xdr:twoCellAnchor>
    <xdr:from>
      <xdr:col>16</xdr:col>
      <xdr:colOff>371475</xdr:colOff>
      <xdr:row>13</xdr:row>
      <xdr:rowOff>123825</xdr:rowOff>
    </xdr:from>
    <xdr:to>
      <xdr:col>24</xdr:col>
      <xdr:colOff>123825</xdr:colOff>
      <xdr:row>14</xdr:row>
      <xdr:rowOff>266700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E07B15A-6132-4725-B119-A060408D9601}"/>
            </a:ext>
            <a:ext uri="{147F2762-F138-4A5C-976F-8EAC2B608ADB}">
              <a16:predDERef xmlns:a16="http://schemas.microsoft.com/office/drawing/2014/main" pred="{715B06F7-2B17-4B21-B9B3-8EAF9924E4BC}"/>
            </a:ext>
          </a:extLst>
        </xdr:cNvPr>
        <xdr:cNvSpPr txBox="1"/>
      </xdr:nvSpPr>
      <xdr:spPr>
        <a:xfrm>
          <a:off x="8553450" y="4514850"/>
          <a:ext cx="30289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太田営業所展示会出展</a:t>
          </a:r>
        </a:p>
      </xdr:txBody>
    </xdr:sp>
    <xdr:clientData/>
  </xdr:twoCellAnchor>
  <xdr:twoCellAnchor>
    <xdr:from>
      <xdr:col>16</xdr:col>
      <xdr:colOff>371475</xdr:colOff>
      <xdr:row>24</xdr:row>
      <xdr:rowOff>123825</xdr:rowOff>
    </xdr:from>
    <xdr:to>
      <xdr:col>24</xdr:col>
      <xdr:colOff>123825</xdr:colOff>
      <xdr:row>25</xdr:row>
      <xdr:rowOff>266700</xdr:rowOff>
    </xdr:to>
    <xdr:sp macro="" textlink="">
      <xdr:nvSpPr>
        <xdr:cNvPr id="5" name="テキスト ボックス 3">
          <a:extLst>
            <a:ext uri="{FF2B5EF4-FFF2-40B4-BE49-F238E27FC236}">
              <a16:creationId xmlns:a16="http://schemas.microsoft.com/office/drawing/2014/main" id="{9AA756F6-6E2B-400B-A400-C22D32DA8178}"/>
            </a:ext>
            <a:ext uri="{147F2762-F138-4A5C-976F-8EAC2B608ADB}">
              <a16:predDERef xmlns:a16="http://schemas.microsoft.com/office/drawing/2014/main" pred="{3E07B15A-6132-4725-B119-A060408D9601}"/>
            </a:ext>
          </a:extLst>
        </xdr:cNvPr>
        <xdr:cNvSpPr txBox="1"/>
      </xdr:nvSpPr>
      <xdr:spPr>
        <a:xfrm>
          <a:off x="8553450" y="4514850"/>
          <a:ext cx="30289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太田営業所展示会出展</a:t>
          </a:r>
        </a:p>
      </xdr:txBody>
    </xdr:sp>
    <xdr:clientData/>
  </xdr:twoCellAnchor>
  <xdr:twoCellAnchor>
    <xdr:from>
      <xdr:col>16</xdr:col>
      <xdr:colOff>152400</xdr:colOff>
      <xdr:row>19</xdr:row>
      <xdr:rowOff>133350</xdr:rowOff>
    </xdr:from>
    <xdr:to>
      <xdr:col>22</xdr:col>
      <xdr:colOff>66675</xdr:colOff>
      <xdr:row>22</xdr:row>
      <xdr:rowOff>152400</xdr:rowOff>
    </xdr:to>
    <xdr:sp macro="" textlink="">
      <xdr:nvSpPr>
        <xdr:cNvPr id="29" name="テキスト ボックス 6">
          <a:extLst>
            <a:ext uri="{FF2B5EF4-FFF2-40B4-BE49-F238E27FC236}">
              <a16:creationId xmlns:a16="http://schemas.microsoft.com/office/drawing/2014/main" id="{07C43CC9-EBC3-46AF-9975-DC095BA1E97E}"/>
            </a:ext>
            <a:ext uri="{147F2762-F138-4A5C-976F-8EAC2B608ADB}">
              <a16:predDERef xmlns:a16="http://schemas.microsoft.com/office/drawing/2014/main" pred="{9AA756F6-6E2B-400B-A400-C22D32DA8178}"/>
            </a:ext>
          </a:extLst>
        </xdr:cNvPr>
        <xdr:cNvSpPr txBox="1"/>
      </xdr:nvSpPr>
      <xdr:spPr>
        <a:xfrm>
          <a:off x="8334375" y="6810375"/>
          <a:ext cx="237172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富山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(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営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)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代理店向け勉強会</a:t>
          </a:r>
        </a:p>
      </xdr:txBody>
    </xdr:sp>
    <xdr:clientData/>
  </xdr:twoCellAnchor>
  <xdr:twoCellAnchor>
    <xdr:from>
      <xdr:col>16</xdr:col>
      <xdr:colOff>304800</xdr:colOff>
      <xdr:row>8</xdr:row>
      <xdr:rowOff>85725</xdr:rowOff>
    </xdr:from>
    <xdr:to>
      <xdr:col>22</xdr:col>
      <xdr:colOff>276225</xdr:colOff>
      <xdr:row>11</xdr:row>
      <xdr:rowOff>304800</xdr:rowOff>
    </xdr:to>
    <xdr:sp macro="" textlink="">
      <xdr:nvSpPr>
        <xdr:cNvPr id="11" name="テキスト ボックス 29">
          <a:extLst>
            <a:ext uri="{FF2B5EF4-FFF2-40B4-BE49-F238E27FC236}">
              <a16:creationId xmlns:a16="http://schemas.microsoft.com/office/drawing/2014/main" id="{51D38C1C-ADB9-4718-AD91-032F4CD34F44}"/>
            </a:ext>
            <a:ext uri="{147F2762-F138-4A5C-976F-8EAC2B608ADB}">
              <a16:predDERef xmlns:a16="http://schemas.microsoft.com/office/drawing/2014/main" pred="{07C43CC9-EBC3-46AF-9975-DC095BA1E97E}"/>
            </a:ext>
          </a:extLst>
        </xdr:cNvPr>
        <xdr:cNvSpPr txBox="1"/>
      </xdr:nvSpPr>
      <xdr:spPr>
        <a:xfrm>
          <a:off x="8496300" y="2571750"/>
          <a:ext cx="2428875" cy="1362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富山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(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営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)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代理店向け勉強会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8</xdr:row>
      <xdr:rowOff>171450</xdr:rowOff>
    </xdr:from>
    <xdr:to>
      <xdr:col>15</xdr:col>
      <xdr:colOff>266700</xdr:colOff>
      <xdr:row>18</xdr:row>
      <xdr:rowOff>85725</xdr:rowOff>
    </xdr:to>
    <xdr:sp macro="" textlink="">
      <xdr:nvSpPr>
        <xdr:cNvPr id="6" name="テキスト ボックス 1">
          <a:extLst>
            <a:ext uri="{FF2B5EF4-FFF2-40B4-BE49-F238E27FC236}">
              <a16:creationId xmlns:a16="http://schemas.microsoft.com/office/drawing/2014/main" id="{511D255C-190E-52CB-8AC8-609638A5ACE0}"/>
            </a:ext>
          </a:extLst>
        </xdr:cNvPr>
        <xdr:cNvSpPr txBox="1"/>
      </xdr:nvSpPr>
      <xdr:spPr>
        <a:xfrm>
          <a:off x="7143750" y="2657475"/>
          <a:ext cx="904875" cy="3724275"/>
        </a:xfrm>
        <a:prstGeom prst="rect">
          <a:avLst/>
        </a:prstGeom>
        <a:solidFill>
          <a:prstClr val="white"/>
        </a:solidFill>
        <a:ln>
          <a:solidFill>
            <a:prstClr val="black"/>
          </a:solidFill>
        </a:ln>
      </xdr:spPr>
      <xdr:txBody>
        <a:bodyPr vertOverflow="clip" horzOverflow="clip" vert="eaVert" wrap="square" rtlCol="0"/>
        <a:lstStyle/>
        <a:p>
          <a:pPr algn="l"/>
          <a:r>
            <a:rPr lang="ja-JP" altLang="en-US"/>
            <a:t>代理店新</a:t>
          </a:r>
          <a:r>
            <a:rPr lang="en-US" altLang="ja-JP"/>
            <a:t>SE</a:t>
          </a:r>
          <a:r>
            <a:rPr lang="ja-JP" altLang="en-US"/>
            <a:t>勉強会</a:t>
          </a:r>
        </a:p>
      </xdr:txBody>
    </xdr:sp>
    <xdr:clientData/>
  </xdr:twoCellAnchor>
  <xdr:twoCellAnchor>
    <xdr:from>
      <xdr:col>4</xdr:col>
      <xdr:colOff>38100</xdr:colOff>
      <xdr:row>19</xdr:row>
      <xdr:rowOff>167641</xdr:rowOff>
    </xdr:from>
    <xdr:to>
      <xdr:col>4</xdr:col>
      <xdr:colOff>384810</xdr:colOff>
      <xdr:row>29</xdr:row>
      <xdr:rowOff>137161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F8C8412-CE4D-48E4-825A-78C83AFA5D0B}"/>
            </a:ext>
            <a:ext uri="{147F2762-F138-4A5C-976F-8EAC2B608ADB}">
              <a16:predDERef xmlns:a16="http://schemas.microsoft.com/office/drawing/2014/main" pred="{84D21F18-EC44-4FD9-B559-E90DACD3C9F5}"/>
            </a:ext>
          </a:extLst>
        </xdr:cNvPr>
        <xdr:cNvSpPr txBox="1"/>
      </xdr:nvSpPr>
      <xdr:spPr>
        <a:xfrm>
          <a:off x="3253740" y="6858001"/>
          <a:ext cx="346710" cy="3779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滋賀営業所体験会</a:t>
          </a:r>
          <a:endParaRPr lang="en-US" altLang="ja-JP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RT</a:t>
          </a:r>
          <a:endParaRPr lang="ja-JP" alt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21</xdr:col>
      <xdr:colOff>391159</xdr:colOff>
      <xdr:row>10</xdr:row>
      <xdr:rowOff>228598</xdr:rowOff>
    </xdr:from>
    <xdr:to>
      <xdr:col>23</xdr:col>
      <xdr:colOff>39792</xdr:colOff>
      <xdr:row>17</xdr:row>
      <xdr:rowOff>53339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E40623D-34C1-4E4B-AA82-49FB07777F1F}"/>
            </a:ext>
          </a:extLst>
        </xdr:cNvPr>
        <xdr:cNvSpPr txBox="1"/>
      </xdr:nvSpPr>
      <xdr:spPr>
        <a:xfrm>
          <a:off x="10472419" y="3489958"/>
          <a:ext cx="456353" cy="2491741"/>
        </a:xfrm>
        <a:prstGeom prst="rect">
          <a:avLst/>
        </a:prstGeom>
        <a:solidFill>
          <a:prstClr val="white"/>
        </a:solidFill>
        <a:ln>
          <a:solidFill>
            <a:prstClr val="black"/>
          </a:solidFill>
        </a:ln>
      </xdr:spPr>
      <xdr:txBody>
        <a:bodyPr vertOverflow="clip" horzOverflow="clip" vert="eaVert" wrap="square" rtlCol="0"/>
        <a:lstStyle/>
        <a:p>
          <a:pPr algn="l"/>
          <a:r>
            <a:rPr lang="ja-JP" altLang="en-US"/>
            <a:t>ジャンボびっくり見本市おひろめ</a:t>
          </a:r>
        </a:p>
      </xdr:txBody>
    </xdr:sp>
    <xdr:clientData/>
  </xdr:twoCellAnchor>
  <xdr:twoCellAnchor>
    <xdr:from>
      <xdr:col>18</xdr:col>
      <xdr:colOff>175259</xdr:colOff>
      <xdr:row>9</xdr:row>
      <xdr:rowOff>177165</xdr:rowOff>
    </xdr:from>
    <xdr:to>
      <xdr:col>19</xdr:col>
      <xdr:colOff>268604</xdr:colOff>
      <xdr:row>51</xdr:row>
      <xdr:rowOff>304800</xdr:rowOff>
    </xdr:to>
    <xdr:sp macro="" textlink="">
      <xdr:nvSpPr>
        <xdr:cNvPr id="9" name="テキスト ボックス 4">
          <a:extLst>
            <a:ext uri="{FF2B5EF4-FFF2-40B4-BE49-F238E27FC236}">
              <a16:creationId xmlns:a16="http://schemas.microsoft.com/office/drawing/2014/main" id="{22A33851-ABE4-48A3-897B-60E14C134984}"/>
            </a:ext>
          </a:extLst>
        </xdr:cNvPr>
        <xdr:cNvSpPr txBox="1"/>
      </xdr:nvSpPr>
      <xdr:spPr>
        <a:xfrm>
          <a:off x="9044939" y="3057525"/>
          <a:ext cx="497205" cy="16129635"/>
        </a:xfrm>
        <a:prstGeom prst="rect">
          <a:avLst/>
        </a:prstGeom>
        <a:solidFill>
          <a:prstClr val="white"/>
        </a:solidFill>
        <a:ln>
          <a:solidFill>
            <a:prstClr val="black"/>
          </a:solidFill>
        </a:ln>
      </xdr:spPr>
      <xdr:txBody>
        <a:bodyPr vertOverflow="clip" horzOverflow="clip" vert="eaVert" wrap="square" rtlCol="0"/>
        <a:lstStyle/>
        <a:p>
          <a:pPr algn="l"/>
          <a:r>
            <a:rPr lang="ja-JP" altLang="en-US"/>
            <a:t>名古屋営業部代理店共創体験会</a:t>
          </a:r>
        </a:p>
      </xdr:txBody>
    </xdr:sp>
    <xdr:clientData/>
  </xdr:twoCellAnchor>
  <xdr:twoCellAnchor>
    <xdr:from>
      <xdr:col>5</xdr:col>
      <xdr:colOff>38100</xdr:colOff>
      <xdr:row>19</xdr:row>
      <xdr:rowOff>57150</xdr:rowOff>
    </xdr:from>
    <xdr:to>
      <xdr:col>5</xdr:col>
      <xdr:colOff>381000</xdr:colOff>
      <xdr:row>21</xdr:row>
      <xdr:rowOff>161925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5F7F95D-D694-452A-BCC6-4FB82D213DEC}"/>
            </a:ext>
            <a:ext uri="{147F2762-F138-4A5C-976F-8EAC2B608ADB}">
              <a16:predDERef xmlns:a16="http://schemas.microsoft.com/office/drawing/2014/main" pred="{22A33851-ABE4-48A3-897B-60E14C134984}"/>
            </a:ext>
          </a:extLst>
        </xdr:cNvPr>
        <xdr:cNvSpPr txBox="1"/>
      </xdr:nvSpPr>
      <xdr:spPr>
        <a:xfrm>
          <a:off x="3724275" y="6734175"/>
          <a:ext cx="342900" cy="866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テスト</a:t>
          </a:r>
        </a:p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繁﨑</a:t>
          </a:r>
        </a:p>
      </xdr:txBody>
    </xdr:sp>
    <xdr:clientData/>
  </xdr:twoCellAnchor>
  <xdr:twoCellAnchor>
    <xdr:from>
      <xdr:col>13</xdr:col>
      <xdr:colOff>171450</xdr:colOff>
      <xdr:row>30</xdr:row>
      <xdr:rowOff>152400</xdr:rowOff>
    </xdr:from>
    <xdr:to>
      <xdr:col>15</xdr:col>
      <xdr:colOff>257175</xdr:colOff>
      <xdr:row>39</xdr:row>
      <xdr:rowOff>238125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A46D6D4B-8A2A-4D27-9DD3-7352A9E79FCE}"/>
            </a:ext>
            <a:ext uri="{147F2762-F138-4A5C-976F-8EAC2B608ADB}">
              <a16:predDERef xmlns:a16="http://schemas.microsoft.com/office/drawing/2014/main" pred="{45F7F95D-D694-452A-BCC6-4FB82D213DEC}"/>
            </a:ext>
          </a:extLst>
        </xdr:cNvPr>
        <xdr:cNvSpPr txBox="1"/>
      </xdr:nvSpPr>
      <xdr:spPr>
        <a:xfrm>
          <a:off x="7134225" y="11020425"/>
          <a:ext cx="904875" cy="3514725"/>
        </a:xfrm>
        <a:prstGeom prst="rect">
          <a:avLst/>
        </a:prstGeom>
        <a:solidFill>
          <a:prstClr val="white"/>
        </a:solidFill>
        <a:ln>
          <a:solidFill>
            <a:prstClr val="black"/>
          </a:solidFill>
        </a:ln>
      </xdr:spPr>
      <xdr:txBody>
        <a:bodyPr vert="eaVert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/>
            <a:t>代理店新</a:t>
          </a:r>
          <a:r>
            <a:rPr lang="en-US" altLang="ja-JP"/>
            <a:t>SE</a:t>
          </a:r>
          <a:r>
            <a:rPr lang="ja-JP" altLang="en-US"/>
            <a:t>勉強会</a:t>
          </a:r>
        </a:p>
      </xdr:txBody>
    </xdr:sp>
    <xdr:clientData/>
  </xdr:twoCellAnchor>
  <xdr:twoCellAnchor>
    <xdr:from>
      <xdr:col>28</xdr:col>
      <xdr:colOff>133350</xdr:colOff>
      <xdr:row>8</xdr:row>
      <xdr:rowOff>95250</xdr:rowOff>
    </xdr:from>
    <xdr:to>
      <xdr:col>32</xdr:col>
      <xdr:colOff>190500</xdr:colOff>
      <xdr:row>8</xdr:row>
      <xdr:rowOff>285750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8E3E4AD-05A5-4F59-EEA5-9D4C5ED1545C}"/>
            </a:ext>
            <a:ext uri="{147F2762-F138-4A5C-976F-8EAC2B608ADB}">
              <a16:predDERef xmlns:a16="http://schemas.microsoft.com/office/drawing/2014/main" pred="{A46D6D4B-8A2A-4D27-9DD3-7352A9E79FCE}"/>
            </a:ext>
          </a:extLst>
        </xdr:cNvPr>
        <xdr:cNvSpPr txBox="1"/>
      </xdr:nvSpPr>
      <xdr:spPr>
        <a:xfrm>
          <a:off x="13239750" y="2581275"/>
          <a:ext cx="169545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豊田自動織機 展示会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8</xdr:row>
      <xdr:rowOff>47625</xdr:rowOff>
    </xdr:from>
    <xdr:to>
      <xdr:col>30</xdr:col>
      <xdr:colOff>381000</xdr:colOff>
      <xdr:row>18</xdr:row>
      <xdr:rowOff>323850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F584C0E-AA37-417C-AF1F-479E5F98595D}"/>
            </a:ext>
          </a:extLst>
        </xdr:cNvPr>
        <xdr:cNvSpPr/>
      </xdr:nvSpPr>
      <xdr:spPr>
        <a:xfrm>
          <a:off x="11468100" y="2533650"/>
          <a:ext cx="2838450" cy="40862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ジャンボびっくり見本市本番</a:t>
          </a:r>
        </a:p>
      </xdr:txBody>
    </xdr:sp>
    <xdr:clientData/>
  </xdr:twoCellAnchor>
  <xdr:twoCellAnchor>
    <xdr:from>
      <xdr:col>8</xdr:col>
      <xdr:colOff>285750</xdr:colOff>
      <xdr:row>8</xdr:row>
      <xdr:rowOff>238125</xdr:rowOff>
    </xdr:from>
    <xdr:to>
      <xdr:col>12</xdr:col>
      <xdr:colOff>104775</xdr:colOff>
      <xdr:row>11</xdr:row>
      <xdr:rowOff>85725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A5B44EB9-3E0F-4EF0-9D07-B71FDFD48B06}"/>
            </a:ext>
            <a:ext uri="{147F2762-F138-4A5C-976F-8EAC2B608ADB}">
              <a16:predDERef xmlns:a16="http://schemas.microsoft.com/office/drawing/2014/main" pred="{AF584C0E-AA37-417C-AF1F-479E5F98595D}"/>
            </a:ext>
          </a:extLst>
        </xdr:cNvPr>
        <xdr:cNvSpPr/>
      </xdr:nvSpPr>
      <xdr:spPr>
        <a:xfrm>
          <a:off x="5200650" y="2724150"/>
          <a:ext cx="1457325" cy="9906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東京営業部　中途の方向け勉強会</a:t>
          </a:r>
        </a:p>
      </xdr:txBody>
    </xdr:sp>
    <xdr:clientData/>
  </xdr:twoCellAnchor>
  <xdr:twoCellAnchor>
    <xdr:from>
      <xdr:col>8</xdr:col>
      <xdr:colOff>295275</xdr:colOff>
      <xdr:row>52</xdr:row>
      <xdr:rowOff>247650</xdr:rowOff>
    </xdr:from>
    <xdr:to>
      <xdr:col>12</xdr:col>
      <xdr:colOff>161925</xdr:colOff>
      <xdr:row>55</xdr:row>
      <xdr:rowOff>76200</xdr:rowOff>
    </xdr:to>
    <xdr:sp macro="" textlink="">
      <xdr:nvSpPr>
        <xdr:cNvPr id="4" name="四角形 1">
          <a:extLst>
            <a:ext uri="{FF2B5EF4-FFF2-40B4-BE49-F238E27FC236}">
              <a16:creationId xmlns:a16="http://schemas.microsoft.com/office/drawing/2014/main" id="{6AD45FD3-553E-4E2C-BBD5-9B2C1EBD192A}"/>
            </a:ext>
            <a:ext uri="{147F2762-F138-4A5C-976F-8EAC2B608ADB}">
              <a16:predDERef xmlns:a16="http://schemas.microsoft.com/office/drawing/2014/main" pred="{A5B44EB9-3E0F-4EF0-9D07-B71FDFD48B06}"/>
            </a:ext>
          </a:extLst>
        </xdr:cNvPr>
        <xdr:cNvSpPr/>
      </xdr:nvSpPr>
      <xdr:spPr>
        <a:xfrm>
          <a:off x="5210175" y="19497675"/>
          <a:ext cx="1504950" cy="9715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東京営業部　中途の方向け勉強会</a:t>
          </a:r>
        </a:p>
      </xdr:txBody>
    </xdr:sp>
    <xdr:clientData/>
  </xdr:twoCellAnchor>
  <xdr:twoCellAnchor>
    <xdr:from>
      <xdr:col>6</xdr:col>
      <xdr:colOff>342339</xdr:colOff>
      <xdr:row>12</xdr:row>
      <xdr:rowOff>16246</xdr:rowOff>
    </xdr:from>
    <xdr:to>
      <xdr:col>13</xdr:col>
      <xdr:colOff>351305</xdr:colOff>
      <xdr:row>13</xdr:row>
      <xdr:rowOff>330013</xdr:rowOff>
    </xdr:to>
    <xdr:sp macro="" textlink="">
      <xdr:nvSpPr>
        <xdr:cNvPr id="8" name="四角形 4">
          <a:extLst>
            <a:ext uri="{FF2B5EF4-FFF2-40B4-BE49-F238E27FC236}">
              <a16:creationId xmlns:a16="http://schemas.microsoft.com/office/drawing/2014/main" id="{2EA40830-2CA3-4B61-8E25-5E54CCD61944}"/>
            </a:ext>
            <a:ext uri="{147F2762-F138-4A5C-976F-8EAC2B608ADB}">
              <a16:predDERef xmlns:a16="http://schemas.microsoft.com/office/drawing/2014/main" pred="{6AD45FD3-553E-4E2C-BBD5-9B2C1EBD192A}"/>
            </a:ext>
          </a:extLst>
        </xdr:cNvPr>
        <xdr:cNvSpPr/>
      </xdr:nvSpPr>
      <xdr:spPr>
        <a:xfrm>
          <a:off x="4438089" y="4026271"/>
          <a:ext cx="2875991" cy="69476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出雲村田　展示会</a:t>
          </a:r>
        </a:p>
      </xdr:txBody>
    </xdr:sp>
    <xdr:clientData/>
  </xdr:twoCellAnchor>
  <xdr:twoCellAnchor>
    <xdr:from>
      <xdr:col>9</xdr:col>
      <xdr:colOff>71717</xdr:colOff>
      <xdr:row>56</xdr:row>
      <xdr:rowOff>53788</xdr:rowOff>
    </xdr:from>
    <xdr:to>
      <xdr:col>16</xdr:col>
      <xdr:colOff>107577</xdr:colOff>
      <xdr:row>57</xdr:row>
      <xdr:rowOff>331694</xdr:rowOff>
    </xdr:to>
    <xdr:sp macro="" textlink="">
      <xdr:nvSpPr>
        <xdr:cNvPr id="10" name="四角形 4">
          <a:extLst>
            <a:ext uri="{FF2B5EF4-FFF2-40B4-BE49-F238E27FC236}">
              <a16:creationId xmlns:a16="http://schemas.microsoft.com/office/drawing/2014/main" id="{EE71C075-5865-4F3B-BC5C-8248B381FF91}"/>
            </a:ext>
            <a:ext uri="{147F2762-F138-4A5C-976F-8EAC2B608ADB}">
              <a16:predDERef xmlns:a16="http://schemas.microsoft.com/office/drawing/2014/main" pred="{6AD45FD3-553E-4E2C-BBD5-9B2C1EBD192A}"/>
            </a:ext>
          </a:extLst>
        </xdr:cNvPr>
        <xdr:cNvSpPr/>
      </xdr:nvSpPr>
      <xdr:spPr>
        <a:xfrm>
          <a:off x="5298141" y="21067059"/>
          <a:ext cx="2859742" cy="66338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出雲村田　展示会</a:t>
          </a:r>
        </a:p>
      </xdr:txBody>
    </xdr:sp>
    <xdr:clientData/>
  </xdr:twoCellAnchor>
  <xdr:twoCellAnchor>
    <xdr:from>
      <xdr:col>6</xdr:col>
      <xdr:colOff>257734</xdr:colOff>
      <xdr:row>19</xdr:row>
      <xdr:rowOff>35298</xdr:rowOff>
    </xdr:from>
    <xdr:to>
      <xdr:col>12</xdr:col>
      <xdr:colOff>275664</xdr:colOff>
      <xdr:row>19</xdr:row>
      <xdr:rowOff>340098</xdr:rowOff>
    </xdr:to>
    <xdr:sp macro="" textlink="">
      <xdr:nvSpPr>
        <xdr:cNvPr id="11" name="四角形 4">
          <a:extLst>
            <a:ext uri="{FF2B5EF4-FFF2-40B4-BE49-F238E27FC236}">
              <a16:creationId xmlns:a16="http://schemas.microsoft.com/office/drawing/2014/main" id="{7EEF48D0-F9D3-499F-9CF7-4CD6A5140D9B}"/>
            </a:ext>
            <a:ext uri="{147F2762-F138-4A5C-976F-8EAC2B608ADB}">
              <a16:predDERef xmlns:a16="http://schemas.microsoft.com/office/drawing/2014/main" pred="{EE71C075-5865-4F3B-BC5C-8248B381FF91}"/>
            </a:ext>
          </a:extLst>
        </xdr:cNvPr>
        <xdr:cNvSpPr/>
      </xdr:nvSpPr>
      <xdr:spPr>
        <a:xfrm>
          <a:off x="4353484" y="6712323"/>
          <a:ext cx="2475380" cy="304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出雲村田　展示会</a:t>
          </a:r>
        </a:p>
      </xdr:txBody>
    </xdr:sp>
    <xdr:clientData/>
  </xdr:twoCellAnchor>
  <xdr:twoCellAnchor>
    <xdr:from>
      <xdr:col>4</xdr:col>
      <xdr:colOff>190500</xdr:colOff>
      <xdr:row>14</xdr:row>
      <xdr:rowOff>180975</xdr:rowOff>
    </xdr:from>
    <xdr:to>
      <xdr:col>12</xdr:col>
      <xdr:colOff>247650</xdr:colOff>
      <xdr:row>18</xdr:row>
      <xdr:rowOff>247650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AEB2AAF6-7A90-3163-9379-28C1E2E6A948}"/>
            </a:ext>
            <a:ext uri="{147F2762-F138-4A5C-976F-8EAC2B608ADB}">
              <a16:predDERef xmlns:a16="http://schemas.microsoft.com/office/drawing/2014/main" pred="{7C4DE828-72CD-4408-A58F-CF4B05820EF7}"/>
            </a:ext>
          </a:extLst>
        </xdr:cNvPr>
        <xdr:cNvSpPr txBox="1"/>
      </xdr:nvSpPr>
      <xdr:spPr>
        <a:xfrm>
          <a:off x="3467100" y="4953000"/>
          <a:ext cx="3333750" cy="1590675"/>
        </a:xfrm>
        <a:prstGeom prst="rect">
          <a:avLst/>
        </a:prstGeom>
        <a:solidFill>
          <a:schemeClr val="lt1"/>
        </a:solidFill>
        <a:ln w="9525" cmpd="sng">
          <a:solidFill>
            <a:srgbClr val="0070BF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パナソニック和歌山　勉強会</a:t>
          </a:r>
        </a:p>
      </xdr:txBody>
    </xdr:sp>
    <xdr:clientData/>
  </xdr:twoCellAnchor>
  <xdr:twoCellAnchor>
    <xdr:from>
      <xdr:col>2</xdr:col>
      <xdr:colOff>95250</xdr:colOff>
      <xdr:row>8</xdr:row>
      <xdr:rowOff>104775</xdr:rowOff>
    </xdr:from>
    <xdr:to>
      <xdr:col>3</xdr:col>
      <xdr:colOff>295275</xdr:colOff>
      <xdr:row>11</xdr:row>
      <xdr:rowOff>228600</xdr:rowOff>
    </xdr:to>
    <xdr:sp macro="" textlink="">
      <xdr:nvSpPr>
        <xdr:cNvPr id="12" name="四角形 1">
          <a:extLst>
            <a:ext uri="{FF2B5EF4-FFF2-40B4-BE49-F238E27FC236}">
              <a16:creationId xmlns:a16="http://schemas.microsoft.com/office/drawing/2014/main" id="{A6B6CD46-F44F-4BA9-9D27-4C5E1D942719}"/>
            </a:ext>
            <a:ext uri="{147F2762-F138-4A5C-976F-8EAC2B608ADB}">
              <a16:predDERef xmlns:a16="http://schemas.microsoft.com/office/drawing/2014/main" pred="{AEB2AAF6-7A90-3163-9379-28C1E2E6A948}"/>
            </a:ext>
          </a:extLst>
        </xdr:cNvPr>
        <xdr:cNvSpPr/>
      </xdr:nvSpPr>
      <xdr:spPr>
        <a:xfrm>
          <a:off x="2552700" y="2590800"/>
          <a:ext cx="609600" cy="12668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岡山　クラレ</a:t>
          </a:r>
        </a:p>
      </xdr:txBody>
    </xdr:sp>
    <xdr:clientData/>
  </xdr:twoCellAnchor>
  <xdr:twoCellAnchor>
    <xdr:from>
      <xdr:col>2</xdr:col>
      <xdr:colOff>116541</xdr:colOff>
      <xdr:row>40</xdr:row>
      <xdr:rowOff>152400</xdr:rowOff>
    </xdr:from>
    <xdr:to>
      <xdr:col>3</xdr:col>
      <xdr:colOff>320488</xdr:colOff>
      <xdr:row>45</xdr:row>
      <xdr:rowOff>238125</xdr:rowOff>
    </xdr:to>
    <xdr:sp macro="" textlink="">
      <xdr:nvSpPr>
        <xdr:cNvPr id="14" name="四角形 1">
          <a:extLst>
            <a:ext uri="{FF2B5EF4-FFF2-40B4-BE49-F238E27FC236}">
              <a16:creationId xmlns:a16="http://schemas.microsoft.com/office/drawing/2014/main" id="{46C0E504-CE29-4F20-BA3A-16769384F502}"/>
            </a:ext>
            <a:ext uri="{147F2762-F138-4A5C-976F-8EAC2B608ADB}">
              <a16:predDERef xmlns:a16="http://schemas.microsoft.com/office/drawing/2014/main" pred="{AF584C0E-AA37-417C-AF1F-479E5F98595D}"/>
            </a:ext>
          </a:extLst>
        </xdr:cNvPr>
        <xdr:cNvSpPr/>
      </xdr:nvSpPr>
      <xdr:spPr>
        <a:xfrm>
          <a:off x="2519082" y="14997953"/>
          <a:ext cx="607359" cy="20131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岡山　クラレ</a:t>
          </a:r>
        </a:p>
      </xdr:txBody>
    </xdr:sp>
    <xdr:clientData/>
  </xdr:twoCellAnchor>
  <xdr:twoCellAnchor>
    <xdr:from>
      <xdr:col>22</xdr:col>
      <xdr:colOff>85725</xdr:colOff>
      <xdr:row>8</xdr:row>
      <xdr:rowOff>47625</xdr:rowOff>
    </xdr:from>
    <xdr:to>
      <xdr:col>23</xdr:col>
      <xdr:colOff>285750</xdr:colOff>
      <xdr:row>18</xdr:row>
      <xdr:rowOff>285750</xdr:rowOff>
    </xdr:to>
    <xdr:sp macro="" textlink="">
      <xdr:nvSpPr>
        <xdr:cNvPr id="15" name="四角形 1">
          <a:extLst>
            <a:ext uri="{FF2B5EF4-FFF2-40B4-BE49-F238E27FC236}">
              <a16:creationId xmlns:a16="http://schemas.microsoft.com/office/drawing/2014/main" id="{D6BD370A-2387-41BC-BF61-A0C78A3D296F}"/>
            </a:ext>
            <a:ext uri="{147F2762-F138-4A5C-976F-8EAC2B608ADB}">
              <a16:predDERef xmlns:a16="http://schemas.microsoft.com/office/drawing/2014/main" pred="{46C0E504-CE29-4F20-BA3A-16769384F502}"/>
            </a:ext>
          </a:extLst>
        </xdr:cNvPr>
        <xdr:cNvSpPr/>
      </xdr:nvSpPr>
      <xdr:spPr>
        <a:xfrm>
          <a:off x="10734675" y="2533650"/>
          <a:ext cx="609600" cy="4048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岡山体験会？</a:t>
          </a:r>
        </a:p>
      </xdr:txBody>
    </xdr:sp>
    <xdr:clientData/>
  </xdr:twoCellAnchor>
  <xdr:twoCellAnchor>
    <xdr:from>
      <xdr:col>18</xdr:col>
      <xdr:colOff>91888</xdr:colOff>
      <xdr:row>20</xdr:row>
      <xdr:rowOff>120461</xdr:rowOff>
    </xdr:from>
    <xdr:to>
      <xdr:col>19</xdr:col>
      <xdr:colOff>295835</xdr:colOff>
      <xdr:row>29</xdr:row>
      <xdr:rowOff>259977</xdr:rowOff>
    </xdr:to>
    <xdr:sp macro="" textlink="">
      <xdr:nvSpPr>
        <xdr:cNvPr id="17" name="四角形 1">
          <a:extLst>
            <a:ext uri="{FF2B5EF4-FFF2-40B4-BE49-F238E27FC236}">
              <a16:creationId xmlns:a16="http://schemas.microsoft.com/office/drawing/2014/main" id="{28E7BA24-6443-4F18-B772-011CFEF6A35B}"/>
            </a:ext>
            <a:ext uri="{147F2762-F138-4A5C-976F-8EAC2B608ADB}">
              <a16:predDERef xmlns:a16="http://schemas.microsoft.com/office/drawing/2014/main" pred="{AF584C0E-AA37-417C-AF1F-479E5F98595D}"/>
            </a:ext>
          </a:extLst>
        </xdr:cNvPr>
        <xdr:cNvSpPr/>
      </xdr:nvSpPr>
      <xdr:spPr>
        <a:xfrm>
          <a:off x="8949017" y="7256367"/>
          <a:ext cx="607359" cy="360885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南関東体験会？</a:t>
          </a:r>
        </a:p>
      </xdr:txBody>
    </xdr:sp>
    <xdr:clientData/>
  </xdr:twoCellAnchor>
  <xdr:twoCellAnchor>
    <xdr:from>
      <xdr:col>4</xdr:col>
      <xdr:colOff>152400</xdr:colOff>
      <xdr:row>46</xdr:row>
      <xdr:rowOff>142875</xdr:rowOff>
    </xdr:from>
    <xdr:to>
      <xdr:col>12</xdr:col>
      <xdr:colOff>209550</xdr:colOff>
      <xdr:row>50</xdr:row>
      <xdr:rowOff>209550</xdr:rowOff>
    </xdr:to>
    <xdr:sp macro="" textlink="">
      <xdr:nvSpPr>
        <xdr:cNvPr id="9" name="テキスト ボックス 5">
          <a:extLst>
            <a:ext uri="{FF2B5EF4-FFF2-40B4-BE49-F238E27FC236}">
              <a16:creationId xmlns:a16="http://schemas.microsoft.com/office/drawing/2014/main" id="{84077203-0F75-41A1-86F1-5EBA5F658C26}"/>
            </a:ext>
            <a:ext uri="{147F2762-F138-4A5C-976F-8EAC2B608ADB}">
              <a16:predDERef xmlns:a16="http://schemas.microsoft.com/office/drawing/2014/main" pred="{28E7BA24-6443-4F18-B772-011CFEF6A35B}"/>
            </a:ext>
          </a:extLst>
        </xdr:cNvPr>
        <xdr:cNvSpPr txBox="1"/>
      </xdr:nvSpPr>
      <xdr:spPr>
        <a:xfrm>
          <a:off x="3429000" y="17106900"/>
          <a:ext cx="3333750" cy="1590675"/>
        </a:xfrm>
        <a:prstGeom prst="rect">
          <a:avLst/>
        </a:prstGeom>
        <a:solidFill>
          <a:schemeClr val="lt1"/>
        </a:solidFill>
        <a:ln w="9525" cmpd="sng">
          <a:solidFill>
            <a:srgbClr val="0070BF"/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パナソニック和歌山　勉強会</a:t>
          </a:r>
        </a:p>
      </xdr:txBody>
    </xdr:sp>
    <xdr:clientData/>
  </xdr:twoCellAnchor>
  <xdr:twoCellAnchor>
    <xdr:from>
      <xdr:col>22</xdr:col>
      <xdr:colOff>85725</xdr:colOff>
      <xdr:row>19</xdr:row>
      <xdr:rowOff>47625</xdr:rowOff>
    </xdr:from>
    <xdr:to>
      <xdr:col>29</xdr:col>
      <xdr:colOff>57150</xdr:colOff>
      <xdr:row>26</xdr:row>
      <xdr:rowOff>0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96C5C0CC-F909-4ED8-B370-F5A06203BB90}"/>
            </a:ext>
            <a:ext uri="{147F2762-F138-4A5C-976F-8EAC2B608ADB}">
              <a16:predDERef xmlns:a16="http://schemas.microsoft.com/office/drawing/2014/main" pred="{84077203-0F75-41A1-86F1-5EBA5F658C26}"/>
            </a:ext>
          </a:extLst>
        </xdr:cNvPr>
        <xdr:cNvSpPr/>
      </xdr:nvSpPr>
      <xdr:spPr>
        <a:xfrm>
          <a:off x="10734675" y="6724650"/>
          <a:ext cx="2838450" cy="26193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ジャンボびっくり見本市本番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259416</xdr:colOff>
      <xdr:row>8</xdr:row>
      <xdr:rowOff>197223</xdr:rowOff>
    </xdr:from>
    <xdr:to>
      <xdr:col>17</xdr:col>
      <xdr:colOff>169769</xdr:colOff>
      <xdr:row>11</xdr:row>
      <xdr:rowOff>170329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6A42CE5-6C51-4C0B-BFAB-07B82452FA4D}"/>
            </a:ext>
          </a:extLst>
        </xdr:cNvPr>
        <xdr:cNvSpPr txBox="1"/>
      </xdr:nvSpPr>
      <xdr:spPr>
        <a:xfrm>
          <a:off x="7222191" y="2683248"/>
          <a:ext cx="1548653" cy="11161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滋賀代理店共創</a:t>
          </a:r>
        </a:p>
      </xdr:txBody>
    </xdr:sp>
    <xdr:clientData/>
  </xdr:twoCellAnchor>
  <xdr:twoCellAnchor>
    <xdr:from>
      <xdr:col>20</xdr:col>
      <xdr:colOff>178734</xdr:colOff>
      <xdr:row>19</xdr:row>
      <xdr:rowOff>224117</xdr:rowOff>
    </xdr:from>
    <xdr:to>
      <xdr:col>31</xdr:col>
      <xdr:colOff>179294</xdr:colOff>
      <xdr:row>29</xdr:row>
      <xdr:rowOff>233082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90CDD97-9886-4298-B3DF-83DD1176746E}"/>
            </a:ext>
            <a:ext uri="{147F2762-F138-4A5C-976F-8EAC2B608ADB}">
              <a16:predDERef xmlns:a16="http://schemas.microsoft.com/office/drawing/2014/main" pred="{16A42CE5-6C51-4C0B-BFAB-07B82452FA4D}"/>
            </a:ext>
          </a:extLst>
        </xdr:cNvPr>
        <xdr:cNvSpPr txBox="1"/>
      </xdr:nvSpPr>
      <xdr:spPr>
        <a:xfrm>
          <a:off x="9842687" y="6974541"/>
          <a:ext cx="4438089" cy="38637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東部営業部営業マン向け体験会＋ユーザー提案検討会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18</xdr:col>
      <xdr:colOff>285750</xdr:colOff>
      <xdr:row>8</xdr:row>
      <xdr:rowOff>123825</xdr:rowOff>
    </xdr:from>
    <xdr:to>
      <xdr:col>26</xdr:col>
      <xdr:colOff>200025</xdr:colOff>
      <xdr:row>12</xdr:row>
      <xdr:rowOff>171450</xdr:rowOff>
    </xdr:to>
    <xdr:sp macro="" textlink="">
      <xdr:nvSpPr>
        <xdr:cNvPr id="4" name="テキスト ボックス 4">
          <a:extLst>
            <a:ext uri="{FF2B5EF4-FFF2-40B4-BE49-F238E27FC236}">
              <a16:creationId xmlns:a16="http://schemas.microsoft.com/office/drawing/2014/main" id="{3099E42E-BAFB-2EB1-DECA-541F013C95CF}"/>
            </a:ext>
            <a:ext uri="{147F2762-F138-4A5C-976F-8EAC2B608ADB}">
              <a16:predDERef xmlns:a16="http://schemas.microsoft.com/office/drawing/2014/main" pred="{890CDD97-9886-4298-B3DF-83DD1176746E}"/>
            </a:ext>
          </a:extLst>
        </xdr:cNvPr>
        <xdr:cNvSpPr txBox="1"/>
      </xdr:nvSpPr>
      <xdr:spPr>
        <a:xfrm>
          <a:off x="9296400" y="2609850"/>
          <a:ext cx="3190875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浜松・静岡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week</a:t>
          </a:r>
        </a:p>
      </xdr:txBody>
    </xdr:sp>
    <xdr:clientData/>
  </xdr:twoCellAnchor>
  <xdr:twoCellAnchor>
    <xdr:from>
      <xdr:col>20</xdr:col>
      <xdr:colOff>331695</xdr:colOff>
      <xdr:row>40</xdr:row>
      <xdr:rowOff>179294</xdr:rowOff>
    </xdr:from>
    <xdr:to>
      <xdr:col>31</xdr:col>
      <xdr:colOff>332255</xdr:colOff>
      <xdr:row>51</xdr:row>
      <xdr:rowOff>242047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E1D7E08-D935-471A-B4F2-194A9B346EE2}"/>
            </a:ext>
            <a:ext uri="{147F2762-F138-4A5C-976F-8EAC2B608ADB}">
              <a16:predDERef xmlns:a16="http://schemas.microsoft.com/office/drawing/2014/main" pred="{16A42CE5-6C51-4C0B-BFAB-07B82452FA4D}"/>
            </a:ext>
          </a:extLst>
        </xdr:cNvPr>
        <xdr:cNvSpPr txBox="1"/>
      </xdr:nvSpPr>
      <xdr:spPr>
        <a:xfrm>
          <a:off x="9995648" y="15024847"/>
          <a:ext cx="4438089" cy="43030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東部営業部営業マン向け体験会＋ユーザー提案検討会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2</xdr:col>
      <xdr:colOff>116542</xdr:colOff>
      <xdr:row>40</xdr:row>
      <xdr:rowOff>358588</xdr:rowOff>
    </xdr:from>
    <xdr:to>
      <xdr:col>6</xdr:col>
      <xdr:colOff>17930</xdr:colOff>
      <xdr:row>64</xdr:row>
      <xdr:rowOff>179295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10D1C31-C6FD-4947-B269-E14155562B32}"/>
            </a:ext>
            <a:ext uri="{147F2762-F138-4A5C-976F-8EAC2B608ADB}">
              <a16:predDERef xmlns:a16="http://schemas.microsoft.com/office/drawing/2014/main" pred="{16A42CE5-6C51-4C0B-BFAB-07B82452FA4D}"/>
            </a:ext>
          </a:extLst>
        </xdr:cNvPr>
        <xdr:cNvSpPr txBox="1"/>
      </xdr:nvSpPr>
      <xdr:spPr>
        <a:xfrm>
          <a:off x="2519083" y="15204141"/>
          <a:ext cx="1515035" cy="90722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岐阜高専勉強会</a:t>
          </a:r>
          <a:endParaRPr kumimoji="1" lang="en-US" altLang="ja-JP" sz="1100"/>
        </a:p>
        <a:p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28</xdr:col>
      <xdr:colOff>104775</xdr:colOff>
      <xdr:row>52</xdr:row>
      <xdr:rowOff>114300</xdr:rowOff>
    </xdr:from>
    <xdr:to>
      <xdr:col>31</xdr:col>
      <xdr:colOff>314325</xdr:colOff>
      <xdr:row>62</xdr:row>
      <xdr:rowOff>257175</xdr:rowOff>
    </xdr:to>
    <xdr:sp macro="" textlink="">
      <xdr:nvSpPr>
        <xdr:cNvPr id="11" name="テキスト ボックス 4">
          <a:extLst>
            <a:ext uri="{FF2B5EF4-FFF2-40B4-BE49-F238E27FC236}">
              <a16:creationId xmlns:a16="http://schemas.microsoft.com/office/drawing/2014/main" id="{24F87D4B-6E22-4FF7-A7D5-A641C1029A43}"/>
            </a:ext>
            <a:ext uri="{147F2762-F138-4A5C-976F-8EAC2B608ADB}">
              <a16:predDERef xmlns:a16="http://schemas.microsoft.com/office/drawing/2014/main" pred="{C7A9A36B-9048-4612-B0DE-EDA15E5B3842}"/>
            </a:ext>
          </a:extLst>
        </xdr:cNvPr>
        <xdr:cNvSpPr txBox="1"/>
      </xdr:nvSpPr>
      <xdr:spPr>
        <a:xfrm>
          <a:off x="13211175" y="2600325"/>
          <a:ext cx="1438275" cy="395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デンソー岩手？</a:t>
          </a:r>
        </a:p>
      </xdr:txBody>
    </xdr:sp>
    <xdr:clientData/>
  </xdr:twoCellAnchor>
  <xdr:twoCellAnchor>
    <xdr:from>
      <xdr:col>10</xdr:col>
      <xdr:colOff>47625</xdr:colOff>
      <xdr:row>40</xdr:row>
      <xdr:rowOff>152400</xdr:rowOff>
    </xdr:from>
    <xdr:to>
      <xdr:col>16</xdr:col>
      <xdr:colOff>304800</xdr:colOff>
      <xdr:row>60</xdr:row>
      <xdr:rowOff>133350</xdr:rowOff>
    </xdr:to>
    <xdr:sp macro="" textlink="">
      <xdr:nvSpPr>
        <xdr:cNvPr id="12" name="テキスト ボックス 8">
          <a:extLst>
            <a:ext uri="{FF2B5EF4-FFF2-40B4-BE49-F238E27FC236}">
              <a16:creationId xmlns:a16="http://schemas.microsoft.com/office/drawing/2014/main" id="{C731ED0F-25E2-D492-7E9D-D22AB456A30A}"/>
            </a:ext>
            <a:ext uri="{147F2762-F138-4A5C-976F-8EAC2B608ADB}">
              <a16:predDERef xmlns:a16="http://schemas.microsoft.com/office/drawing/2014/main" pred="{24F87D4B-6E22-4FF7-A7D5-A641C1029A43}"/>
            </a:ext>
          </a:extLst>
        </xdr:cNvPr>
        <xdr:cNvSpPr txBox="1"/>
      </xdr:nvSpPr>
      <xdr:spPr>
        <a:xfrm>
          <a:off x="5781675" y="14830425"/>
          <a:ext cx="2714625" cy="7600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滋賀代理店共創</a:t>
          </a:r>
        </a:p>
      </xdr:txBody>
    </xdr:sp>
    <xdr:clientData/>
  </xdr:twoCellAnchor>
  <xdr:twoCellAnchor>
    <xdr:from>
      <xdr:col>25</xdr:col>
      <xdr:colOff>257175</xdr:colOff>
      <xdr:row>23</xdr:row>
      <xdr:rowOff>161925</xdr:rowOff>
    </xdr:from>
    <xdr:to>
      <xdr:col>30</xdr:col>
      <xdr:colOff>381000</xdr:colOff>
      <xdr:row>25</xdr:row>
      <xdr:rowOff>152400</xdr:rowOff>
    </xdr:to>
    <xdr:sp macro="" textlink="">
      <xdr:nvSpPr>
        <xdr:cNvPr id="14" name="テキスト ボックス 9">
          <a:extLst>
            <a:ext uri="{FF2B5EF4-FFF2-40B4-BE49-F238E27FC236}">
              <a16:creationId xmlns:a16="http://schemas.microsoft.com/office/drawing/2014/main" id="{90D2CD39-FCEC-9B85-5E6F-06FCE8CF6624}"/>
            </a:ext>
            <a:ext uri="{147F2762-F138-4A5C-976F-8EAC2B608ADB}">
              <a16:predDERef xmlns:a16="http://schemas.microsoft.com/office/drawing/2014/main" pred="{C731ED0F-25E2-D492-7E9D-D22AB456A30A}"/>
            </a:ext>
          </a:extLst>
        </xdr:cNvPr>
        <xdr:cNvSpPr txBox="1"/>
      </xdr:nvSpPr>
      <xdr:spPr>
        <a:xfrm>
          <a:off x="12134850" y="8362950"/>
          <a:ext cx="2171700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5/27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の滋賀体験会で使用予定</a:t>
          </a:r>
        </a:p>
      </xdr:txBody>
    </xdr:sp>
    <xdr:clientData/>
  </xdr:twoCellAnchor>
  <xdr:twoCellAnchor>
    <xdr:from>
      <xdr:col>29</xdr:col>
      <xdr:colOff>142875</xdr:colOff>
      <xdr:row>8</xdr:row>
      <xdr:rowOff>95250</xdr:rowOff>
    </xdr:from>
    <xdr:to>
      <xdr:col>31</xdr:col>
      <xdr:colOff>276225</xdr:colOff>
      <xdr:row>18</xdr:row>
      <xdr:rowOff>276225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D8584D1-39DA-EFFE-0D11-8FD7CD8656FE}"/>
            </a:ext>
            <a:ext uri="{147F2762-F138-4A5C-976F-8EAC2B608ADB}">
              <a16:predDERef xmlns:a16="http://schemas.microsoft.com/office/drawing/2014/main" pred="{90D2CD39-FCEC-9B85-5E6F-06FCE8CF6624}"/>
            </a:ext>
          </a:extLst>
        </xdr:cNvPr>
        <xdr:cNvSpPr txBox="1"/>
      </xdr:nvSpPr>
      <xdr:spPr>
        <a:xfrm>
          <a:off x="13658850" y="2581275"/>
          <a:ext cx="952500" cy="399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メンテ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95250</xdr:colOff>
      <xdr:row>8</xdr:row>
      <xdr:rowOff>95250</xdr:rowOff>
    </xdr:from>
    <xdr:to>
      <xdr:col>24</xdr:col>
      <xdr:colOff>390525</xdr:colOff>
      <xdr:row>18</xdr:row>
      <xdr:rowOff>219075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F427475-760C-4086-B724-D828E564967E}"/>
            </a:ext>
            <a:ext uri="{147F2762-F138-4A5C-976F-8EAC2B608ADB}">
              <a16:predDERef xmlns:a16="http://schemas.microsoft.com/office/drawing/2014/main" pred="{22A33851-ABE4-48A3-897B-60E14C134984}"/>
            </a:ext>
          </a:extLst>
        </xdr:cNvPr>
        <xdr:cNvSpPr txBox="1"/>
      </xdr:nvSpPr>
      <xdr:spPr>
        <a:xfrm>
          <a:off x="8696325" y="2581275"/>
          <a:ext cx="3162300" cy="3933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2025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年度営業新入社員教育</a:t>
          </a:r>
        </a:p>
        <a:p>
          <a:pPr marL="0" indent="0" algn="l"/>
          <a:endParaRPr lang="ja-JP" alt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ja-JP" alt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17</xdr:col>
      <xdr:colOff>95250</xdr:colOff>
      <xdr:row>30</xdr:row>
      <xdr:rowOff>142875</xdr:rowOff>
    </xdr:from>
    <xdr:to>
      <xdr:col>24</xdr:col>
      <xdr:colOff>219075</xdr:colOff>
      <xdr:row>64</xdr:row>
      <xdr:rowOff>257175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608BED3-0F3D-4154-96F5-7A2B4A34C8C0}"/>
            </a:ext>
            <a:ext uri="{147F2762-F138-4A5C-976F-8EAC2B608ADB}">
              <a16:predDERef xmlns:a16="http://schemas.microsoft.com/office/drawing/2014/main" pred="{3F427475-760C-4086-B724-D828E564967E}"/>
            </a:ext>
          </a:extLst>
        </xdr:cNvPr>
        <xdr:cNvSpPr txBox="1"/>
      </xdr:nvSpPr>
      <xdr:spPr>
        <a:xfrm>
          <a:off x="8696325" y="11010900"/>
          <a:ext cx="2990850" cy="1306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2025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年度営業新入社員教育</a:t>
          </a:r>
        </a:p>
        <a:p>
          <a:pPr marL="0" indent="0" algn="l"/>
          <a:endParaRPr lang="ja-JP" alt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6/16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は三河営業所管轄の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FTS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様にて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RT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体験会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(10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名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)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を実施予定ですので拝借します。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6/17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に三河営業所から発送します。　杉本</a:t>
          </a:r>
        </a:p>
      </xdr:txBody>
    </xdr:sp>
    <xdr:clientData/>
  </xdr:twoCellAnchor>
  <xdr:twoCellAnchor>
    <xdr:from>
      <xdr:col>3</xdr:col>
      <xdr:colOff>228600</xdr:colOff>
      <xdr:row>8</xdr:row>
      <xdr:rowOff>190500</xdr:rowOff>
    </xdr:from>
    <xdr:to>
      <xdr:col>9</xdr:col>
      <xdr:colOff>171450</xdr:colOff>
      <xdr:row>29</xdr:row>
      <xdr:rowOff>228600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326BE8EA-E98D-430A-8E53-4ABAC760D85C}"/>
            </a:ext>
            <a:ext uri="{147F2762-F138-4A5C-976F-8EAC2B608ADB}">
              <a16:predDERef xmlns:a16="http://schemas.microsoft.com/office/drawing/2014/main" pred="{5608BED3-0F3D-4154-96F5-7A2B4A34C8C0}"/>
            </a:ext>
          </a:extLst>
        </xdr:cNvPr>
        <xdr:cNvSpPr txBox="1"/>
      </xdr:nvSpPr>
      <xdr:spPr>
        <a:xfrm>
          <a:off x="3095625" y="2676525"/>
          <a:ext cx="2400300" cy="803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東京営業部　代理店共創</a:t>
          </a:r>
        </a:p>
        <a:p>
          <a:pPr marL="0" indent="0" algn="l"/>
          <a:endParaRPr lang="ja-JP" alt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3</xdr:col>
      <xdr:colOff>251013</xdr:colOff>
      <xdr:row>40</xdr:row>
      <xdr:rowOff>170329</xdr:rowOff>
    </xdr:from>
    <xdr:to>
      <xdr:col>10</xdr:col>
      <xdr:colOff>207311</xdr:colOff>
      <xdr:row>62</xdr:row>
      <xdr:rowOff>215153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DE9B07D-29D8-4565-9571-FE98710060EF}"/>
            </a:ext>
            <a:ext uri="{147F2762-F138-4A5C-976F-8EAC2B608ADB}">
              <a16:predDERef xmlns:a16="http://schemas.microsoft.com/office/drawing/2014/main" pred="{22A33851-ABE4-48A3-897B-60E14C134984}"/>
            </a:ext>
          </a:extLst>
        </xdr:cNvPr>
        <xdr:cNvSpPr txBox="1"/>
      </xdr:nvSpPr>
      <xdr:spPr>
        <a:xfrm>
          <a:off x="3056966" y="15015882"/>
          <a:ext cx="2780180" cy="85254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東京営業部　代理店共創</a:t>
          </a:r>
          <a:endParaRPr lang="en-US" altLang="ja-JP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ja-JP" alt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11</xdr:col>
      <xdr:colOff>142875</xdr:colOff>
      <xdr:row>8</xdr:row>
      <xdr:rowOff>47625</xdr:rowOff>
    </xdr:from>
    <xdr:to>
      <xdr:col>14</xdr:col>
      <xdr:colOff>219075</xdr:colOff>
      <xdr:row>18</xdr:row>
      <xdr:rowOff>200025</xdr:rowOff>
    </xdr:to>
    <xdr:sp macro="" textlink="">
      <xdr:nvSpPr>
        <xdr:cNvPr id="11" name="テキスト ボックス 1">
          <a:extLst>
            <a:ext uri="{FF2B5EF4-FFF2-40B4-BE49-F238E27FC236}">
              <a16:creationId xmlns:a16="http://schemas.microsoft.com/office/drawing/2014/main" id="{B0711809-0F59-0E9B-2FD8-FAB48BF61D59}"/>
            </a:ext>
            <a:ext uri="{147F2762-F138-4A5C-976F-8EAC2B608ADB}">
              <a16:predDERef xmlns:a16="http://schemas.microsoft.com/office/drawing/2014/main" pred="{0DE9B07D-29D8-4565-9571-FE98710060EF}"/>
            </a:ext>
          </a:extLst>
        </xdr:cNvPr>
        <xdr:cNvSpPr txBox="1"/>
      </xdr:nvSpPr>
      <xdr:spPr>
        <a:xfrm>
          <a:off x="6286500" y="2533650"/>
          <a:ext cx="1304925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旭サナック　体験会</a:t>
          </a:r>
        </a:p>
      </xdr:txBody>
    </xdr:sp>
    <xdr:clientData/>
  </xdr:twoCellAnchor>
  <xdr:twoCellAnchor>
    <xdr:from>
      <xdr:col>11</xdr:col>
      <xdr:colOff>180975</xdr:colOff>
      <xdr:row>40</xdr:row>
      <xdr:rowOff>133350</xdr:rowOff>
    </xdr:from>
    <xdr:to>
      <xdr:col>14</xdr:col>
      <xdr:colOff>238125</xdr:colOff>
      <xdr:row>50</xdr:row>
      <xdr:rowOff>285750</xdr:rowOff>
    </xdr:to>
    <xdr:sp macro="" textlink="">
      <xdr:nvSpPr>
        <xdr:cNvPr id="13" name="テキスト ボックス 2">
          <a:extLst>
            <a:ext uri="{FF2B5EF4-FFF2-40B4-BE49-F238E27FC236}">
              <a16:creationId xmlns:a16="http://schemas.microsoft.com/office/drawing/2014/main" id="{A4B57F93-5363-412C-9539-21B5DFB10489}"/>
            </a:ext>
            <a:ext uri="{147F2762-F138-4A5C-976F-8EAC2B608ADB}">
              <a16:predDERef xmlns:a16="http://schemas.microsoft.com/office/drawing/2014/main" pred="{B0711809-0F59-0E9B-2FD8-FAB48BF61D59}"/>
            </a:ext>
          </a:extLst>
        </xdr:cNvPr>
        <xdr:cNvSpPr txBox="1"/>
      </xdr:nvSpPr>
      <xdr:spPr>
        <a:xfrm>
          <a:off x="6324600" y="14811375"/>
          <a:ext cx="1285875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旭サナック　体験会</a:t>
          </a:r>
        </a:p>
      </xdr:txBody>
    </xdr:sp>
    <xdr:clientData/>
  </xdr:twoCellAnchor>
  <xdr:twoCellAnchor>
    <xdr:from>
      <xdr:col>25</xdr:col>
      <xdr:colOff>228600</xdr:colOff>
      <xdr:row>8</xdr:row>
      <xdr:rowOff>9525</xdr:rowOff>
    </xdr:from>
    <xdr:to>
      <xdr:col>31</xdr:col>
      <xdr:colOff>209550</xdr:colOff>
      <xdr:row>29</xdr:row>
      <xdr:rowOff>95250</xdr:rowOff>
    </xdr:to>
    <xdr:sp macro="" textlink="">
      <xdr:nvSpPr>
        <xdr:cNvPr id="16" name="テキスト ボックス 13">
          <a:extLst>
            <a:ext uri="{FF2B5EF4-FFF2-40B4-BE49-F238E27FC236}">
              <a16:creationId xmlns:a16="http://schemas.microsoft.com/office/drawing/2014/main" id="{7B0FD52D-7A9E-4D5C-BD35-BA1DAB97D71A}"/>
            </a:ext>
            <a:ext uri="{147F2762-F138-4A5C-976F-8EAC2B608ADB}">
              <a16:predDERef xmlns:a16="http://schemas.microsoft.com/office/drawing/2014/main" pred="{A4B57F93-5363-412C-9539-21B5DFB10489}"/>
            </a:ext>
          </a:extLst>
        </xdr:cNvPr>
        <xdr:cNvSpPr txBox="1"/>
      </xdr:nvSpPr>
      <xdr:spPr>
        <a:xfrm>
          <a:off x="12106275" y="2495550"/>
          <a:ext cx="2438400" cy="808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東京営業部代理店共創</a:t>
          </a:r>
        </a:p>
      </xdr:txBody>
    </xdr:sp>
    <xdr:clientData/>
  </xdr:twoCellAnchor>
  <xdr:twoCellAnchor>
    <xdr:from>
      <xdr:col>10</xdr:col>
      <xdr:colOff>123825</xdr:colOff>
      <xdr:row>19</xdr:row>
      <xdr:rowOff>180975</xdr:rowOff>
    </xdr:from>
    <xdr:to>
      <xdr:col>14</xdr:col>
      <xdr:colOff>257175</xdr:colOff>
      <xdr:row>29</xdr:row>
      <xdr:rowOff>152400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40142418-10CB-4F82-8481-F4B968192577}"/>
            </a:ext>
            <a:ext uri="{147F2762-F138-4A5C-976F-8EAC2B608ADB}">
              <a16:predDERef xmlns:a16="http://schemas.microsoft.com/office/drawing/2014/main" pred="{F604C792-6AB2-4B69-BEEA-A8CB411F698D}"/>
            </a:ext>
          </a:extLst>
        </xdr:cNvPr>
        <xdr:cNvSpPr txBox="1"/>
      </xdr:nvSpPr>
      <xdr:spPr>
        <a:xfrm>
          <a:off x="5857875" y="6858000"/>
          <a:ext cx="1771650" cy="3781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東京営業部　代理店共創</a:t>
          </a:r>
        </a:p>
        <a:p>
          <a:pPr marL="0" indent="0" algn="l"/>
          <a:endParaRPr lang="ja-JP" alt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11</xdr:col>
      <xdr:colOff>134471</xdr:colOff>
      <xdr:row>51</xdr:row>
      <xdr:rowOff>116542</xdr:rowOff>
    </xdr:from>
    <xdr:to>
      <xdr:col>16</xdr:col>
      <xdr:colOff>197223</xdr:colOff>
      <xdr:row>62</xdr:row>
      <xdr:rowOff>170329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5CE7FD9-3516-46FF-A0B6-FFE1FEC727FD}"/>
            </a:ext>
            <a:ext uri="{147F2762-F138-4A5C-976F-8EAC2B608ADB}">
              <a16:predDERef xmlns:a16="http://schemas.microsoft.com/office/drawing/2014/main" pred="{5608BED3-0F3D-4154-96F5-7A2B4A34C8C0}"/>
            </a:ext>
          </a:extLst>
        </xdr:cNvPr>
        <xdr:cNvSpPr txBox="1"/>
      </xdr:nvSpPr>
      <xdr:spPr>
        <a:xfrm>
          <a:off x="6167718" y="19202401"/>
          <a:ext cx="2079811" cy="42940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東京営業部　代理店共創</a:t>
          </a:r>
        </a:p>
        <a:p>
          <a:pPr marL="0" indent="0" algn="l"/>
          <a:endParaRPr lang="ja-JP" alt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25</xdr:col>
      <xdr:colOff>200025</xdr:colOff>
      <xdr:row>40</xdr:row>
      <xdr:rowOff>200025</xdr:rowOff>
    </xdr:from>
    <xdr:to>
      <xdr:col>31</xdr:col>
      <xdr:colOff>180975</xdr:colOff>
      <xdr:row>61</xdr:row>
      <xdr:rowOff>285750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0572B4E-7C6A-45ED-816E-D35AE441F870}"/>
            </a:ext>
            <a:ext uri="{147F2762-F138-4A5C-976F-8EAC2B608ADB}">
              <a16:predDERef xmlns:a16="http://schemas.microsoft.com/office/drawing/2014/main" pred="{85CE7FD9-3516-46FF-A0B6-FFE1FEC727FD}"/>
            </a:ext>
          </a:extLst>
        </xdr:cNvPr>
        <xdr:cNvSpPr txBox="1"/>
      </xdr:nvSpPr>
      <xdr:spPr>
        <a:xfrm>
          <a:off x="12077700" y="14878050"/>
          <a:ext cx="2438400" cy="808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東京営業部代理店共創</a:t>
          </a:r>
        </a:p>
      </xdr:txBody>
    </xdr:sp>
    <xdr:clientData/>
  </xdr:twoCellAnchor>
  <xdr:twoCellAnchor>
    <xdr:from>
      <xdr:col>21</xdr:col>
      <xdr:colOff>171450</xdr:colOff>
      <xdr:row>19</xdr:row>
      <xdr:rowOff>152400</xdr:rowOff>
    </xdr:from>
    <xdr:to>
      <xdr:col>24</xdr:col>
      <xdr:colOff>228600</xdr:colOff>
      <xdr:row>29</xdr:row>
      <xdr:rowOff>123825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5C3397D-28AF-4AC0-B89D-AE406B10E41E}"/>
            </a:ext>
            <a:ext uri="{147F2762-F138-4A5C-976F-8EAC2B608ADB}">
              <a16:predDERef xmlns:a16="http://schemas.microsoft.com/office/drawing/2014/main" pred="{D0572B4E-7C6A-45ED-816E-D35AE441F870}"/>
            </a:ext>
          </a:extLst>
        </xdr:cNvPr>
        <xdr:cNvSpPr txBox="1"/>
      </xdr:nvSpPr>
      <xdr:spPr>
        <a:xfrm>
          <a:off x="10410825" y="6829425"/>
          <a:ext cx="1285875" cy="3781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東京営業部　代理店共創</a:t>
          </a:r>
        </a:p>
        <a:p>
          <a:pPr marL="0" indent="0" algn="l"/>
          <a:endParaRPr lang="ja-JP" alt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17</xdr:col>
      <xdr:colOff>171450</xdr:colOff>
      <xdr:row>19</xdr:row>
      <xdr:rowOff>171450</xdr:rowOff>
    </xdr:from>
    <xdr:to>
      <xdr:col>20</xdr:col>
      <xdr:colOff>228600</xdr:colOff>
      <xdr:row>29</xdr:row>
      <xdr:rowOff>142875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8D94724-E35F-4DBE-898E-CF29DE669F2D}"/>
            </a:ext>
            <a:ext uri="{147F2762-F138-4A5C-976F-8EAC2B608ADB}">
              <a16:predDERef xmlns:a16="http://schemas.microsoft.com/office/drawing/2014/main" pred="{C5C3397D-28AF-4AC0-B89D-AE406B10E41E}"/>
            </a:ext>
          </a:extLst>
        </xdr:cNvPr>
        <xdr:cNvSpPr txBox="1"/>
      </xdr:nvSpPr>
      <xdr:spPr>
        <a:xfrm>
          <a:off x="8772525" y="6848475"/>
          <a:ext cx="1285875" cy="3781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6/16 FTS 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体験会</a:t>
          </a:r>
        </a:p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三河 石川さん</a:t>
          </a:r>
        </a:p>
        <a:p>
          <a:pPr marL="0" indent="0" algn="l"/>
          <a:endParaRPr lang="ja-JP" alt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25</xdr:col>
      <xdr:colOff>170329</xdr:colOff>
      <xdr:row>30</xdr:row>
      <xdr:rowOff>125506</xdr:rowOff>
    </xdr:from>
    <xdr:to>
      <xdr:col>31</xdr:col>
      <xdr:colOff>170330</xdr:colOff>
      <xdr:row>39</xdr:row>
      <xdr:rowOff>143435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7F6F4517-C760-48B0-8CB4-4ABAD03BCC73}"/>
            </a:ext>
            <a:ext uri="{147F2762-F138-4A5C-976F-8EAC2B608ADB}">
              <a16:predDERef xmlns:a16="http://schemas.microsoft.com/office/drawing/2014/main" pred="{D0572B4E-7C6A-45ED-816E-D35AE441F870}"/>
            </a:ext>
          </a:extLst>
        </xdr:cNvPr>
        <xdr:cNvSpPr txBox="1"/>
      </xdr:nvSpPr>
      <xdr:spPr>
        <a:xfrm>
          <a:off x="11851341" y="11116235"/>
          <a:ext cx="2420471" cy="34872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岡山　丸五ゴム</a:t>
          </a:r>
          <a:b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体験会（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PC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のみ）</a:t>
          </a:r>
        </a:p>
        <a:p>
          <a:pPr marL="0" indent="0" algn="l"/>
          <a:endParaRPr lang="ja-JP" alt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8</xdr:row>
      <xdr:rowOff>114300</xdr:rowOff>
    </xdr:from>
    <xdr:to>
      <xdr:col>12</xdr:col>
      <xdr:colOff>200025</xdr:colOff>
      <xdr:row>18</xdr:row>
      <xdr:rowOff>200025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BADEA3B-8B53-41A1-8654-EAEFC7EFB0E4}"/>
            </a:ext>
            <a:ext uri="{147F2762-F138-4A5C-976F-8EAC2B608ADB}">
              <a16:predDERef xmlns:a16="http://schemas.microsoft.com/office/drawing/2014/main" pred="{22A33851-ABE4-48A3-897B-60E14C134984}"/>
            </a:ext>
          </a:extLst>
        </xdr:cNvPr>
        <xdr:cNvSpPr txBox="1"/>
      </xdr:nvSpPr>
      <xdr:spPr>
        <a:xfrm>
          <a:off x="2667000" y="2600325"/>
          <a:ext cx="4086225" cy="389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九州共創体験会</a:t>
          </a:r>
        </a:p>
      </xdr:txBody>
    </xdr:sp>
    <xdr:clientData/>
  </xdr:twoCellAnchor>
  <xdr:twoCellAnchor>
    <xdr:from>
      <xdr:col>2</xdr:col>
      <xdr:colOff>276225</xdr:colOff>
      <xdr:row>40</xdr:row>
      <xdr:rowOff>247650</xdr:rowOff>
    </xdr:from>
    <xdr:to>
      <xdr:col>12</xdr:col>
      <xdr:colOff>152400</xdr:colOff>
      <xdr:row>64</xdr:row>
      <xdr:rowOff>123825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48333E78-F581-487C-9ACF-CB7CE63FA3B6}"/>
            </a:ext>
            <a:ext uri="{147F2762-F138-4A5C-976F-8EAC2B608ADB}">
              <a16:predDERef xmlns:a16="http://schemas.microsoft.com/office/drawing/2014/main" pred="{DBADEA3B-8B53-41A1-8654-EAEFC7EFB0E4}"/>
            </a:ext>
          </a:extLst>
        </xdr:cNvPr>
        <xdr:cNvSpPr txBox="1"/>
      </xdr:nvSpPr>
      <xdr:spPr>
        <a:xfrm>
          <a:off x="2733675" y="14925675"/>
          <a:ext cx="3971925" cy="9020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九州共創体験会？</a:t>
          </a:r>
        </a:p>
      </xdr:txBody>
    </xdr:sp>
    <xdr:clientData/>
  </xdr:twoCellAnchor>
  <xdr:twoCellAnchor>
    <xdr:from>
      <xdr:col>18</xdr:col>
      <xdr:colOff>219075</xdr:colOff>
      <xdr:row>8</xdr:row>
      <xdr:rowOff>133350</xdr:rowOff>
    </xdr:from>
    <xdr:to>
      <xdr:col>27</xdr:col>
      <xdr:colOff>304800</xdr:colOff>
      <xdr:row>18</xdr:row>
      <xdr:rowOff>152400</xdr:rowOff>
    </xdr:to>
    <xdr:sp macro="" textlink="">
      <xdr:nvSpPr>
        <xdr:cNvPr id="8" name="テキスト ボックス 3">
          <a:extLst>
            <a:ext uri="{FF2B5EF4-FFF2-40B4-BE49-F238E27FC236}">
              <a16:creationId xmlns:a16="http://schemas.microsoft.com/office/drawing/2014/main" id="{F2D16EAF-282A-B82E-7E78-4F653A4C8DB1}"/>
            </a:ext>
            <a:ext uri="{147F2762-F138-4A5C-976F-8EAC2B608ADB}">
              <a16:predDERef xmlns:a16="http://schemas.microsoft.com/office/drawing/2014/main" pred="{48333E78-F581-487C-9ACF-CB7CE63FA3B6}"/>
            </a:ext>
          </a:extLst>
        </xdr:cNvPr>
        <xdr:cNvSpPr txBox="1"/>
      </xdr:nvSpPr>
      <xdr:spPr>
        <a:xfrm>
          <a:off x="9229725" y="2619375"/>
          <a:ext cx="3771900" cy="3829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大阪　北浜製作所</a:t>
          </a:r>
        </a:p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　本番は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7/22(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火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)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AM9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時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30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分からのため、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18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日には大阪着必須</a:t>
          </a:r>
        </a:p>
      </xdr:txBody>
    </xdr:sp>
    <xdr:clientData/>
  </xdr:twoCellAnchor>
  <xdr:twoCellAnchor>
    <xdr:from>
      <xdr:col>23</xdr:col>
      <xdr:colOff>104775</xdr:colOff>
      <xdr:row>40</xdr:row>
      <xdr:rowOff>361950</xdr:rowOff>
    </xdr:from>
    <xdr:to>
      <xdr:col>27</xdr:col>
      <xdr:colOff>304800</xdr:colOff>
      <xdr:row>51</xdr:row>
      <xdr:rowOff>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BAD89EB-034C-48A0-96EB-BD7FEF15E27B}"/>
            </a:ext>
            <a:ext uri="{147F2762-F138-4A5C-976F-8EAC2B608ADB}">
              <a16:predDERef xmlns:a16="http://schemas.microsoft.com/office/drawing/2014/main" pred="{F2D16EAF-282A-B82E-7E78-4F653A4C8DB1}"/>
            </a:ext>
          </a:extLst>
        </xdr:cNvPr>
        <xdr:cNvSpPr txBox="1"/>
      </xdr:nvSpPr>
      <xdr:spPr>
        <a:xfrm>
          <a:off x="11163300" y="15039975"/>
          <a:ext cx="1838325" cy="3829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大阪　北浜製作所</a:t>
          </a:r>
        </a:p>
      </xdr:txBody>
    </xdr:sp>
    <xdr:clientData/>
  </xdr:twoCellAnchor>
  <xdr:twoCellAnchor>
    <xdr:from>
      <xdr:col>28</xdr:col>
      <xdr:colOff>47625</xdr:colOff>
      <xdr:row>8</xdr:row>
      <xdr:rowOff>38100</xdr:rowOff>
    </xdr:from>
    <xdr:to>
      <xdr:col>32</xdr:col>
      <xdr:colOff>390525</xdr:colOff>
      <xdr:row>13</xdr:row>
      <xdr:rowOff>361950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E21B880-6858-4E97-8D15-8951E9C193E5}"/>
            </a:ext>
            <a:ext uri="{147F2762-F138-4A5C-976F-8EAC2B608ADB}">
              <a16:predDERef xmlns:a16="http://schemas.microsoft.com/office/drawing/2014/main" pred="{2BAD89EB-034C-48A0-96EB-BD7FEF15E27B}"/>
            </a:ext>
          </a:extLst>
        </xdr:cNvPr>
        <xdr:cNvSpPr txBox="1"/>
      </xdr:nvSpPr>
      <xdr:spPr>
        <a:xfrm>
          <a:off x="13154025" y="2524125"/>
          <a:ext cx="1981200" cy="2228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仙台　アイシン高丘東北</a:t>
          </a:r>
        </a:p>
      </xdr:txBody>
    </xdr:sp>
    <xdr:clientData/>
  </xdr:twoCellAnchor>
  <xdr:twoCellAnchor>
    <xdr:from>
      <xdr:col>27</xdr:col>
      <xdr:colOff>390525</xdr:colOff>
      <xdr:row>40</xdr:row>
      <xdr:rowOff>19050</xdr:rowOff>
    </xdr:from>
    <xdr:to>
      <xdr:col>33</xdr:col>
      <xdr:colOff>314325</xdr:colOff>
      <xdr:row>45</xdr:row>
      <xdr:rowOff>352425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0AF11BB-2557-4D9F-9480-97B99BE22B9B}"/>
            </a:ext>
            <a:ext uri="{147F2762-F138-4A5C-976F-8EAC2B608ADB}">
              <a16:predDERef xmlns:a16="http://schemas.microsoft.com/office/drawing/2014/main" pred="{BE21B880-6858-4E97-8D15-8951E9C193E5}"/>
            </a:ext>
          </a:extLst>
        </xdr:cNvPr>
        <xdr:cNvSpPr txBox="1"/>
      </xdr:nvSpPr>
      <xdr:spPr>
        <a:xfrm>
          <a:off x="13087350" y="14697075"/>
          <a:ext cx="2381250" cy="2238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仙台　アイシン高丘東北</a:t>
          </a:r>
        </a:p>
      </xdr:txBody>
    </xdr:sp>
    <xdr:clientData/>
  </xdr:twoCellAnchor>
  <xdr:twoCellAnchor>
    <xdr:from>
      <xdr:col>2</xdr:col>
      <xdr:colOff>371475</xdr:colOff>
      <xdr:row>18</xdr:row>
      <xdr:rowOff>285750</xdr:rowOff>
    </xdr:from>
    <xdr:to>
      <xdr:col>11</xdr:col>
      <xdr:colOff>266700</xdr:colOff>
      <xdr:row>19</xdr:row>
      <xdr:rowOff>323850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506591B-0868-4F93-BCFD-E1899125211C}"/>
            </a:ext>
            <a:ext uri="{147F2762-F138-4A5C-976F-8EAC2B608ADB}">
              <a16:predDERef xmlns:a16="http://schemas.microsoft.com/office/drawing/2014/main" pred="{C0AF11BB-2557-4D9F-9480-97B99BE22B9B}"/>
            </a:ext>
          </a:extLst>
        </xdr:cNvPr>
        <xdr:cNvSpPr txBox="1"/>
      </xdr:nvSpPr>
      <xdr:spPr>
        <a:xfrm>
          <a:off x="2828925" y="6581775"/>
          <a:ext cx="358140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太田営業所デモ</a:t>
          </a:r>
        </a:p>
      </xdr:txBody>
    </xdr:sp>
    <xdr:clientData/>
  </xdr:twoCellAnchor>
  <xdr:twoCellAnchor>
    <xdr:from>
      <xdr:col>13</xdr:col>
      <xdr:colOff>190500</xdr:colOff>
      <xdr:row>8</xdr:row>
      <xdr:rowOff>114300</xdr:rowOff>
    </xdr:from>
    <xdr:to>
      <xdr:col>17</xdr:col>
      <xdr:colOff>228600</xdr:colOff>
      <xdr:row>25</xdr:row>
      <xdr:rowOff>133350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5770749B-5BD4-48AE-8D13-95D068D9E475}"/>
            </a:ext>
            <a:ext uri="{147F2762-F138-4A5C-976F-8EAC2B608ADB}">
              <a16:predDERef xmlns:a16="http://schemas.microsoft.com/office/drawing/2014/main" pred="{0506591B-0868-4F93-BCFD-E1899125211C}"/>
            </a:ext>
          </a:extLst>
        </xdr:cNvPr>
        <xdr:cNvSpPr txBox="1"/>
      </xdr:nvSpPr>
      <xdr:spPr>
        <a:xfrm>
          <a:off x="7153275" y="2600325"/>
          <a:ext cx="1676400" cy="6496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茨城　代理店共創</a:t>
          </a:r>
        </a:p>
      </xdr:txBody>
    </xdr:sp>
    <xdr:clientData/>
  </xdr:twoCellAnchor>
  <xdr:twoCellAnchor>
    <xdr:from>
      <xdr:col>13</xdr:col>
      <xdr:colOff>171450</xdr:colOff>
      <xdr:row>40</xdr:row>
      <xdr:rowOff>238125</xdr:rowOff>
    </xdr:from>
    <xdr:to>
      <xdr:col>17</xdr:col>
      <xdr:colOff>209550</xdr:colOff>
      <xdr:row>57</xdr:row>
      <xdr:rowOff>257175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586C93A0-1230-4D5F-AF27-D9DE2F8E3179}"/>
            </a:ext>
            <a:ext uri="{147F2762-F138-4A5C-976F-8EAC2B608ADB}">
              <a16:predDERef xmlns:a16="http://schemas.microsoft.com/office/drawing/2014/main" pred="{5770749B-5BD4-48AE-8D13-95D068D9E475}"/>
            </a:ext>
          </a:extLst>
        </xdr:cNvPr>
        <xdr:cNvSpPr txBox="1"/>
      </xdr:nvSpPr>
      <xdr:spPr>
        <a:xfrm>
          <a:off x="7134225" y="14916150"/>
          <a:ext cx="1676400" cy="6496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茨城　代理店共創</a:t>
          </a:r>
        </a:p>
      </xdr:txBody>
    </xdr:sp>
    <xdr:clientData/>
  </xdr:twoCellAnchor>
  <xdr:twoCellAnchor>
    <xdr:from>
      <xdr:col>9</xdr:col>
      <xdr:colOff>142875</xdr:colOff>
      <xdr:row>30</xdr:row>
      <xdr:rowOff>114300</xdr:rowOff>
    </xdr:from>
    <xdr:to>
      <xdr:col>17</xdr:col>
      <xdr:colOff>247650</xdr:colOff>
      <xdr:row>31</xdr:row>
      <xdr:rowOff>238125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DE5DCE9-971B-EDFA-C139-90326788679E}"/>
            </a:ext>
            <a:ext uri="{147F2762-F138-4A5C-976F-8EAC2B608ADB}">
              <a16:predDERef xmlns:a16="http://schemas.microsoft.com/office/drawing/2014/main" pred="{3239DD6A-FA33-40DD-91E2-8A9257D559C5}"/>
            </a:ext>
          </a:extLst>
        </xdr:cNvPr>
        <xdr:cNvSpPr txBox="1"/>
      </xdr:nvSpPr>
      <xdr:spPr>
        <a:xfrm>
          <a:off x="5467350" y="10982325"/>
          <a:ext cx="33813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トヨタ貞宝工場　展示会</a:t>
          </a:r>
        </a:p>
      </xdr:txBody>
    </xdr:sp>
    <xdr:clientData/>
  </xdr:twoCellAnchor>
  <xdr:twoCellAnchor>
    <xdr:from>
      <xdr:col>23</xdr:col>
      <xdr:colOff>209550</xdr:colOff>
      <xdr:row>19</xdr:row>
      <xdr:rowOff>76200</xdr:rowOff>
    </xdr:from>
    <xdr:to>
      <xdr:col>31</xdr:col>
      <xdr:colOff>257175</xdr:colOff>
      <xdr:row>20</xdr:row>
      <xdr:rowOff>19050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8EDF899-E70D-49EB-B02F-8549DF590FD8}"/>
            </a:ext>
            <a:ext uri="{147F2762-F138-4A5C-976F-8EAC2B608ADB}">
              <a16:predDERef xmlns:a16="http://schemas.microsoft.com/office/drawing/2014/main" pred="{4DE5DCE9-971B-EDFA-C139-90326788679E}"/>
            </a:ext>
          </a:extLst>
        </xdr:cNvPr>
        <xdr:cNvSpPr txBox="1"/>
      </xdr:nvSpPr>
      <xdr:spPr>
        <a:xfrm>
          <a:off x="11268075" y="6753225"/>
          <a:ext cx="332422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北九州　タカラスタンダード</a:t>
          </a:r>
        </a:p>
      </xdr:txBody>
    </xdr:sp>
    <xdr:clientData/>
  </xdr:twoCellAnchor>
  <xdr:twoCellAnchor>
    <xdr:from>
      <xdr:col>23</xdr:col>
      <xdr:colOff>133350</xdr:colOff>
      <xdr:row>52</xdr:row>
      <xdr:rowOff>38100</xdr:rowOff>
    </xdr:from>
    <xdr:to>
      <xdr:col>30</xdr:col>
      <xdr:colOff>314325</xdr:colOff>
      <xdr:row>52</xdr:row>
      <xdr:rowOff>295275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66BC2DB3-9E3E-4E94-A88C-D5549E319D6D}"/>
            </a:ext>
            <a:ext uri="{147F2762-F138-4A5C-976F-8EAC2B608ADB}">
              <a16:predDERef xmlns:a16="http://schemas.microsoft.com/office/drawing/2014/main" pred="{A8EDF899-E70D-49EB-B02F-8549DF590FD8}"/>
            </a:ext>
          </a:extLst>
        </xdr:cNvPr>
        <xdr:cNvSpPr txBox="1"/>
      </xdr:nvSpPr>
      <xdr:spPr>
        <a:xfrm>
          <a:off x="11191875" y="19288125"/>
          <a:ext cx="30480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北九州　タカラスタンダード</a:t>
          </a:r>
        </a:p>
      </xdr:txBody>
    </xdr:sp>
    <xdr:clientData/>
  </xdr:twoCellAnchor>
  <xdr:twoCellAnchor>
    <xdr:from>
      <xdr:col>29</xdr:col>
      <xdr:colOff>219075</xdr:colOff>
      <xdr:row>20</xdr:row>
      <xdr:rowOff>257175</xdr:rowOff>
    </xdr:from>
    <xdr:to>
      <xdr:col>32</xdr:col>
      <xdr:colOff>342900</xdr:colOff>
      <xdr:row>21</xdr:row>
      <xdr:rowOff>171450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1C74F6E0-92D9-469F-BB0C-F18D13C65E63}"/>
            </a:ext>
            <a:ext uri="{147F2762-F138-4A5C-976F-8EAC2B608ADB}">
              <a16:predDERef xmlns:a16="http://schemas.microsoft.com/office/drawing/2014/main" pred="{66BC2DB3-9E3E-4E94-A88C-D5549E319D6D}"/>
            </a:ext>
          </a:extLst>
        </xdr:cNvPr>
        <xdr:cNvSpPr txBox="1"/>
      </xdr:nvSpPr>
      <xdr:spPr>
        <a:xfrm>
          <a:off x="13735050" y="7315200"/>
          <a:ext cx="13525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テクスパイア</a:t>
          </a:r>
        </a:p>
      </xdr:txBody>
    </xdr:sp>
    <xdr:clientData/>
  </xdr:twoCellAnchor>
  <xdr:twoCellAnchor>
    <xdr:from>
      <xdr:col>29</xdr:col>
      <xdr:colOff>19050</xdr:colOff>
      <xdr:row>53</xdr:row>
      <xdr:rowOff>209550</xdr:rowOff>
    </xdr:from>
    <xdr:to>
      <xdr:col>32</xdr:col>
      <xdr:colOff>314325</xdr:colOff>
      <xdr:row>54</xdr:row>
      <xdr:rowOff>76200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E56F80A4-DCCD-4AE3-9C7C-F1386CE862B0}"/>
            </a:ext>
            <a:ext uri="{147F2762-F138-4A5C-976F-8EAC2B608ADB}">
              <a16:predDERef xmlns:a16="http://schemas.microsoft.com/office/drawing/2014/main" pred="{1C74F6E0-92D9-469F-BB0C-F18D13C65E63}"/>
            </a:ext>
          </a:extLst>
        </xdr:cNvPr>
        <xdr:cNvSpPr txBox="1"/>
      </xdr:nvSpPr>
      <xdr:spPr>
        <a:xfrm>
          <a:off x="13535025" y="19840575"/>
          <a:ext cx="15240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テクスパイア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10</xdr:row>
      <xdr:rowOff>257175</xdr:rowOff>
    </xdr:from>
    <xdr:to>
      <xdr:col>9</xdr:col>
      <xdr:colOff>85725</xdr:colOff>
      <xdr:row>17</xdr:row>
      <xdr:rowOff>228600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75BA0AB-D6FC-FEDF-B563-6CC58B17DE68}"/>
            </a:ext>
          </a:extLst>
        </xdr:cNvPr>
        <xdr:cNvSpPr txBox="1"/>
      </xdr:nvSpPr>
      <xdr:spPr>
        <a:xfrm>
          <a:off x="4000500" y="3505200"/>
          <a:ext cx="1409700" cy="2638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沼津高専</a:t>
          </a:r>
        </a:p>
      </xdr:txBody>
    </xdr:sp>
    <xdr:clientData/>
  </xdr:twoCellAnchor>
  <xdr:twoCellAnchor>
    <xdr:from>
      <xdr:col>2</xdr:col>
      <xdr:colOff>180975</xdr:colOff>
      <xdr:row>20</xdr:row>
      <xdr:rowOff>228600</xdr:rowOff>
    </xdr:from>
    <xdr:to>
      <xdr:col>6</xdr:col>
      <xdr:colOff>257175</xdr:colOff>
      <xdr:row>21</xdr:row>
      <xdr:rowOff>190500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34C6BB1-9856-49DA-801B-E83BECBCD974}"/>
            </a:ext>
            <a:ext uri="{147F2762-F138-4A5C-976F-8EAC2B608ADB}">
              <a16:predDERef xmlns:a16="http://schemas.microsoft.com/office/drawing/2014/main" pred="{075BA0AB-D6FC-FEDF-B563-6CC58B17DE68}"/>
            </a:ext>
          </a:extLst>
        </xdr:cNvPr>
        <xdr:cNvSpPr txBox="1"/>
      </xdr:nvSpPr>
      <xdr:spPr>
        <a:xfrm>
          <a:off x="2638425" y="7286625"/>
          <a:ext cx="17145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テクスパイア</a:t>
          </a:r>
        </a:p>
      </xdr:txBody>
    </xdr:sp>
    <xdr:clientData/>
  </xdr:twoCellAnchor>
  <xdr:twoCellAnchor>
    <xdr:from>
      <xdr:col>10</xdr:col>
      <xdr:colOff>257175</xdr:colOff>
      <xdr:row>8</xdr:row>
      <xdr:rowOff>190500</xdr:rowOff>
    </xdr:from>
    <xdr:to>
      <xdr:col>23</xdr:col>
      <xdr:colOff>28575</xdr:colOff>
      <xdr:row>13</xdr:row>
      <xdr:rowOff>209550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1C9E925-DD53-4FF5-AD32-F784AA1AF68F}"/>
            </a:ext>
            <a:ext uri="{147F2762-F138-4A5C-976F-8EAC2B608ADB}">
              <a16:predDERef xmlns:a16="http://schemas.microsoft.com/office/drawing/2014/main" pred="{434C6BB1-9856-49DA-801B-E83BECBCD974}"/>
            </a:ext>
          </a:extLst>
        </xdr:cNvPr>
        <xdr:cNvSpPr txBox="1"/>
      </xdr:nvSpPr>
      <xdr:spPr>
        <a:xfrm>
          <a:off x="5991225" y="2676525"/>
          <a:ext cx="5095875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三共商事　太田（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8/19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使用）　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8/8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小牧発送→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8/18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着指定　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6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台</a:t>
          </a:r>
        </a:p>
      </xdr:txBody>
    </xdr:sp>
    <xdr:clientData/>
  </xdr:twoCellAnchor>
  <xdr:twoCellAnchor>
    <xdr:from>
      <xdr:col>10</xdr:col>
      <xdr:colOff>266700</xdr:colOff>
      <xdr:row>14</xdr:row>
      <xdr:rowOff>133350</xdr:rowOff>
    </xdr:from>
    <xdr:to>
      <xdr:col>23</xdr:col>
      <xdr:colOff>47625</xdr:colOff>
      <xdr:row>16</xdr:row>
      <xdr:rowOff>190500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6019BCF-E1A3-412F-AC3C-89ABF1814BD2}"/>
            </a:ext>
            <a:ext uri="{147F2762-F138-4A5C-976F-8EAC2B608ADB}">
              <a16:predDERef xmlns:a16="http://schemas.microsoft.com/office/drawing/2014/main" pred="{B1C9E925-DD53-4FF5-AD32-F784AA1AF68F}"/>
            </a:ext>
          </a:extLst>
        </xdr:cNvPr>
        <xdr:cNvSpPr txBox="1"/>
      </xdr:nvSpPr>
      <xdr:spPr>
        <a:xfrm>
          <a:off x="6000750" y="4905375"/>
          <a:ext cx="51054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三共商事　山形（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8/20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使用）　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8/8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小牧発送→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8/18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着指定　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3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台</a:t>
          </a:r>
        </a:p>
      </xdr:txBody>
    </xdr:sp>
    <xdr:clientData/>
  </xdr:twoCellAnchor>
  <xdr:twoCellAnchor>
    <xdr:from>
      <xdr:col>10</xdr:col>
      <xdr:colOff>257175</xdr:colOff>
      <xdr:row>40</xdr:row>
      <xdr:rowOff>180975</xdr:rowOff>
    </xdr:from>
    <xdr:to>
      <xdr:col>23</xdr:col>
      <xdr:colOff>28575</xdr:colOff>
      <xdr:row>45</xdr:row>
      <xdr:rowOff>200025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DC92639-73DA-49EC-AB11-EBBEA9E541C8}"/>
            </a:ext>
            <a:ext uri="{147F2762-F138-4A5C-976F-8EAC2B608ADB}">
              <a16:predDERef xmlns:a16="http://schemas.microsoft.com/office/drawing/2014/main" pred="{B6019BCF-E1A3-412F-AC3C-89ABF1814BD2}"/>
            </a:ext>
          </a:extLst>
        </xdr:cNvPr>
        <xdr:cNvSpPr txBox="1"/>
      </xdr:nvSpPr>
      <xdr:spPr>
        <a:xfrm>
          <a:off x="5991225" y="14859000"/>
          <a:ext cx="5095875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三共商事　太田（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8/19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使用）　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8/8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小牧発送→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8/18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着指定　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6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台</a:t>
          </a:r>
        </a:p>
      </xdr:txBody>
    </xdr:sp>
    <xdr:clientData/>
  </xdr:twoCellAnchor>
  <xdr:twoCellAnchor>
    <xdr:from>
      <xdr:col>10</xdr:col>
      <xdr:colOff>257175</xdr:colOff>
      <xdr:row>46</xdr:row>
      <xdr:rowOff>142875</xdr:rowOff>
    </xdr:from>
    <xdr:to>
      <xdr:col>23</xdr:col>
      <xdr:colOff>38100</xdr:colOff>
      <xdr:row>48</xdr:row>
      <xdr:rowOff>200025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9FBAD4CE-7362-43C9-AE3A-9564858AA079}"/>
            </a:ext>
            <a:ext uri="{147F2762-F138-4A5C-976F-8EAC2B608ADB}">
              <a16:predDERef xmlns:a16="http://schemas.microsoft.com/office/drawing/2014/main" pred="{0DC92639-73DA-49EC-AB11-EBBEA9E541C8}"/>
            </a:ext>
          </a:extLst>
        </xdr:cNvPr>
        <xdr:cNvSpPr txBox="1"/>
      </xdr:nvSpPr>
      <xdr:spPr>
        <a:xfrm>
          <a:off x="5991225" y="17106900"/>
          <a:ext cx="51054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三共商事　山形（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8/20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使用）　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8/8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小牧発送→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8/18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着指定　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3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台</a:t>
          </a:r>
        </a:p>
      </xdr:txBody>
    </xdr:sp>
    <xdr:clientData/>
  </xdr:twoCellAnchor>
  <xdr:twoCellAnchor>
    <xdr:from>
      <xdr:col>26</xdr:col>
      <xdr:colOff>76200</xdr:colOff>
      <xdr:row>8</xdr:row>
      <xdr:rowOff>28575</xdr:rowOff>
    </xdr:from>
    <xdr:to>
      <xdr:col>30</xdr:col>
      <xdr:colOff>342900</xdr:colOff>
      <xdr:row>8</xdr:row>
      <xdr:rowOff>342900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BFDABAE-F76D-6755-5840-936CE601B430}"/>
            </a:ext>
            <a:ext uri="{147F2762-F138-4A5C-976F-8EAC2B608ADB}">
              <a16:predDERef xmlns:a16="http://schemas.microsoft.com/office/drawing/2014/main" pred="{9FBAD4CE-7362-43C9-AE3A-9564858AA079}"/>
            </a:ext>
          </a:extLst>
        </xdr:cNvPr>
        <xdr:cNvSpPr txBox="1"/>
      </xdr:nvSpPr>
      <xdr:spPr>
        <a:xfrm>
          <a:off x="12363450" y="2514600"/>
          <a:ext cx="190500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静岡展示会 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1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台</a:t>
          </a:r>
        </a:p>
      </xdr:txBody>
    </xdr:sp>
    <xdr:clientData/>
  </xdr:twoCellAnchor>
  <xdr:twoCellAnchor>
    <xdr:from>
      <xdr:col>29</xdr:col>
      <xdr:colOff>95250</xdr:colOff>
      <xdr:row>40</xdr:row>
      <xdr:rowOff>85725</xdr:rowOff>
    </xdr:from>
    <xdr:to>
      <xdr:col>30</xdr:col>
      <xdr:colOff>304800</xdr:colOff>
      <xdr:row>49</xdr:row>
      <xdr:rowOff>266700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603298C-5C10-D267-0F6A-04EA55699A48}"/>
            </a:ext>
            <a:ext uri="{147F2762-F138-4A5C-976F-8EAC2B608ADB}">
              <a16:predDERef xmlns:a16="http://schemas.microsoft.com/office/drawing/2014/main" pred="{2BFDABAE-F76D-6755-5840-936CE601B430}"/>
            </a:ext>
          </a:extLst>
        </xdr:cNvPr>
        <xdr:cNvSpPr txBox="1"/>
      </xdr:nvSpPr>
      <xdr:spPr>
        <a:xfrm>
          <a:off x="13611225" y="14763750"/>
          <a:ext cx="619125" cy="3609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デンソー</a:t>
          </a:r>
        </a:p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春日井工場見学後の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Facilea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体験会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(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PC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のみ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)10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台使用</a:t>
          </a:r>
        </a:p>
      </xdr:txBody>
    </xdr:sp>
    <xdr:clientData/>
  </xdr:twoCellAnchor>
  <xdr:twoCellAnchor>
    <xdr:from>
      <xdr:col>25</xdr:col>
      <xdr:colOff>114300</xdr:colOff>
      <xdr:row>51</xdr:row>
      <xdr:rowOff>304800</xdr:rowOff>
    </xdr:from>
    <xdr:to>
      <xdr:col>28</xdr:col>
      <xdr:colOff>219075</xdr:colOff>
      <xdr:row>58</xdr:row>
      <xdr:rowOff>123825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7C3221B3-431D-4D3C-9203-8046F1D27089}"/>
            </a:ext>
            <a:ext uri="{147F2762-F138-4A5C-976F-8EAC2B608ADB}">
              <a16:predDERef xmlns:a16="http://schemas.microsoft.com/office/drawing/2014/main" pred="{4603298C-5C10-D267-0F6A-04EA55699A48}"/>
            </a:ext>
          </a:extLst>
        </xdr:cNvPr>
        <xdr:cNvSpPr txBox="1"/>
      </xdr:nvSpPr>
      <xdr:spPr>
        <a:xfrm>
          <a:off x="11991975" y="19173825"/>
          <a:ext cx="1333500" cy="2486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スズデン東京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Facilea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体験会</a:t>
          </a:r>
        </a:p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実機必要なし</a:t>
          </a:r>
        </a:p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ドングルのみ借用</a:t>
          </a:r>
        </a:p>
      </xdr:txBody>
    </xdr:sp>
    <xdr:clientData/>
  </xdr:twoCellAnchor>
  <xdr:twoCellAnchor>
    <xdr:from>
      <xdr:col>25</xdr:col>
      <xdr:colOff>28575</xdr:colOff>
      <xdr:row>9</xdr:row>
      <xdr:rowOff>38100</xdr:rowOff>
    </xdr:from>
    <xdr:to>
      <xdr:col>31</xdr:col>
      <xdr:colOff>314325</xdr:colOff>
      <xdr:row>12</xdr:row>
      <xdr:rowOff>333375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D43C175-2A40-4C6A-B7D6-C04919D9C1C6}"/>
            </a:ext>
            <a:ext uri="{147F2762-F138-4A5C-976F-8EAC2B608ADB}">
              <a16:predDERef xmlns:a16="http://schemas.microsoft.com/office/drawing/2014/main" pred="{7C3221B3-431D-4D3C-9203-8046F1D27089}"/>
            </a:ext>
          </a:extLst>
        </xdr:cNvPr>
        <xdr:cNvSpPr txBox="1"/>
      </xdr:nvSpPr>
      <xdr:spPr>
        <a:xfrm>
          <a:off x="11906250" y="2905125"/>
          <a:ext cx="2743200" cy="1438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甲神電機体験会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使用者：渡邊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発送希望日：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8/18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or19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使用日：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8/25,26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送り先：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CKD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岡山営業所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返却先：小牧本社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2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台、松本営業所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2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台</a:t>
          </a:r>
        </a:p>
      </xdr:txBody>
    </xdr:sp>
    <xdr:clientData/>
  </xdr:twoCellAnchor>
  <xdr:twoCellAnchor>
    <xdr:from>
      <xdr:col>24</xdr:col>
      <xdr:colOff>171450</xdr:colOff>
      <xdr:row>60</xdr:row>
      <xdr:rowOff>47625</xdr:rowOff>
    </xdr:from>
    <xdr:to>
      <xdr:col>30</xdr:col>
      <xdr:colOff>295275</xdr:colOff>
      <xdr:row>63</xdr:row>
      <xdr:rowOff>276225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4EF85B49-31B4-4D89-A470-C40912190410}"/>
            </a:ext>
            <a:ext uri="{147F2762-F138-4A5C-976F-8EAC2B608ADB}">
              <a16:predDERef xmlns:a16="http://schemas.microsoft.com/office/drawing/2014/main" pred="{0D43C175-2A40-4C6A-B7D6-C04919D9C1C6}"/>
            </a:ext>
          </a:extLst>
        </xdr:cNvPr>
        <xdr:cNvSpPr txBox="1"/>
      </xdr:nvSpPr>
      <xdr:spPr>
        <a:xfrm>
          <a:off x="11639550" y="22345650"/>
          <a:ext cx="2581275" cy="137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甲神電機体験会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使用者：渡邊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発送希望日：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8/18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or19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使用日：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8/25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送り先：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CKD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岡山営業所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返却先：小牧本社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2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台、松本営業所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2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台</a:t>
          </a:r>
        </a:p>
      </xdr:txBody>
    </xdr:sp>
    <xdr:clientData/>
  </xdr:twoCellAnchor>
  <xdr:twoCellAnchor>
    <xdr:from>
      <xdr:col>2</xdr:col>
      <xdr:colOff>104775</xdr:colOff>
      <xdr:row>53</xdr:row>
      <xdr:rowOff>152400</xdr:rowOff>
    </xdr:from>
    <xdr:to>
      <xdr:col>6</xdr:col>
      <xdr:colOff>180975</xdr:colOff>
      <xdr:row>54</xdr:row>
      <xdr:rowOff>114300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0BCC805-BC1B-485D-B050-332FD0BB4CDD}"/>
            </a:ext>
            <a:ext uri="{147F2762-F138-4A5C-976F-8EAC2B608ADB}">
              <a16:predDERef xmlns:a16="http://schemas.microsoft.com/office/drawing/2014/main" pred="{4EF85B49-31B4-4D89-A470-C40912190410}"/>
            </a:ext>
          </a:extLst>
        </xdr:cNvPr>
        <xdr:cNvSpPr txBox="1"/>
      </xdr:nvSpPr>
      <xdr:spPr>
        <a:xfrm>
          <a:off x="2562225" y="19783425"/>
          <a:ext cx="17145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テクスパイア</a:t>
          </a:r>
        </a:p>
      </xdr:txBody>
    </xdr:sp>
    <xdr:clientData/>
  </xdr:twoCellAnchor>
  <xdr:twoCellAnchor>
    <xdr:from>
      <xdr:col>5</xdr:col>
      <xdr:colOff>152400</xdr:colOff>
      <xdr:row>56</xdr:row>
      <xdr:rowOff>95250</xdr:rowOff>
    </xdr:from>
    <xdr:to>
      <xdr:col>7</xdr:col>
      <xdr:colOff>285750</xdr:colOff>
      <xdr:row>60</xdr:row>
      <xdr:rowOff>247650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27888124-00F8-ABA4-4E1F-0806E0D23609}"/>
            </a:ext>
            <a:ext uri="{147F2762-F138-4A5C-976F-8EAC2B608ADB}">
              <a16:predDERef xmlns:a16="http://schemas.microsoft.com/office/drawing/2014/main" pred="{30BCC805-BC1B-485D-B050-332FD0BB4CDD}"/>
            </a:ext>
          </a:extLst>
        </xdr:cNvPr>
        <xdr:cNvSpPr txBox="1"/>
      </xdr:nvSpPr>
      <xdr:spPr>
        <a:xfrm>
          <a:off x="3838575" y="20869275"/>
          <a:ext cx="952500" cy="167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明治電機工業</a:t>
          </a:r>
        </a:p>
      </xdr:txBody>
    </xdr:sp>
    <xdr:clientData/>
  </xdr:twoCellAnchor>
  <xdr:twoCellAnchor>
    <xdr:from>
      <xdr:col>11</xdr:col>
      <xdr:colOff>219075</xdr:colOff>
      <xdr:row>52</xdr:row>
      <xdr:rowOff>371475</xdr:rowOff>
    </xdr:from>
    <xdr:to>
      <xdr:col>15</xdr:col>
      <xdr:colOff>295275</xdr:colOff>
      <xdr:row>53</xdr:row>
      <xdr:rowOff>333375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C6546E87-F73D-4462-9DE7-B6C345E4DFE3}"/>
            </a:ext>
            <a:ext uri="{147F2762-F138-4A5C-976F-8EAC2B608ADB}">
              <a16:predDERef xmlns:a16="http://schemas.microsoft.com/office/drawing/2014/main" pred="{27888124-00F8-ABA4-4E1F-0806E0D23609}"/>
            </a:ext>
          </a:extLst>
        </xdr:cNvPr>
        <xdr:cNvSpPr txBox="1"/>
      </xdr:nvSpPr>
      <xdr:spPr>
        <a:xfrm>
          <a:off x="6362700" y="19621500"/>
          <a:ext cx="17145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仙台　平井さん</a:t>
          </a:r>
        </a:p>
      </xdr:txBody>
    </xdr:sp>
    <xdr:clientData/>
  </xdr:twoCellAnchor>
  <xdr:twoCellAnchor>
    <xdr:from>
      <xdr:col>26</xdr:col>
      <xdr:colOff>85725</xdr:colOff>
      <xdr:row>30</xdr:row>
      <xdr:rowOff>161925</xdr:rowOff>
    </xdr:from>
    <xdr:to>
      <xdr:col>30</xdr:col>
      <xdr:colOff>352425</xdr:colOff>
      <xdr:row>31</xdr:row>
      <xdr:rowOff>219075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3370EA7-ACD0-4F4A-A4DF-091EF88FFF1A}"/>
            </a:ext>
            <a:ext uri="{147F2762-F138-4A5C-976F-8EAC2B608ADB}">
              <a16:predDERef xmlns:a16="http://schemas.microsoft.com/office/drawing/2014/main" pred="{C6546E87-F73D-4462-9DE7-B6C345E4DFE3}"/>
            </a:ext>
          </a:extLst>
        </xdr:cNvPr>
        <xdr:cNvSpPr txBox="1"/>
      </xdr:nvSpPr>
      <xdr:spPr>
        <a:xfrm>
          <a:off x="12372975" y="11029950"/>
          <a:ext cx="190500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静岡展示会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PC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は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2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台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8</xdr:row>
      <xdr:rowOff>57150</xdr:rowOff>
    </xdr:from>
    <xdr:to>
      <xdr:col>7</xdr:col>
      <xdr:colOff>19050</xdr:colOff>
      <xdr:row>16</xdr:row>
      <xdr:rowOff>266700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F5603ED-C769-4149-AA57-203DB83D6E8B}"/>
            </a:ext>
            <a:ext uri="{147F2762-F138-4A5C-976F-8EAC2B608ADB}">
              <a16:predDERef xmlns:a16="http://schemas.microsoft.com/office/drawing/2014/main" pred="{22A33851-ABE4-48A3-897B-60E14C134984}"/>
            </a:ext>
          </a:extLst>
        </xdr:cNvPr>
        <xdr:cNvSpPr txBox="1"/>
      </xdr:nvSpPr>
      <xdr:spPr>
        <a:xfrm>
          <a:off x="2495550" y="2543175"/>
          <a:ext cx="2028825" cy="3257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秋田産業技術センター</a:t>
          </a:r>
        </a:p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服部</a:t>
          </a:r>
        </a:p>
      </xdr:txBody>
    </xdr:sp>
    <xdr:clientData/>
  </xdr:twoCellAnchor>
  <xdr:twoCellAnchor>
    <xdr:from>
      <xdr:col>2</xdr:col>
      <xdr:colOff>114300</xdr:colOff>
      <xdr:row>40</xdr:row>
      <xdr:rowOff>161925</xdr:rowOff>
    </xdr:from>
    <xdr:to>
      <xdr:col>6</xdr:col>
      <xdr:colOff>304800</xdr:colOff>
      <xdr:row>48</xdr:row>
      <xdr:rowOff>314325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2ACE3B6-57D2-40FE-B9A5-7474289DC470}"/>
            </a:ext>
            <a:ext uri="{147F2762-F138-4A5C-976F-8EAC2B608ADB}">
              <a16:predDERef xmlns:a16="http://schemas.microsoft.com/office/drawing/2014/main" pred="{BF5603ED-C769-4149-AA57-203DB83D6E8B}"/>
            </a:ext>
          </a:extLst>
        </xdr:cNvPr>
        <xdr:cNvSpPr txBox="1"/>
      </xdr:nvSpPr>
      <xdr:spPr>
        <a:xfrm>
          <a:off x="2571750" y="14839950"/>
          <a:ext cx="1828800" cy="320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秋田産業技術センター</a:t>
          </a:r>
        </a:p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服部</a:t>
          </a:r>
        </a:p>
        <a:p>
          <a:pPr marL="0" indent="0" algn="l"/>
          <a:endParaRPr lang="ja-JP" alt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66675</xdr:colOff>
      <xdr:row>8</xdr:row>
      <xdr:rowOff>104775</xdr:rowOff>
    </xdr:from>
    <xdr:to>
      <xdr:col>13</xdr:col>
      <xdr:colOff>323850</xdr:colOff>
      <xdr:row>12</xdr:row>
      <xdr:rowOff>295275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FF9B0ED-3E1A-4D9B-BED1-D26C585D28F6}"/>
            </a:ext>
            <a:ext uri="{147F2762-F138-4A5C-976F-8EAC2B608ADB}">
              <a16:predDERef xmlns:a16="http://schemas.microsoft.com/office/drawing/2014/main" pred="{72ACE3B6-57D2-40FE-B9A5-7474289DC470}"/>
            </a:ext>
          </a:extLst>
        </xdr:cNvPr>
        <xdr:cNvSpPr txBox="1"/>
      </xdr:nvSpPr>
      <xdr:spPr>
        <a:xfrm>
          <a:off x="5391150" y="2590800"/>
          <a:ext cx="1895475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9/9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：東海理化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in CKD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小牧</a:t>
          </a:r>
        </a:p>
        <a:p>
          <a:pPr marL="0" indent="0" algn="l"/>
          <a:endParaRPr lang="ja-JP" alt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9/11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：デンソーワイズテック</a:t>
          </a:r>
        </a:p>
      </xdr:txBody>
    </xdr:sp>
    <xdr:clientData/>
  </xdr:twoCellAnchor>
  <xdr:twoCellAnchor>
    <xdr:from>
      <xdr:col>14</xdr:col>
      <xdr:colOff>206189</xdr:colOff>
      <xdr:row>8</xdr:row>
      <xdr:rowOff>152400</xdr:rowOff>
    </xdr:from>
    <xdr:to>
      <xdr:col>31</xdr:col>
      <xdr:colOff>197224</xdr:colOff>
      <xdr:row>29</xdr:row>
      <xdr:rowOff>190500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4487E28-E7F1-4653-9E68-663420417062}"/>
            </a:ext>
            <a:ext uri="{147F2762-F138-4A5C-976F-8EAC2B608ADB}">
              <a16:predDERef xmlns:a16="http://schemas.microsoft.com/office/drawing/2014/main" pred="{3FF9B0ED-3E1A-4D9B-BED1-D26C585D28F6}"/>
            </a:ext>
          </a:extLst>
        </xdr:cNvPr>
        <xdr:cNvSpPr txBox="1"/>
      </xdr:nvSpPr>
      <xdr:spPr>
        <a:xfrm>
          <a:off x="7449671" y="2662518"/>
          <a:ext cx="6849035" cy="81332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大阪営業部代理店共創体験会</a:t>
          </a:r>
        </a:p>
        <a:p>
          <a:pPr marL="0" indent="0" algn="l"/>
          <a:endParaRPr lang="ja-JP" alt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　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16~19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日：上岡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/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杉本（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19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日は大阪に輸送）</a:t>
          </a:r>
        </a:p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　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22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日：上岡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/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杉本（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23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日大阪→神戸輸送：上岡）</a:t>
          </a:r>
        </a:p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　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24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日：上岡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/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山下</a:t>
          </a:r>
        </a:p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　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25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日：上岡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/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杉本</a:t>
          </a:r>
        </a:p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　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26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日：山下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/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浅井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/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杉本</a:t>
          </a:r>
        </a:p>
        <a:p>
          <a:pPr marL="0" indent="0" algn="l"/>
          <a:endParaRPr lang="ja-JP" alt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ja-JP" alt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66675</xdr:colOff>
      <xdr:row>40</xdr:row>
      <xdr:rowOff>76200</xdr:rowOff>
    </xdr:from>
    <xdr:to>
      <xdr:col>13</xdr:col>
      <xdr:colOff>323850</xdr:colOff>
      <xdr:row>44</xdr:row>
      <xdr:rowOff>266700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37DC778-5EA3-43BA-B585-991B14C1C185}"/>
            </a:ext>
            <a:ext uri="{147F2762-F138-4A5C-976F-8EAC2B608ADB}">
              <a16:predDERef xmlns:a16="http://schemas.microsoft.com/office/drawing/2014/main" pred="{C4487E28-E7F1-4653-9E68-663420417062}"/>
            </a:ext>
          </a:extLst>
        </xdr:cNvPr>
        <xdr:cNvSpPr txBox="1"/>
      </xdr:nvSpPr>
      <xdr:spPr>
        <a:xfrm>
          <a:off x="5391150" y="14754225"/>
          <a:ext cx="1895475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9/9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：東海理化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in CKD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小牧</a:t>
          </a:r>
        </a:p>
        <a:p>
          <a:pPr marL="0" indent="0" algn="l"/>
          <a:endParaRPr lang="ja-JP" alt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9/11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：デンソーワイズテック</a:t>
          </a:r>
        </a:p>
      </xdr:txBody>
    </xdr:sp>
    <xdr:clientData/>
  </xdr:twoCellAnchor>
  <xdr:twoCellAnchor>
    <xdr:from>
      <xdr:col>9</xdr:col>
      <xdr:colOff>84604</xdr:colOff>
      <xdr:row>13</xdr:row>
      <xdr:rowOff>160245</xdr:rowOff>
    </xdr:from>
    <xdr:to>
      <xdr:col>13</xdr:col>
      <xdr:colOff>341779</xdr:colOff>
      <xdr:row>17</xdr:row>
      <xdr:rowOff>350744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EB2936A3-83E1-424E-A4F3-3ADA43940681}"/>
            </a:ext>
            <a:ext uri="{147F2762-F138-4A5C-976F-8EAC2B608ADB}">
              <a16:predDERef xmlns:a16="http://schemas.microsoft.com/office/drawing/2014/main" pred="{437DC778-5EA3-43BA-B585-991B14C1C185}"/>
            </a:ext>
          </a:extLst>
        </xdr:cNvPr>
        <xdr:cNvSpPr txBox="1"/>
      </xdr:nvSpPr>
      <xdr:spPr>
        <a:xfrm>
          <a:off x="5311028" y="4597774"/>
          <a:ext cx="1870822" cy="17324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9/9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：北九州営業所三共商事体験会</a:t>
          </a:r>
        </a:p>
      </xdr:txBody>
    </xdr:sp>
    <xdr:clientData/>
  </xdr:twoCellAnchor>
  <xdr:twoCellAnchor>
    <xdr:from>
      <xdr:col>9</xdr:col>
      <xdr:colOff>84604</xdr:colOff>
      <xdr:row>45</xdr:row>
      <xdr:rowOff>160245</xdr:rowOff>
    </xdr:from>
    <xdr:to>
      <xdr:col>13</xdr:col>
      <xdr:colOff>341779</xdr:colOff>
      <xdr:row>49</xdr:row>
      <xdr:rowOff>350744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4460547E-6671-48BC-A56C-AF39070FD8E5}"/>
            </a:ext>
            <a:ext uri="{147F2762-F138-4A5C-976F-8EAC2B608ADB}">
              <a16:predDERef xmlns:a16="http://schemas.microsoft.com/office/drawing/2014/main" pred="{72ACE3B6-57D2-40FE-B9A5-7474289DC470}"/>
            </a:ext>
          </a:extLst>
        </xdr:cNvPr>
        <xdr:cNvSpPr txBox="1"/>
      </xdr:nvSpPr>
      <xdr:spPr>
        <a:xfrm>
          <a:off x="5311028" y="4597774"/>
          <a:ext cx="1870822" cy="17324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9/9~10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：北九州営業所三共商事体験会？</a:t>
          </a:r>
        </a:p>
      </xdr:txBody>
    </xdr:sp>
    <xdr:clientData/>
  </xdr:twoCellAnchor>
  <xdr:twoCellAnchor>
    <xdr:from>
      <xdr:col>14</xdr:col>
      <xdr:colOff>152400</xdr:colOff>
      <xdr:row>40</xdr:row>
      <xdr:rowOff>161365</xdr:rowOff>
    </xdr:from>
    <xdr:to>
      <xdr:col>31</xdr:col>
      <xdr:colOff>143435</xdr:colOff>
      <xdr:row>61</xdr:row>
      <xdr:rowOff>199465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3233F532-69C1-402A-8517-5700AE14C2E3}"/>
            </a:ext>
            <a:ext uri="{147F2762-F138-4A5C-976F-8EAC2B608ADB}">
              <a16:predDERef xmlns:a16="http://schemas.microsoft.com/office/drawing/2014/main" pred="{E7231BBB-2544-494F-98E1-72A161DA742D}"/>
            </a:ext>
          </a:extLst>
        </xdr:cNvPr>
        <xdr:cNvSpPr txBox="1"/>
      </xdr:nvSpPr>
      <xdr:spPr>
        <a:xfrm>
          <a:off x="7395882" y="15006918"/>
          <a:ext cx="6849035" cy="81332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大阪営業部代理店共創体験会</a:t>
          </a:r>
          <a:b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16~19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日：上岡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/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杉本</a:t>
          </a:r>
          <a:b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</a:b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22~26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日：上岡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/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山下</a:t>
          </a:r>
        </a:p>
      </xdr:txBody>
    </xdr:sp>
    <xdr:clientData/>
  </xdr:twoCellAnchor>
  <xdr:twoCellAnchor editAs="oneCell">
    <xdr:from>
      <xdr:col>15</xdr:col>
      <xdr:colOff>134470</xdr:colOff>
      <xdr:row>42</xdr:row>
      <xdr:rowOff>170329</xdr:rowOff>
    </xdr:from>
    <xdr:to>
      <xdr:col>25</xdr:col>
      <xdr:colOff>376542</xdr:colOff>
      <xdr:row>48</xdr:row>
      <xdr:rowOff>292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F509C987-7158-49EF-B453-8F6BC84DA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364" y="15786847"/>
          <a:ext cx="4276190" cy="2142857"/>
        </a:xfrm>
        <a:prstGeom prst="rect">
          <a:avLst/>
        </a:prstGeom>
      </xdr:spPr>
    </xdr:pic>
    <xdr:clientData/>
  </xdr:twoCellAnchor>
  <xdr:twoCellAnchor editAs="oneCell">
    <xdr:from>
      <xdr:col>15</xdr:col>
      <xdr:colOff>314325</xdr:colOff>
      <xdr:row>11</xdr:row>
      <xdr:rowOff>333375</xdr:rowOff>
    </xdr:from>
    <xdr:to>
      <xdr:col>24</xdr:col>
      <xdr:colOff>76200</xdr:colOff>
      <xdr:row>16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1C2CFCB-AB3F-8E23-81D9-D5466D50F828}"/>
            </a:ext>
            <a:ext uri="{147F2762-F138-4A5C-976F-8EAC2B608ADB}">
              <a16:predDERef xmlns:a16="http://schemas.microsoft.com/office/drawing/2014/main" pred="{F509C987-7158-49EF-B453-8F6BC84DA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0" y="3962400"/>
          <a:ext cx="3448050" cy="1638300"/>
        </a:xfrm>
        <a:prstGeom prst="rect">
          <a:avLst/>
        </a:prstGeom>
      </xdr:spPr>
    </xdr:pic>
    <xdr:clientData/>
  </xdr:twoCellAnchor>
  <xdr:twoCellAnchor>
    <xdr:from>
      <xdr:col>1</xdr:col>
      <xdr:colOff>2181225</xdr:colOff>
      <xdr:row>17</xdr:row>
      <xdr:rowOff>57150</xdr:rowOff>
    </xdr:from>
    <xdr:to>
      <xdr:col>6</xdr:col>
      <xdr:colOff>361950</xdr:colOff>
      <xdr:row>19</xdr:row>
      <xdr:rowOff>371475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32CF999B-0681-4CC6-B876-9EADBEA29737}"/>
            </a:ext>
            <a:ext uri="{147F2762-F138-4A5C-976F-8EAC2B608ADB}">
              <a16:predDERef xmlns:a16="http://schemas.microsoft.com/office/drawing/2014/main" pred="{C1C2CFCB-AB3F-8E23-81D9-D5466D50F828}"/>
            </a:ext>
          </a:extLst>
        </xdr:cNvPr>
        <xdr:cNvSpPr txBox="1"/>
      </xdr:nvSpPr>
      <xdr:spPr>
        <a:xfrm>
          <a:off x="2428875" y="5972175"/>
          <a:ext cx="2028825" cy="1076325"/>
        </a:xfrm>
        <a:prstGeom prst="rect">
          <a:avLst/>
        </a:prstGeom>
        <a:solidFill>
          <a:schemeClr val="lt1"/>
        </a:solidFill>
        <a:ln w="9525" cmpd="sng">
          <a:solidFill>
            <a:srgbClr val="0070BF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アルファ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―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システム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使用者：渡邊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発送希望日：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8/26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使用日：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9/2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送り先：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CKD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松本営業所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返却先：小牧本社</a:t>
          </a:r>
        </a:p>
      </xdr:txBody>
    </xdr:sp>
    <xdr:clientData/>
  </xdr:twoCellAnchor>
  <xdr:twoCellAnchor>
    <xdr:from>
      <xdr:col>1</xdr:col>
      <xdr:colOff>2200275</xdr:colOff>
      <xdr:row>49</xdr:row>
      <xdr:rowOff>57150</xdr:rowOff>
    </xdr:from>
    <xdr:to>
      <xdr:col>6</xdr:col>
      <xdr:colOff>381000</xdr:colOff>
      <xdr:row>50</xdr:row>
      <xdr:rowOff>295275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348B6FFF-61B3-43B5-9F23-D9311E1C6ED3}"/>
            </a:ext>
            <a:ext uri="{147F2762-F138-4A5C-976F-8EAC2B608ADB}">
              <a16:predDERef xmlns:a16="http://schemas.microsoft.com/office/drawing/2014/main" pred="{32CF999B-0681-4CC6-B876-9EADBEA29737}"/>
            </a:ext>
          </a:extLst>
        </xdr:cNvPr>
        <xdr:cNvSpPr txBox="1"/>
      </xdr:nvSpPr>
      <xdr:spPr>
        <a:xfrm>
          <a:off x="2447925" y="18164175"/>
          <a:ext cx="2028825" cy="619125"/>
        </a:xfrm>
        <a:prstGeom prst="rect">
          <a:avLst/>
        </a:prstGeom>
        <a:solidFill>
          <a:schemeClr val="lt1"/>
        </a:solidFill>
        <a:ln w="9525" cmpd="sng">
          <a:solidFill>
            <a:srgbClr val="0070BF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アルファ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―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システム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使用者：渡邊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発送希望日：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8/26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使用日：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9/2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送り先：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CKD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松本営業所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返却先：小牧本社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224118</xdr:colOff>
      <xdr:row>8</xdr:row>
      <xdr:rowOff>134471</xdr:rowOff>
    </xdr:from>
    <xdr:to>
      <xdr:col>31</xdr:col>
      <xdr:colOff>179294</xdr:colOff>
      <xdr:row>29</xdr:row>
      <xdr:rowOff>161365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326A3D5-F64E-41A0-BA66-B14DCF4458DD}"/>
            </a:ext>
            <a:ext uri="{147F2762-F138-4A5C-976F-8EAC2B608ADB}">
              <a16:predDERef xmlns:a16="http://schemas.microsoft.com/office/drawing/2014/main" pred="{3FF9B0ED-3E1A-4D9B-BED1-D26C585D28F6}"/>
            </a:ext>
          </a:extLst>
        </xdr:cNvPr>
        <xdr:cNvSpPr txBox="1"/>
      </xdr:nvSpPr>
      <xdr:spPr>
        <a:xfrm>
          <a:off x="2626659" y="2644589"/>
          <a:ext cx="11654117" cy="81220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代理店主催ユーザー体験会（仮）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8</xdr:row>
      <xdr:rowOff>333375</xdr:rowOff>
    </xdr:from>
    <xdr:to>
      <xdr:col>10</xdr:col>
      <xdr:colOff>219075</xdr:colOff>
      <xdr:row>16</xdr:row>
      <xdr:rowOff>266700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9571967-E98D-E945-AD24-A557D104F67F}"/>
            </a:ext>
          </a:extLst>
        </xdr:cNvPr>
        <xdr:cNvSpPr txBox="1"/>
      </xdr:nvSpPr>
      <xdr:spPr>
        <a:xfrm>
          <a:off x="4457700" y="2819400"/>
          <a:ext cx="1495425" cy="2981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IVI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鳥取</a:t>
          </a:r>
        </a:p>
      </xdr:txBody>
    </xdr:sp>
    <xdr:clientData/>
  </xdr:twoCellAnchor>
  <xdr:twoCellAnchor>
    <xdr:from>
      <xdr:col>6</xdr:col>
      <xdr:colOff>200025</xdr:colOff>
      <xdr:row>41</xdr:row>
      <xdr:rowOff>114300</xdr:rowOff>
    </xdr:from>
    <xdr:to>
      <xdr:col>10</xdr:col>
      <xdr:colOff>57150</xdr:colOff>
      <xdr:row>49</xdr:row>
      <xdr:rowOff>47625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C34F972-489D-4A1B-B366-C683C4DB2085}"/>
            </a:ext>
            <a:ext uri="{147F2762-F138-4A5C-976F-8EAC2B608ADB}">
              <a16:predDERef xmlns:a16="http://schemas.microsoft.com/office/drawing/2014/main" pred="{19571967-E98D-E945-AD24-A557D104F67F}"/>
            </a:ext>
          </a:extLst>
        </xdr:cNvPr>
        <xdr:cNvSpPr txBox="1"/>
      </xdr:nvSpPr>
      <xdr:spPr>
        <a:xfrm>
          <a:off x="4295775" y="15173325"/>
          <a:ext cx="1495425" cy="2981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IVI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鳥取</a:t>
          </a:r>
        </a:p>
      </xdr:txBody>
    </xdr:sp>
    <xdr:clientData/>
  </xdr:twoCellAnchor>
  <xdr:twoCellAnchor>
    <xdr:from>
      <xdr:col>12</xdr:col>
      <xdr:colOff>188259</xdr:colOff>
      <xdr:row>8</xdr:row>
      <xdr:rowOff>107577</xdr:rowOff>
    </xdr:from>
    <xdr:to>
      <xdr:col>31</xdr:col>
      <xdr:colOff>206189</xdr:colOff>
      <xdr:row>29</xdr:row>
      <xdr:rowOff>179294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FA1BAB8-329E-42D9-99A6-DB101B26B176}"/>
            </a:ext>
            <a:ext uri="{147F2762-F138-4A5C-976F-8EAC2B608ADB}">
              <a16:predDERef xmlns:a16="http://schemas.microsoft.com/office/drawing/2014/main" pred="{3FF9B0ED-3E1A-4D9B-BED1-D26C585D28F6}"/>
            </a:ext>
          </a:extLst>
        </xdr:cNvPr>
        <xdr:cNvSpPr txBox="1"/>
      </xdr:nvSpPr>
      <xdr:spPr>
        <a:xfrm>
          <a:off x="6624918" y="2617695"/>
          <a:ext cx="7682753" cy="81668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代理店主催ユーザー体験会（仮）</a:t>
          </a:r>
        </a:p>
      </xdr:txBody>
    </xdr:sp>
    <xdr:clientData/>
  </xdr:twoCellAnchor>
  <xdr:twoCellAnchor>
    <xdr:from>
      <xdr:col>2</xdr:col>
      <xdr:colOff>215153</xdr:colOff>
      <xdr:row>19</xdr:row>
      <xdr:rowOff>197223</xdr:rowOff>
    </xdr:from>
    <xdr:to>
      <xdr:col>11</xdr:col>
      <xdr:colOff>188259</xdr:colOff>
      <xdr:row>29</xdr:row>
      <xdr:rowOff>179294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8D6CC4C-8ED4-4F99-A4FE-5E975A0CBDAA}"/>
            </a:ext>
            <a:ext uri="{147F2762-F138-4A5C-976F-8EAC2B608ADB}">
              <a16:predDERef xmlns:a16="http://schemas.microsoft.com/office/drawing/2014/main" pred="{3FF9B0ED-3E1A-4D9B-BED1-D26C585D28F6}"/>
            </a:ext>
          </a:extLst>
        </xdr:cNvPr>
        <xdr:cNvSpPr txBox="1"/>
      </xdr:nvSpPr>
      <xdr:spPr>
        <a:xfrm>
          <a:off x="2617694" y="6947647"/>
          <a:ext cx="3603812" cy="38368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代理店主催ユーザー体験会（仮）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11</xdr:row>
      <xdr:rowOff>123825</xdr:rowOff>
    </xdr:from>
    <xdr:to>
      <xdr:col>6</xdr:col>
      <xdr:colOff>190500</xdr:colOff>
      <xdr:row>21</xdr:row>
      <xdr:rowOff>333375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A05406E-82D0-41D5-8334-EBEB7AC83193}"/>
            </a:ext>
            <a:ext uri="{147F2762-F138-4A5C-976F-8EAC2B608ADB}">
              <a16:predDERef xmlns:a16="http://schemas.microsoft.com/office/drawing/2014/main" pred="{715B06F7-2B17-4B21-B9B3-8EAF9924E4BC}"/>
            </a:ext>
          </a:extLst>
        </xdr:cNvPr>
        <xdr:cNvSpPr txBox="1"/>
      </xdr:nvSpPr>
      <xdr:spPr>
        <a:xfrm>
          <a:off x="3400425" y="3752850"/>
          <a:ext cx="876300" cy="401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ロボテク体験会</a:t>
          </a:r>
        </a:p>
      </xdr:txBody>
    </xdr:sp>
    <xdr:clientData/>
  </xdr:twoCellAnchor>
  <xdr:twoCellAnchor>
    <xdr:from>
      <xdr:col>10</xdr:col>
      <xdr:colOff>95250</xdr:colOff>
      <xdr:row>11</xdr:row>
      <xdr:rowOff>123825</xdr:rowOff>
    </xdr:from>
    <xdr:to>
      <xdr:col>11</xdr:col>
      <xdr:colOff>285750</xdr:colOff>
      <xdr:row>21</xdr:row>
      <xdr:rowOff>333375</xdr:rowOff>
    </xdr:to>
    <xdr:sp macro="" textlink="">
      <xdr:nvSpPr>
        <xdr:cNvPr id="3" name="テキスト ボックス 1">
          <a:extLst>
            <a:ext uri="{FF2B5EF4-FFF2-40B4-BE49-F238E27FC236}">
              <a16:creationId xmlns:a16="http://schemas.microsoft.com/office/drawing/2014/main" id="{1BEC5175-E131-4393-8339-F3AF93F70DA0}"/>
            </a:ext>
            <a:ext uri="{147F2762-F138-4A5C-976F-8EAC2B608ADB}">
              <a16:predDERef xmlns:a16="http://schemas.microsoft.com/office/drawing/2014/main" pred="{3A05406E-82D0-41D5-8334-EBEB7AC83193}"/>
            </a:ext>
          </a:extLst>
        </xdr:cNvPr>
        <xdr:cNvSpPr txBox="1"/>
      </xdr:nvSpPr>
      <xdr:spPr>
        <a:xfrm>
          <a:off x="5819775" y="3752850"/>
          <a:ext cx="600075" cy="401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小牧代理店体験会</a:t>
          </a:r>
        </a:p>
      </xdr:txBody>
    </xdr:sp>
    <xdr:clientData/>
  </xdr:twoCellAnchor>
  <xdr:twoCellAnchor>
    <xdr:from>
      <xdr:col>20</xdr:col>
      <xdr:colOff>171450</xdr:colOff>
      <xdr:row>8</xdr:row>
      <xdr:rowOff>66675</xdr:rowOff>
    </xdr:from>
    <xdr:to>
      <xdr:col>32</xdr:col>
      <xdr:colOff>114300</xdr:colOff>
      <xdr:row>8</xdr:row>
      <xdr:rowOff>276225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96C1DE8-338B-BF11-0E9B-AC13D8D79D65}"/>
            </a:ext>
            <a:ext uri="{147F2762-F138-4A5C-976F-8EAC2B608ADB}">
              <a16:predDERef xmlns:a16="http://schemas.microsoft.com/office/drawing/2014/main" pred="{1BEC5175-E131-4393-8339-F3AF93F70DA0}"/>
            </a:ext>
          </a:extLst>
        </xdr:cNvPr>
        <xdr:cNvSpPr txBox="1"/>
      </xdr:nvSpPr>
      <xdr:spPr>
        <a:xfrm>
          <a:off x="9991725" y="2552700"/>
          <a:ext cx="48577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静岡代理店　展示会出展用</a:t>
          </a:r>
        </a:p>
      </xdr:txBody>
    </xdr:sp>
    <xdr:clientData/>
  </xdr:twoCellAnchor>
  <xdr:twoCellAnchor>
    <xdr:from>
      <xdr:col>20</xdr:col>
      <xdr:colOff>180975</xdr:colOff>
      <xdr:row>19</xdr:row>
      <xdr:rowOff>85725</xdr:rowOff>
    </xdr:from>
    <xdr:to>
      <xdr:col>32</xdr:col>
      <xdr:colOff>190500</xdr:colOff>
      <xdr:row>19</xdr:row>
      <xdr:rowOff>257175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5777F53-1AE0-A846-0EFB-FA35DA550748}"/>
            </a:ext>
            <a:ext uri="{147F2762-F138-4A5C-976F-8EAC2B608ADB}">
              <a16:predDERef xmlns:a16="http://schemas.microsoft.com/office/drawing/2014/main" pred="{496C1DE8-338B-BF11-0E9B-AC13D8D79D65}"/>
            </a:ext>
          </a:extLst>
        </xdr:cNvPr>
        <xdr:cNvSpPr txBox="1"/>
      </xdr:nvSpPr>
      <xdr:spPr>
        <a:xfrm>
          <a:off x="10001250" y="6762750"/>
          <a:ext cx="4924425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静岡代理店　展示会出展用</a:t>
          </a:r>
        </a:p>
        <a:p>
          <a:pPr marL="0" indent="0" algn="l"/>
          <a:endParaRPr lang="ja-JP" alt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18</xdr:col>
      <xdr:colOff>238125</xdr:colOff>
      <xdr:row>9</xdr:row>
      <xdr:rowOff>247650</xdr:rowOff>
    </xdr:from>
    <xdr:to>
      <xdr:col>32</xdr:col>
      <xdr:colOff>152400</xdr:colOff>
      <xdr:row>18</xdr:row>
      <xdr:rowOff>85725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7F4F2577-E92F-4434-9245-228B86505B3E}"/>
            </a:ext>
            <a:ext uri="{147F2762-F138-4A5C-976F-8EAC2B608ADB}">
              <a16:predDERef xmlns:a16="http://schemas.microsoft.com/office/drawing/2014/main" pred="{05777F53-1AE0-A846-0EFB-FA35DA550748}"/>
            </a:ext>
          </a:extLst>
        </xdr:cNvPr>
        <xdr:cNvSpPr txBox="1"/>
      </xdr:nvSpPr>
      <xdr:spPr>
        <a:xfrm>
          <a:off x="9239250" y="3114675"/>
          <a:ext cx="5648325" cy="326707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九州地区ソフトウェア講習会用</a:t>
          </a:r>
        </a:p>
      </xdr:txBody>
    </xdr:sp>
    <xdr:clientData/>
  </xdr:twoCellAnchor>
  <xdr:twoCellAnchor>
    <xdr:from>
      <xdr:col>17</xdr:col>
      <xdr:colOff>142875</xdr:colOff>
      <xdr:row>19</xdr:row>
      <xdr:rowOff>342900</xdr:rowOff>
    </xdr:from>
    <xdr:to>
      <xdr:col>31</xdr:col>
      <xdr:colOff>57150</xdr:colOff>
      <xdr:row>28</xdr:row>
      <xdr:rowOff>180975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B322C92-6638-4245-8970-6E588F54D146}"/>
            </a:ext>
            <a:ext uri="{147F2762-F138-4A5C-976F-8EAC2B608ADB}">
              <a16:predDERef xmlns:a16="http://schemas.microsoft.com/office/drawing/2014/main" pred="{7F4F2577-E92F-4434-9245-228B86505B3E}"/>
            </a:ext>
          </a:extLst>
        </xdr:cNvPr>
        <xdr:cNvSpPr txBox="1"/>
      </xdr:nvSpPr>
      <xdr:spPr>
        <a:xfrm>
          <a:off x="8734425" y="7019925"/>
          <a:ext cx="5648325" cy="326707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九州地区ソフトウェア講習会用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228600</xdr:colOff>
      <xdr:row>15</xdr:row>
      <xdr:rowOff>171450</xdr:rowOff>
    </xdr:from>
    <xdr:to>
      <xdr:col>32</xdr:col>
      <xdr:colOff>304800</xdr:colOff>
      <xdr:row>22</xdr:row>
      <xdr:rowOff>171450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0121E9D-6302-F10C-1493-64DA0E2A8741}"/>
            </a:ext>
          </a:extLst>
        </xdr:cNvPr>
        <xdr:cNvSpPr txBox="1"/>
      </xdr:nvSpPr>
      <xdr:spPr>
        <a:xfrm>
          <a:off x="11687175" y="5324475"/>
          <a:ext cx="3352800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西部勉強会</a:t>
          </a:r>
        </a:p>
      </xdr:txBody>
    </xdr:sp>
    <xdr:clientData/>
  </xdr:twoCellAnchor>
  <xdr:twoCellAnchor>
    <xdr:from>
      <xdr:col>23</xdr:col>
      <xdr:colOff>60960</xdr:colOff>
      <xdr:row>10</xdr:row>
      <xdr:rowOff>193675</xdr:rowOff>
    </xdr:from>
    <xdr:to>
      <xdr:col>23</xdr:col>
      <xdr:colOff>367030</xdr:colOff>
      <xdr:row>13</xdr:row>
      <xdr:rowOff>186690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2A2D2FF-8D63-4499-A151-FE30BD1B98C0}"/>
            </a:ext>
          </a:extLst>
        </xdr:cNvPr>
        <xdr:cNvSpPr txBox="1"/>
      </xdr:nvSpPr>
      <xdr:spPr>
        <a:xfrm>
          <a:off x="4089400" y="3457575"/>
          <a:ext cx="306070" cy="11360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アカデミー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8</xdr:row>
      <xdr:rowOff>123825</xdr:rowOff>
    </xdr:from>
    <xdr:to>
      <xdr:col>17</xdr:col>
      <xdr:colOff>257175</xdr:colOff>
      <xdr:row>13</xdr:row>
      <xdr:rowOff>95250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F9EDDFB-DFBD-4C1A-8159-C56ED0AC545E}"/>
            </a:ext>
          </a:extLst>
        </xdr:cNvPr>
        <xdr:cNvSpPr txBox="1"/>
      </xdr:nvSpPr>
      <xdr:spPr>
        <a:xfrm>
          <a:off x="4733925" y="2609850"/>
          <a:ext cx="4114800" cy="1876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営業インターンシップ（太田営業所中村所長）</a:t>
          </a:r>
        </a:p>
      </xdr:txBody>
    </xdr:sp>
    <xdr:clientData/>
  </xdr:twoCellAnchor>
  <xdr:twoCellAnchor>
    <xdr:from>
      <xdr:col>6</xdr:col>
      <xdr:colOff>60960</xdr:colOff>
      <xdr:row>10</xdr:row>
      <xdr:rowOff>193675</xdr:rowOff>
    </xdr:from>
    <xdr:to>
      <xdr:col>6</xdr:col>
      <xdr:colOff>367030</xdr:colOff>
      <xdr:row>13</xdr:row>
      <xdr:rowOff>186690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04CF25B-9B05-3CB2-DD39-452C5774FBEE}"/>
            </a:ext>
          </a:extLst>
        </xdr:cNvPr>
        <xdr:cNvSpPr txBox="1"/>
      </xdr:nvSpPr>
      <xdr:spPr>
        <a:xfrm>
          <a:off x="4086860" y="3457575"/>
          <a:ext cx="306070" cy="11360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アカデミー</a:t>
          </a:r>
        </a:p>
      </xdr:txBody>
    </xdr:sp>
    <xdr:clientData/>
  </xdr:twoCellAnchor>
  <xdr:twoCellAnchor>
    <xdr:from>
      <xdr:col>19</xdr:col>
      <xdr:colOff>342900</xdr:colOff>
      <xdr:row>19</xdr:row>
      <xdr:rowOff>180975</xdr:rowOff>
    </xdr:from>
    <xdr:to>
      <xdr:col>22</xdr:col>
      <xdr:colOff>28575</xdr:colOff>
      <xdr:row>26</xdr:row>
      <xdr:rowOff>180975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9634A56-4731-4FB7-8348-EABB5B418E84}"/>
            </a:ext>
            <a:ext uri="{147F2762-F138-4A5C-976F-8EAC2B608ADB}">
              <a16:predDERef xmlns:a16="http://schemas.microsoft.com/office/drawing/2014/main" pred="{804CF25B-9B05-3CB2-DD39-452C5774FBEE}"/>
            </a:ext>
          </a:extLst>
        </xdr:cNvPr>
        <xdr:cNvSpPr txBox="1"/>
      </xdr:nvSpPr>
      <xdr:spPr>
        <a:xfrm>
          <a:off x="9753600" y="6858000"/>
          <a:ext cx="914400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IFPEX</a:t>
          </a:r>
        </a:p>
      </xdr:txBody>
    </xdr:sp>
    <xdr:clientData/>
  </xdr:twoCellAnchor>
  <xdr:twoCellAnchor>
    <xdr:from>
      <xdr:col>2</xdr:col>
      <xdr:colOff>95250</xdr:colOff>
      <xdr:row>8</xdr:row>
      <xdr:rowOff>38100</xdr:rowOff>
    </xdr:from>
    <xdr:to>
      <xdr:col>5</xdr:col>
      <xdr:colOff>352425</xdr:colOff>
      <xdr:row>26</xdr:row>
      <xdr:rowOff>9525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3644501-D160-4374-80B7-0D47A4344C44}"/>
            </a:ext>
            <a:ext uri="{147F2762-F138-4A5C-976F-8EAC2B608ADB}">
              <a16:predDERef xmlns:a16="http://schemas.microsoft.com/office/drawing/2014/main" pred="{49634A56-4731-4FB7-8348-EABB5B418E84}"/>
            </a:ext>
          </a:extLst>
        </xdr:cNvPr>
        <xdr:cNvSpPr txBox="1"/>
      </xdr:nvSpPr>
      <xdr:spPr>
        <a:xfrm>
          <a:off x="2543175" y="2524125"/>
          <a:ext cx="1485900" cy="6829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山口・松山営業所勉強会</a:t>
          </a:r>
        </a:p>
      </xdr:txBody>
    </xdr:sp>
    <xdr:clientData/>
  </xdr:twoCellAnchor>
  <xdr:twoCellAnchor>
    <xdr:from>
      <xdr:col>7</xdr:col>
      <xdr:colOff>133350</xdr:colOff>
      <xdr:row>19</xdr:row>
      <xdr:rowOff>180975</xdr:rowOff>
    </xdr:from>
    <xdr:to>
      <xdr:col>17</xdr:col>
      <xdr:colOff>152400</xdr:colOff>
      <xdr:row>24</xdr:row>
      <xdr:rowOff>152400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47945E9-188C-4055-8206-24D09FCDE2C7}"/>
            </a:ext>
            <a:ext uri="{147F2762-F138-4A5C-976F-8EAC2B608ADB}">
              <a16:predDERef xmlns:a16="http://schemas.microsoft.com/office/drawing/2014/main" pred="{23644501-D160-4374-80B7-0D47A4344C44}"/>
            </a:ext>
          </a:extLst>
        </xdr:cNvPr>
        <xdr:cNvSpPr txBox="1"/>
      </xdr:nvSpPr>
      <xdr:spPr>
        <a:xfrm>
          <a:off x="4629150" y="6858000"/>
          <a:ext cx="4114800" cy="1876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営業インターンシップ（太田営業所中村所長）</a:t>
          </a:r>
        </a:p>
      </xdr:txBody>
    </xdr:sp>
    <xdr:clientData/>
  </xdr:twoCellAnchor>
  <xdr:twoCellAnchor>
    <xdr:from>
      <xdr:col>7</xdr:col>
      <xdr:colOff>333375</xdr:colOff>
      <xdr:row>14</xdr:row>
      <xdr:rowOff>76200</xdr:rowOff>
    </xdr:from>
    <xdr:to>
      <xdr:col>25</xdr:col>
      <xdr:colOff>295275</xdr:colOff>
      <xdr:row>14</xdr:row>
      <xdr:rowOff>276225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875EDA31-D066-24D1-71FB-9CD554994AF8}"/>
            </a:ext>
            <a:ext uri="{147F2762-F138-4A5C-976F-8EAC2B608ADB}">
              <a16:predDERef xmlns:a16="http://schemas.microsoft.com/office/drawing/2014/main" pred="{E47945E9-188C-4055-8206-24D09FCDE2C7}"/>
            </a:ext>
          </a:extLst>
        </xdr:cNvPr>
        <xdr:cNvSpPr txBox="1"/>
      </xdr:nvSpPr>
      <xdr:spPr>
        <a:xfrm>
          <a:off x="4829175" y="4848225"/>
          <a:ext cx="733425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関東展示会</a:t>
          </a:r>
        </a:p>
      </xdr:txBody>
    </xdr:sp>
    <xdr:clientData/>
  </xdr:twoCellAnchor>
  <xdr:twoCellAnchor>
    <xdr:from>
      <xdr:col>7</xdr:col>
      <xdr:colOff>95250</xdr:colOff>
      <xdr:row>25</xdr:row>
      <xdr:rowOff>85725</xdr:rowOff>
    </xdr:from>
    <xdr:to>
      <xdr:col>18</xdr:col>
      <xdr:colOff>333375</xdr:colOff>
      <xdr:row>25</xdr:row>
      <xdr:rowOff>285750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96B5FD34-6B42-42B5-9800-F05011C30241}"/>
            </a:ext>
            <a:ext uri="{147F2762-F138-4A5C-976F-8EAC2B608ADB}">
              <a16:predDERef xmlns:a16="http://schemas.microsoft.com/office/drawing/2014/main" pred="{875EDA31-D066-24D1-71FB-9CD554994AF8}"/>
            </a:ext>
          </a:extLst>
        </xdr:cNvPr>
        <xdr:cNvSpPr txBox="1"/>
      </xdr:nvSpPr>
      <xdr:spPr>
        <a:xfrm>
          <a:off x="4591050" y="9048750"/>
          <a:ext cx="474345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関東展示会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9</xdr:row>
      <xdr:rowOff>144780</xdr:rowOff>
    </xdr:from>
    <xdr:to>
      <xdr:col>14</xdr:col>
      <xdr:colOff>129540</xdr:colOff>
      <xdr:row>28</xdr:row>
      <xdr:rowOff>137160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BDC52DD-B241-403D-BAFF-B11ECB06B90A}"/>
            </a:ext>
          </a:extLst>
        </xdr:cNvPr>
        <xdr:cNvSpPr/>
      </xdr:nvSpPr>
      <xdr:spPr>
        <a:xfrm>
          <a:off x="3048000" y="3025140"/>
          <a:ext cx="4328160" cy="723138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大阪営業部サポート</a:t>
          </a:r>
        </a:p>
      </xdr:txBody>
    </xdr:sp>
    <xdr:clientData/>
  </xdr:twoCellAnchor>
  <xdr:twoCellAnchor>
    <xdr:from>
      <xdr:col>23</xdr:col>
      <xdr:colOff>104775</xdr:colOff>
      <xdr:row>14</xdr:row>
      <xdr:rowOff>0</xdr:rowOff>
    </xdr:from>
    <xdr:to>
      <xdr:col>24</xdr:col>
      <xdr:colOff>266700</xdr:colOff>
      <xdr:row>21</xdr:row>
      <xdr:rowOff>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E2E90199-1C17-4904-B658-672659955A07}"/>
            </a:ext>
            <a:ext uri="{147F2762-F138-4A5C-976F-8EAC2B608ADB}">
              <a16:predDERef xmlns:a16="http://schemas.microsoft.com/office/drawing/2014/main" pred="{3BDC52DD-B241-403D-BAFF-B11ECB06B90A}"/>
            </a:ext>
          </a:extLst>
        </xdr:cNvPr>
        <xdr:cNvSpPr txBox="1"/>
      </xdr:nvSpPr>
      <xdr:spPr>
        <a:xfrm>
          <a:off x="11153775" y="4772025"/>
          <a:ext cx="571500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トヨタ自動車個展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10</xdr:row>
      <xdr:rowOff>95250</xdr:rowOff>
    </xdr:from>
    <xdr:to>
      <xdr:col>20</xdr:col>
      <xdr:colOff>209550</xdr:colOff>
      <xdr:row>17</xdr:row>
      <xdr:rowOff>95250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E9197013-59A4-487C-8C54-37435F794645}"/>
            </a:ext>
          </a:extLst>
        </xdr:cNvPr>
        <xdr:cNvSpPr txBox="1"/>
      </xdr:nvSpPr>
      <xdr:spPr>
        <a:xfrm>
          <a:off x="7077075" y="3343275"/>
          <a:ext cx="2952750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山形県工業技術センター新井さん</a:t>
          </a:r>
        </a:p>
      </xdr:txBody>
    </xdr:sp>
    <xdr:clientData/>
  </xdr:twoCellAnchor>
  <xdr:twoCellAnchor>
    <xdr:from>
      <xdr:col>21</xdr:col>
      <xdr:colOff>112619</xdr:colOff>
      <xdr:row>19</xdr:row>
      <xdr:rowOff>256613</xdr:rowOff>
    </xdr:from>
    <xdr:to>
      <xdr:col>25</xdr:col>
      <xdr:colOff>265019</xdr:colOff>
      <xdr:row>26</xdr:row>
      <xdr:rowOff>256614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713B35E-5A2C-43A0-93C0-30652FCECE9E}"/>
            </a:ext>
            <a:ext uri="{147F2762-F138-4A5C-976F-8EAC2B608ADB}">
              <a16:predDERef xmlns:a16="http://schemas.microsoft.com/office/drawing/2014/main" pred="{E9197013-59A4-487C-8C54-37435F794645}"/>
            </a:ext>
          </a:extLst>
        </xdr:cNvPr>
        <xdr:cNvSpPr txBox="1"/>
      </xdr:nvSpPr>
      <xdr:spPr>
        <a:xfrm>
          <a:off x="10171019" y="7007037"/>
          <a:ext cx="1766047" cy="26983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山口営業所体験会（（トクヤマ）上田さん</a:t>
          </a:r>
        </a:p>
      </xdr:txBody>
    </xdr:sp>
    <xdr:clientData/>
  </xdr:twoCellAnchor>
  <xdr:twoCellAnchor>
    <xdr:from>
      <xdr:col>5</xdr:col>
      <xdr:colOff>171450</xdr:colOff>
      <xdr:row>10</xdr:row>
      <xdr:rowOff>104775</xdr:rowOff>
    </xdr:from>
    <xdr:to>
      <xdr:col>12</xdr:col>
      <xdr:colOff>257175</xdr:colOff>
      <xdr:row>17</xdr:row>
      <xdr:rowOff>104775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E29807F7-58E3-4F0D-B633-FC56C13D82CB}"/>
            </a:ext>
            <a:ext uri="{147F2762-F138-4A5C-976F-8EAC2B608ADB}">
              <a16:predDERef xmlns:a16="http://schemas.microsoft.com/office/drawing/2014/main" pred="{F713B35E-5A2C-43A0-93C0-30652FCECE9E}"/>
            </a:ext>
          </a:extLst>
        </xdr:cNvPr>
        <xdr:cNvSpPr txBox="1"/>
      </xdr:nvSpPr>
      <xdr:spPr>
        <a:xfrm>
          <a:off x="3848100" y="3352800"/>
          <a:ext cx="2952750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取県取産業振興機構　上岡</a:t>
          </a:r>
        </a:p>
      </xdr:txBody>
    </xdr:sp>
    <xdr:clientData/>
  </xdr:twoCellAnchor>
  <xdr:twoCellAnchor>
    <xdr:from>
      <xdr:col>5</xdr:col>
      <xdr:colOff>180975</xdr:colOff>
      <xdr:row>8</xdr:row>
      <xdr:rowOff>142875</xdr:rowOff>
    </xdr:from>
    <xdr:to>
      <xdr:col>7</xdr:col>
      <xdr:colOff>352425</xdr:colOff>
      <xdr:row>9</xdr:row>
      <xdr:rowOff>180975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4F6BB9F-9E2F-4284-A1C8-37DD534BC8A7}"/>
            </a:ext>
            <a:ext uri="{147F2762-F138-4A5C-976F-8EAC2B608ADB}">
              <a16:predDERef xmlns:a16="http://schemas.microsoft.com/office/drawing/2014/main" pred="{E29807F7-58E3-4F0D-B633-FC56C13D82CB}"/>
            </a:ext>
          </a:extLst>
        </xdr:cNvPr>
        <xdr:cNvSpPr txBox="1"/>
      </xdr:nvSpPr>
      <xdr:spPr>
        <a:xfrm>
          <a:off x="3857625" y="2628900"/>
          <a:ext cx="99060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杉本</a:t>
          </a:r>
        </a:p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ティラド</a:t>
          </a:r>
        </a:p>
      </xdr:txBody>
    </xdr:sp>
    <xdr:clientData/>
  </xdr:twoCellAnchor>
  <xdr:twoCellAnchor>
    <xdr:from>
      <xdr:col>27</xdr:col>
      <xdr:colOff>66675</xdr:colOff>
      <xdr:row>8</xdr:row>
      <xdr:rowOff>66675</xdr:rowOff>
    </xdr:from>
    <xdr:to>
      <xdr:col>30</xdr:col>
      <xdr:colOff>295275</xdr:colOff>
      <xdr:row>8</xdr:row>
      <xdr:rowOff>295275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34BAB5C8-0734-4817-B3CC-87F38CC20A5C}"/>
            </a:ext>
            <a:ext uri="{147F2762-F138-4A5C-976F-8EAC2B608ADB}">
              <a16:predDERef xmlns:a16="http://schemas.microsoft.com/office/drawing/2014/main" pred="{44F6BB9F-9E2F-4284-A1C8-37DD534BC8A7}"/>
            </a:ext>
          </a:extLst>
        </xdr:cNvPr>
        <xdr:cNvSpPr txBox="1"/>
      </xdr:nvSpPr>
      <xdr:spPr>
        <a:xfrm>
          <a:off x="12753975" y="2552700"/>
          <a:ext cx="145732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杉本 愛知機械工業</a:t>
          </a:r>
        </a:p>
      </xdr:txBody>
    </xdr:sp>
    <xdr:clientData/>
  </xdr:twoCellAnchor>
  <xdr:twoCellAnchor>
    <xdr:from>
      <xdr:col>27</xdr:col>
      <xdr:colOff>85725</xdr:colOff>
      <xdr:row>30</xdr:row>
      <xdr:rowOff>85725</xdr:rowOff>
    </xdr:from>
    <xdr:to>
      <xdr:col>30</xdr:col>
      <xdr:colOff>314325</xdr:colOff>
      <xdr:row>30</xdr:row>
      <xdr:rowOff>314325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2C02C3BC-D5C1-447E-89CF-573ACE799C4F}"/>
            </a:ext>
            <a:ext uri="{147F2762-F138-4A5C-976F-8EAC2B608ADB}">
              <a16:predDERef xmlns:a16="http://schemas.microsoft.com/office/drawing/2014/main" pred="{34BAB5C8-0734-4817-B3CC-87F38CC20A5C}"/>
            </a:ext>
          </a:extLst>
        </xdr:cNvPr>
        <xdr:cNvSpPr txBox="1"/>
      </xdr:nvSpPr>
      <xdr:spPr>
        <a:xfrm>
          <a:off x="12773025" y="6762750"/>
          <a:ext cx="145732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杉本 愛知機械工業</a:t>
          </a:r>
        </a:p>
      </xdr:txBody>
    </xdr:sp>
    <xdr:clientData/>
  </xdr:twoCellAnchor>
  <xdr:twoCellAnchor>
    <xdr:from>
      <xdr:col>5</xdr:col>
      <xdr:colOff>133350</xdr:colOff>
      <xdr:row>40</xdr:row>
      <xdr:rowOff>142875</xdr:rowOff>
    </xdr:from>
    <xdr:to>
      <xdr:col>7</xdr:col>
      <xdr:colOff>304800</xdr:colOff>
      <xdr:row>41</xdr:row>
      <xdr:rowOff>180975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35CA7E69-C84B-4015-A176-81BC61A37361}"/>
            </a:ext>
            <a:ext uri="{147F2762-F138-4A5C-976F-8EAC2B608ADB}">
              <a16:predDERef xmlns:a16="http://schemas.microsoft.com/office/drawing/2014/main" pred="{2C02C3BC-D5C1-447E-89CF-573ACE799C4F}"/>
            </a:ext>
          </a:extLst>
        </xdr:cNvPr>
        <xdr:cNvSpPr txBox="1"/>
      </xdr:nvSpPr>
      <xdr:spPr>
        <a:xfrm>
          <a:off x="3810000" y="14820900"/>
          <a:ext cx="99060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杉本</a:t>
          </a:r>
        </a:p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ティラド</a:t>
          </a:r>
        </a:p>
      </xdr:txBody>
    </xdr:sp>
    <xdr:clientData/>
  </xdr:twoCellAnchor>
  <xdr:twoCellAnchor>
    <xdr:from>
      <xdr:col>22</xdr:col>
      <xdr:colOff>43142</xdr:colOff>
      <xdr:row>8</xdr:row>
      <xdr:rowOff>233081</xdr:rowOff>
    </xdr:from>
    <xdr:to>
      <xdr:col>22</xdr:col>
      <xdr:colOff>367553</xdr:colOff>
      <xdr:row>14</xdr:row>
      <xdr:rowOff>367553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4D5065C8-7D8F-9A40-8F90-BA4719537799}"/>
            </a:ext>
          </a:extLst>
        </xdr:cNvPr>
        <xdr:cNvSpPr txBox="1"/>
      </xdr:nvSpPr>
      <xdr:spPr>
        <a:xfrm>
          <a:off x="10504954" y="2743199"/>
          <a:ext cx="324411" cy="24473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代理店体験会</a:t>
          </a:r>
        </a:p>
      </xdr:txBody>
    </xdr:sp>
    <xdr:clientData/>
  </xdr:twoCellAnchor>
  <xdr:twoCellAnchor>
    <xdr:from>
      <xdr:col>22</xdr:col>
      <xdr:colOff>42021</xdr:colOff>
      <xdr:row>30</xdr:row>
      <xdr:rowOff>145676</xdr:rowOff>
    </xdr:from>
    <xdr:to>
      <xdr:col>22</xdr:col>
      <xdr:colOff>366432</xdr:colOff>
      <xdr:row>36</xdr:row>
      <xdr:rowOff>275665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12B8535D-047C-016B-2BB6-73584F648D22}"/>
            </a:ext>
            <a:ext uri="{147F2762-F138-4A5C-976F-8EAC2B608ADB}">
              <a16:predDERef xmlns:a16="http://schemas.microsoft.com/office/drawing/2014/main" pred="{4D5065C8-7D8F-9A40-8F90-BA4719537799}"/>
            </a:ext>
          </a:extLst>
        </xdr:cNvPr>
        <xdr:cNvSpPr txBox="1"/>
      </xdr:nvSpPr>
      <xdr:spPr>
        <a:xfrm>
          <a:off x="10681446" y="11013701"/>
          <a:ext cx="324411" cy="24159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代理店体験会</a:t>
          </a:r>
        </a:p>
      </xdr:txBody>
    </xdr:sp>
    <xdr:clientData/>
  </xdr:twoCellAnchor>
  <xdr:twoCellAnchor>
    <xdr:from>
      <xdr:col>28</xdr:col>
      <xdr:colOff>85725</xdr:colOff>
      <xdr:row>9</xdr:row>
      <xdr:rowOff>57150</xdr:rowOff>
    </xdr:from>
    <xdr:to>
      <xdr:col>30</xdr:col>
      <xdr:colOff>314325</xdr:colOff>
      <xdr:row>9</xdr:row>
      <xdr:rowOff>295275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1B616CBB-7C15-4695-AA43-CA368A66F1AC}"/>
            </a:ext>
            <a:ext uri="{147F2762-F138-4A5C-976F-8EAC2B608ADB}">
              <a16:predDERef xmlns:a16="http://schemas.microsoft.com/office/drawing/2014/main" pred="{12B8535D-047C-016B-2BB6-73584F648D22}"/>
            </a:ext>
          </a:extLst>
        </xdr:cNvPr>
        <xdr:cNvSpPr txBox="1"/>
      </xdr:nvSpPr>
      <xdr:spPr>
        <a:xfrm>
          <a:off x="13182600" y="2924175"/>
          <a:ext cx="10477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内木 エイエムディ自動機</a:t>
          </a:r>
        </a:p>
      </xdr:txBody>
    </xdr:sp>
    <xdr:clientData/>
  </xdr:twoCellAnchor>
  <xdr:twoCellAnchor>
    <xdr:from>
      <xdr:col>28</xdr:col>
      <xdr:colOff>123825</xdr:colOff>
      <xdr:row>10</xdr:row>
      <xdr:rowOff>95250</xdr:rowOff>
    </xdr:from>
    <xdr:to>
      <xdr:col>30</xdr:col>
      <xdr:colOff>266700</xdr:colOff>
      <xdr:row>18</xdr:row>
      <xdr:rowOff>209550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38292F5C-3D2D-4F35-9A38-D05F7F463761}"/>
            </a:ext>
            <a:ext uri="{147F2762-F138-4A5C-976F-8EAC2B608ADB}">
              <a16:predDERef xmlns:a16="http://schemas.microsoft.com/office/drawing/2014/main" pred="{1B616CBB-7C15-4695-AA43-CA368A66F1AC}"/>
            </a:ext>
          </a:extLst>
        </xdr:cNvPr>
        <xdr:cNvSpPr txBox="1"/>
      </xdr:nvSpPr>
      <xdr:spPr>
        <a:xfrm>
          <a:off x="13220700" y="3343275"/>
          <a:ext cx="962025" cy="3162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Ｔ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東京営業部サポート東京営業部</a:t>
          </a:r>
        </a:p>
      </xdr:txBody>
    </xdr:sp>
    <xdr:clientData/>
  </xdr:twoCellAnchor>
  <xdr:twoCellAnchor>
    <xdr:from>
      <xdr:col>28</xdr:col>
      <xdr:colOff>114300</xdr:colOff>
      <xdr:row>31</xdr:row>
      <xdr:rowOff>180975</xdr:rowOff>
    </xdr:from>
    <xdr:to>
      <xdr:col>30</xdr:col>
      <xdr:colOff>257175</xdr:colOff>
      <xdr:row>39</xdr:row>
      <xdr:rowOff>219075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52E29265-6FE4-4EC5-9F77-F3C0269D9214}"/>
            </a:ext>
            <a:ext uri="{147F2762-F138-4A5C-976F-8EAC2B608ADB}">
              <a16:predDERef xmlns:a16="http://schemas.microsoft.com/office/drawing/2014/main" pred="{38292F5C-3D2D-4F35-9A38-D05F7F463761}"/>
            </a:ext>
          </a:extLst>
        </xdr:cNvPr>
        <xdr:cNvSpPr txBox="1"/>
      </xdr:nvSpPr>
      <xdr:spPr>
        <a:xfrm>
          <a:off x="13211175" y="11430000"/>
          <a:ext cx="962025" cy="308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Ｔ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東京営業部サポート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8</xdr:row>
      <xdr:rowOff>66675</xdr:rowOff>
    </xdr:from>
    <xdr:to>
      <xdr:col>7</xdr:col>
      <xdr:colOff>314325</xdr:colOff>
      <xdr:row>8</xdr:row>
      <xdr:rowOff>257175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2C74A2B-46AB-40E0-BBC4-D8CD87D0146B}"/>
            </a:ext>
            <a:ext uri="{147F2762-F138-4A5C-976F-8EAC2B608ADB}">
              <a16:predDERef xmlns:a16="http://schemas.microsoft.com/office/drawing/2014/main" pred="{44F6BB9F-9E2F-4284-A1C8-37DD534BC8A7}"/>
            </a:ext>
          </a:extLst>
        </xdr:cNvPr>
        <xdr:cNvSpPr txBox="1"/>
      </xdr:nvSpPr>
      <xdr:spPr>
        <a:xfrm>
          <a:off x="3714750" y="2552700"/>
          <a:ext cx="109537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杉本 トヨタ堤 </a:t>
          </a:r>
        </a:p>
      </xdr:txBody>
    </xdr:sp>
    <xdr:clientData/>
  </xdr:twoCellAnchor>
  <xdr:twoCellAnchor>
    <xdr:from>
      <xdr:col>5</xdr:col>
      <xdr:colOff>47625</xdr:colOff>
      <xdr:row>40</xdr:row>
      <xdr:rowOff>76200</xdr:rowOff>
    </xdr:from>
    <xdr:to>
      <xdr:col>7</xdr:col>
      <xdr:colOff>323850</xdr:colOff>
      <xdr:row>40</xdr:row>
      <xdr:rowOff>266700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EA259F7-121E-4127-996D-4677A0BE69B5}"/>
            </a:ext>
            <a:ext uri="{147F2762-F138-4A5C-976F-8EAC2B608ADB}">
              <a16:predDERef xmlns:a16="http://schemas.microsoft.com/office/drawing/2014/main" pred="{32C74A2B-46AB-40E0-BBC4-D8CD87D0146B}"/>
            </a:ext>
          </a:extLst>
        </xdr:cNvPr>
        <xdr:cNvSpPr txBox="1"/>
      </xdr:nvSpPr>
      <xdr:spPr>
        <a:xfrm>
          <a:off x="3724275" y="14754225"/>
          <a:ext cx="109537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杉本 トヨタ堤 </a:t>
          </a:r>
        </a:p>
      </xdr:txBody>
    </xdr:sp>
    <xdr:clientData/>
  </xdr:twoCellAnchor>
  <xdr:twoCellAnchor>
    <xdr:from>
      <xdr:col>10</xdr:col>
      <xdr:colOff>28575</xdr:colOff>
      <xdr:row>8</xdr:row>
      <xdr:rowOff>66675</xdr:rowOff>
    </xdr:from>
    <xdr:to>
      <xdr:col>12</xdr:col>
      <xdr:colOff>371475</xdr:colOff>
      <xdr:row>8</xdr:row>
      <xdr:rowOff>295275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C559DCA-4109-43A4-A6B0-B3343BC806B9}"/>
            </a:ext>
            <a:ext uri="{147F2762-F138-4A5C-976F-8EAC2B608ADB}">
              <a16:predDERef xmlns:a16="http://schemas.microsoft.com/office/drawing/2014/main" pred="{AEA259F7-121E-4127-996D-4677A0BE69B5}"/>
            </a:ext>
          </a:extLst>
        </xdr:cNvPr>
        <xdr:cNvSpPr txBox="1"/>
      </xdr:nvSpPr>
      <xdr:spPr>
        <a:xfrm>
          <a:off x="5753100" y="2552700"/>
          <a:ext cx="116205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8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杉本 トリニティ個展</a:t>
          </a:r>
        </a:p>
      </xdr:txBody>
    </xdr:sp>
    <xdr:clientData/>
  </xdr:twoCellAnchor>
  <xdr:twoCellAnchor>
    <xdr:from>
      <xdr:col>10</xdr:col>
      <xdr:colOff>19050</xdr:colOff>
      <xdr:row>40</xdr:row>
      <xdr:rowOff>66675</xdr:rowOff>
    </xdr:from>
    <xdr:to>
      <xdr:col>12</xdr:col>
      <xdr:colOff>361950</xdr:colOff>
      <xdr:row>40</xdr:row>
      <xdr:rowOff>295275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823B3DA-D2DA-4845-9FFE-39287B57BDD7}"/>
            </a:ext>
            <a:ext uri="{147F2762-F138-4A5C-976F-8EAC2B608ADB}">
              <a16:predDERef xmlns:a16="http://schemas.microsoft.com/office/drawing/2014/main" pred="{8C559DCA-4109-43A4-A6B0-B3343BC806B9}"/>
            </a:ext>
          </a:extLst>
        </xdr:cNvPr>
        <xdr:cNvSpPr txBox="1"/>
      </xdr:nvSpPr>
      <xdr:spPr>
        <a:xfrm>
          <a:off x="5743575" y="14744700"/>
          <a:ext cx="116205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8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杉本 トリニティ個展</a:t>
          </a:r>
        </a:p>
      </xdr:txBody>
    </xdr:sp>
    <xdr:clientData/>
  </xdr:twoCellAnchor>
  <xdr:twoCellAnchor>
    <xdr:from>
      <xdr:col>17</xdr:col>
      <xdr:colOff>266700</xdr:colOff>
      <xdr:row>8</xdr:row>
      <xdr:rowOff>171450</xdr:rowOff>
    </xdr:from>
    <xdr:to>
      <xdr:col>21</xdr:col>
      <xdr:colOff>190500</xdr:colOff>
      <xdr:row>18</xdr:row>
      <xdr:rowOff>95250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CEA50A0-3F39-480A-AF30-A6D81CF28AF3}"/>
            </a:ext>
            <a:ext uri="{147F2762-F138-4A5C-976F-8EAC2B608ADB}">
              <a16:predDERef xmlns:a16="http://schemas.microsoft.com/office/drawing/2014/main" pred="{3823B3DA-D2DA-4845-9FFE-39287B57BDD7}"/>
            </a:ext>
          </a:extLst>
        </xdr:cNvPr>
        <xdr:cNvSpPr txBox="1"/>
      </xdr:nvSpPr>
      <xdr:spPr>
        <a:xfrm>
          <a:off x="8858250" y="2657475"/>
          <a:ext cx="1562100" cy="373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8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　日立ハイテク</a:t>
          </a:r>
          <a:r>
            <a:rPr lang="en-US" altLang="ja-JP" sz="8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&amp;</a:t>
          </a:r>
          <a:r>
            <a:rPr lang="ja-JP" altLang="en-US" sz="8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山口ユーザー　内木</a:t>
          </a:r>
        </a:p>
      </xdr:txBody>
    </xdr:sp>
    <xdr:clientData/>
  </xdr:twoCellAnchor>
  <xdr:twoCellAnchor>
    <xdr:from>
      <xdr:col>17</xdr:col>
      <xdr:colOff>219075</xdr:colOff>
      <xdr:row>30</xdr:row>
      <xdr:rowOff>85725</xdr:rowOff>
    </xdr:from>
    <xdr:to>
      <xdr:col>21</xdr:col>
      <xdr:colOff>142875</xdr:colOff>
      <xdr:row>39</xdr:row>
      <xdr:rowOff>133350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782FD615-86DF-44C6-AE8B-3CDEB3619C7B}"/>
            </a:ext>
            <a:ext uri="{147F2762-F138-4A5C-976F-8EAC2B608ADB}">
              <a16:predDERef xmlns:a16="http://schemas.microsoft.com/office/drawing/2014/main" pred="{DCEA50A0-3F39-480A-AF30-A6D81CF28AF3}"/>
            </a:ext>
          </a:extLst>
        </xdr:cNvPr>
        <xdr:cNvSpPr txBox="1"/>
      </xdr:nvSpPr>
      <xdr:spPr>
        <a:xfrm>
          <a:off x="8810625" y="10953750"/>
          <a:ext cx="1562100" cy="3476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8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　日立ハイテク</a:t>
          </a:r>
          <a:r>
            <a:rPr lang="en-US" altLang="ja-JP" sz="8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&amp;</a:t>
          </a:r>
          <a:r>
            <a:rPr lang="ja-JP" altLang="en-US" sz="8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山口ユーザー　内木</a:t>
          </a:r>
        </a:p>
      </xdr:txBody>
    </xdr:sp>
    <xdr:clientData/>
  </xdr:twoCellAnchor>
  <xdr:twoCellAnchor>
    <xdr:from>
      <xdr:col>24</xdr:col>
      <xdr:colOff>133350</xdr:colOff>
      <xdr:row>40</xdr:row>
      <xdr:rowOff>85725</xdr:rowOff>
    </xdr:from>
    <xdr:to>
      <xdr:col>25</xdr:col>
      <xdr:colOff>219075</xdr:colOff>
      <xdr:row>44</xdr:row>
      <xdr:rowOff>209550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122BA26-F56A-45A3-9220-C54271CA399E}"/>
            </a:ext>
            <a:ext uri="{147F2762-F138-4A5C-976F-8EAC2B608ADB}">
              <a16:predDERef xmlns:a16="http://schemas.microsoft.com/office/drawing/2014/main" pred="{782FD615-86DF-44C6-AE8B-3CDEB3619C7B}"/>
            </a:ext>
          </a:extLst>
        </xdr:cNvPr>
        <xdr:cNvSpPr txBox="1"/>
      </xdr:nvSpPr>
      <xdr:spPr>
        <a:xfrm>
          <a:off x="11591925" y="14763750"/>
          <a:ext cx="495300" cy="1647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8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内木</a:t>
          </a:r>
        </a:p>
        <a:p>
          <a:pPr marL="0" indent="0" algn="l"/>
          <a:r>
            <a:rPr lang="ja-JP" altLang="en-US" sz="8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青山</a:t>
          </a:r>
        </a:p>
      </xdr:txBody>
    </xdr:sp>
    <xdr:clientData/>
  </xdr:twoCellAnchor>
  <xdr:twoCellAnchor>
    <xdr:from>
      <xdr:col>17</xdr:col>
      <xdr:colOff>228600</xdr:colOff>
      <xdr:row>40</xdr:row>
      <xdr:rowOff>47625</xdr:rowOff>
    </xdr:from>
    <xdr:to>
      <xdr:col>21</xdr:col>
      <xdr:colOff>133350</xdr:colOff>
      <xdr:row>40</xdr:row>
      <xdr:rowOff>276225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C0CEE92-139F-4536-A694-37478782C128}"/>
            </a:ext>
            <a:ext uri="{147F2762-F138-4A5C-976F-8EAC2B608ADB}">
              <a16:predDERef xmlns:a16="http://schemas.microsoft.com/office/drawing/2014/main" pred="{A122BA26-F56A-45A3-9220-C54271CA399E}"/>
            </a:ext>
          </a:extLst>
        </xdr:cNvPr>
        <xdr:cNvSpPr txBox="1"/>
      </xdr:nvSpPr>
      <xdr:spPr>
        <a:xfrm>
          <a:off x="8820150" y="14725650"/>
          <a:ext cx="154305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8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杉本 勉強用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320040</xdr:colOff>
      <xdr:row>9</xdr:row>
      <xdr:rowOff>209550</xdr:rowOff>
    </xdr:from>
    <xdr:to>
      <xdr:col>18</xdr:col>
      <xdr:colOff>175260</xdr:colOff>
      <xdr:row>17</xdr:row>
      <xdr:rowOff>68580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3D3A7AF-AD86-4109-B68F-402721FDEAC3}"/>
            </a:ext>
          </a:extLst>
        </xdr:cNvPr>
        <xdr:cNvSpPr txBox="1"/>
      </xdr:nvSpPr>
      <xdr:spPr>
        <a:xfrm>
          <a:off x="7566660" y="3089910"/>
          <a:ext cx="1470660" cy="2907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スズデン勉強会</a:t>
          </a:r>
        </a:p>
      </xdr:txBody>
    </xdr:sp>
    <xdr:clientData/>
  </xdr:twoCellAnchor>
  <xdr:twoCellAnchor>
    <xdr:from>
      <xdr:col>31</xdr:col>
      <xdr:colOff>285750</xdr:colOff>
      <xdr:row>15</xdr:row>
      <xdr:rowOff>161925</xdr:rowOff>
    </xdr:from>
    <xdr:to>
      <xdr:col>33</xdr:col>
      <xdr:colOff>381000</xdr:colOff>
      <xdr:row>58</xdr:row>
      <xdr:rowOff>209550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6D006D7-A34F-A357-C436-639F3DE047E9}"/>
            </a:ext>
            <a:ext uri="{147F2762-F138-4A5C-976F-8EAC2B608ADB}">
              <a16:predDERef xmlns:a16="http://schemas.microsoft.com/office/drawing/2014/main" pred="{F3D3A7AF-AD86-4109-B68F-402721FDEAC3}"/>
            </a:ext>
          </a:extLst>
        </xdr:cNvPr>
        <xdr:cNvSpPr txBox="1"/>
      </xdr:nvSpPr>
      <xdr:spPr>
        <a:xfrm>
          <a:off x="14620875" y="5314950"/>
          <a:ext cx="914400" cy="1185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南関東営業部体験会</a:t>
          </a:r>
        </a:p>
      </xdr:txBody>
    </xdr:sp>
    <xdr:clientData/>
  </xdr:twoCellAnchor>
  <xdr:twoCellAnchor>
    <xdr:from>
      <xdr:col>14</xdr:col>
      <xdr:colOff>259080</xdr:colOff>
      <xdr:row>31</xdr:row>
      <xdr:rowOff>60960</xdr:rowOff>
    </xdr:from>
    <xdr:to>
      <xdr:col>18</xdr:col>
      <xdr:colOff>114300</xdr:colOff>
      <xdr:row>38</xdr:row>
      <xdr:rowOff>300990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D0BF5EB-A01A-4F09-8F82-9A51EEFE2C72}"/>
            </a:ext>
          </a:extLst>
        </xdr:cNvPr>
        <xdr:cNvSpPr txBox="1"/>
      </xdr:nvSpPr>
      <xdr:spPr>
        <a:xfrm>
          <a:off x="7505700" y="11323320"/>
          <a:ext cx="1470660" cy="2907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スズデン勉強会</a:t>
          </a:r>
        </a:p>
      </xdr:txBody>
    </xdr:sp>
    <xdr:clientData/>
  </xdr:twoCellAnchor>
  <xdr:twoCellAnchor>
    <xdr:from>
      <xdr:col>23</xdr:col>
      <xdr:colOff>205740</xdr:colOff>
      <xdr:row>8</xdr:row>
      <xdr:rowOff>232410</xdr:rowOff>
    </xdr:from>
    <xdr:to>
      <xdr:col>27</xdr:col>
      <xdr:colOff>66675</xdr:colOff>
      <xdr:row>16</xdr:row>
      <xdr:rowOff>91440</xdr:rowOff>
    </xdr:to>
    <xdr:sp macro="" textlink="">
      <xdr:nvSpPr>
        <xdr:cNvPr id="3" name="テキスト ボックス 5">
          <a:extLst>
            <a:ext uri="{FF2B5EF4-FFF2-40B4-BE49-F238E27FC236}">
              <a16:creationId xmlns:a16="http://schemas.microsoft.com/office/drawing/2014/main" id="{F6D42E74-3647-498A-8E35-1040581DB153}"/>
            </a:ext>
            <a:ext uri="{147F2762-F138-4A5C-976F-8EAC2B608ADB}">
              <a16:predDERef xmlns:a16="http://schemas.microsoft.com/office/drawing/2014/main" pred="{ED0BF5EB-A01A-4F09-8F82-9A51EEFE2C72}"/>
            </a:ext>
          </a:extLst>
        </xdr:cNvPr>
        <xdr:cNvSpPr txBox="1"/>
      </xdr:nvSpPr>
      <xdr:spPr>
        <a:xfrm>
          <a:off x="11087100" y="2731770"/>
          <a:ext cx="1476375" cy="2907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広島勉強会（仮）</a:t>
          </a:r>
        </a:p>
      </xdr:txBody>
    </xdr:sp>
    <xdr:clientData/>
  </xdr:twoCellAnchor>
  <xdr:twoCellAnchor>
    <xdr:from>
      <xdr:col>24</xdr:col>
      <xdr:colOff>333375</xdr:colOff>
      <xdr:row>30</xdr:row>
      <xdr:rowOff>95250</xdr:rowOff>
    </xdr:from>
    <xdr:to>
      <xdr:col>28</xdr:col>
      <xdr:colOff>182880</xdr:colOff>
      <xdr:row>37</xdr:row>
      <xdr:rowOff>335280</xdr:rowOff>
    </xdr:to>
    <xdr:sp macro="" textlink="">
      <xdr:nvSpPr>
        <xdr:cNvPr id="12" name="テキスト ボックス 6">
          <a:extLst>
            <a:ext uri="{FF2B5EF4-FFF2-40B4-BE49-F238E27FC236}">
              <a16:creationId xmlns:a16="http://schemas.microsoft.com/office/drawing/2014/main" id="{159FA338-685F-4E1C-BC50-9099DCC6E5B7}"/>
            </a:ext>
            <a:ext uri="{147F2762-F138-4A5C-976F-8EAC2B608ADB}">
              <a16:predDERef xmlns:a16="http://schemas.microsoft.com/office/drawing/2014/main" pred="{F6D42E74-3647-498A-8E35-1040581DB153}"/>
            </a:ext>
          </a:extLst>
        </xdr:cNvPr>
        <xdr:cNvSpPr txBox="1"/>
      </xdr:nvSpPr>
      <xdr:spPr>
        <a:xfrm>
          <a:off x="11801475" y="10963275"/>
          <a:ext cx="1487805" cy="2907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広島勉強会（仮）</a:t>
          </a:r>
        </a:p>
      </xdr:txBody>
    </xdr:sp>
    <xdr:clientData/>
  </xdr:twoCellAnchor>
  <xdr:twoCellAnchor>
    <xdr:from>
      <xdr:col>21</xdr:col>
      <xdr:colOff>95250</xdr:colOff>
      <xdr:row>8</xdr:row>
      <xdr:rowOff>142875</xdr:rowOff>
    </xdr:from>
    <xdr:to>
      <xdr:col>22</xdr:col>
      <xdr:colOff>314325</xdr:colOff>
      <xdr:row>16</xdr:row>
      <xdr:rowOff>276225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B071064-2050-411B-A467-872818EEA63A}"/>
            </a:ext>
            <a:ext uri="{147F2762-F138-4A5C-976F-8EAC2B608ADB}">
              <a16:predDERef xmlns:a16="http://schemas.microsoft.com/office/drawing/2014/main" pred="{159FA338-685F-4E1C-BC50-9099DCC6E5B7}"/>
            </a:ext>
          </a:extLst>
        </xdr:cNvPr>
        <xdr:cNvSpPr txBox="1"/>
      </xdr:nvSpPr>
      <xdr:spPr>
        <a:xfrm>
          <a:off x="10334625" y="2628900"/>
          <a:ext cx="628650" cy="3181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奈良</a:t>
          </a:r>
        </a:p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ニッタ</a:t>
          </a:r>
        </a:p>
      </xdr:txBody>
    </xdr:sp>
    <xdr:clientData/>
  </xdr:twoCellAnchor>
  <xdr:twoCellAnchor>
    <xdr:from>
      <xdr:col>21</xdr:col>
      <xdr:colOff>114300</xdr:colOff>
      <xdr:row>30</xdr:row>
      <xdr:rowOff>219075</xdr:rowOff>
    </xdr:from>
    <xdr:to>
      <xdr:col>22</xdr:col>
      <xdr:colOff>333375</xdr:colOff>
      <xdr:row>38</xdr:row>
      <xdr:rowOff>352425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AFA1F1E-C1F7-47B1-9628-3F09D607BF04}"/>
            </a:ext>
            <a:ext uri="{147F2762-F138-4A5C-976F-8EAC2B608ADB}">
              <a16:predDERef xmlns:a16="http://schemas.microsoft.com/office/drawing/2014/main" pred="{EB071064-2050-411B-A467-872818EEA63A}"/>
            </a:ext>
          </a:extLst>
        </xdr:cNvPr>
        <xdr:cNvSpPr txBox="1"/>
      </xdr:nvSpPr>
      <xdr:spPr>
        <a:xfrm>
          <a:off x="10353675" y="11087100"/>
          <a:ext cx="628650" cy="3181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奈良</a:t>
          </a:r>
        </a:p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ニッタ</a:t>
          </a:r>
        </a:p>
      </xdr:txBody>
    </xdr:sp>
    <xdr:clientData/>
  </xdr:twoCellAnchor>
  <xdr:twoCellAnchor>
    <xdr:from>
      <xdr:col>21</xdr:col>
      <xdr:colOff>247650</xdr:colOff>
      <xdr:row>19</xdr:row>
      <xdr:rowOff>95250</xdr:rowOff>
    </xdr:from>
    <xdr:to>
      <xdr:col>25</xdr:col>
      <xdr:colOff>257175</xdr:colOff>
      <xdr:row>20</xdr:row>
      <xdr:rowOff>257175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8BFCAB59-0FAF-4933-B770-77472817B76E}"/>
            </a:ext>
            <a:ext uri="{147F2762-F138-4A5C-976F-8EAC2B608ADB}">
              <a16:predDERef xmlns:a16="http://schemas.microsoft.com/office/drawing/2014/main" pred="{1AFA1F1E-C1F7-47B1-9628-3F09D607BF04}"/>
            </a:ext>
          </a:extLst>
        </xdr:cNvPr>
        <xdr:cNvSpPr txBox="1"/>
      </xdr:nvSpPr>
      <xdr:spPr>
        <a:xfrm>
          <a:off x="10487025" y="6772275"/>
          <a:ext cx="1647825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太田営業所　服部</a:t>
          </a:r>
        </a:p>
      </xdr:txBody>
    </xdr:sp>
    <xdr:clientData/>
  </xdr:twoCellAnchor>
  <xdr:twoCellAnchor>
    <xdr:from>
      <xdr:col>21</xdr:col>
      <xdr:colOff>219075</xdr:colOff>
      <xdr:row>40</xdr:row>
      <xdr:rowOff>104775</xdr:rowOff>
    </xdr:from>
    <xdr:to>
      <xdr:col>25</xdr:col>
      <xdr:colOff>228600</xdr:colOff>
      <xdr:row>41</xdr:row>
      <xdr:rowOff>266700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2F51851E-9176-41FD-9505-272293B16607}"/>
            </a:ext>
            <a:ext uri="{147F2762-F138-4A5C-976F-8EAC2B608ADB}">
              <a16:predDERef xmlns:a16="http://schemas.microsoft.com/office/drawing/2014/main" pred="{8BFCAB59-0FAF-4933-B770-77472817B76E}"/>
            </a:ext>
          </a:extLst>
        </xdr:cNvPr>
        <xdr:cNvSpPr txBox="1"/>
      </xdr:nvSpPr>
      <xdr:spPr>
        <a:xfrm>
          <a:off x="10458450" y="14782800"/>
          <a:ext cx="1647825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太田営業所　服部</a:t>
          </a:r>
        </a:p>
      </xdr:txBody>
    </xdr:sp>
    <xdr:clientData/>
  </xdr:twoCellAnchor>
  <xdr:twoCellAnchor>
    <xdr:from>
      <xdr:col>17</xdr:col>
      <xdr:colOff>95250</xdr:colOff>
      <xdr:row>21</xdr:row>
      <xdr:rowOff>76200</xdr:rowOff>
    </xdr:from>
    <xdr:to>
      <xdr:col>29</xdr:col>
      <xdr:colOff>276225</xdr:colOff>
      <xdr:row>21</xdr:row>
      <xdr:rowOff>304800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6BDB156-A278-48A5-A5AB-DB80355BE515}"/>
            </a:ext>
            <a:ext uri="{147F2762-F138-4A5C-976F-8EAC2B608ADB}">
              <a16:predDERef xmlns:a16="http://schemas.microsoft.com/office/drawing/2014/main" pred="{2F51851E-9176-41FD-9505-272293B16607}"/>
            </a:ext>
          </a:extLst>
        </xdr:cNvPr>
        <xdr:cNvSpPr txBox="1"/>
      </xdr:nvSpPr>
      <xdr:spPr>
        <a:xfrm>
          <a:off x="8696325" y="7515225"/>
          <a:ext cx="50958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トヨタ　杉本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10</xdr:row>
      <xdr:rowOff>193675</xdr:rowOff>
    </xdr:from>
    <xdr:to>
      <xdr:col>7</xdr:col>
      <xdr:colOff>367030</xdr:colOff>
      <xdr:row>13</xdr:row>
      <xdr:rowOff>186690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D00A9B9-0677-45D8-90C4-B69C759F1D92}"/>
            </a:ext>
          </a:extLst>
        </xdr:cNvPr>
        <xdr:cNvSpPr txBox="1"/>
      </xdr:nvSpPr>
      <xdr:spPr>
        <a:xfrm>
          <a:off x="4076700" y="3455035"/>
          <a:ext cx="306070" cy="11360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アカデミー</a:t>
          </a:r>
        </a:p>
      </xdr:txBody>
    </xdr:sp>
    <xdr:clientData/>
  </xdr:twoCellAnchor>
  <xdr:twoCellAnchor>
    <xdr:from>
      <xdr:col>3</xdr:col>
      <xdr:colOff>180975</xdr:colOff>
      <xdr:row>8</xdr:row>
      <xdr:rowOff>104775</xdr:rowOff>
    </xdr:from>
    <xdr:to>
      <xdr:col>9</xdr:col>
      <xdr:colOff>200025</xdr:colOff>
      <xdr:row>39</xdr:row>
      <xdr:rowOff>152400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4D21F18-EC44-4FD9-B559-E90DACD3C9F5}"/>
            </a:ext>
            <a:ext uri="{147F2762-F138-4A5C-976F-8EAC2B608ADB}">
              <a16:predDERef xmlns:a16="http://schemas.microsoft.com/office/drawing/2014/main" pred="{8D00A9B9-0677-45D8-90C4-B69C759F1D92}"/>
            </a:ext>
          </a:extLst>
        </xdr:cNvPr>
        <xdr:cNvSpPr txBox="1"/>
      </xdr:nvSpPr>
      <xdr:spPr>
        <a:xfrm>
          <a:off x="3038475" y="2590800"/>
          <a:ext cx="2476500" cy="1185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南関東営業部体験会</a:t>
          </a:r>
        </a:p>
      </xdr:txBody>
    </xdr:sp>
    <xdr:clientData/>
  </xdr:twoCellAnchor>
  <xdr:twoCellAnchor>
    <xdr:from>
      <xdr:col>12</xdr:col>
      <xdr:colOff>190500</xdr:colOff>
      <xdr:row>8</xdr:row>
      <xdr:rowOff>171450</xdr:rowOff>
    </xdr:from>
    <xdr:to>
      <xdr:col>15</xdr:col>
      <xdr:colOff>209550</xdr:colOff>
      <xdr:row>39</xdr:row>
      <xdr:rowOff>219075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BC89D55-7CCE-4248-A40D-7AFF31395389}"/>
            </a:ext>
            <a:ext uri="{147F2762-F138-4A5C-976F-8EAC2B608ADB}">
              <a16:predDERef xmlns:a16="http://schemas.microsoft.com/office/drawing/2014/main" pred="{84D21F18-EC44-4FD9-B559-E90DACD3C9F5}"/>
            </a:ext>
          </a:extLst>
        </xdr:cNvPr>
        <xdr:cNvSpPr txBox="1"/>
      </xdr:nvSpPr>
      <xdr:spPr>
        <a:xfrm>
          <a:off x="6734175" y="2657475"/>
          <a:ext cx="1247775" cy="1185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シナノケンシコラボ展示会</a:t>
          </a:r>
        </a:p>
      </xdr:txBody>
    </xdr:sp>
    <xdr:clientData/>
  </xdr:twoCellAnchor>
  <xdr:twoCellAnchor>
    <xdr:from>
      <xdr:col>26</xdr:col>
      <xdr:colOff>219075</xdr:colOff>
      <xdr:row>19</xdr:row>
      <xdr:rowOff>165735</xdr:rowOff>
    </xdr:from>
    <xdr:to>
      <xdr:col>29</xdr:col>
      <xdr:colOff>238125</xdr:colOff>
      <xdr:row>29</xdr:row>
      <xdr:rowOff>243840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A2BD7103-ECC6-42A5-96D4-B6968E325504}"/>
            </a:ext>
            <a:ext uri="{147F2762-F138-4A5C-976F-8EAC2B608ADB}">
              <a16:predDERef xmlns:a16="http://schemas.microsoft.com/office/drawing/2014/main" pred="{84D21F18-EC44-4FD9-B559-E90DACD3C9F5}"/>
            </a:ext>
          </a:extLst>
        </xdr:cNvPr>
        <xdr:cNvSpPr txBox="1"/>
      </xdr:nvSpPr>
      <xdr:spPr>
        <a:xfrm>
          <a:off x="12319635" y="6856095"/>
          <a:ext cx="1230630" cy="3888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滋賀営業所体験会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(RT)</a:t>
          </a:r>
        </a:p>
        <a:p>
          <a:pPr marL="0" indent="0" algn="l"/>
          <a:endParaRPr lang="en-US" altLang="ja-JP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25</xdr:col>
      <xdr:colOff>152400</xdr:colOff>
      <xdr:row>8</xdr:row>
      <xdr:rowOff>238125</xdr:rowOff>
    </xdr:from>
    <xdr:to>
      <xdr:col>29</xdr:col>
      <xdr:colOff>209550</xdr:colOff>
      <xdr:row>11</xdr:row>
      <xdr:rowOff>247650</xdr:rowOff>
    </xdr:to>
    <xdr:sp macro="" textlink="">
      <xdr:nvSpPr>
        <xdr:cNvPr id="9" name="テキスト ボックス 5">
          <a:extLst>
            <a:ext uri="{FF2B5EF4-FFF2-40B4-BE49-F238E27FC236}">
              <a16:creationId xmlns:a16="http://schemas.microsoft.com/office/drawing/2014/main" id="{BB9A2974-3C31-477E-88F0-D21686194CE1}"/>
            </a:ext>
            <a:ext uri="{147F2762-F138-4A5C-976F-8EAC2B608ADB}">
              <a16:predDERef xmlns:a16="http://schemas.microsoft.com/office/drawing/2014/main" pred="{A2BD7103-ECC6-42A5-96D4-B6968E325504}"/>
            </a:ext>
          </a:extLst>
        </xdr:cNvPr>
        <xdr:cNvSpPr txBox="1"/>
      </xdr:nvSpPr>
      <xdr:spPr>
        <a:xfrm>
          <a:off x="12030075" y="2724150"/>
          <a:ext cx="169545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エイエムディ自動機</a:t>
          </a:r>
        </a:p>
      </xdr:txBody>
    </xdr:sp>
    <xdr:clientData/>
  </xdr:twoCellAnchor>
  <xdr:twoCellAnchor>
    <xdr:from>
      <xdr:col>25</xdr:col>
      <xdr:colOff>219075</xdr:colOff>
      <xdr:row>30</xdr:row>
      <xdr:rowOff>171450</xdr:rowOff>
    </xdr:from>
    <xdr:to>
      <xdr:col>29</xdr:col>
      <xdr:colOff>276225</xdr:colOff>
      <xdr:row>33</xdr:row>
      <xdr:rowOff>180975</xdr:rowOff>
    </xdr:to>
    <xdr:sp macro="" textlink="">
      <xdr:nvSpPr>
        <xdr:cNvPr id="12" name="テキスト ボックス 6">
          <a:extLst>
            <a:ext uri="{FF2B5EF4-FFF2-40B4-BE49-F238E27FC236}">
              <a16:creationId xmlns:a16="http://schemas.microsoft.com/office/drawing/2014/main" id="{ADCAC710-1170-4DED-8E41-D0FD539E5B86}"/>
            </a:ext>
            <a:ext uri="{147F2762-F138-4A5C-976F-8EAC2B608ADB}">
              <a16:predDERef xmlns:a16="http://schemas.microsoft.com/office/drawing/2014/main" pred="{BB9A2974-3C31-477E-88F0-D21686194CE1}"/>
            </a:ext>
          </a:extLst>
        </xdr:cNvPr>
        <xdr:cNvSpPr txBox="1"/>
      </xdr:nvSpPr>
      <xdr:spPr>
        <a:xfrm>
          <a:off x="12096750" y="11039475"/>
          <a:ext cx="169545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エイエムディ自動機</a:t>
          </a:r>
        </a:p>
      </xdr:txBody>
    </xdr:sp>
    <xdr:clientData/>
  </xdr:twoCellAnchor>
  <xdr:twoCellAnchor>
    <xdr:from>
      <xdr:col>26</xdr:col>
      <xdr:colOff>213360</xdr:colOff>
      <xdr:row>40</xdr:row>
      <xdr:rowOff>160020</xdr:rowOff>
    </xdr:from>
    <xdr:to>
      <xdr:col>29</xdr:col>
      <xdr:colOff>232410</xdr:colOff>
      <xdr:row>50</xdr:row>
      <xdr:rowOff>238125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3806F35E-5AA7-498F-9BC2-F8FBC1981134}"/>
            </a:ext>
            <a:ext uri="{147F2762-F138-4A5C-976F-8EAC2B608ADB}">
              <a16:predDERef xmlns:a16="http://schemas.microsoft.com/office/drawing/2014/main" pred="{84D21F18-EC44-4FD9-B559-E90DACD3C9F5}"/>
            </a:ext>
          </a:extLst>
        </xdr:cNvPr>
        <xdr:cNvSpPr txBox="1"/>
      </xdr:nvSpPr>
      <xdr:spPr>
        <a:xfrm>
          <a:off x="12313920" y="14851380"/>
          <a:ext cx="1230630" cy="3888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滋賀営業所体験会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(RT)</a:t>
          </a:r>
        </a:p>
        <a:p>
          <a:pPr marL="0" indent="0" algn="l"/>
          <a:endParaRPr lang="en-US" altLang="ja-JP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20</xdr:col>
      <xdr:colOff>228600</xdr:colOff>
      <xdr:row>12</xdr:row>
      <xdr:rowOff>257175</xdr:rowOff>
    </xdr:from>
    <xdr:to>
      <xdr:col>29</xdr:col>
      <xdr:colOff>219075</xdr:colOff>
      <xdr:row>18</xdr:row>
      <xdr:rowOff>228600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6BA22191-C95C-454B-8774-9F08A81DC3A0}"/>
            </a:ext>
            <a:ext uri="{147F2762-F138-4A5C-976F-8EAC2B608ADB}">
              <a16:predDERef xmlns:a16="http://schemas.microsoft.com/office/drawing/2014/main" pred="{3806F35E-5AA7-498F-9BC2-F8FBC1981134}"/>
            </a:ext>
          </a:extLst>
        </xdr:cNvPr>
        <xdr:cNvSpPr txBox="1"/>
      </xdr:nvSpPr>
      <xdr:spPr>
        <a:xfrm>
          <a:off x="10058400" y="4267200"/>
          <a:ext cx="3676650" cy="2257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ノリタケ</a:t>
          </a:r>
        </a:p>
      </xdr:txBody>
    </xdr:sp>
    <xdr:clientData/>
  </xdr:twoCellAnchor>
  <xdr:twoCellAnchor>
    <xdr:from>
      <xdr:col>20</xdr:col>
      <xdr:colOff>190500</xdr:colOff>
      <xdr:row>34</xdr:row>
      <xdr:rowOff>95250</xdr:rowOff>
    </xdr:from>
    <xdr:to>
      <xdr:col>29</xdr:col>
      <xdr:colOff>257175</xdr:colOff>
      <xdr:row>39</xdr:row>
      <xdr:rowOff>247650</xdr:rowOff>
    </xdr:to>
    <xdr:sp macro="" textlink="">
      <xdr:nvSpPr>
        <xdr:cNvPr id="7" name="テキスト ボックス 5">
          <a:extLst>
            <a:ext uri="{FF2B5EF4-FFF2-40B4-BE49-F238E27FC236}">
              <a16:creationId xmlns:a16="http://schemas.microsoft.com/office/drawing/2014/main" id="{C48902D8-6759-41FE-A2B5-B81F9D36071C}"/>
            </a:ext>
            <a:ext uri="{147F2762-F138-4A5C-976F-8EAC2B608ADB}">
              <a16:predDERef xmlns:a16="http://schemas.microsoft.com/office/drawing/2014/main" pred="{6BA22191-C95C-454B-8774-9F08A81DC3A0}"/>
            </a:ext>
          </a:extLst>
        </xdr:cNvPr>
        <xdr:cNvSpPr txBox="1"/>
      </xdr:nvSpPr>
      <xdr:spPr>
        <a:xfrm>
          <a:off x="10020300" y="12487275"/>
          <a:ext cx="3752850" cy="205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ノリタケ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214BC2-F1A9-794B-922E-B532EC6BBFDF}" name="3月_5" displayName="_3月_5" ref="B8:AH30" totalsRowCount="1" headerRowDxfId="2108" dataDxfId="2107" totalsRowDxfId="2106">
  <tableColumns count="33">
    <tableColumn id="1" xr3:uid="{5251F992-E710-C643-B160-C37BB2131D31}" name="従業員名" totalsRowFunction="custom" dataDxfId="2105" totalsRowDxfId="2104" dataCellStyle="従業員">
      <totalsRowFormula>MonthName&amp;"集計"</totalsRowFormula>
    </tableColumn>
    <tableColumn id="2" xr3:uid="{9AEC3AA3-9F0E-4B4E-A8ED-026BAE9C428F}" name="1" totalsRowFunction="count" dataDxfId="2103" totalsRowDxfId="2102"/>
    <tableColumn id="3" xr3:uid="{55750F7A-05DD-CB41-95C5-BE1F874725AE}" name="2" totalsRowFunction="count" dataDxfId="2101" totalsRowDxfId="2100"/>
    <tableColumn id="4" xr3:uid="{259912E4-C37B-5145-B99B-93F989E18A49}" name="3" totalsRowFunction="count" dataDxfId="2099" totalsRowDxfId="2098"/>
    <tableColumn id="5" xr3:uid="{44743504-4BFF-3B46-87DE-A0AE5C8C9FC0}" name="4" totalsRowFunction="count" dataDxfId="2097" totalsRowDxfId="2096"/>
    <tableColumn id="6" xr3:uid="{471BE969-F222-D642-8D1A-B386CCC29AB2}" name="5" totalsRowFunction="count" dataDxfId="2095" totalsRowDxfId="2094"/>
    <tableColumn id="7" xr3:uid="{35FEC3F2-5280-D342-A070-AB9A3C3BCF0A}" name="6" totalsRowFunction="count" dataDxfId="2093" totalsRowDxfId="2092"/>
    <tableColumn id="8" xr3:uid="{D4047C63-7046-5242-9483-0BC31BD18200}" name="7" totalsRowFunction="count" dataDxfId="2091" totalsRowDxfId="2090"/>
    <tableColumn id="9" xr3:uid="{79A2B7D0-444A-5942-9296-2BD32E471C66}" name="8" totalsRowFunction="count" dataDxfId="2089" totalsRowDxfId="2088"/>
    <tableColumn id="10" xr3:uid="{B46D113E-7D39-5A43-BAA4-11739C4AD0C2}" name="9" totalsRowFunction="count" dataDxfId="2087" totalsRowDxfId="2086"/>
    <tableColumn id="11" xr3:uid="{977EC8E9-AEB6-3E40-BE79-A406D4D3444D}" name="10" totalsRowFunction="count" dataDxfId="2085" totalsRowDxfId="2084"/>
    <tableColumn id="12" xr3:uid="{42883C66-F682-394E-8D72-6C0286CB27EA}" name="11" totalsRowFunction="count" dataDxfId="2083" totalsRowDxfId="2082"/>
    <tableColumn id="13" xr3:uid="{9A10401F-4CF0-8641-BCEB-2237315C8881}" name="12" totalsRowFunction="count" dataDxfId="2081" totalsRowDxfId="2080"/>
    <tableColumn id="14" xr3:uid="{9C8C4D04-BE8B-FB44-9666-B515D905B2D6}" name="13" totalsRowFunction="count" dataDxfId="2079" totalsRowDxfId="2078"/>
    <tableColumn id="15" xr3:uid="{E996717D-17EC-B048-A561-2AD987D342D0}" name="14" totalsRowFunction="count" dataDxfId="2077" totalsRowDxfId="2076"/>
    <tableColumn id="16" xr3:uid="{3BFEBF2B-F60F-A142-86F2-75C9DC96AFDB}" name="15" totalsRowFunction="count" dataDxfId="2075" totalsRowDxfId="2074"/>
    <tableColumn id="17" xr3:uid="{0C97EF54-1361-BE43-8F7F-1BCE23E1AB5A}" name="16" totalsRowFunction="count" dataDxfId="2073" totalsRowDxfId="2072"/>
    <tableColumn id="18" xr3:uid="{257791F4-E1CB-0642-BD3B-FB1B81C57DF1}" name="17" totalsRowFunction="count" dataDxfId="2071" totalsRowDxfId="2070"/>
    <tableColumn id="19" xr3:uid="{BB7AB6EF-7B76-5946-B53A-22DB3EB1F3FC}" name="18" totalsRowFunction="count" dataDxfId="2069" totalsRowDxfId="2068"/>
    <tableColumn id="20" xr3:uid="{85AEA6C3-1E60-234F-8E68-DD23536D850B}" name="19" totalsRowFunction="count" dataDxfId="2067" totalsRowDxfId="2066"/>
    <tableColumn id="21" xr3:uid="{A73B9507-91D4-9B42-8C0E-1E0FB67905F8}" name="20" totalsRowFunction="count" dataDxfId="2065" totalsRowDxfId="2064"/>
    <tableColumn id="22" xr3:uid="{5C7BDCBF-0A5A-4549-B80B-C8343893EAF7}" name="21" totalsRowFunction="count" dataDxfId="2063" totalsRowDxfId="2062"/>
    <tableColumn id="23" xr3:uid="{EC439ECF-E0C6-5D41-9DA2-07E3E82FF691}" name="22" totalsRowFunction="count" dataDxfId="2061" totalsRowDxfId="2060"/>
    <tableColumn id="24" xr3:uid="{97854A72-AEC9-604B-B1D4-06EC15436469}" name="23" totalsRowFunction="count" dataDxfId="2059" totalsRowDxfId="2058"/>
    <tableColumn id="25" xr3:uid="{F701FD79-E584-DF4B-83E9-A152532FDD15}" name="24" totalsRowFunction="count" dataDxfId="2057" totalsRowDxfId="2056"/>
    <tableColumn id="26" xr3:uid="{C662F6C1-F102-5942-8719-E32AD8792020}" name="25" totalsRowFunction="count" dataDxfId="2055" totalsRowDxfId="2054"/>
    <tableColumn id="27" xr3:uid="{50B9E2E5-9F39-0F45-AE9B-4555A77D295D}" name="26" totalsRowFunction="count" dataDxfId="2053" totalsRowDxfId="2052"/>
    <tableColumn id="28" xr3:uid="{3E4AF3CF-CB70-0842-B373-83CF59CBDA1D}" name="27" totalsRowFunction="count" dataDxfId="2051" totalsRowDxfId="2050"/>
    <tableColumn id="29" xr3:uid="{C5FCD875-31A1-4B41-AAF6-09E535D80C81}" name="28" totalsRowFunction="count" dataDxfId="2049" totalsRowDxfId="2048"/>
    <tableColumn id="30" xr3:uid="{84F06E67-080B-CA42-8EEC-59690B041A03}" name="29" totalsRowFunction="count" dataDxfId="2047" totalsRowDxfId="2046"/>
    <tableColumn id="31" xr3:uid="{284765D5-58F9-F440-84EA-ACE449176ACA}" name="30" totalsRowFunction="sum" dataDxfId="2045" totalsRowDxfId="2044"/>
    <tableColumn id="32" xr3:uid="{9C77C5AD-4E19-B843-B9BE-2909F268D667}" name=" " totalsRowFunction="sum" dataDxfId="2043" totalsRowDxfId="2042"/>
    <tableColumn id="33" xr3:uid="{0DA7656D-8525-2046-AEDA-1F40E411BD0D}" name="合計日数" totalsRowFunction="sum" dataDxfId="2041" totalsRowDxfId="2040"/>
  </tableColumns>
  <tableStyleInfo name="従業員の欠勤テーブル" showFirstColumn="1" showLastColumn="1" showRowStripes="1" showColumnStripes="0"/>
  <extLst>
    <ext xmlns:x14="http://schemas.microsoft.com/office/spreadsheetml/2009/9/main" uri="{504A1905-F514-4f6f-8877-14C23A59335A}">
      <x14:table altTextSummary="従業員の名前と欠勤の日付を指定します。行 12 に欠勤の種類をキー別に記録します。 V = 休暇、S = 病欠、P = 私用のほか、カスタム エントリ用の 2 つのプレースホルダーがあります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月1" displayName="月1" ref="B8:AH53" totalsRowCount="1" headerRowDxfId="1487" dataDxfId="1486" totalsRowDxfId="1485">
  <autoFilter ref="B8:AH52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xr3:uid="{00000000-0010-0000-0000-000001000000}" name="備品名" totalsRowFunction="custom" dataDxfId="1484" totalsRowDxfId="1483" dataCellStyle="従業員">
      <totalsRowFormula>MonthName&amp;"集計"</totalsRowFormula>
    </tableColumn>
    <tableColumn id="2" xr3:uid="{00000000-0010-0000-0000-000002000000}" name="1" totalsRowFunction="custom" dataDxfId="1482" totalsRowDxfId="1481">
      <totalsRowFormula>SUBTOTAL(103,'1月'!$C$9:$C$52)</totalsRowFormula>
    </tableColumn>
    <tableColumn id="3" xr3:uid="{00000000-0010-0000-0000-000003000000}" name="2" totalsRowFunction="custom" dataDxfId="1480" totalsRowDxfId="1479">
      <totalsRowFormula>SUBTOTAL(103,'1月'!$D$9:$D$52)</totalsRowFormula>
    </tableColumn>
    <tableColumn id="4" xr3:uid="{00000000-0010-0000-0000-000004000000}" name="3" totalsRowFunction="custom" dataDxfId="1478" totalsRowDxfId="1477">
      <totalsRowFormula>SUBTOTAL(103,'1月'!$E$9:$E$52)</totalsRowFormula>
    </tableColumn>
    <tableColumn id="5" xr3:uid="{00000000-0010-0000-0000-000005000000}" name="4" totalsRowFunction="custom" dataDxfId="1476" totalsRowDxfId="1475">
      <totalsRowFormula>SUBTOTAL(103,'1月'!$F$9:$F$52)</totalsRowFormula>
    </tableColumn>
    <tableColumn id="6" xr3:uid="{00000000-0010-0000-0000-000006000000}" name="5" totalsRowFunction="custom" dataDxfId="1474" totalsRowDxfId="1473">
      <totalsRowFormula>SUBTOTAL(103,'1月'!$G$9:$G$52)</totalsRowFormula>
    </tableColumn>
    <tableColumn id="7" xr3:uid="{00000000-0010-0000-0000-000007000000}" name="6" totalsRowFunction="custom" dataDxfId="1472" totalsRowDxfId="1471">
      <totalsRowFormula>SUBTOTAL(103,'1月'!$H$9:$H$52)</totalsRowFormula>
    </tableColumn>
    <tableColumn id="8" xr3:uid="{00000000-0010-0000-0000-000008000000}" name="7" totalsRowFunction="custom" dataDxfId="1470" totalsRowDxfId="1469">
      <totalsRowFormula>SUBTOTAL(103,'1月'!$I$9:$I$52)</totalsRowFormula>
    </tableColumn>
    <tableColumn id="9" xr3:uid="{00000000-0010-0000-0000-000009000000}" name="8" totalsRowFunction="custom" dataDxfId="1468" totalsRowDxfId="1467">
      <totalsRowFormula>SUBTOTAL(103,'1月'!$J$9:$J$52)</totalsRowFormula>
    </tableColumn>
    <tableColumn id="10" xr3:uid="{00000000-0010-0000-0000-00000A000000}" name="9" totalsRowFunction="custom" dataDxfId="1466" totalsRowDxfId="1465">
      <totalsRowFormula>SUBTOTAL(103,'1月'!$K$9:$K$52)</totalsRowFormula>
    </tableColumn>
    <tableColumn id="11" xr3:uid="{00000000-0010-0000-0000-00000B000000}" name="10" totalsRowFunction="custom" dataDxfId="1464" totalsRowDxfId="1463">
      <totalsRowFormula>SUBTOTAL(103,'1月'!$L$9:$L$52)</totalsRowFormula>
    </tableColumn>
    <tableColumn id="12" xr3:uid="{00000000-0010-0000-0000-00000C000000}" name="11" totalsRowFunction="custom" dataDxfId="1462" totalsRowDxfId="1461">
      <totalsRowFormula>SUBTOTAL(103,'1月'!$M$9:$M$52)</totalsRowFormula>
    </tableColumn>
    <tableColumn id="13" xr3:uid="{00000000-0010-0000-0000-00000D000000}" name="12" totalsRowFunction="custom" dataDxfId="1460" totalsRowDxfId="1459">
      <totalsRowFormula>SUBTOTAL(103,'1月'!$N$9:$N$52)</totalsRowFormula>
    </tableColumn>
    <tableColumn id="14" xr3:uid="{00000000-0010-0000-0000-00000E000000}" name="13" totalsRowFunction="custom" dataDxfId="1458" totalsRowDxfId="1457">
      <totalsRowFormula>SUBTOTAL(103,'1月'!$O$9:$O$52)</totalsRowFormula>
    </tableColumn>
    <tableColumn id="15" xr3:uid="{00000000-0010-0000-0000-00000F000000}" name="14" totalsRowFunction="custom" dataDxfId="1456" totalsRowDxfId="1455">
      <totalsRowFormula>SUBTOTAL(103,'1月'!$P$9:$P$52)</totalsRowFormula>
    </tableColumn>
    <tableColumn id="16" xr3:uid="{00000000-0010-0000-0000-000010000000}" name="15" totalsRowFunction="custom" dataDxfId="1454" totalsRowDxfId="1453">
      <totalsRowFormula>SUBTOTAL(103,'1月'!$Q$9:$Q$52)</totalsRowFormula>
    </tableColumn>
    <tableColumn id="17" xr3:uid="{00000000-0010-0000-0000-000011000000}" name="16" totalsRowFunction="custom" dataDxfId="1452" totalsRowDxfId="1451" dataCellStyle="40% - アクセント 2">
      <totalsRowFormula>SUBTOTAL(103,'1月'!$R$9:$R$52)</totalsRowFormula>
    </tableColumn>
    <tableColumn id="18" xr3:uid="{00000000-0010-0000-0000-000012000000}" name="17" totalsRowFunction="custom" dataDxfId="1450" totalsRowDxfId="1449">
      <totalsRowFormula>SUBTOTAL(103,'1月'!$S$9:$S$52)</totalsRowFormula>
    </tableColumn>
    <tableColumn id="19" xr3:uid="{00000000-0010-0000-0000-000013000000}" name="18" totalsRowFunction="custom" dataDxfId="1448" totalsRowDxfId="1447">
      <totalsRowFormula>SUBTOTAL(103,'1月'!$T$9:$T$52)</totalsRowFormula>
    </tableColumn>
    <tableColumn id="20" xr3:uid="{00000000-0010-0000-0000-000014000000}" name="19" totalsRowFunction="custom" dataDxfId="1446" totalsRowDxfId="1445">
      <totalsRowFormula>SUBTOTAL(103,'1月'!$U$9:$U$52)</totalsRowFormula>
    </tableColumn>
    <tableColumn id="21" xr3:uid="{00000000-0010-0000-0000-000015000000}" name="20" totalsRowFunction="custom" dataDxfId="1444" totalsRowDxfId="1443">
      <totalsRowFormula>SUBTOTAL(103,'1月'!$V$9:$V$52)</totalsRowFormula>
    </tableColumn>
    <tableColumn id="22" xr3:uid="{00000000-0010-0000-0000-000016000000}" name="21" totalsRowFunction="custom" dataDxfId="1442" totalsRowDxfId="1441">
      <totalsRowFormula>SUBTOTAL(103,'1月'!$W$9:$W$52)</totalsRowFormula>
    </tableColumn>
    <tableColumn id="23" xr3:uid="{00000000-0010-0000-0000-000017000000}" name="22" totalsRowFunction="custom" dataDxfId="1440" totalsRowDxfId="1439">
      <totalsRowFormula>SUBTOTAL(103,'1月'!$X$9:$X$52)</totalsRowFormula>
    </tableColumn>
    <tableColumn id="24" xr3:uid="{00000000-0010-0000-0000-000018000000}" name="23" totalsRowFunction="custom" dataDxfId="1438" totalsRowDxfId="1437">
      <totalsRowFormula>SUBTOTAL(103,'1月'!$Y$9:$Y$52)</totalsRowFormula>
    </tableColumn>
    <tableColumn id="25" xr3:uid="{00000000-0010-0000-0000-000019000000}" name="24" totalsRowFunction="custom" dataDxfId="1436" totalsRowDxfId="1435">
      <totalsRowFormula>SUBTOTAL(103,'1月'!$Z$9:$Z$52)</totalsRowFormula>
    </tableColumn>
    <tableColumn id="26" xr3:uid="{00000000-0010-0000-0000-00001A000000}" name="25" totalsRowFunction="custom" dataDxfId="1434" totalsRowDxfId="1433">
      <totalsRowFormula>SUBTOTAL(103,'1月'!$AA$9:$AA$52)</totalsRowFormula>
    </tableColumn>
    <tableColumn id="27" xr3:uid="{00000000-0010-0000-0000-00001B000000}" name="26" totalsRowFunction="custom" dataDxfId="1432" totalsRowDxfId="1431">
      <totalsRowFormula>SUBTOTAL(103,'1月'!$AB$9:$AB$52)</totalsRowFormula>
    </tableColumn>
    <tableColumn id="28" xr3:uid="{00000000-0010-0000-0000-00001C000000}" name="27" totalsRowFunction="custom" dataDxfId="1430" totalsRowDxfId="1429">
      <totalsRowFormula>SUBTOTAL(103,'1月'!$AC$9:$AC$52)</totalsRowFormula>
    </tableColumn>
    <tableColumn id="29" xr3:uid="{00000000-0010-0000-0000-00001D000000}" name="28" totalsRowFunction="custom" dataDxfId="1428" totalsRowDxfId="1427">
      <totalsRowFormula>SUBTOTAL(103,'1月'!$AD$9:$AD$52)</totalsRowFormula>
    </tableColumn>
    <tableColumn id="30" xr3:uid="{00000000-0010-0000-0000-00001E000000}" name="29" totalsRowFunction="custom" dataDxfId="1426" totalsRowDxfId="1425">
      <totalsRowFormula>SUBTOTAL(103,'1月'!$AE$9:$AE$52)</totalsRowFormula>
    </tableColumn>
    <tableColumn id="31" xr3:uid="{00000000-0010-0000-0000-00001F000000}" name="30" totalsRowFunction="custom" dataDxfId="1424" totalsRowDxfId="1423">
      <totalsRowFormula>SUBTOTAL(103,'1月'!$AF$9:$AF$52)</totalsRowFormula>
    </tableColumn>
    <tableColumn id="32" xr3:uid="{00000000-0010-0000-0000-000020000000}" name="31" totalsRowFunction="custom" dataDxfId="1422" totalsRowDxfId="1421">
      <totalsRowFormula>SUBTOTAL(103,'1月'!$AG$9:$AG$52)</totalsRowFormula>
    </tableColumn>
    <tableColumn id="33" xr3:uid="{00000000-0010-0000-0000-000021000000}" name="合計日数" totalsRowFunction="sum" dataDxfId="1420" totalsRowDxfId="1419">
      <calculatedColumnFormula>COUNTA(月1[[#This Row],[1]:[31]])</calculatedColumnFormula>
    </tableColumn>
  </tableColumns>
  <tableStyleInfo name="従業員の欠勤テーブル" showFirstColumn="1" showLastColumn="1" showRowStripes="1" showColumnStripes="0"/>
  <extLst>
    <ext xmlns:x14="http://schemas.microsoft.com/office/spreadsheetml/2009/9/main" uri="{504A1905-F514-4f6f-8877-14C23A59335A}">
      <x14:table altTextSummary="従業員の名前と欠勤の日付を指定します。行 12 に欠勤の種類をキー別に記録します。 V = 休暇、S = 病欠、P = 私用のほか、カスタム エントリ用の 2 つのプレースホルダーがあります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月2" displayName="月2" ref="B8:AH53" totalsRowCount="1" headerRowDxfId="1418" dataDxfId="1417" totalsRowDxfId="1416">
  <tableColumns count="33">
    <tableColumn id="1" xr3:uid="{00000000-0010-0000-0100-000001000000}" name="従業員名" totalsRowFunction="custom" dataDxfId="1415" totalsRowDxfId="1414" dataCellStyle="従業員">
      <totalsRowFormula>MonthName&amp;"集計"</totalsRowFormula>
    </tableColumn>
    <tableColumn id="2" xr3:uid="{00000000-0010-0000-0100-000002000000}" name="1" totalsRowFunction="count" dataDxfId="1413" totalsRowDxfId="1412"/>
    <tableColumn id="3" xr3:uid="{00000000-0010-0000-0100-000003000000}" name="2" totalsRowFunction="count" dataDxfId="1411" totalsRowDxfId="1410"/>
    <tableColumn id="4" xr3:uid="{00000000-0010-0000-0100-000004000000}" name="3" totalsRowFunction="count" dataDxfId="1409" totalsRowDxfId="1408"/>
    <tableColumn id="5" xr3:uid="{00000000-0010-0000-0100-000005000000}" name="4" totalsRowFunction="count" dataDxfId="1407" totalsRowDxfId="1406"/>
    <tableColumn id="6" xr3:uid="{00000000-0010-0000-0100-000006000000}" name="5" totalsRowFunction="count" dataDxfId="1405" totalsRowDxfId="1404"/>
    <tableColumn id="7" xr3:uid="{00000000-0010-0000-0100-000007000000}" name="6" totalsRowFunction="count" dataDxfId="1403" totalsRowDxfId="1402" dataCellStyle="40% - アクセント 2"/>
    <tableColumn id="8" xr3:uid="{00000000-0010-0000-0100-000008000000}" name="7" totalsRowFunction="count" dataDxfId="1401" totalsRowDxfId="1400"/>
    <tableColumn id="9" xr3:uid="{00000000-0010-0000-0100-000009000000}" name="8" totalsRowFunction="count" dataDxfId="1399" totalsRowDxfId="1398"/>
    <tableColumn id="10" xr3:uid="{00000000-0010-0000-0100-00000A000000}" name="9" totalsRowFunction="count" dataDxfId="1397" totalsRowDxfId="1396"/>
    <tableColumn id="11" xr3:uid="{00000000-0010-0000-0100-00000B000000}" name="10" totalsRowFunction="count" dataDxfId="1395" totalsRowDxfId="1394"/>
    <tableColumn id="12" xr3:uid="{00000000-0010-0000-0100-00000C000000}" name="11" totalsRowFunction="count" dataDxfId="1393" totalsRowDxfId="1392"/>
    <tableColumn id="13" xr3:uid="{00000000-0010-0000-0100-00000D000000}" name="12" totalsRowFunction="count" dataDxfId="1391" totalsRowDxfId="1390"/>
    <tableColumn id="14" xr3:uid="{00000000-0010-0000-0100-00000E000000}" name="13" totalsRowFunction="count" dataDxfId="1389" totalsRowDxfId="1388"/>
    <tableColumn id="15" xr3:uid="{00000000-0010-0000-0100-00000F000000}" name="14" totalsRowFunction="count" dataDxfId="1387" totalsRowDxfId="1386"/>
    <tableColumn id="16" xr3:uid="{00000000-0010-0000-0100-000010000000}" name="15" totalsRowFunction="count" dataDxfId="1385" totalsRowDxfId="1384"/>
    <tableColumn id="17" xr3:uid="{00000000-0010-0000-0100-000011000000}" name="16" totalsRowFunction="count" dataDxfId="1383" totalsRowDxfId="1382"/>
    <tableColumn id="18" xr3:uid="{00000000-0010-0000-0100-000012000000}" name="17" totalsRowFunction="count" dataDxfId="1381" totalsRowDxfId="1380"/>
    <tableColumn id="19" xr3:uid="{00000000-0010-0000-0100-000013000000}" name="18" totalsRowFunction="count" dataDxfId="1379" totalsRowDxfId="1378"/>
    <tableColumn id="20" xr3:uid="{00000000-0010-0000-0100-000014000000}" name="19" totalsRowFunction="count" dataDxfId="1377" totalsRowDxfId="1376"/>
    <tableColumn id="21" xr3:uid="{00000000-0010-0000-0100-000015000000}" name="20" totalsRowFunction="count" dataDxfId="1375" totalsRowDxfId="1374"/>
    <tableColumn id="22" xr3:uid="{00000000-0010-0000-0100-000016000000}" name="21" totalsRowFunction="count" dataDxfId="1373" totalsRowDxfId="1372"/>
    <tableColumn id="23" xr3:uid="{00000000-0010-0000-0100-000017000000}" name="22" totalsRowFunction="count" dataDxfId="1371" totalsRowDxfId="1370"/>
    <tableColumn id="24" xr3:uid="{00000000-0010-0000-0100-000018000000}" name="23" totalsRowFunction="count" dataDxfId="1369" totalsRowDxfId="1368"/>
    <tableColumn id="25" xr3:uid="{00000000-0010-0000-0100-000019000000}" name="24" totalsRowFunction="count" dataDxfId="1367" totalsRowDxfId="1366"/>
    <tableColumn id="26" xr3:uid="{00000000-0010-0000-0100-00001A000000}" name="25" totalsRowFunction="count" dataDxfId="1365" totalsRowDxfId="1364"/>
    <tableColumn id="27" xr3:uid="{00000000-0010-0000-0100-00001B000000}" name="26" totalsRowFunction="count" dataDxfId="1363" totalsRowDxfId="1362"/>
    <tableColumn id="28" xr3:uid="{00000000-0010-0000-0100-00001C000000}" name="27" totalsRowFunction="count" dataDxfId="1361" totalsRowDxfId="1360"/>
    <tableColumn id="29" xr3:uid="{00000000-0010-0000-0100-00001D000000}" name="28" totalsRowFunction="count" dataDxfId="1359" totalsRowDxfId="1358"/>
    <tableColumn id="30" xr3:uid="{00000000-0010-0000-0100-00001E000000}" name="29" totalsRowFunction="count" dataDxfId="1357" totalsRowDxfId="1356"/>
    <tableColumn id="31" xr3:uid="{00000000-0010-0000-0100-00001F000000}" name=" " dataDxfId="1355" totalsRowDxfId="1354"/>
    <tableColumn id="32" xr3:uid="{00000000-0010-0000-0100-000020000000}" name="  " dataDxfId="1353" totalsRowDxfId="1352"/>
    <tableColumn id="33" xr3:uid="{00000000-0010-0000-0100-000021000000}" name="合計日数" totalsRowFunction="sum" dataDxfId="1351" totalsRowDxfId="1350">
      <calculatedColumnFormula>COUNTA(月2[[#This Row],[1]:[29]])</calculatedColumnFormula>
    </tableColumn>
  </tableColumns>
  <tableStyleInfo name="従業員の欠勤テーブル" showFirstColumn="1" showLastColumn="1" showRowStripes="1" showColumnStripes="0"/>
  <extLst>
    <ext xmlns:x14="http://schemas.microsoft.com/office/spreadsheetml/2009/9/main" uri="{504A1905-F514-4f6f-8877-14C23A59335A}">
      <x14:table altTextSummary="従業員の名前と欠勤の日付を指定します。行 12 に欠勤の種類をキー別に記録します。 V = 休暇、S = 病欠、P = 私用のほか、カスタム エントリ用の 2 つのプレースホルダーがあります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2000000}" name="月3" displayName="月3" ref="B8:AH53" totalsRowCount="1" headerRowDxfId="1349" dataDxfId="1348" totalsRowDxfId="1347">
  <tableColumns count="33">
    <tableColumn id="1" xr3:uid="{00000000-0010-0000-0200-000001000000}" name="従業員名" totalsRowFunction="custom" dataDxfId="1346" totalsRowDxfId="1345" dataCellStyle="従業員">
      <totalsRowFormula>MonthName&amp;"集計"</totalsRowFormula>
    </tableColumn>
    <tableColumn id="2" xr3:uid="{00000000-0010-0000-0200-000002000000}" name="1" totalsRowFunction="count" dataDxfId="1344" totalsRowDxfId="1343"/>
    <tableColumn id="3" xr3:uid="{00000000-0010-0000-0200-000003000000}" name="2" totalsRowFunction="count" dataDxfId="1342" totalsRowDxfId="1341"/>
    <tableColumn id="4" xr3:uid="{00000000-0010-0000-0200-000004000000}" name="3" totalsRowFunction="count" dataDxfId="1340" totalsRowDxfId="1339"/>
    <tableColumn id="5" xr3:uid="{00000000-0010-0000-0200-000005000000}" name="4" totalsRowFunction="count" dataDxfId="1338" totalsRowDxfId="1337"/>
    <tableColumn id="6" xr3:uid="{00000000-0010-0000-0200-000006000000}" name="5" totalsRowFunction="count" dataDxfId="1336" totalsRowDxfId="1335"/>
    <tableColumn id="7" xr3:uid="{00000000-0010-0000-0200-000007000000}" name="6" totalsRowFunction="count" dataDxfId="1334" totalsRowDxfId="1333"/>
    <tableColumn id="8" xr3:uid="{00000000-0010-0000-0200-000008000000}" name="7" totalsRowFunction="count" dataDxfId="1332" totalsRowDxfId="1331"/>
    <tableColumn id="9" xr3:uid="{00000000-0010-0000-0200-000009000000}" name="8" totalsRowFunction="count" dataDxfId="1330" totalsRowDxfId="1329"/>
    <tableColumn id="10" xr3:uid="{00000000-0010-0000-0200-00000A000000}" name="9" totalsRowFunction="count" dataDxfId="1328" totalsRowDxfId="1327"/>
    <tableColumn id="11" xr3:uid="{00000000-0010-0000-0200-00000B000000}" name="10" totalsRowFunction="count" dataDxfId="1326" totalsRowDxfId="1325"/>
    <tableColumn id="12" xr3:uid="{00000000-0010-0000-0200-00000C000000}" name="11" totalsRowFunction="count" dataDxfId="1324" totalsRowDxfId="1323"/>
    <tableColumn id="13" xr3:uid="{00000000-0010-0000-0200-00000D000000}" name="12" totalsRowFunction="count" dataDxfId="1322" totalsRowDxfId="1321"/>
    <tableColumn id="14" xr3:uid="{00000000-0010-0000-0200-00000E000000}" name="13" totalsRowFunction="count" dataDxfId="1320" totalsRowDxfId="1319"/>
    <tableColumn id="15" xr3:uid="{00000000-0010-0000-0200-00000F000000}" name="14" totalsRowFunction="count" dataDxfId="1318" totalsRowDxfId="1317"/>
    <tableColumn id="16" xr3:uid="{00000000-0010-0000-0200-000010000000}" name="15" totalsRowFunction="count" dataDxfId="1316" totalsRowDxfId="1315"/>
    <tableColumn id="17" xr3:uid="{00000000-0010-0000-0200-000011000000}" name="16" totalsRowFunction="count" dataDxfId="1314" totalsRowDxfId="1313"/>
    <tableColumn id="18" xr3:uid="{00000000-0010-0000-0200-000012000000}" name="17" totalsRowFunction="count" dataDxfId="1312" totalsRowDxfId="1311"/>
    <tableColumn id="19" xr3:uid="{00000000-0010-0000-0200-000013000000}" name="18" totalsRowFunction="count" dataDxfId="1310" totalsRowDxfId="1309"/>
    <tableColumn id="20" xr3:uid="{00000000-0010-0000-0200-000014000000}" name="19" totalsRowFunction="count" dataDxfId="1308" totalsRowDxfId="1307"/>
    <tableColumn id="21" xr3:uid="{00000000-0010-0000-0200-000015000000}" name="20" totalsRowFunction="count" dataDxfId="1306" totalsRowDxfId="1305"/>
    <tableColumn id="22" xr3:uid="{00000000-0010-0000-0200-000016000000}" name="21" totalsRowFunction="count" dataDxfId="1304" totalsRowDxfId="1303"/>
    <tableColumn id="23" xr3:uid="{00000000-0010-0000-0200-000017000000}" name="22" totalsRowFunction="count" dataDxfId="1302" totalsRowDxfId="1301"/>
    <tableColumn id="24" xr3:uid="{00000000-0010-0000-0200-000018000000}" name="23" totalsRowFunction="count" dataDxfId="1300" totalsRowDxfId="1299"/>
    <tableColumn id="25" xr3:uid="{00000000-0010-0000-0200-000019000000}" name="24" totalsRowFunction="count" dataDxfId="1298" totalsRowDxfId="1297"/>
    <tableColumn id="26" xr3:uid="{00000000-0010-0000-0200-00001A000000}" name="25" totalsRowFunction="count" dataDxfId="1296" totalsRowDxfId="1295"/>
    <tableColumn id="27" xr3:uid="{00000000-0010-0000-0200-00001B000000}" name="26" totalsRowFunction="count" dataDxfId="1294" totalsRowDxfId="1293"/>
    <tableColumn id="28" xr3:uid="{00000000-0010-0000-0200-00001C000000}" name="27" totalsRowFunction="count" dataDxfId="1292" totalsRowDxfId="1291"/>
    <tableColumn id="29" xr3:uid="{00000000-0010-0000-0200-00001D000000}" name="28" totalsRowFunction="count" dataDxfId="1290" totalsRowDxfId="1289"/>
    <tableColumn id="30" xr3:uid="{00000000-0010-0000-0200-00001E000000}" name="29" totalsRowFunction="count" dataDxfId="1288" totalsRowDxfId="1287"/>
    <tableColumn id="31" xr3:uid="{00000000-0010-0000-0200-00001F000000}" name="30" totalsRowFunction="sum" dataDxfId="1286" totalsRowDxfId="1285"/>
    <tableColumn id="32" xr3:uid="{00000000-0010-0000-0200-000020000000}" name="31" totalsRowFunction="sum" dataDxfId="1284" totalsRowDxfId="1283"/>
    <tableColumn id="33" xr3:uid="{00000000-0010-0000-0200-000021000000}" name="合計日数" totalsRowFunction="sum" dataDxfId="1282" totalsRowDxfId="1281">
      <calculatedColumnFormula>COUNTA(月3[[#This Row],[1]:[31]])</calculatedColumnFormula>
    </tableColumn>
  </tableColumns>
  <tableStyleInfo name="従業員の欠勤テーブル" showFirstColumn="1" showLastColumn="1" showRowStripes="1" showColumnStripes="0"/>
  <extLst>
    <ext xmlns:x14="http://schemas.microsoft.com/office/spreadsheetml/2009/9/main" uri="{504A1905-F514-4f6f-8877-14C23A59335A}">
      <x14:table altTextSummary="従業員の名前と欠勤の日付を指定します。行 12 に欠勤の種類をキー別に記録します。 V = 休暇、S = 病欠、P = 私用のほか、カスタム エントリ用の 2 つのプレースホルダーがあります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A6EBCB-3087-419B-92CC-E38454D6CB1F}" name="月11_26" displayName="月11_26" ref="B8:AH66" totalsRowCount="1" headerRowDxfId="1280" dataDxfId="1279" totalsRowDxfId="1278">
  <tableColumns count="33">
    <tableColumn id="1" xr3:uid="{8E0851E9-E63A-427D-ABA1-7A1598A6910E}" name="従業員名" totalsRowFunction="custom" dataDxfId="1277" totalsRowDxfId="1276" dataCellStyle="従業員">
      <totalsRowFormula>MonthName&amp;"集計"</totalsRowFormula>
    </tableColumn>
    <tableColumn id="2" xr3:uid="{85BF9917-C04C-42B6-862E-11B1A93A9D1C}" name="1" totalsRowFunction="count" dataDxfId="1275" totalsRowDxfId="1274"/>
    <tableColumn id="3" xr3:uid="{4BAC859C-7903-4FCA-9402-2531B602A9B5}" name="2" totalsRowFunction="count" dataDxfId="1273" totalsRowDxfId="1272"/>
    <tableColumn id="4" xr3:uid="{0053F84B-6540-4334-A554-1AC288C97E4A}" name="3" totalsRowFunction="count" dataDxfId="1271" totalsRowDxfId="1270"/>
    <tableColumn id="5" xr3:uid="{CD3C3FE2-8C2C-43A1-8A61-5A249052BF63}" name="4" totalsRowFunction="count" dataDxfId="1269" totalsRowDxfId="1268"/>
    <tableColumn id="6" xr3:uid="{305B2093-2886-4E5F-939F-8C0DCEEDA44D}" name="5" totalsRowFunction="count" dataDxfId="1267" totalsRowDxfId="1266"/>
    <tableColumn id="7" xr3:uid="{D1F0A3DA-F90E-4F25-A00E-961310CB8FC9}" name="6" totalsRowFunction="count" dataDxfId="1265" totalsRowDxfId="1264"/>
    <tableColumn id="8" xr3:uid="{96BC4E47-0C99-442D-BC16-CD60EB4E9F1A}" name="7" totalsRowFunction="count" dataDxfId="1263" totalsRowDxfId="1262"/>
    <tableColumn id="9" xr3:uid="{1D18A60C-50C0-4621-85F8-0E74E20E8339}" name="8" totalsRowFunction="count" dataDxfId="1261" totalsRowDxfId="1260"/>
    <tableColumn id="10" xr3:uid="{A10993F9-2E08-4719-A386-EBF62A6FCF57}" name="9" totalsRowFunction="count" dataDxfId="1259" totalsRowDxfId="1258"/>
    <tableColumn id="11" xr3:uid="{880FABC9-FB26-4035-B600-4B219B63827B}" name="10" totalsRowFunction="count" dataDxfId="1257" totalsRowDxfId="1256"/>
    <tableColumn id="12" xr3:uid="{8F39FA51-B143-4BFA-B783-3AEEFF6F7237}" name="11" totalsRowFunction="count" dataDxfId="1255" totalsRowDxfId="1254"/>
    <tableColumn id="13" xr3:uid="{2451B627-1DD4-4534-80DA-3B4DFECF6BB7}" name="12" totalsRowFunction="count" dataDxfId="1253" totalsRowDxfId="1252"/>
    <tableColumn id="14" xr3:uid="{A36707E3-6136-4D26-B292-37F9562C7DD2}" name="13" totalsRowFunction="count" dataDxfId="1251" totalsRowDxfId="1250"/>
    <tableColumn id="15" xr3:uid="{1B30DDE4-FFAB-49DF-AAE9-038D343DDE22}" name="14" totalsRowFunction="count" dataDxfId="1249" totalsRowDxfId="1248"/>
    <tableColumn id="16" xr3:uid="{054BF9E3-88C7-4D37-8370-C0DACA671449}" name="15" totalsRowFunction="count" dataDxfId="1247" totalsRowDxfId="1246"/>
    <tableColumn id="17" xr3:uid="{97029DC0-8B10-4446-8391-7029997D50D2}" name="16" totalsRowFunction="count" dataDxfId="1245" totalsRowDxfId="1244"/>
    <tableColumn id="18" xr3:uid="{7436F31B-531F-430A-94EF-ED4EEACD5E29}" name="17" totalsRowFunction="count" dataDxfId="1243" totalsRowDxfId="1242"/>
    <tableColumn id="19" xr3:uid="{620FFF5F-0D67-4C20-B60F-073E27134AE8}" name="18" totalsRowFunction="count" dataDxfId="1241" totalsRowDxfId="1240"/>
    <tableColumn id="20" xr3:uid="{8220FEB0-1CE4-4F0E-AB1B-B45BF061EEA5}" name="19" totalsRowFunction="count" dataDxfId="1239" totalsRowDxfId="1238"/>
    <tableColumn id="21" xr3:uid="{02C16D94-A718-4FC2-A33F-574CA283CE4C}" name="20" totalsRowFunction="count" dataDxfId="1237" totalsRowDxfId="1236"/>
    <tableColumn id="22" xr3:uid="{8106477F-9D1F-43BB-8D41-1A7313390BA6}" name="21" totalsRowFunction="count" dataDxfId="1235" totalsRowDxfId="1234"/>
    <tableColumn id="23" xr3:uid="{B2858420-D6F8-4005-A3EE-E4ACCFA59913}" name="22" totalsRowFunction="count" dataDxfId="1233" totalsRowDxfId="1232"/>
    <tableColumn id="24" xr3:uid="{267422AD-DE0C-4A0D-9451-6477EDEE475B}" name="23" totalsRowFunction="count" dataDxfId="1231" totalsRowDxfId="1230"/>
    <tableColumn id="25" xr3:uid="{82A8B0E7-99A0-497A-94A5-33FA764066B7}" name="24" totalsRowFunction="count" dataDxfId="1229" totalsRowDxfId="1228"/>
    <tableColumn id="26" xr3:uid="{478AFD92-27CF-4BFB-B68A-4FF9536D99C3}" name="25" totalsRowFunction="count" dataDxfId="1227" totalsRowDxfId="1226"/>
    <tableColumn id="27" xr3:uid="{8BBAFEFA-805D-4109-B2A8-CD899EF14F47}" name="26" totalsRowFunction="count" dataDxfId="1225" totalsRowDxfId="1224"/>
    <tableColumn id="28" xr3:uid="{C7800BA9-8C93-4DEB-8A0E-B0685C0EB023}" name="27" totalsRowFunction="count" dataDxfId="1223" totalsRowDxfId="1222"/>
    <tableColumn id="29" xr3:uid="{2B558BBF-0517-4864-9E2F-0ECBF613D345}" name="28" totalsRowFunction="count" dataDxfId="1221" totalsRowDxfId="1220"/>
    <tableColumn id="30" xr3:uid="{A9C152B5-2A46-46C5-987D-04D7826D02A0}" name="29" totalsRowFunction="count" dataDxfId="1219" totalsRowDxfId="1218"/>
    <tableColumn id="31" xr3:uid="{9F9304BE-F48F-4C76-8290-E0A0A2312143}" name="30" totalsRowFunction="sum" dataDxfId="1217" totalsRowDxfId="1216"/>
    <tableColumn id="32" xr3:uid="{08344D9C-0AAE-46DE-BB22-30739BC7E361}" name=" " totalsRowFunction="sum" dataDxfId="1215" totalsRowDxfId="1214"/>
    <tableColumn id="33" xr3:uid="{C09DFF7E-7218-473F-A7FF-571D3CAEEE0A}" name="合計日数" totalsRowFunction="sum" dataDxfId="1213" totalsRowDxfId="1212">
      <calculatedColumnFormula>COUNTA(月11_26[[#This Row],[1]:[ ]])</calculatedColumnFormula>
    </tableColumn>
  </tableColumns>
  <tableStyleInfo name="従業員の欠勤テーブル" showFirstColumn="1" showLastColumn="1" showRowStripes="1" showColumnStripes="0"/>
  <extLst>
    <ext xmlns:x14="http://schemas.microsoft.com/office/spreadsheetml/2009/9/main" uri="{504A1905-F514-4f6f-8877-14C23A59335A}">
      <x14:table altTextSummary="従業員の名前と欠勤の日付を指定します。行 12 に欠勤の種類をキー別に記録します。 V = 休暇、S = 病欠、P = 私用のほか、カスタム エントリ用の 2 つのプレースホルダーがあります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EDE10A-7A8C-4EAF-9232-AA22716FBD27}" name="月11_279" displayName="月11_279" ref="B8:AH66" totalsRowCount="1" headerRowDxfId="1211" dataDxfId="1210" totalsRowDxfId="1209">
  <tableColumns count="33">
    <tableColumn id="1" xr3:uid="{1F188C02-A566-4EC2-8023-2C2DDD948C25}" name="従業員名" totalsRowFunction="custom" dataDxfId="1208" totalsRowDxfId="1207" dataCellStyle="従業員">
      <totalsRowFormula>MonthName&amp;"集計"</totalsRowFormula>
    </tableColumn>
    <tableColumn id="2" xr3:uid="{06ED5895-674A-4358-A5B6-FF41C9111943}" name="1" totalsRowFunction="count" dataDxfId="1206" totalsRowDxfId="1205"/>
    <tableColumn id="3" xr3:uid="{AF1FA2E4-4D56-47F6-8351-E31FA5B456BA}" name="2" totalsRowFunction="count" dataDxfId="1204" totalsRowDxfId="1203"/>
    <tableColumn id="4" xr3:uid="{AF331E7B-0A59-48B4-A76A-E148BF3E6D83}" name="3" totalsRowFunction="count" dataDxfId="1202" totalsRowDxfId="1201"/>
    <tableColumn id="5" xr3:uid="{650CB4E6-D3EF-4FDC-BCD1-1839492165E2}" name="4" totalsRowFunction="count" dataDxfId="1200" totalsRowDxfId="1199"/>
    <tableColumn id="6" xr3:uid="{7D14399B-BDFF-4D7E-8D19-C17070DC1D06}" name="5" totalsRowFunction="count" dataDxfId="1198" totalsRowDxfId="1197"/>
    <tableColumn id="7" xr3:uid="{B2662DC7-13BE-4BF3-934D-4A9D14A1FFAA}" name="6" totalsRowFunction="count" dataDxfId="1196" totalsRowDxfId="1195"/>
    <tableColumn id="8" xr3:uid="{DEB8E80E-C422-412E-A5FF-E61A047F80A9}" name="7" totalsRowFunction="count" dataDxfId="1194" totalsRowDxfId="1193"/>
    <tableColumn id="9" xr3:uid="{DBC1200F-BB91-4C1F-AB70-DB9061A415E4}" name="8" totalsRowFunction="count" dataDxfId="1192" totalsRowDxfId="1191"/>
    <tableColumn id="10" xr3:uid="{CB25F4EF-BA7D-4875-B219-816C7B39BE52}" name="9" totalsRowFunction="count" dataDxfId="1190" totalsRowDxfId="1189"/>
    <tableColumn id="11" xr3:uid="{452907B6-71BA-4379-8DE5-B32B372361AD}" name="10" totalsRowFunction="count" dataDxfId="1188" totalsRowDxfId="1187"/>
    <tableColumn id="12" xr3:uid="{FAB5407C-F5F6-4D08-9C0C-03B8DAF43F16}" name="11" totalsRowFunction="count" dataDxfId="1186" totalsRowDxfId="1185"/>
    <tableColumn id="13" xr3:uid="{0379CE31-3011-4A93-8F00-4F3854055AE1}" name="12" totalsRowFunction="count" dataDxfId="1184" totalsRowDxfId="1183"/>
    <tableColumn id="14" xr3:uid="{3AAF0865-282E-43AC-9884-C8B713F3EB5D}" name="13" totalsRowFunction="count" dataDxfId="1182" totalsRowDxfId="1181"/>
    <tableColumn id="15" xr3:uid="{FDCF0FC3-3C7D-4BBA-A871-7D6E6D1F16DC}" name="14" totalsRowFunction="count" dataDxfId="1180" totalsRowDxfId="1179"/>
    <tableColumn id="16" xr3:uid="{678A850B-09B5-4ABE-AEE0-BC0612479051}" name="15" totalsRowFunction="count" dataDxfId="1178" totalsRowDxfId="1177"/>
    <tableColumn id="17" xr3:uid="{954A8799-2AE7-4879-AF9E-B1F7009BBE2F}" name="16" totalsRowFunction="count" dataDxfId="1176" totalsRowDxfId="1175"/>
    <tableColumn id="18" xr3:uid="{9707A208-06A9-47C6-AB03-FB31A48231AA}" name="17" totalsRowFunction="count" dataDxfId="1174" totalsRowDxfId="1173"/>
    <tableColumn id="19" xr3:uid="{3B64802B-85CC-464C-A29D-EF19902E8A4E}" name="18" totalsRowFunction="count" dataDxfId="1172" totalsRowDxfId="1171"/>
    <tableColumn id="20" xr3:uid="{32BF1CD9-F194-49E5-9807-74F1E88547D8}" name="19" totalsRowFunction="count" dataDxfId="1170" totalsRowDxfId="1169"/>
    <tableColumn id="21" xr3:uid="{B30A5360-8A75-4F7B-A1CA-E950BDEE3088}" name="20" totalsRowFunction="count" dataDxfId="1168" totalsRowDxfId="1167"/>
    <tableColumn id="22" xr3:uid="{C1427B69-79A9-49C9-B89A-60C27B7311F0}" name="21" totalsRowFunction="count" dataDxfId="1166" totalsRowDxfId="1165"/>
    <tableColumn id="23" xr3:uid="{375E8726-C544-4DC1-9833-8216156ACC44}" name="22" totalsRowFunction="count" dataDxfId="1164" totalsRowDxfId="1163"/>
    <tableColumn id="24" xr3:uid="{4F291913-3EF6-44E0-A132-138C3F7BF902}" name="23" totalsRowFunction="count" dataDxfId="1162" totalsRowDxfId="1161"/>
    <tableColumn id="25" xr3:uid="{0F62FC93-BDDC-4990-99CA-40243482D379}" name="24" totalsRowFunction="count" dataDxfId="1160" totalsRowDxfId="1159"/>
    <tableColumn id="26" xr3:uid="{5F502F2A-C373-47A1-BF9F-4BE60C51003E}" name="25" totalsRowFunction="count" dataDxfId="1158" totalsRowDxfId="1157"/>
    <tableColumn id="27" xr3:uid="{FBFB94AB-AEE7-4E46-821E-D0373A8165D5}" name="26" totalsRowFunction="count" dataDxfId="1156" totalsRowDxfId="1155"/>
    <tableColumn id="28" xr3:uid="{80605584-34FD-434E-8CCD-7FFB298D6310}" name="27" totalsRowFunction="count" dataDxfId="1154" totalsRowDxfId="1153"/>
    <tableColumn id="29" xr3:uid="{C46F5261-7A0E-42C2-932C-C5ECF7CDABED}" name="28" totalsRowFunction="count" dataDxfId="1152" totalsRowDxfId="1151"/>
    <tableColumn id="30" xr3:uid="{F833695F-50B5-470F-B8F7-562BDC16C465}" name="29" totalsRowFunction="count" dataDxfId="1150" totalsRowDxfId="1149"/>
    <tableColumn id="31" xr3:uid="{1B160173-B3AF-40EB-AC54-993F85648B70}" name="30" totalsRowFunction="sum" dataDxfId="1148" totalsRowDxfId="1147"/>
    <tableColumn id="32" xr3:uid="{8C51C411-27C9-4171-BBC5-4F80E86B1FC2}" name=" " totalsRowFunction="sum" dataDxfId="1146" totalsRowDxfId="1145"/>
    <tableColumn id="33" xr3:uid="{25DA7C99-7A96-4F44-80C8-9712AF4F789B}" name="合計日数" totalsRowFunction="sum" dataDxfId="1144" totalsRowDxfId="1143">
      <calculatedColumnFormula>COUNTA(月11_279[[#This Row],[1]:[ ]])</calculatedColumnFormula>
    </tableColumn>
  </tableColumns>
  <tableStyleInfo name="従業員の欠勤テーブル" showFirstColumn="1" showLastColumn="1" showRowStripes="1" showColumnStripes="0"/>
  <extLst>
    <ext xmlns:x14="http://schemas.microsoft.com/office/spreadsheetml/2009/9/main" uri="{504A1905-F514-4f6f-8877-14C23A59335A}">
      <x14:table altTextSummary="従業員の名前と欠勤の日付を指定します。行 12 に欠勤の種類をキー別に記録します。 V = 休暇、S = 病欠、P = 私用のほか、カスタム エントリ用の 2 つのプレースホルダーがあります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A5EF74-6FD3-4C9A-88E2-70D243F1641E}" name="月11_27" displayName="月11_27" ref="B8:AH66" totalsRowCount="1" headerRowDxfId="1142" dataDxfId="1141" totalsRowDxfId="1140">
  <tableColumns count="33">
    <tableColumn id="1" xr3:uid="{AE8A492D-05AA-45E1-BB8F-E015949C0F06}" name="従業員名" totalsRowFunction="custom" dataDxfId="1139" totalsRowDxfId="1138" dataCellStyle="従業員">
      <totalsRowFormula>MonthName&amp;"集計"</totalsRowFormula>
    </tableColumn>
    <tableColumn id="2" xr3:uid="{392986C4-6460-459A-8B95-E74178070CE3}" name="1" totalsRowFunction="count" dataDxfId="1137" totalsRowDxfId="1136"/>
    <tableColumn id="3" xr3:uid="{05160201-FA67-4BDA-9761-9BF0887F8D5A}" name="2" totalsRowFunction="count" dataDxfId="1135" totalsRowDxfId="1134"/>
    <tableColumn id="4" xr3:uid="{4E437FC7-C115-4894-ACA6-C6A5D546B604}" name="3" totalsRowFunction="count" dataDxfId="1133" totalsRowDxfId="1132"/>
    <tableColumn id="5" xr3:uid="{CFB595AB-3F0F-4DA6-B7E1-09619562D301}" name="4" totalsRowFunction="count" dataDxfId="1131" totalsRowDxfId="1130"/>
    <tableColumn id="6" xr3:uid="{0680F540-2A45-421D-9F87-398F46062134}" name="5" totalsRowFunction="count" dataDxfId="1129" totalsRowDxfId="1128"/>
    <tableColumn id="7" xr3:uid="{61081942-CB0F-4FA7-A1D9-897E12CC8A6B}" name="6" totalsRowFunction="count" dataDxfId="1127" totalsRowDxfId="1126"/>
    <tableColumn id="8" xr3:uid="{D0B92BDB-2A0B-4D8A-A3E5-41D4C2A303E4}" name="7" totalsRowFunction="count" dataDxfId="1125" totalsRowDxfId="1124"/>
    <tableColumn id="9" xr3:uid="{93E47A2D-2B23-4550-9DC5-F53820EA06B5}" name="8" totalsRowFunction="count" dataDxfId="1123" totalsRowDxfId="1122"/>
    <tableColumn id="10" xr3:uid="{FA8D805E-F957-479D-B815-0623B3FC529D}" name="9" totalsRowFunction="count" dataDxfId="1121" totalsRowDxfId="1120"/>
    <tableColumn id="11" xr3:uid="{15B720DE-4D36-489B-9E18-1EBCA448BDD9}" name="10" totalsRowFunction="count" dataDxfId="1119" totalsRowDxfId="1118"/>
    <tableColumn id="12" xr3:uid="{20D8074B-261C-43F5-82F2-6BE22A7D614D}" name="11" totalsRowFunction="count" dataDxfId="1117" totalsRowDxfId="1116"/>
    <tableColumn id="13" xr3:uid="{3C0E16D7-839B-40E8-A7EE-DC0CB5E46A26}" name="12" totalsRowFunction="count" dataDxfId="1115" totalsRowDxfId="1114"/>
    <tableColumn id="14" xr3:uid="{1E7970CC-4086-42C5-88E6-BC3BFF872194}" name="13" totalsRowFunction="count" dataDxfId="1113" totalsRowDxfId="1112"/>
    <tableColumn id="15" xr3:uid="{C87B773C-95E9-4349-8BC7-F16474AB55C3}" name="14" totalsRowFunction="count" dataDxfId="1111" totalsRowDxfId="1110"/>
    <tableColumn id="16" xr3:uid="{7ECDAE13-5368-4CB3-B09C-B316F976C3BD}" name="15" totalsRowFunction="count" dataDxfId="1109" totalsRowDxfId="1108"/>
    <tableColumn id="17" xr3:uid="{148B973C-71B9-4B16-BE7A-4E7750B97DA5}" name="16" totalsRowFunction="count" dataDxfId="1107" totalsRowDxfId="1106"/>
    <tableColumn id="18" xr3:uid="{E0C36DEE-C08F-4329-B701-45B1010CE04A}" name="17" totalsRowFunction="count" dataDxfId="1105" totalsRowDxfId="1104"/>
    <tableColumn id="19" xr3:uid="{99AA39B3-9534-404B-8CED-609BD1E8BECE}" name="18" totalsRowFunction="count" dataDxfId="1103" totalsRowDxfId="1102"/>
    <tableColumn id="20" xr3:uid="{D6C6BF7D-47FE-417F-A450-F2FB468D80E0}" name="19" totalsRowFunction="count" dataDxfId="1101" totalsRowDxfId="1100"/>
    <tableColumn id="21" xr3:uid="{5C419CCA-DC40-4123-8EC2-09595CA6438F}" name="20" totalsRowFunction="count" dataDxfId="1099" totalsRowDxfId="1098"/>
    <tableColumn id="22" xr3:uid="{99FBA093-4800-4608-BD3D-9579ED0487B2}" name="21" totalsRowFunction="count" dataDxfId="1097" totalsRowDxfId="1096"/>
    <tableColumn id="23" xr3:uid="{16CAFA97-333C-4C13-8AB6-656091880FC6}" name="22" totalsRowFunction="count" dataDxfId="1095" totalsRowDxfId="1094"/>
    <tableColumn id="24" xr3:uid="{1AA4CC14-D62F-4AA9-AFE4-76D141C75A09}" name="23" totalsRowFunction="count" dataDxfId="1093" totalsRowDxfId="1092"/>
    <tableColumn id="25" xr3:uid="{29304F5D-EA50-4B78-8CDF-FB5C6E6B5DE5}" name="24" totalsRowFunction="count" dataDxfId="1091" totalsRowDxfId="1090"/>
    <tableColumn id="26" xr3:uid="{551E728B-EBB3-4CC4-814A-8620CA321D32}" name="25" totalsRowFunction="count" dataDxfId="1089" totalsRowDxfId="1088"/>
    <tableColumn id="27" xr3:uid="{18CD1E9C-26B1-45CF-AF3E-892D871328C6}" name="26" totalsRowFunction="count" dataDxfId="1087" totalsRowDxfId="1086"/>
    <tableColumn id="28" xr3:uid="{8108E11C-BC73-4042-B3D1-59113275D4AE}" name="27" totalsRowFunction="count" dataDxfId="1085" totalsRowDxfId="1084"/>
    <tableColumn id="29" xr3:uid="{2C1ADBA0-130C-4599-A343-680D9016B168}" name="28" totalsRowFunction="count" dataDxfId="1083" totalsRowDxfId="1082"/>
    <tableColumn id="30" xr3:uid="{50E81421-C64D-4565-8231-2C3DE7810F79}" name="29" totalsRowFunction="count" dataDxfId="1081" totalsRowDxfId="1080"/>
    <tableColumn id="31" xr3:uid="{0F4BBFAC-0F3B-4CBC-A5EC-06282FE4D6B4}" name="30" totalsRowFunction="sum" dataDxfId="1079" totalsRowDxfId="1078"/>
    <tableColumn id="32" xr3:uid="{625BBE9B-6393-4573-A411-91E9F6FA9ADD}" name="31" totalsRowFunction="sum" dataDxfId="1077" totalsRowDxfId="1076"/>
    <tableColumn id="33" xr3:uid="{D8739EE3-F3EA-46A7-AB7C-AFBE4D60A4F3}" name="合計日数" totalsRowFunction="sum" dataDxfId="1075" totalsRowDxfId="1074">
      <calculatedColumnFormula>COUNTA(月11_27[[#This Row],[1]:[31]])</calculatedColumnFormula>
    </tableColumn>
  </tableColumns>
  <tableStyleInfo name="従業員の欠勤テーブル" showFirstColumn="1" showLastColumn="1" showRowStripes="1" showColumnStripes="0"/>
  <extLst>
    <ext xmlns:x14="http://schemas.microsoft.com/office/spreadsheetml/2009/9/main" uri="{504A1905-F514-4f6f-8877-14C23A59335A}">
      <x14:table altTextSummary="従業員の名前と欠勤の日付を指定します。行 12 に欠勤の種類をキー別に記録します。 V = 休暇、S = 病欠、P = 私用のほか、カスタム エントリ用の 2 つのプレースホルダーがあります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E34D76D-2AD4-4781-B94D-8F15E3B97F2D}" name="月11_210" displayName="月11_210" ref="B8:AH66" totalsRowCount="1" headerRowDxfId="1073" dataDxfId="1072" totalsRowDxfId="1071">
  <tableColumns count="33">
    <tableColumn id="1" xr3:uid="{6A942931-C1D3-4B9D-9F3B-EB81A083D110}" name="従業員名" totalsRowFunction="custom" dataDxfId="1070" totalsRowDxfId="1069" dataCellStyle="従業員">
      <totalsRowFormula>MonthName&amp;"集計"</totalsRowFormula>
    </tableColumn>
    <tableColumn id="2" xr3:uid="{BF838434-48B4-4651-8687-7D8A17D212F9}" name="1" totalsRowFunction="count" dataDxfId="1068" totalsRowDxfId="1067"/>
    <tableColumn id="3" xr3:uid="{FA49478F-3D0B-4BAD-A5D8-5C6C97BD4B63}" name="2" totalsRowFunction="count" dataDxfId="1066" totalsRowDxfId="1065"/>
    <tableColumn id="4" xr3:uid="{88E296C7-30EA-4304-B537-2F8279DBD279}" name="3" totalsRowFunction="count" dataDxfId="1064" totalsRowDxfId="1063"/>
    <tableColumn id="5" xr3:uid="{AC76AF37-7406-42F4-A9D1-7B192F6CFA38}" name="4" totalsRowFunction="count" dataDxfId="1062" totalsRowDxfId="1061"/>
    <tableColumn id="6" xr3:uid="{B6991ACC-CF36-4827-85DA-41DE240848F0}" name="5" totalsRowFunction="count" dataDxfId="1060" totalsRowDxfId="1059"/>
    <tableColumn id="7" xr3:uid="{B93E1741-019B-416C-A149-BECC85E1A62B}" name="6" totalsRowFunction="count" dataDxfId="1058" totalsRowDxfId="1057"/>
    <tableColumn id="8" xr3:uid="{3DCD9B19-4D28-47B7-86C5-3FC4F75D8FD9}" name="7" totalsRowFunction="count" dataDxfId="1056" totalsRowDxfId="1055"/>
    <tableColumn id="9" xr3:uid="{035D3D1C-1B0B-41E1-B7A8-844A885B7A27}" name="8" totalsRowFunction="count" dataDxfId="1054" totalsRowDxfId="1053"/>
    <tableColumn id="10" xr3:uid="{FA590D96-EE8E-4B6F-99E0-D1671CF2FABF}" name="9" totalsRowFunction="count" dataDxfId="1052" totalsRowDxfId="1051"/>
    <tableColumn id="11" xr3:uid="{59E798C4-AF85-499B-81E6-22E00585D336}" name="10" totalsRowFunction="count" dataDxfId="1050" totalsRowDxfId="1049"/>
    <tableColumn id="12" xr3:uid="{0D09F38F-1722-4F87-8F71-298902ACDC89}" name="11" totalsRowFunction="count" dataDxfId="1048" totalsRowDxfId="1047"/>
    <tableColumn id="13" xr3:uid="{61D853C3-8335-4E72-9514-BF0CEFE9D3FD}" name="12" totalsRowFunction="count" dataDxfId="1046" totalsRowDxfId="1045"/>
    <tableColumn id="14" xr3:uid="{192F6CA3-7B6D-47A1-8427-98B774CC4E4D}" name="13" totalsRowFunction="count" dataDxfId="1044" totalsRowDxfId="1043"/>
    <tableColumn id="15" xr3:uid="{93411D98-3542-4801-A5ED-062F641BA768}" name="14" totalsRowFunction="count" dataDxfId="1042" totalsRowDxfId="1041"/>
    <tableColumn id="16" xr3:uid="{BA91069E-B4FB-489E-997A-4F5515EEB43D}" name="15" totalsRowFunction="count" dataDxfId="1040" totalsRowDxfId="1039"/>
    <tableColumn id="17" xr3:uid="{41823476-AB31-44F9-8414-B4C96F432BDF}" name="16" totalsRowFunction="count" dataDxfId="1038" totalsRowDxfId="1037"/>
    <tableColumn id="18" xr3:uid="{7BE493C5-3B37-4471-9EEC-6769F42EA596}" name="17" totalsRowFunction="count" dataDxfId="1036" totalsRowDxfId="1035"/>
    <tableColumn id="19" xr3:uid="{88EB2164-CFEE-4564-9CE9-044000B68D8E}" name="18" totalsRowFunction="count" dataDxfId="1034" totalsRowDxfId="1033"/>
    <tableColumn id="20" xr3:uid="{13550B73-63BB-44A0-AAC4-FA8CB589BF93}" name="19" totalsRowFunction="count" dataDxfId="1032" totalsRowDxfId="1031"/>
    <tableColumn id="21" xr3:uid="{D69A90FE-4E97-4CD0-BE6E-53A629731425}" name="20" totalsRowFunction="count" dataDxfId="1030" totalsRowDxfId="1029"/>
    <tableColumn id="22" xr3:uid="{00ADA4BA-AD22-4FE6-83E4-D957987469F4}" name="21" totalsRowFunction="count" dataDxfId="1028" totalsRowDxfId="1027"/>
    <tableColumn id="23" xr3:uid="{BA0CD22E-48A4-467C-9554-7BFFFA30E30B}" name="22" totalsRowFunction="count" dataDxfId="1026" totalsRowDxfId="1025"/>
    <tableColumn id="24" xr3:uid="{DFD658ED-960C-4871-ACA6-4C4E3EB34CB1}" name="23" totalsRowFunction="count" dataDxfId="1024" totalsRowDxfId="1023"/>
    <tableColumn id="25" xr3:uid="{03545EE7-A0B1-4522-AE9D-0CBD17C3CCA1}" name="24" totalsRowFunction="count" dataDxfId="1022" totalsRowDxfId="1021"/>
    <tableColumn id="26" xr3:uid="{FD5554DA-EADD-4B4F-A75C-FF17FA4FF358}" name="25" totalsRowFunction="count" dataDxfId="1020" totalsRowDxfId="1019"/>
    <tableColumn id="27" xr3:uid="{6E30F39D-1085-4D7C-A319-3B80C270E694}" name="26" totalsRowFunction="count" dataDxfId="1018" totalsRowDxfId="1017"/>
    <tableColumn id="28" xr3:uid="{9DC6E591-2CD0-44B1-B6EB-F2FA1368C355}" name="27" totalsRowFunction="count" dataDxfId="1016" totalsRowDxfId="1015"/>
    <tableColumn id="29" xr3:uid="{A60C0823-DE7D-4562-B357-85F338B1210F}" name="28" totalsRowFunction="count" dataDxfId="1014" totalsRowDxfId="1013"/>
    <tableColumn id="30" xr3:uid="{3887D4FD-7EF8-4246-937D-D02EB4EC838A}" name="29" totalsRowFunction="count" dataDxfId="1012" totalsRowDxfId="1011"/>
    <tableColumn id="31" xr3:uid="{E5CF34E3-036D-43AF-8810-0F2031D9168D}" name="30" totalsRowFunction="sum" dataDxfId="1010" totalsRowDxfId="1009"/>
    <tableColumn id="32" xr3:uid="{278F102B-0812-4240-993C-FCA33C474CCB}" name="31" totalsRowFunction="sum" dataDxfId="1008" totalsRowDxfId="1007"/>
    <tableColumn id="33" xr3:uid="{347C78A2-3364-4714-BAAA-B71755A94594}" name="合計日数" totalsRowFunction="sum" dataDxfId="1006" totalsRowDxfId="1005">
      <calculatedColumnFormula>COUNTA(月11_210[[#This Row],[1]:[31]])</calculatedColumnFormula>
    </tableColumn>
  </tableColumns>
  <tableStyleInfo name="従業員の欠勤テーブル" showFirstColumn="1" showLastColumn="1" showRowStripes="1" showColumnStripes="0"/>
  <extLst>
    <ext xmlns:x14="http://schemas.microsoft.com/office/spreadsheetml/2009/9/main" uri="{504A1905-F514-4f6f-8877-14C23A59335A}">
      <x14:table altTextSummary="従業員の名前と欠勤の日付を指定します。行 12 に欠勤の種類をキー別に記録します。 V = 休暇、S = 病欠、P = 私用のほか、カスタム エントリ用の 2 つのプレースホルダーがあります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7257D60-058C-4B45-8FD3-72401C38E9B2}" name="月11_211" displayName="月11_211" ref="B8:AH66" totalsRowCount="1" headerRowDxfId="1004" dataDxfId="1003" totalsRowDxfId="1002">
  <tableColumns count="33">
    <tableColumn id="1" xr3:uid="{D3532E50-0B20-46FC-B0C4-356A033D8E2B}" name="従業員名" totalsRowFunction="custom" dataDxfId="1001" totalsRowDxfId="1000" dataCellStyle="従業員">
      <totalsRowFormula>MonthName&amp;"集計"</totalsRowFormula>
    </tableColumn>
    <tableColumn id="2" xr3:uid="{3B8AB77A-AF96-4726-8E1B-7A720FE6E301}" name="1" totalsRowFunction="count" dataDxfId="999" totalsRowDxfId="998"/>
    <tableColumn id="3" xr3:uid="{9714C278-4037-4821-AC61-1C53897B39EC}" name="2" totalsRowFunction="count" dataDxfId="997" totalsRowDxfId="996"/>
    <tableColumn id="4" xr3:uid="{D60A1320-7446-4C4C-B9B6-D1C8B0EFDB45}" name="3" totalsRowFunction="count" dataDxfId="995" totalsRowDxfId="994"/>
    <tableColumn id="5" xr3:uid="{31EF6075-90E1-4AEB-B864-32EEBCBA0FA7}" name="4" totalsRowFunction="count" dataDxfId="993" totalsRowDxfId="992"/>
    <tableColumn id="6" xr3:uid="{992A53AF-9755-4FE4-A534-EBD308227F34}" name="5" totalsRowFunction="count" dataDxfId="991" totalsRowDxfId="990"/>
    <tableColumn id="7" xr3:uid="{D0F306BE-30FD-441F-9BCB-C38328527129}" name="6" totalsRowFunction="count" dataDxfId="989" totalsRowDxfId="988"/>
    <tableColumn id="8" xr3:uid="{950B9C9F-5E69-43B4-B3DA-CA6DAC81C004}" name="7" totalsRowFunction="count" dataDxfId="987" totalsRowDxfId="986"/>
    <tableColumn id="9" xr3:uid="{0EA56169-C2CA-4C8E-B33E-D28F7FCD12C6}" name="8" totalsRowFunction="count" dataDxfId="985" totalsRowDxfId="984"/>
    <tableColumn id="10" xr3:uid="{6BE134B3-8A4E-4848-A227-15059A820349}" name="9" totalsRowFunction="count" dataDxfId="983" totalsRowDxfId="982"/>
    <tableColumn id="11" xr3:uid="{D105965E-CACF-408A-980F-61DB9F12EEEA}" name="10" totalsRowFunction="count" dataDxfId="981" totalsRowDxfId="980"/>
    <tableColumn id="12" xr3:uid="{6A242F8F-E2DD-4AD0-B7F2-F976250B876E}" name="11" totalsRowFunction="count" dataDxfId="979" totalsRowDxfId="978"/>
    <tableColumn id="13" xr3:uid="{2FCE8504-5043-42EC-B061-F5F939E6F6E9}" name="12" totalsRowFunction="count" dataDxfId="977" totalsRowDxfId="976"/>
    <tableColumn id="14" xr3:uid="{CBECB64A-B96D-4573-9672-52AE59C4E73D}" name="13" totalsRowFunction="count" dataDxfId="975" totalsRowDxfId="974"/>
    <tableColumn id="15" xr3:uid="{7F1AE7CA-0DE6-4DC3-A5B5-A7EE4C0E2AD0}" name="14" totalsRowFunction="count" dataDxfId="973" totalsRowDxfId="972"/>
    <tableColumn id="16" xr3:uid="{F335B060-E5F4-49C9-AF3B-1781FE4DDE66}" name="15" totalsRowFunction="count" dataDxfId="971" totalsRowDxfId="970"/>
    <tableColumn id="17" xr3:uid="{809ABE17-7B63-49C3-9DBC-655431DE90A5}" name="16" totalsRowFunction="count" dataDxfId="969" totalsRowDxfId="968"/>
    <tableColumn id="18" xr3:uid="{B679CB2B-8385-4E21-9C7E-9D93E91545E6}" name="17" totalsRowFunction="count" dataDxfId="967" totalsRowDxfId="966"/>
    <tableColumn id="19" xr3:uid="{8AC814CA-EF36-4124-87DF-BC7D98252641}" name="18" totalsRowFunction="count" dataDxfId="965" totalsRowDxfId="964"/>
    <tableColumn id="20" xr3:uid="{C5AEA3FF-952A-41BF-BE86-CF5A6F3549B4}" name="19" totalsRowFunction="count" dataDxfId="963" totalsRowDxfId="962"/>
    <tableColumn id="21" xr3:uid="{346C8307-1835-4800-AAC9-9353BEFE3071}" name="20" totalsRowFunction="count" dataDxfId="961" totalsRowDxfId="960"/>
    <tableColumn id="22" xr3:uid="{3A446B93-796E-47F9-9DA2-3A671625A580}" name="21" totalsRowFunction="count" dataDxfId="959" totalsRowDxfId="958"/>
    <tableColumn id="23" xr3:uid="{0549B842-B954-47D9-869E-DA8F02037139}" name="22" totalsRowFunction="count" dataDxfId="957" totalsRowDxfId="956"/>
    <tableColumn id="24" xr3:uid="{7A372242-C7A0-44D5-AE3B-B01F0ABF7022}" name="23" totalsRowFunction="count" dataDxfId="955" totalsRowDxfId="954"/>
    <tableColumn id="25" xr3:uid="{41A922CA-D5AC-46E1-A660-054D3A76E586}" name="24" totalsRowFunction="count" dataDxfId="953" totalsRowDxfId="952"/>
    <tableColumn id="26" xr3:uid="{D808DC30-B1BB-4F5D-B6EF-F8F1466D83D6}" name="25" totalsRowFunction="count" dataDxfId="951" totalsRowDxfId="950"/>
    <tableColumn id="27" xr3:uid="{5DAD0D03-0BBE-4850-B50D-B228B26A8DF4}" name="26" totalsRowFunction="count" dataDxfId="949" totalsRowDxfId="948"/>
    <tableColumn id="28" xr3:uid="{597301E8-AEDE-45F7-9E39-140973E6788D}" name="27" totalsRowFunction="count" dataDxfId="947" totalsRowDxfId="946"/>
    <tableColumn id="29" xr3:uid="{22F3CE3B-24BF-4EED-9C10-B590AB82737B}" name="28" totalsRowFunction="count" dataDxfId="945" totalsRowDxfId="944"/>
    <tableColumn id="30" xr3:uid="{2044E7B7-5E41-4835-89C8-87BF258D8FAB}" name="29" totalsRowFunction="count" dataDxfId="943" totalsRowDxfId="942"/>
    <tableColumn id="31" xr3:uid="{2F998A90-A9C8-4B72-A18B-9AB180EF57A7}" name="30" totalsRowFunction="sum" dataDxfId="941" totalsRowDxfId="940"/>
    <tableColumn id="32" xr3:uid="{BF5E4832-2A85-49AD-9A12-79E663D3ABF0}" name=" " totalsRowFunction="sum" dataDxfId="939" totalsRowDxfId="938"/>
    <tableColumn id="33" xr3:uid="{1322196E-7A94-431D-AD4C-F40906777AEA}" name="合計日数" totalsRowFunction="sum" dataDxfId="937" totalsRowDxfId="936">
      <calculatedColumnFormula>COUNTA(月11_211[[#This Row],[1]:[ ]])</calculatedColumnFormula>
    </tableColumn>
  </tableColumns>
  <tableStyleInfo name="従業員の欠勤テーブル" showFirstColumn="1" showLastColumn="1" showRowStripes="1" showColumnStripes="0"/>
  <extLst>
    <ext xmlns:x14="http://schemas.microsoft.com/office/spreadsheetml/2009/9/main" uri="{504A1905-F514-4f6f-8877-14C23A59335A}">
      <x14:table altTextSummary="従業員の名前と欠勤の日付を指定します。行 12 に欠勤の種類をキー別に記録します。 V = 休暇、S = 病欠、P = 私用のほか、カスタム エントリ用の 2 つのプレースホルダーがあります"/>
    </ext>
  </extLst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CCBB442-35ED-40F7-956A-C8D8013AFFAD}" name="月11_212" displayName="月11_212" ref="B8:AH66" totalsRowCount="1" headerRowDxfId="935" dataDxfId="934" totalsRowDxfId="933">
  <tableColumns count="33">
    <tableColumn id="1" xr3:uid="{B07F7A14-3AF7-4C59-B764-F63935B46AE0}" name="従業員名" totalsRowFunction="custom" dataDxfId="932" totalsRowDxfId="931" dataCellStyle="従業員">
      <totalsRowFormula>B2&amp;"集計"</totalsRowFormula>
    </tableColumn>
    <tableColumn id="2" xr3:uid="{E16EA06D-019D-4094-A9A4-07D94BAE3B2D}" name="1" totalsRowFunction="count" dataDxfId="930" totalsRowDxfId="929"/>
    <tableColumn id="3" xr3:uid="{D46ED1B9-6588-453A-BC0F-D349F12F5F62}" name="2" totalsRowFunction="count" dataDxfId="928" totalsRowDxfId="927"/>
    <tableColumn id="4" xr3:uid="{E3CEAFEE-099B-4DB1-B6F1-421081F623D5}" name="3" totalsRowFunction="count" dataDxfId="926" totalsRowDxfId="925"/>
    <tableColumn id="5" xr3:uid="{D3137808-4D04-4A44-95E5-E638B3764CB4}" name="4" totalsRowFunction="count" dataDxfId="924" totalsRowDxfId="923"/>
    <tableColumn id="6" xr3:uid="{8508D98B-747D-4770-A55E-C286B9C390CF}" name="5" totalsRowFunction="count" dataDxfId="922" totalsRowDxfId="921"/>
    <tableColumn id="7" xr3:uid="{EAC98025-3746-4CA0-A36E-95B21D742B09}" name="6" totalsRowFunction="count" dataDxfId="920" totalsRowDxfId="919"/>
    <tableColumn id="8" xr3:uid="{5906BB9F-709B-44AB-82BD-97F3174B2350}" name="7" totalsRowFunction="count" dataDxfId="918" totalsRowDxfId="917"/>
    <tableColumn id="9" xr3:uid="{78224FC8-DDDC-482F-911A-8727E7B4D643}" name="8" totalsRowFunction="count" dataDxfId="916" totalsRowDxfId="915"/>
    <tableColumn id="10" xr3:uid="{2015E475-D676-4052-BAFE-14C59AF921A5}" name="9" totalsRowFunction="count" dataDxfId="914" totalsRowDxfId="913"/>
    <tableColumn id="11" xr3:uid="{26637D27-F97D-481A-9345-5190CFFB716C}" name="10" totalsRowFunction="count" dataDxfId="912" totalsRowDxfId="911"/>
    <tableColumn id="12" xr3:uid="{97AFDC45-F722-44EC-978F-BE7E3B18AA72}" name="11" totalsRowFunction="count" dataDxfId="910" totalsRowDxfId="909"/>
    <tableColumn id="13" xr3:uid="{E7E0CE1C-147A-42F2-A85E-157323B88C4E}" name="12" totalsRowFunction="count" dataDxfId="908" totalsRowDxfId="907"/>
    <tableColumn id="14" xr3:uid="{16D5468E-FB3D-4239-B7F6-687C5878A987}" name="13" totalsRowFunction="count" dataDxfId="906" totalsRowDxfId="905"/>
    <tableColumn id="15" xr3:uid="{C9D2152F-FEAC-4D1D-919B-28CC7C95251C}" name="14" totalsRowFunction="count" dataDxfId="904" totalsRowDxfId="903"/>
    <tableColumn id="16" xr3:uid="{410ED474-F5B6-4E54-856B-818324907C50}" name="15" totalsRowFunction="count" dataDxfId="902" totalsRowDxfId="901"/>
    <tableColumn id="17" xr3:uid="{19042569-8FC0-4254-A852-CA5D766E4FAF}" name="16" totalsRowFunction="count" dataDxfId="900" totalsRowDxfId="899"/>
    <tableColumn id="18" xr3:uid="{1868887E-0C80-4DD3-B4E7-57935DFB87E3}" name="17" totalsRowFunction="count" dataDxfId="898" totalsRowDxfId="897"/>
    <tableColumn id="19" xr3:uid="{7C6CF701-F138-4AA3-9732-5D3323D9EE33}" name="18" totalsRowFunction="count" dataDxfId="896" totalsRowDxfId="895"/>
    <tableColumn id="20" xr3:uid="{A6B23951-2266-43DB-A834-24EF9612DA84}" name="19" totalsRowFunction="count" dataDxfId="894" totalsRowDxfId="893"/>
    <tableColumn id="21" xr3:uid="{17F9ABDB-DF40-4696-93B4-95BCCACF10E8}" name="20" totalsRowFunction="count" dataDxfId="892" totalsRowDxfId="891"/>
    <tableColumn id="22" xr3:uid="{A9D4066F-749A-4904-9464-E99092439EB4}" name="21" totalsRowFunction="count" dataDxfId="890" totalsRowDxfId="889"/>
    <tableColumn id="23" xr3:uid="{F9504808-BBD6-46A4-AD61-CF125EBDAB59}" name="22" totalsRowFunction="count" dataDxfId="888" totalsRowDxfId="887"/>
    <tableColumn id="24" xr3:uid="{3EDB3A41-0100-4E6D-8508-BEC778B5E769}" name="23" totalsRowFunction="count" dataDxfId="886" totalsRowDxfId="885"/>
    <tableColumn id="25" xr3:uid="{7A7E8DB6-DC95-4EEF-8929-B47FC5359A43}" name="24" totalsRowFunction="count" dataDxfId="884" totalsRowDxfId="883"/>
    <tableColumn id="26" xr3:uid="{F75F32A9-A5CE-410E-980E-EE34C52FD655}" name="25" totalsRowFunction="count" dataDxfId="882" totalsRowDxfId="881"/>
    <tableColumn id="27" xr3:uid="{4E05EC87-744E-4C9A-9F2E-27FCF1DE687E}" name="26" totalsRowFunction="count" dataDxfId="880" totalsRowDxfId="879"/>
    <tableColumn id="28" xr3:uid="{4F8A7EC3-514A-42A2-B8C3-7A70C6B12439}" name="27" totalsRowFunction="count" dataDxfId="878" totalsRowDxfId="877"/>
    <tableColumn id="29" xr3:uid="{5E5A07F8-3E58-4112-8818-0553209F261F}" name="28" totalsRowFunction="count" dataDxfId="876" totalsRowDxfId="875"/>
    <tableColumn id="30" xr3:uid="{B5E8530C-A730-493B-BF24-693ECC8F7184}" name="29" totalsRowFunction="count" dataDxfId="874" totalsRowDxfId="873"/>
    <tableColumn id="31" xr3:uid="{51DFF473-02D0-4428-A6EF-EBE9757B3FD4}" name="30" totalsRowFunction="sum" dataDxfId="872" totalsRowDxfId="871"/>
    <tableColumn id="32" xr3:uid="{FE3C52CE-ADEF-438E-9C97-9C4535AECC12}" name=" " totalsRowFunction="sum" dataDxfId="870" totalsRowDxfId="869"/>
    <tableColumn id="33" xr3:uid="{233D97B6-913F-485A-A806-42AF3C089469}" name="合計日数" totalsRowFunction="sum" dataDxfId="868" totalsRowDxfId="867">
      <calculatedColumnFormula>COUNTA(月11_212[[#This Row],[1]:[ ]])</calculatedColumnFormula>
    </tableColumn>
  </tableColumns>
  <tableStyleInfo name="従業員の欠勤テーブル" showFirstColumn="1" showLastColumn="1" showRowStripes="1" showColumnStripes="0"/>
  <extLst>
    <ext xmlns:x14="http://schemas.microsoft.com/office/spreadsheetml/2009/9/main" uri="{504A1905-F514-4f6f-8877-14C23A59335A}">
      <x14:table altTextSummary="従業員の名前と欠勤の日付を指定します。行 12 に欠勤の種類をキー別に記録します。 V = 休暇、S = 病欠、P = 私用のほか、カスタム エントリ用の 2 つのプレースホルダーがあります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DCA9340-9026-4E86-8DE3-A4CC6590DE77}" name="月11_216" displayName="月11_216" ref="B8:AH66" totalsRowCount="1" headerRowDxfId="866" dataDxfId="865" totalsRowDxfId="864">
  <tableColumns count="33">
    <tableColumn id="1" xr3:uid="{C472C84E-B1FE-489E-BAE9-24E505E978D7}" name="従業員名" totalsRowFunction="custom" dataDxfId="863" totalsRowDxfId="862" dataCellStyle="従業員">
      <totalsRowFormula>MonthName&amp;"集計"</totalsRowFormula>
    </tableColumn>
    <tableColumn id="2" xr3:uid="{4FEF8DBB-8278-4316-B0DA-5F36E5909356}" name="1" totalsRowFunction="count" dataDxfId="861" totalsRowDxfId="860"/>
    <tableColumn id="3" xr3:uid="{8C7F4CC7-8FEE-4167-80E1-A9A0F1FBBF3C}" name="2" totalsRowFunction="count" dataDxfId="859" totalsRowDxfId="858"/>
    <tableColumn id="4" xr3:uid="{79DB78A6-8A58-47F6-90E2-14180D8EBB77}" name="3" totalsRowFunction="count" dataDxfId="857" totalsRowDxfId="856"/>
    <tableColumn id="5" xr3:uid="{1994C67B-6DCD-4049-8D6D-8DCE1C3E445B}" name="4" totalsRowFunction="count" dataDxfId="855" totalsRowDxfId="854"/>
    <tableColumn id="6" xr3:uid="{CBEC7367-E88B-433D-B085-C9AAD60DE6FA}" name="5" totalsRowFunction="count" dataDxfId="853" totalsRowDxfId="852"/>
    <tableColumn id="7" xr3:uid="{FC8E49C8-782E-4113-8672-6A81DD5AF0AA}" name="6" totalsRowFunction="count" dataDxfId="851" totalsRowDxfId="850"/>
    <tableColumn id="8" xr3:uid="{C44A2B47-767D-4DC1-AD27-47BAE69C53E2}" name="7" totalsRowFunction="count" dataDxfId="849" totalsRowDxfId="848"/>
    <tableColumn id="9" xr3:uid="{C5A59A91-1CDD-4FA2-B850-EF1867FAD498}" name="8" totalsRowFunction="count" dataDxfId="847" totalsRowDxfId="846"/>
    <tableColumn id="10" xr3:uid="{623131FF-B14A-478B-8FA4-BE057F031C2A}" name="9" totalsRowFunction="count" dataDxfId="845" totalsRowDxfId="844"/>
    <tableColumn id="11" xr3:uid="{F131007C-D059-46E1-BA9C-F48BCD9A28F4}" name="10" totalsRowFunction="count" dataDxfId="843" totalsRowDxfId="842"/>
    <tableColumn id="12" xr3:uid="{26519BB2-DC02-4B18-8186-9640E8D92585}" name="11" totalsRowFunction="count" dataDxfId="841" totalsRowDxfId="840"/>
    <tableColumn id="13" xr3:uid="{0F796AEB-6BD9-4B21-AA84-E91844EB99C1}" name="12" totalsRowFunction="count" dataDxfId="839" totalsRowDxfId="838"/>
    <tableColumn id="14" xr3:uid="{36374BCC-AC33-4C96-AE58-EC72506371C8}" name="13" totalsRowFunction="count" dataDxfId="837" totalsRowDxfId="836"/>
    <tableColumn id="15" xr3:uid="{BCD4D397-BEF2-48F9-9F93-A005E99C2DF4}" name="14" totalsRowFunction="count" dataDxfId="835" totalsRowDxfId="834"/>
    <tableColumn id="16" xr3:uid="{078FAADA-75F1-4258-A1D5-1DADD804B847}" name="15" totalsRowFunction="count" dataDxfId="833" totalsRowDxfId="832"/>
    <tableColumn id="17" xr3:uid="{C418C9A7-5F07-4FAA-83B8-57A5FC6E99E4}" name="16" totalsRowFunction="count" dataDxfId="831" totalsRowDxfId="830"/>
    <tableColumn id="18" xr3:uid="{9BEF2B6F-426F-4034-AC6F-08162AC282D9}" name="17" totalsRowFunction="count" dataDxfId="829" totalsRowDxfId="828"/>
    <tableColumn id="19" xr3:uid="{4157B963-EC75-40FC-8889-6CB1C1495212}" name="18" totalsRowFunction="count" dataDxfId="827" totalsRowDxfId="826"/>
    <tableColumn id="20" xr3:uid="{600072D4-4554-4963-8AB3-12E58595C7FF}" name="19" totalsRowFunction="count" dataDxfId="825" totalsRowDxfId="824"/>
    <tableColumn id="21" xr3:uid="{C366A706-BCE8-42C7-9588-53FDEFE802FE}" name="20" totalsRowFunction="count" dataDxfId="823" totalsRowDxfId="822"/>
    <tableColumn id="22" xr3:uid="{682B8081-3E63-43D1-9DF9-1F350A6CCEE5}" name="21" totalsRowFunction="count" dataDxfId="821" totalsRowDxfId="820"/>
    <tableColumn id="23" xr3:uid="{06E9EE5B-EAAA-433A-8A57-9D85111B6C2D}" name="22" totalsRowFunction="count" dataDxfId="819" totalsRowDxfId="818"/>
    <tableColumn id="24" xr3:uid="{DC2CA044-539F-4334-887C-453AC72D98ED}" name="23" totalsRowFunction="count" dataDxfId="817" totalsRowDxfId="816"/>
    <tableColumn id="25" xr3:uid="{EA204827-550B-4842-A187-9838AE853FBD}" name="24" totalsRowFunction="count" dataDxfId="815" totalsRowDxfId="814"/>
    <tableColumn id="26" xr3:uid="{887A9B00-E30A-4149-9DF1-D9752166A3D2}" name="25" totalsRowFunction="count" dataDxfId="813" totalsRowDxfId="812"/>
    <tableColumn id="27" xr3:uid="{1045C55C-4B97-417D-A11A-F45F60ECF85B}" name="26" totalsRowFunction="count" dataDxfId="811" totalsRowDxfId="810"/>
    <tableColumn id="28" xr3:uid="{82FEFEE1-8506-49D3-A8AB-1132B7924C03}" name="27" totalsRowFunction="count" dataDxfId="809" totalsRowDxfId="808"/>
    <tableColumn id="29" xr3:uid="{6868FCE6-F52B-408A-A314-C0B49957B375}" name="28" totalsRowFunction="count" dataDxfId="807" totalsRowDxfId="806"/>
    <tableColumn id="30" xr3:uid="{E30C3F1F-7336-43B6-A242-D42BE1A5BC58}" name="29" totalsRowFunction="count" dataDxfId="805" totalsRowDxfId="804"/>
    <tableColumn id="31" xr3:uid="{70657520-8DF5-4E61-A184-5F41C68730CA}" name="30" totalsRowFunction="sum" dataDxfId="803" totalsRowDxfId="802"/>
    <tableColumn id="32" xr3:uid="{9FDA38B3-3FED-4496-994D-375028159262}" name="31" totalsRowFunction="sum" dataDxfId="801" totalsRowDxfId="800"/>
    <tableColumn id="33" xr3:uid="{E634DA50-F69E-4EBC-8D96-24C67DB019A0}" name="合計日数" totalsRowFunction="sum" dataDxfId="799" totalsRowDxfId="798">
      <calculatedColumnFormula>COUNTA(月11_216[[#This Row],[1]:[31]])</calculatedColumnFormula>
    </tableColumn>
  </tableColumns>
  <tableStyleInfo name="従業員の欠勤テーブル" showFirstColumn="1" showLastColumn="1" showRowStripes="1" showColumnStripes="0"/>
  <extLst>
    <ext xmlns:x14="http://schemas.microsoft.com/office/spreadsheetml/2009/9/main" uri="{504A1905-F514-4f6f-8877-14C23A59335A}">
      <x14:table altTextSummary="従業員の名前と欠勤の日付を指定します。行 12 に欠勤の種類をキー別に記録します。 V = 休暇、S = 病欠、P = 私用のほか、カスタム エントリ用の 2 つのプレースホルダーがあります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83FD69-EC79-6B43-9728-DBC90C3FDC77}" name="3月_58" displayName="_3月_58" ref="B8:AH30" totalsRowCount="1" headerRowDxfId="2039" dataDxfId="2038" totalsRowDxfId="2037">
  <tableColumns count="33">
    <tableColumn id="1" xr3:uid="{5910D0B6-76A8-1646-97A8-4AE2D1756125}" name="従業員名" totalsRowFunction="custom" dataDxfId="2036" totalsRowDxfId="2035" dataCellStyle="従業員">
      <totalsRowFormula>MonthName&amp;"集計"</totalsRowFormula>
    </tableColumn>
    <tableColumn id="2" xr3:uid="{69C27970-12EA-0E42-AF5F-351BA83FD215}" name="1" totalsRowFunction="count" dataDxfId="2034" totalsRowDxfId="2033"/>
    <tableColumn id="3" xr3:uid="{2DB67051-6E13-964F-86B0-B00AA9A5BFAF}" name="2" totalsRowFunction="count" dataDxfId="2032" totalsRowDxfId="2031"/>
    <tableColumn id="4" xr3:uid="{CF201FDD-65B9-BE4B-BE51-45EFCA258036}" name="3" totalsRowFunction="count" dataDxfId="2030" totalsRowDxfId="2029"/>
    <tableColumn id="5" xr3:uid="{E03823B4-0CCA-7D47-BCFD-4BB07A97D88C}" name="4" totalsRowFunction="count" dataDxfId="2028" totalsRowDxfId="2027"/>
    <tableColumn id="6" xr3:uid="{5F39FD90-2520-0847-B186-6CA5B07A072F}" name="5" totalsRowFunction="count" dataDxfId="2026" totalsRowDxfId="2025"/>
    <tableColumn id="7" xr3:uid="{D7992C25-6255-D54A-8B77-C3032B2914E8}" name="6" totalsRowFunction="count" dataDxfId="2024" totalsRowDxfId="2023"/>
    <tableColumn id="8" xr3:uid="{161AB8A2-4451-FA40-9408-833AFFC6D7CD}" name="7" totalsRowFunction="count" dataDxfId="2022" totalsRowDxfId="2021"/>
    <tableColumn id="9" xr3:uid="{82432B13-145C-AC4E-A84F-0C211DED3AEE}" name="8" totalsRowFunction="count" dataDxfId="2020" totalsRowDxfId="2019"/>
    <tableColumn id="10" xr3:uid="{994E3A00-A93E-8A4C-A93F-5DF73DB59AA5}" name="9" totalsRowFunction="count" dataDxfId="2018" totalsRowDxfId="2017"/>
    <tableColumn id="11" xr3:uid="{ADA642AC-6B5D-4749-B631-64A63466A02A}" name="10" totalsRowFunction="count" dataDxfId="2016" totalsRowDxfId="2015"/>
    <tableColumn id="12" xr3:uid="{E1D9D052-9150-4B4A-873C-04B0C9F0EAA0}" name="11" totalsRowFunction="count" dataDxfId="2014" totalsRowDxfId="2013"/>
    <tableColumn id="13" xr3:uid="{7804DD46-EEB3-7047-A68F-A81094B2F0E0}" name="12" totalsRowFunction="count" dataDxfId="2012" totalsRowDxfId="2011"/>
    <tableColumn id="14" xr3:uid="{39F98B96-5BF4-7747-A3D2-F58049C2C331}" name="13" totalsRowFunction="count" dataDxfId="2010" totalsRowDxfId="2009"/>
    <tableColumn id="15" xr3:uid="{8908FF7E-1791-CA41-8CF3-4A9F971974C3}" name="14" totalsRowFunction="count" dataDxfId="2008" totalsRowDxfId="2007"/>
    <tableColumn id="16" xr3:uid="{773FDBBE-AB42-A546-8329-8BDAEF4D06C4}" name="15" totalsRowFunction="count" dataDxfId="2006" totalsRowDxfId="2005"/>
    <tableColumn id="17" xr3:uid="{01EE92EC-B490-AF40-BDB2-290F1B1C3C58}" name="16" totalsRowFunction="count" dataDxfId="2004" totalsRowDxfId="2003"/>
    <tableColumn id="18" xr3:uid="{DF22A54C-2BE2-1340-BC66-FDDF323ABBE0}" name="17" totalsRowFunction="count" dataDxfId="2002" totalsRowDxfId="2001"/>
    <tableColumn id="19" xr3:uid="{BB1CDCA3-E15B-8D4E-ABE5-0D5BE02A950E}" name="18" totalsRowFunction="count" dataDxfId="2000" totalsRowDxfId="1999"/>
    <tableColumn id="20" xr3:uid="{4D5E657B-D9D2-8C4A-A4EB-E29B4B8BCF70}" name="19" totalsRowFunction="count" dataDxfId="1998" totalsRowDxfId="1997"/>
    <tableColumn id="21" xr3:uid="{B5D1019E-86BD-A146-A976-653D87FAC02B}" name="20" totalsRowFunction="count" dataDxfId="1996" totalsRowDxfId="1995"/>
    <tableColumn id="22" xr3:uid="{D1F7F5A1-B363-AC44-9332-4BA33D6CCEA8}" name="21" totalsRowFunction="count" dataDxfId="1994" totalsRowDxfId="1993"/>
    <tableColumn id="23" xr3:uid="{0EEDA366-AE45-0947-A354-D1B1BEB67F28}" name="22" totalsRowFunction="count" dataDxfId="1992" totalsRowDxfId="1991"/>
    <tableColumn id="24" xr3:uid="{8DB56569-FE6B-4249-B364-D76AC1D9BE79}" name="23" totalsRowFunction="count" dataDxfId="1990" totalsRowDxfId="1989"/>
    <tableColumn id="25" xr3:uid="{5BECBC0C-925A-8245-AD6D-847781A68957}" name="24" totalsRowFunction="count" dataDxfId="1988" totalsRowDxfId="1987"/>
    <tableColumn id="26" xr3:uid="{7D745BDB-6C53-8B4B-BA72-5FBDCB5D9CCC}" name="25" totalsRowFunction="count" dataDxfId="1986" totalsRowDxfId="1985"/>
    <tableColumn id="27" xr3:uid="{FA6FFB4C-5E6D-DA4E-8F87-EEC900B26695}" name="26" totalsRowFunction="count" dataDxfId="1984" totalsRowDxfId="1983"/>
    <tableColumn id="28" xr3:uid="{A50BDA94-D72B-C043-A8B2-E1E178EA827F}" name="27" totalsRowFunction="count" dataDxfId="1982" totalsRowDxfId="1981"/>
    <tableColumn id="29" xr3:uid="{D68B12D0-F485-FF42-B2E6-30EC0E2C418D}" name="28" totalsRowFunction="count" dataDxfId="1980" totalsRowDxfId="1979"/>
    <tableColumn id="30" xr3:uid="{695C2584-A6A5-D742-A768-02D19E90DEBC}" name="29" totalsRowFunction="count" dataDxfId="1978" totalsRowDxfId="1977"/>
    <tableColumn id="31" xr3:uid="{0B002160-8CE9-4B4E-A7A4-CFE8C54F8781}" name="30" totalsRowFunction="sum" dataDxfId="1976" totalsRowDxfId="1975"/>
    <tableColumn id="32" xr3:uid="{9A241B27-F77F-9E49-9678-7978D0423F17}" name="31" totalsRowFunction="sum" dataDxfId="1974" totalsRowDxfId="1973"/>
    <tableColumn id="33" xr3:uid="{C85EB010-29D3-FD4A-9882-B705BDC3D2EF}" name="合計日数" totalsRowFunction="sum" dataDxfId="1972" totalsRowDxfId="1971"/>
  </tableColumns>
  <tableStyleInfo name="従業員の欠勤テーブル" showFirstColumn="1" showLastColumn="1" showRowStripes="1" showColumnStripes="0"/>
  <extLst>
    <ext xmlns:x14="http://schemas.microsoft.com/office/spreadsheetml/2009/9/main" uri="{504A1905-F514-4f6f-8877-14C23A59335A}">
      <x14:table altTextSummary="従業員の名前と欠勤の日付を指定します。行 12 に欠勤の種類をキー別に記録します。 V = 休暇、S = 病欠、P = 私用のほか、カスタム エントリ用の 2 つのプレースホルダーがあります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22A1B2E-23D4-4964-85D8-49368638FE94}" name="月11_217" displayName="月11_217" ref="B8:AH66" totalsRowCount="1" headerRowDxfId="797" dataDxfId="796" totalsRowDxfId="795">
  <tableColumns count="33">
    <tableColumn id="1" xr3:uid="{262BFB62-7DD6-4CD1-A617-683A935A923E}" name="従業員名" totalsRowFunction="custom" dataDxfId="794" totalsRowDxfId="793" dataCellStyle="従業員">
      <totalsRowFormula>MonthName&amp;"集計"</totalsRowFormula>
    </tableColumn>
    <tableColumn id="2" xr3:uid="{B6366BEA-91DB-44CA-A5D1-3AABC6EF9C6F}" name="1" totalsRowFunction="count" dataDxfId="792" totalsRowDxfId="791"/>
    <tableColumn id="3" xr3:uid="{C987BB89-7160-4687-9662-79A3111D8D97}" name="2" totalsRowFunction="count" dataDxfId="790" totalsRowDxfId="789"/>
    <tableColumn id="4" xr3:uid="{89EC81FC-A75D-4536-A85E-058BD05EB0A3}" name="3" totalsRowFunction="count" dataDxfId="788" totalsRowDxfId="787"/>
    <tableColumn id="5" xr3:uid="{D1C68165-E97A-47D4-90BA-27CAF49453F4}" name="4" totalsRowFunction="count" dataDxfId="786" totalsRowDxfId="785"/>
    <tableColumn id="6" xr3:uid="{BDB67269-E5D4-4036-8085-75BFD5D98AC1}" name="5" totalsRowFunction="count" dataDxfId="784" totalsRowDxfId="783"/>
    <tableColumn id="7" xr3:uid="{AF5276BE-310D-4DDD-BA61-1AAF3DC842C4}" name="6" totalsRowFunction="count" dataDxfId="782" totalsRowDxfId="781"/>
    <tableColumn id="8" xr3:uid="{1EC0B675-ADDE-4716-8E92-47F7243919CF}" name="7" totalsRowFunction="count" dataDxfId="780" totalsRowDxfId="779"/>
    <tableColumn id="9" xr3:uid="{FD9EE368-E11F-4955-B947-769E73F7F964}" name="8" totalsRowFunction="count" dataDxfId="778" totalsRowDxfId="777"/>
    <tableColumn id="10" xr3:uid="{4CD46EC3-7CFC-4C2A-A72B-2B3E559C1182}" name="9" totalsRowFunction="count" dataDxfId="776" totalsRowDxfId="775"/>
    <tableColumn id="11" xr3:uid="{F466ECC8-6DB6-4B9A-AE88-90813A9E2555}" name="10" totalsRowFunction="count" dataDxfId="774" totalsRowDxfId="773"/>
    <tableColumn id="12" xr3:uid="{D234FD33-B505-4CFB-BBE9-96502516DA88}" name="11" totalsRowFunction="count" dataDxfId="772" totalsRowDxfId="771"/>
    <tableColumn id="13" xr3:uid="{84108839-A442-4C12-970F-804F268EBF1D}" name="12" totalsRowFunction="count" dataDxfId="770" totalsRowDxfId="769"/>
    <tableColumn id="14" xr3:uid="{A3B547D2-C02F-4CF5-83F7-FDC22394625A}" name="13" totalsRowFunction="count" dataDxfId="768" totalsRowDxfId="767"/>
    <tableColumn id="15" xr3:uid="{145727D8-3B7B-4900-AC03-24B59D323992}" name="14" totalsRowFunction="count" dataDxfId="766" totalsRowDxfId="765"/>
    <tableColumn id="16" xr3:uid="{7BAA7EFC-D6CA-4A02-BFA2-F1C6B460B4F3}" name="15" totalsRowFunction="count" dataDxfId="764" totalsRowDxfId="763"/>
    <tableColumn id="17" xr3:uid="{73E4D471-2A1D-49B2-8983-CE5116A72A01}" name="16" totalsRowFunction="count" dataDxfId="762" totalsRowDxfId="761"/>
    <tableColumn id="18" xr3:uid="{5894E34C-B8EA-4AAD-8F5C-3B749B4B695B}" name="17" totalsRowFunction="count" dataDxfId="760" totalsRowDxfId="759"/>
    <tableColumn id="19" xr3:uid="{AA6C9A68-FEDC-455B-A9A8-8A4C5DA9A7CE}" name="18" totalsRowFunction="count" dataDxfId="758" totalsRowDxfId="757"/>
    <tableColumn id="20" xr3:uid="{64B41306-CF15-4527-87EA-BFDD32DD0463}" name="19" totalsRowFunction="count" dataDxfId="756" totalsRowDxfId="755"/>
    <tableColumn id="21" xr3:uid="{709BFA31-5C23-4D42-B6B1-0F772796D784}" name="20" totalsRowFunction="count" dataDxfId="754" totalsRowDxfId="753"/>
    <tableColumn id="22" xr3:uid="{EA536378-65C6-4D11-98B4-CE6A16DA6D25}" name="21" totalsRowFunction="count" dataDxfId="752" totalsRowDxfId="751"/>
    <tableColumn id="23" xr3:uid="{F147E614-E322-411F-A42D-795A6F674662}" name="22" totalsRowFunction="count" dataDxfId="750" totalsRowDxfId="749"/>
    <tableColumn id="24" xr3:uid="{C3313D74-57C1-4634-9883-A03FCEF81803}" name="23" totalsRowFunction="count" dataDxfId="748" totalsRowDxfId="747"/>
    <tableColumn id="25" xr3:uid="{C20FDD86-CBFA-43DB-9AF8-BC72062E07BD}" name="24" totalsRowFunction="count" dataDxfId="746" totalsRowDxfId="745"/>
    <tableColumn id="26" xr3:uid="{224DA9DA-C127-4B8C-9FD0-E6E53BF52401}" name="25" totalsRowFunction="count" dataDxfId="744" totalsRowDxfId="743"/>
    <tableColumn id="27" xr3:uid="{82AF8517-DA59-4A08-9056-2EACF8264976}" name="26" totalsRowFunction="count" dataDxfId="742" totalsRowDxfId="741"/>
    <tableColumn id="28" xr3:uid="{42956052-A69B-437C-9EA9-F6A2CD9BB4B0}" name="27" totalsRowFunction="count" dataDxfId="740" totalsRowDxfId="739"/>
    <tableColumn id="29" xr3:uid="{7D251527-8661-4B89-8F82-73C92B725549}" name="28" totalsRowFunction="count" dataDxfId="738" totalsRowDxfId="737"/>
    <tableColumn id="30" xr3:uid="{59EBE6C8-628A-4029-8029-A7658AEDED5F}" name="29" totalsRowFunction="count" dataDxfId="736" totalsRowDxfId="735"/>
    <tableColumn id="31" xr3:uid="{8B929847-C57C-43C8-A99B-66E3FBF42A41}" name="30" totalsRowFunction="sum" dataDxfId="734" totalsRowDxfId="733"/>
    <tableColumn id="32" xr3:uid="{5D0D7088-1F2B-4A4B-BB34-554ED1312117}" name=" " totalsRowFunction="sum" dataDxfId="732" totalsRowDxfId="731"/>
    <tableColumn id="33" xr3:uid="{C7649423-3E67-450F-8303-D50BBE8A6A05}" name="合計日数" totalsRowFunction="sum" dataDxfId="730" totalsRowDxfId="729">
      <calculatedColumnFormula>COUNTA(月11_217[[#This Row],[1]:[ ]])</calculatedColumnFormula>
    </tableColumn>
  </tableColumns>
  <tableStyleInfo name="従業員の欠勤テーブル" showFirstColumn="1" showLastColumn="1" showRowStripes="1" showColumnStripes="0"/>
  <extLst>
    <ext xmlns:x14="http://schemas.microsoft.com/office/spreadsheetml/2009/9/main" uri="{504A1905-F514-4f6f-8877-14C23A59335A}">
      <x14:table altTextSummary="従業員の名前と欠勤の日付を指定します。行 12 に欠勤の種類をキー別に記録します。 V = 休暇、S = 病欠、P = 私用のほか、カスタム エントリ用の 2 つのプレースホルダーがあります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AE0367-7D4B-4373-B496-5AD47EE6349D}" name="月11_2" displayName="月11_2" ref="B8:AH66" totalsRowCount="1" headerRowDxfId="728" dataDxfId="727" totalsRowDxfId="726">
  <tableColumns count="33">
    <tableColumn id="1" xr3:uid="{A9A15E4A-6765-4FD6-A359-E5A0603BE8FE}" name="従業員名" totalsRowFunction="custom" dataDxfId="725" totalsRowDxfId="724" dataCellStyle="従業員">
      <totalsRowFormula>MonthName&amp;"集計"</totalsRowFormula>
    </tableColumn>
    <tableColumn id="2" xr3:uid="{9E54A0C5-7AE6-4AA1-8399-4ACC1774CFA6}" name="1" totalsRowFunction="count" dataDxfId="723" totalsRowDxfId="722"/>
    <tableColumn id="3" xr3:uid="{38637435-8A59-45BE-8D24-A281207D8D7F}" name="2" totalsRowFunction="count" dataDxfId="721" totalsRowDxfId="720"/>
    <tableColumn id="4" xr3:uid="{5D9A4F61-48A5-47D8-9A39-519B50FAB912}" name="3" totalsRowFunction="count" dataDxfId="719" totalsRowDxfId="718"/>
    <tableColumn id="5" xr3:uid="{CD9DC75F-E987-4396-AF00-784BD635B317}" name="4" totalsRowFunction="count" dataDxfId="717" totalsRowDxfId="716"/>
    <tableColumn id="6" xr3:uid="{CDFD66DC-B660-4770-AD9B-1EBEDFD1DF5D}" name="5" totalsRowFunction="count" dataDxfId="715" totalsRowDxfId="714"/>
    <tableColumn id="7" xr3:uid="{D0C65F26-C2E6-4700-B7F4-5191DD58D420}" name="6" totalsRowFunction="count" dataDxfId="713" totalsRowDxfId="712"/>
    <tableColumn id="8" xr3:uid="{A6D527BF-2E1F-46F7-B4B1-33581DC0061E}" name="7" totalsRowFunction="count" dataDxfId="711" totalsRowDxfId="710"/>
    <tableColumn id="9" xr3:uid="{1379C60B-EE55-435B-84F5-AB0E1B519642}" name="8" totalsRowFunction="count" dataDxfId="709" totalsRowDxfId="708"/>
    <tableColumn id="10" xr3:uid="{278C585E-57AF-4F63-B272-9B9420CE6692}" name="9" totalsRowFunction="count" dataDxfId="707" totalsRowDxfId="706"/>
    <tableColumn id="11" xr3:uid="{4FA6030E-68B4-4E2E-B78D-B665C887C5D8}" name="10" totalsRowFunction="count" dataDxfId="705" totalsRowDxfId="704"/>
    <tableColumn id="12" xr3:uid="{092B754B-1894-40BF-9269-D73738DF6D34}" name="11" totalsRowFunction="count" dataDxfId="703" totalsRowDxfId="702"/>
    <tableColumn id="13" xr3:uid="{E731C8BF-0EEB-4B03-9150-BBB644E57557}" name="12" totalsRowFunction="count" dataDxfId="701" totalsRowDxfId="700"/>
    <tableColumn id="14" xr3:uid="{601AB339-59F9-47E8-968F-3CFA8AFB5599}" name="13" totalsRowFunction="count" dataDxfId="699" totalsRowDxfId="698"/>
    <tableColumn id="15" xr3:uid="{66570997-3C79-4FC7-BD89-53ED04827FAB}" name="14" totalsRowFunction="count" dataDxfId="697" totalsRowDxfId="696"/>
    <tableColumn id="16" xr3:uid="{26E99777-AFAF-44C0-92F6-D5C3158AC4E8}" name="15" totalsRowFunction="count" dataDxfId="695" totalsRowDxfId="694"/>
    <tableColumn id="17" xr3:uid="{A913D59A-00BC-418A-BEC8-F9E9296739BD}" name="16" totalsRowFunction="count" dataDxfId="693" totalsRowDxfId="692"/>
    <tableColumn id="18" xr3:uid="{D201A2B4-2E0D-4CBF-AA2E-123FF184C3FB}" name="17" totalsRowFunction="count" dataDxfId="691" totalsRowDxfId="690"/>
    <tableColumn id="19" xr3:uid="{3DC1777A-426C-421B-96C1-281007D3CF13}" name="18" totalsRowFunction="count" dataDxfId="689" totalsRowDxfId="688"/>
    <tableColumn id="20" xr3:uid="{25E49E9C-8141-4923-9D56-D61E8304D6F6}" name="19" totalsRowFunction="count" dataDxfId="687" totalsRowDxfId="686"/>
    <tableColumn id="21" xr3:uid="{F4EB39C7-D096-4BB1-B1B9-0B72C3AB5F53}" name="20" totalsRowFunction="count" dataDxfId="685" totalsRowDxfId="684"/>
    <tableColumn id="22" xr3:uid="{E30031D3-B956-470F-B69A-39A650BEF28A}" name="21" totalsRowFunction="count" dataDxfId="683" totalsRowDxfId="682"/>
    <tableColumn id="23" xr3:uid="{6A05373F-FFF1-4C5D-8F99-89D6E3076136}" name="22" totalsRowFunction="count" dataDxfId="681" totalsRowDxfId="680"/>
    <tableColumn id="24" xr3:uid="{29064905-A8BE-45F5-BAD9-B78E8F523729}" name="23" totalsRowFunction="count" dataDxfId="679" totalsRowDxfId="678"/>
    <tableColumn id="25" xr3:uid="{9EA8616F-8D0D-47CD-8683-02D3285C7E48}" name="24" totalsRowFunction="count" dataDxfId="677" totalsRowDxfId="676"/>
    <tableColumn id="26" xr3:uid="{6DB61390-4106-4889-9FDC-9971F4F95B9C}" name="25" totalsRowFunction="count" dataDxfId="675" totalsRowDxfId="674"/>
    <tableColumn id="27" xr3:uid="{51FE79AE-E561-4C19-A63F-608FF1002B18}" name="26" totalsRowFunction="count" dataDxfId="673" totalsRowDxfId="672"/>
    <tableColumn id="28" xr3:uid="{E0A07BB1-FEC1-4D5D-8FA3-3B1403D843FB}" name="27" totalsRowFunction="count" dataDxfId="671" totalsRowDxfId="670"/>
    <tableColumn id="29" xr3:uid="{1C18B67E-6B8B-446D-8E93-FD93B0F16FBA}" name="28" totalsRowFunction="count" dataDxfId="669" totalsRowDxfId="668"/>
    <tableColumn id="30" xr3:uid="{A64527B8-FB74-414A-9248-FDEE5720236B}" name="29" totalsRowFunction="count" dataDxfId="667" totalsRowDxfId="666"/>
    <tableColumn id="31" xr3:uid="{36E8C26F-4090-49C9-962A-322EE189346C}" name="30" totalsRowFunction="sum" dataDxfId="665" totalsRowDxfId="664"/>
    <tableColumn id="32" xr3:uid="{36083D02-8179-4C55-8A0B-E5DC37287280}" name=" " totalsRowFunction="sum" dataDxfId="663" totalsRowDxfId="662"/>
    <tableColumn id="33" xr3:uid="{872484E2-7A44-407A-8213-A8B4C9740B27}" name="合計日数" totalsRowFunction="sum" dataDxfId="661" totalsRowDxfId="660">
      <calculatedColumnFormula>COUNTA(月11_2[[#This Row],[1]:[ ]])</calculatedColumnFormula>
    </tableColumn>
  </tableColumns>
  <tableStyleInfo name="従業員の欠勤テーブル" showFirstColumn="1" showLastColumn="1" showRowStripes="1" showColumnStripes="0"/>
  <extLst>
    <ext xmlns:x14="http://schemas.microsoft.com/office/spreadsheetml/2009/9/main" uri="{504A1905-F514-4f6f-8877-14C23A59335A}">
      <x14:table altTextSummary="従業員の名前と欠勤の日付を指定します。行 12 に欠勤の種類をキー別に記録します。 V = 休暇、S = 病欠、P = 私用のほか、カスタム エントリ用の 2 つのプレースホルダーがあります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従業員名" displayName="従業員名" ref="B3:B61" totalsRowShown="0" headerRowDxfId="659" dataDxfId="658">
  <autoFilter ref="B3:B61" xr:uid="{00000000-0009-0000-0100-00000D000000}"/>
  <tableColumns count="1">
    <tableColumn id="1" xr3:uid="{00000000-0010-0000-0C00-000001000000}" name="備品名" dataDxfId="657" dataCellStyle="従業員"/>
  </tableColumns>
  <tableStyleInfo name="従業員の欠勤テーブル" showFirstColumn="1" showLastColumn="1" showRowStripes="1" showColumnStripes="0"/>
  <extLst>
    <ext xmlns:x14="http://schemas.microsoft.com/office/spreadsheetml/2009/9/main" uri="{504A1905-F514-4f6f-8877-14C23A59335A}">
      <x14:table altTextSummary="このテーブルには従業員名を入力します。入力した名前は各月の欠勤管理で列 B のオプションとして使用されます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5000000}" name="月6" displayName="月6" ref="B8:AH30" totalsRowCount="1" headerRowDxfId="1970" dataDxfId="1969" totalsRowDxfId="1968">
  <tableColumns count="33">
    <tableColumn id="1" xr3:uid="{00000000-0010-0000-0500-000001000000}" name="従業員名" totalsRowFunction="custom" dataDxfId="1967" totalsRowDxfId="1966" dataCellStyle="従業員">
      <totalsRowFormula>MonthName&amp;"集計"</totalsRowFormula>
    </tableColumn>
    <tableColumn id="2" xr3:uid="{00000000-0010-0000-0500-000002000000}" name="1" totalsRowFunction="count" dataDxfId="1965" totalsRowDxfId="1964"/>
    <tableColumn id="3" xr3:uid="{00000000-0010-0000-0500-000003000000}" name="2" totalsRowFunction="count" dataDxfId="1963" totalsRowDxfId="1962"/>
    <tableColumn id="4" xr3:uid="{00000000-0010-0000-0500-000004000000}" name="3" totalsRowFunction="count" dataDxfId="1961" totalsRowDxfId="1960"/>
    <tableColumn id="5" xr3:uid="{00000000-0010-0000-0500-000005000000}" name="4" totalsRowFunction="count" dataDxfId="1959" totalsRowDxfId="1958"/>
    <tableColumn id="6" xr3:uid="{00000000-0010-0000-0500-000006000000}" name="5" totalsRowFunction="count" dataDxfId="1957" totalsRowDxfId="1956"/>
    <tableColumn id="7" xr3:uid="{00000000-0010-0000-0500-000007000000}" name="6" totalsRowFunction="count" dataDxfId="1955" totalsRowDxfId="1954"/>
    <tableColumn id="8" xr3:uid="{00000000-0010-0000-0500-000008000000}" name="7" totalsRowFunction="count" dataDxfId="1953" totalsRowDxfId="1952"/>
    <tableColumn id="9" xr3:uid="{00000000-0010-0000-0500-000009000000}" name="8" totalsRowFunction="count" dataDxfId="1951" totalsRowDxfId="1950"/>
    <tableColumn id="10" xr3:uid="{00000000-0010-0000-0500-00000A000000}" name="9" totalsRowFunction="count" dataDxfId="1949" totalsRowDxfId="1948"/>
    <tableColumn id="11" xr3:uid="{00000000-0010-0000-0500-00000B000000}" name="10" totalsRowFunction="count" dataDxfId="1947" totalsRowDxfId="1946"/>
    <tableColumn id="12" xr3:uid="{00000000-0010-0000-0500-00000C000000}" name="11" totalsRowFunction="count" dataDxfId="1945" totalsRowDxfId="1944"/>
    <tableColumn id="13" xr3:uid="{00000000-0010-0000-0500-00000D000000}" name="12" totalsRowFunction="count" dataDxfId="1943" totalsRowDxfId="1942"/>
    <tableColumn id="14" xr3:uid="{00000000-0010-0000-0500-00000E000000}" name="13" totalsRowFunction="count" dataDxfId="1941" totalsRowDxfId="1940"/>
    <tableColumn id="15" xr3:uid="{00000000-0010-0000-0500-00000F000000}" name="14" totalsRowFunction="count" dataDxfId="1939" totalsRowDxfId="1938"/>
    <tableColumn id="16" xr3:uid="{00000000-0010-0000-0500-000010000000}" name="15" totalsRowFunction="count" dataDxfId="1937" totalsRowDxfId="1936"/>
    <tableColumn id="17" xr3:uid="{00000000-0010-0000-0500-000011000000}" name="16" totalsRowFunction="count" dataDxfId="1935" totalsRowDxfId="1934"/>
    <tableColumn id="18" xr3:uid="{00000000-0010-0000-0500-000012000000}" name="17" totalsRowFunction="count" dataDxfId="1933" totalsRowDxfId="1932"/>
    <tableColumn id="19" xr3:uid="{00000000-0010-0000-0500-000013000000}" name="18" totalsRowFunction="count" dataDxfId="1931" totalsRowDxfId="1930"/>
    <tableColumn id="20" xr3:uid="{00000000-0010-0000-0500-000014000000}" name="19" totalsRowFunction="count" dataDxfId="1929" totalsRowDxfId="1928"/>
    <tableColumn id="21" xr3:uid="{00000000-0010-0000-0500-000015000000}" name="20" totalsRowFunction="count" dataDxfId="1927" totalsRowDxfId="1926"/>
    <tableColumn id="22" xr3:uid="{00000000-0010-0000-0500-000016000000}" name="21" totalsRowFunction="count" dataDxfId="1925" totalsRowDxfId="1924"/>
    <tableColumn id="23" xr3:uid="{00000000-0010-0000-0500-000017000000}" name="22" totalsRowFunction="count" dataDxfId="1923" totalsRowDxfId="1922"/>
    <tableColumn id="24" xr3:uid="{00000000-0010-0000-0500-000018000000}" name="23" totalsRowFunction="count" dataDxfId="1921" totalsRowDxfId="1920"/>
    <tableColumn id="25" xr3:uid="{00000000-0010-0000-0500-000019000000}" name="24" totalsRowFunction="count" dataDxfId="1919" totalsRowDxfId="1918"/>
    <tableColumn id="26" xr3:uid="{00000000-0010-0000-0500-00001A000000}" name="25" totalsRowFunction="count" dataDxfId="1917" totalsRowDxfId="1916"/>
    <tableColumn id="27" xr3:uid="{00000000-0010-0000-0500-00001B000000}" name="26" totalsRowFunction="count" dataDxfId="1915" totalsRowDxfId="1914"/>
    <tableColumn id="28" xr3:uid="{00000000-0010-0000-0500-00001C000000}" name="27" totalsRowFunction="count" dataDxfId="1913" totalsRowDxfId="1912"/>
    <tableColumn id="29" xr3:uid="{00000000-0010-0000-0500-00001D000000}" name="28" totalsRowFunction="count" dataDxfId="1911" totalsRowDxfId="1910"/>
    <tableColumn id="30" xr3:uid="{00000000-0010-0000-0500-00001E000000}" name="29" totalsRowFunction="count" dataDxfId="1909" totalsRowDxfId="1908"/>
    <tableColumn id="31" xr3:uid="{00000000-0010-0000-0500-00001F000000}" name="30" totalsRowFunction="sum" dataDxfId="1907" totalsRowDxfId="1906"/>
    <tableColumn id="32" xr3:uid="{00000000-0010-0000-0500-000020000000}" name=" " totalsRowFunction="sum" dataDxfId="1905" totalsRowDxfId="1904"/>
    <tableColumn id="33" xr3:uid="{00000000-0010-0000-0500-000021000000}" name="合計日数" totalsRowFunction="sum" dataDxfId="1903" totalsRowDxfId="1902">
      <calculatedColumnFormula>COUNTA(月6[[#This Row],[1]:[ ]])</calculatedColumnFormula>
    </tableColumn>
  </tableColumns>
  <tableStyleInfo name="従業員の欠勤テーブル" showFirstColumn="1" showLastColumn="1" showRowStripes="1" showColumnStripes="0"/>
  <extLst>
    <ext xmlns:x14="http://schemas.microsoft.com/office/spreadsheetml/2009/9/main" uri="{504A1905-F514-4f6f-8877-14C23A59335A}">
      <x14:table altTextSummary="従業員の名前と欠勤の日付を指定します。行 12 に欠勤の種類をキー別に記録します。 V = 休暇、S = 病欠、P = 私用のほか、カスタム エントリ用の 2 つのプレースホルダーがあります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6000000}" name="月7" displayName="月7" ref="B8:AH30" totalsRowCount="1" headerRowDxfId="1901" dataDxfId="1900" totalsRowDxfId="1899">
  <tableColumns count="33">
    <tableColumn id="1" xr3:uid="{00000000-0010-0000-0600-000001000000}" name="従業員名" totalsRowFunction="custom" dataDxfId="1898" totalsRowDxfId="1897" dataCellStyle="従業員">
      <totalsRowFormula>MonthName&amp;"集計"</totalsRowFormula>
    </tableColumn>
    <tableColumn id="2" xr3:uid="{00000000-0010-0000-0600-000002000000}" name="1" totalsRowFunction="count" dataDxfId="1896" totalsRowDxfId="1895"/>
    <tableColumn id="3" xr3:uid="{00000000-0010-0000-0600-000003000000}" name="2" totalsRowFunction="count" dataDxfId="1894" totalsRowDxfId="1893"/>
    <tableColumn id="4" xr3:uid="{00000000-0010-0000-0600-000004000000}" name="3" totalsRowFunction="count" dataDxfId="1892" totalsRowDxfId="1891"/>
    <tableColumn id="5" xr3:uid="{00000000-0010-0000-0600-000005000000}" name="4" totalsRowFunction="count" dataDxfId="1890" totalsRowDxfId="1889"/>
    <tableColumn id="6" xr3:uid="{00000000-0010-0000-0600-000006000000}" name="5" totalsRowFunction="count" dataDxfId="1888" totalsRowDxfId="1887"/>
    <tableColumn id="7" xr3:uid="{00000000-0010-0000-0600-000007000000}" name="6" totalsRowFunction="count" dataDxfId="1886" totalsRowDxfId="1885"/>
    <tableColumn id="8" xr3:uid="{00000000-0010-0000-0600-000008000000}" name="7" totalsRowFunction="count" dataDxfId="1884" totalsRowDxfId="1883"/>
    <tableColumn id="9" xr3:uid="{00000000-0010-0000-0600-000009000000}" name="8" totalsRowFunction="count" dataDxfId="1882" totalsRowDxfId="1881"/>
    <tableColumn id="10" xr3:uid="{00000000-0010-0000-0600-00000A000000}" name="9" totalsRowFunction="count" dataDxfId="1880" totalsRowDxfId="1879"/>
    <tableColumn id="11" xr3:uid="{00000000-0010-0000-0600-00000B000000}" name="10" totalsRowFunction="count" dataDxfId="1878" totalsRowDxfId="1877"/>
    <tableColumn id="12" xr3:uid="{00000000-0010-0000-0600-00000C000000}" name="11" totalsRowFunction="count" dataDxfId="1876" totalsRowDxfId="1875"/>
    <tableColumn id="13" xr3:uid="{00000000-0010-0000-0600-00000D000000}" name="12" totalsRowFunction="count" dataDxfId="1874" totalsRowDxfId="1873"/>
    <tableColumn id="14" xr3:uid="{00000000-0010-0000-0600-00000E000000}" name="13" totalsRowFunction="count" dataDxfId="1872" totalsRowDxfId="1871"/>
    <tableColumn id="15" xr3:uid="{00000000-0010-0000-0600-00000F000000}" name="14" totalsRowFunction="count" dataDxfId="1870" totalsRowDxfId="1869"/>
    <tableColumn id="16" xr3:uid="{00000000-0010-0000-0600-000010000000}" name="15" totalsRowFunction="count" dataDxfId="1868" totalsRowDxfId="1867"/>
    <tableColumn id="17" xr3:uid="{00000000-0010-0000-0600-000011000000}" name="16" totalsRowFunction="count" dataDxfId="1866" totalsRowDxfId="1865"/>
    <tableColumn id="18" xr3:uid="{00000000-0010-0000-0600-000012000000}" name="17" totalsRowFunction="count" dataDxfId="1864" totalsRowDxfId="1863"/>
    <tableColumn id="19" xr3:uid="{00000000-0010-0000-0600-000013000000}" name="18" totalsRowFunction="count" dataDxfId="1862" totalsRowDxfId="1861"/>
    <tableColumn id="20" xr3:uid="{00000000-0010-0000-0600-000014000000}" name="19" totalsRowFunction="count" dataDxfId="1860" totalsRowDxfId="1859"/>
    <tableColumn id="21" xr3:uid="{00000000-0010-0000-0600-000015000000}" name="20" totalsRowFunction="count" dataDxfId="1858" totalsRowDxfId="1857"/>
    <tableColumn id="22" xr3:uid="{00000000-0010-0000-0600-000016000000}" name="21" totalsRowFunction="count" dataDxfId="1856" totalsRowDxfId="1855"/>
    <tableColumn id="23" xr3:uid="{00000000-0010-0000-0600-000017000000}" name="22" totalsRowFunction="count" dataDxfId="1854" totalsRowDxfId="1853"/>
    <tableColumn id="24" xr3:uid="{00000000-0010-0000-0600-000018000000}" name="23" totalsRowFunction="count" dataDxfId="1852" totalsRowDxfId="1851"/>
    <tableColumn id="25" xr3:uid="{00000000-0010-0000-0600-000019000000}" name="24" totalsRowFunction="count" dataDxfId="1850" totalsRowDxfId="1849"/>
    <tableColumn id="26" xr3:uid="{00000000-0010-0000-0600-00001A000000}" name="25" totalsRowFunction="count" dataDxfId="1848" totalsRowDxfId="1847"/>
    <tableColumn id="27" xr3:uid="{00000000-0010-0000-0600-00001B000000}" name="26" totalsRowFunction="count" dataDxfId="1846" totalsRowDxfId="1845"/>
    <tableColumn id="28" xr3:uid="{00000000-0010-0000-0600-00001C000000}" name="27" totalsRowFunction="count" dataDxfId="1844" totalsRowDxfId="1843"/>
    <tableColumn id="29" xr3:uid="{00000000-0010-0000-0600-00001D000000}" name="28" totalsRowFunction="count" dataDxfId="1842" totalsRowDxfId="1841"/>
    <tableColumn id="30" xr3:uid="{00000000-0010-0000-0600-00001E000000}" name="29" totalsRowFunction="count" dataDxfId="1840" totalsRowDxfId="1839"/>
    <tableColumn id="31" xr3:uid="{00000000-0010-0000-0600-00001F000000}" name="30" totalsRowFunction="sum" dataDxfId="1838" totalsRowDxfId="1837"/>
    <tableColumn id="32" xr3:uid="{00000000-0010-0000-0600-000020000000}" name="31" totalsRowFunction="sum" dataDxfId="1836" totalsRowDxfId="1835"/>
    <tableColumn id="33" xr3:uid="{00000000-0010-0000-0600-000021000000}" name="合計日数" totalsRowFunction="sum" dataDxfId="1834" totalsRowDxfId="1833">
      <calculatedColumnFormula>COUNTA(月7[[#This Row],[1]:[31]])</calculatedColumnFormula>
    </tableColumn>
  </tableColumns>
  <tableStyleInfo name="従業員の欠勤テーブル" showFirstColumn="1" showLastColumn="1" showRowStripes="1" showColumnStripes="0"/>
  <extLst>
    <ext xmlns:x14="http://schemas.microsoft.com/office/spreadsheetml/2009/9/main" uri="{504A1905-F514-4f6f-8877-14C23A59335A}">
      <x14:table altTextSummary="従業員の名前と欠勤の日付を指定します。行 12 に欠勤の種類をキー別に記録します。 V = 休暇、S = 病欠、P = 私用のほか、カスタム エントリ用の 2 つのプレースホルダーがあります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7000000}" name="月8" displayName="月8" ref="B8:AH30" totalsRowCount="1" headerRowDxfId="1832" dataDxfId="1831" totalsRowDxfId="1830">
  <tableColumns count="33">
    <tableColumn id="1" xr3:uid="{00000000-0010-0000-0700-000001000000}" name="従業員名" totalsRowFunction="custom" dataDxfId="1829" totalsRowDxfId="1828" dataCellStyle="従業員">
      <totalsRowFormula>MonthName&amp;"集計"</totalsRowFormula>
    </tableColumn>
    <tableColumn id="2" xr3:uid="{00000000-0010-0000-0700-000002000000}" name="1" totalsRowFunction="count" dataDxfId="1827" totalsRowDxfId="1826"/>
    <tableColumn id="3" xr3:uid="{00000000-0010-0000-0700-000003000000}" name="2" totalsRowFunction="count" dataDxfId="1825" totalsRowDxfId="1824"/>
    <tableColumn id="4" xr3:uid="{00000000-0010-0000-0700-000004000000}" name="3" totalsRowFunction="count" dataDxfId="1823" totalsRowDxfId="1822"/>
    <tableColumn id="5" xr3:uid="{00000000-0010-0000-0700-000005000000}" name="4" totalsRowFunction="count" dataDxfId="1821" totalsRowDxfId="1820"/>
    <tableColumn id="6" xr3:uid="{00000000-0010-0000-0700-000006000000}" name="5" totalsRowFunction="count" dataDxfId="1819" totalsRowDxfId="1818"/>
    <tableColumn id="7" xr3:uid="{00000000-0010-0000-0700-000007000000}" name="6" totalsRowFunction="count" dataDxfId="1817" totalsRowDxfId="1816"/>
    <tableColumn id="8" xr3:uid="{00000000-0010-0000-0700-000008000000}" name="7" totalsRowFunction="count" dataDxfId="1815" totalsRowDxfId="1814"/>
    <tableColumn id="9" xr3:uid="{00000000-0010-0000-0700-000009000000}" name="8" totalsRowFunction="count" dataDxfId="1813" totalsRowDxfId="1812"/>
    <tableColumn id="10" xr3:uid="{00000000-0010-0000-0700-00000A000000}" name="9" totalsRowFunction="count" dataDxfId="1811" totalsRowDxfId="1810"/>
    <tableColumn id="11" xr3:uid="{00000000-0010-0000-0700-00000B000000}" name="10" totalsRowFunction="count" dataDxfId="1809" totalsRowDxfId="1808"/>
    <tableColumn id="12" xr3:uid="{00000000-0010-0000-0700-00000C000000}" name="11" totalsRowFunction="count" dataDxfId="1807" totalsRowDxfId="1806"/>
    <tableColumn id="13" xr3:uid="{00000000-0010-0000-0700-00000D000000}" name="12" totalsRowFunction="count" dataDxfId="1805" totalsRowDxfId="1804"/>
    <tableColumn id="14" xr3:uid="{00000000-0010-0000-0700-00000E000000}" name="13" totalsRowFunction="count" dataDxfId="1803" totalsRowDxfId="1802"/>
    <tableColumn id="15" xr3:uid="{00000000-0010-0000-0700-00000F000000}" name="14" totalsRowFunction="count" dataDxfId="1801" totalsRowDxfId="1800"/>
    <tableColumn id="16" xr3:uid="{00000000-0010-0000-0700-000010000000}" name="15" totalsRowFunction="count" dataDxfId="1799" totalsRowDxfId="1798"/>
    <tableColumn id="17" xr3:uid="{00000000-0010-0000-0700-000011000000}" name="16" totalsRowFunction="count" dataDxfId="1797" totalsRowDxfId="1796"/>
    <tableColumn id="18" xr3:uid="{00000000-0010-0000-0700-000012000000}" name="17" totalsRowFunction="count" dataDxfId="1795" totalsRowDxfId="1794"/>
    <tableColumn id="19" xr3:uid="{00000000-0010-0000-0700-000013000000}" name="18" totalsRowFunction="count" dataDxfId="1793" totalsRowDxfId="1792"/>
    <tableColumn id="20" xr3:uid="{00000000-0010-0000-0700-000014000000}" name="19" totalsRowFunction="count" dataDxfId="1791" totalsRowDxfId="1790"/>
    <tableColumn id="21" xr3:uid="{00000000-0010-0000-0700-000015000000}" name="20" totalsRowFunction="count" dataDxfId="1789" totalsRowDxfId="1788"/>
    <tableColumn id="22" xr3:uid="{00000000-0010-0000-0700-000016000000}" name="21" totalsRowFunction="count" dataDxfId="1787" totalsRowDxfId="1786"/>
    <tableColumn id="23" xr3:uid="{00000000-0010-0000-0700-000017000000}" name="22" totalsRowFunction="count" dataDxfId="1785" totalsRowDxfId="1784" dataCellStyle="40% - アクセント 2"/>
    <tableColumn id="24" xr3:uid="{00000000-0010-0000-0700-000018000000}" name="23" totalsRowFunction="count" dataDxfId="1783" totalsRowDxfId="1782"/>
    <tableColumn id="25" xr3:uid="{00000000-0010-0000-0700-000019000000}" name="24" totalsRowFunction="count" dataDxfId="1781" totalsRowDxfId="1780"/>
    <tableColumn id="26" xr3:uid="{00000000-0010-0000-0700-00001A000000}" name="25" totalsRowFunction="count" dataDxfId="1779" totalsRowDxfId="1778"/>
    <tableColumn id="27" xr3:uid="{00000000-0010-0000-0700-00001B000000}" name="26" totalsRowFunction="count" dataDxfId="1777" totalsRowDxfId="1776"/>
    <tableColumn id="28" xr3:uid="{00000000-0010-0000-0700-00001C000000}" name="27" totalsRowFunction="count" dataDxfId="1775" totalsRowDxfId="1774"/>
    <tableColumn id="29" xr3:uid="{00000000-0010-0000-0700-00001D000000}" name="28" totalsRowFunction="count" dataDxfId="1773" totalsRowDxfId="1772"/>
    <tableColumn id="30" xr3:uid="{00000000-0010-0000-0700-00001E000000}" name="29" totalsRowFunction="count" dataDxfId="1771" totalsRowDxfId="1770"/>
    <tableColumn id="31" xr3:uid="{00000000-0010-0000-0700-00001F000000}" name="30" totalsRowFunction="sum" dataDxfId="1769" totalsRowDxfId="1768"/>
    <tableColumn id="32" xr3:uid="{00000000-0010-0000-0700-000020000000}" name="31" totalsRowFunction="sum" dataDxfId="1767" totalsRowDxfId="1766"/>
    <tableColumn id="33" xr3:uid="{00000000-0010-0000-0700-000021000000}" name="合計日数" totalsRowFunction="sum" dataDxfId="1765" totalsRowDxfId="1764">
      <calculatedColumnFormula>COUNTA(月8[[#This Row],[1]:[31]])</calculatedColumnFormula>
    </tableColumn>
  </tableColumns>
  <tableStyleInfo name="従業員の欠勤テーブル" showFirstColumn="1" showLastColumn="1" showRowStripes="1" showColumnStripes="0"/>
  <extLst>
    <ext xmlns:x14="http://schemas.microsoft.com/office/spreadsheetml/2009/9/main" uri="{504A1905-F514-4f6f-8877-14C23A59335A}">
      <x14:table altTextSummary="従業員の名前と欠勤の日付を指定します。行 12 に欠勤の種類をキー別に記録します。 V = 休暇、S = 病欠、P = 私用のほか、カスタム エントリ用の 2 つのプレースホルダーがあります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8000000}" name="月9" displayName="月9" ref="B8:AH30" totalsRowCount="1" headerRowDxfId="1763" dataDxfId="1762" totalsRowDxfId="1761">
  <tableColumns count="33">
    <tableColumn id="1" xr3:uid="{00000000-0010-0000-0800-000001000000}" name="従業員名" totalsRowFunction="custom" dataDxfId="1760" totalsRowDxfId="1759" dataCellStyle="従業員">
      <totalsRowFormula>MonthName&amp;"集計"</totalsRowFormula>
    </tableColumn>
    <tableColumn id="2" xr3:uid="{00000000-0010-0000-0800-000002000000}" name="1" totalsRowFunction="count" dataDxfId="1758" totalsRowDxfId="1757"/>
    <tableColumn id="3" xr3:uid="{00000000-0010-0000-0800-000003000000}" name="2" totalsRowFunction="count" dataDxfId="1756" totalsRowDxfId="1755"/>
    <tableColumn id="4" xr3:uid="{00000000-0010-0000-0800-000004000000}" name="3" totalsRowFunction="count" dataDxfId="1754" totalsRowDxfId="1753"/>
    <tableColumn id="5" xr3:uid="{00000000-0010-0000-0800-000005000000}" name="4" totalsRowFunction="count" dataDxfId="1752" totalsRowDxfId="1751"/>
    <tableColumn id="6" xr3:uid="{00000000-0010-0000-0800-000006000000}" name="5" totalsRowFunction="count" dataDxfId="1750" totalsRowDxfId="1749" dataCellStyle="40% - アクセント 2"/>
    <tableColumn id="7" xr3:uid="{00000000-0010-0000-0800-000007000000}" name="6" totalsRowFunction="count" dataDxfId="1748" totalsRowDxfId="1747"/>
    <tableColumn id="8" xr3:uid="{00000000-0010-0000-0800-000008000000}" name="7" totalsRowFunction="count" dataDxfId="1746" totalsRowDxfId="1745"/>
    <tableColumn id="9" xr3:uid="{00000000-0010-0000-0800-000009000000}" name="8" totalsRowFunction="count" dataDxfId="1744" totalsRowDxfId="1743"/>
    <tableColumn id="10" xr3:uid="{00000000-0010-0000-0800-00000A000000}" name="9" totalsRowFunction="count" dataDxfId="1742" totalsRowDxfId="1741"/>
    <tableColumn id="11" xr3:uid="{00000000-0010-0000-0800-00000B000000}" name="10" totalsRowFunction="count" dataDxfId="1740" totalsRowDxfId="1739"/>
    <tableColumn id="12" xr3:uid="{00000000-0010-0000-0800-00000C000000}" name="11" totalsRowFunction="count" dataDxfId="1738" totalsRowDxfId="1737"/>
    <tableColumn id="13" xr3:uid="{00000000-0010-0000-0800-00000D000000}" name="12" totalsRowFunction="count" dataDxfId="1736" totalsRowDxfId="1735"/>
    <tableColumn id="14" xr3:uid="{00000000-0010-0000-0800-00000E000000}" name="13" totalsRowFunction="count" dataDxfId="1734" totalsRowDxfId="1733"/>
    <tableColumn id="15" xr3:uid="{00000000-0010-0000-0800-00000F000000}" name="14" totalsRowFunction="count" dataDxfId="1732" totalsRowDxfId="1731"/>
    <tableColumn id="16" xr3:uid="{00000000-0010-0000-0800-000010000000}" name="15" totalsRowFunction="count" dataDxfId="1730" totalsRowDxfId="1729"/>
    <tableColumn id="17" xr3:uid="{00000000-0010-0000-0800-000011000000}" name="16" totalsRowFunction="count" dataDxfId="1728" totalsRowDxfId="1727"/>
    <tableColumn id="18" xr3:uid="{00000000-0010-0000-0800-000012000000}" name="17" totalsRowFunction="count" dataDxfId="1726" totalsRowDxfId="1725"/>
    <tableColumn id="19" xr3:uid="{00000000-0010-0000-0800-000013000000}" name="18" totalsRowFunction="count" dataDxfId="1724" totalsRowDxfId="1723"/>
    <tableColumn id="20" xr3:uid="{00000000-0010-0000-0800-000014000000}" name="19" totalsRowFunction="count" dataDxfId="1722" totalsRowDxfId="1721"/>
    <tableColumn id="21" xr3:uid="{00000000-0010-0000-0800-000015000000}" name="20" totalsRowFunction="count" dataDxfId="1720" totalsRowDxfId="1719"/>
    <tableColumn id="22" xr3:uid="{00000000-0010-0000-0800-000016000000}" name="21" totalsRowFunction="count" dataDxfId="1718" totalsRowDxfId="1717"/>
    <tableColumn id="23" xr3:uid="{00000000-0010-0000-0800-000017000000}" name="22" totalsRowFunction="count" dataDxfId="1716" totalsRowDxfId="1715"/>
    <tableColumn id="24" xr3:uid="{00000000-0010-0000-0800-000018000000}" name="23" totalsRowFunction="count" dataDxfId="1714" totalsRowDxfId="1713"/>
    <tableColumn id="25" xr3:uid="{00000000-0010-0000-0800-000019000000}" name="24" totalsRowFunction="count" dataDxfId="1712" totalsRowDxfId="1711"/>
    <tableColumn id="26" xr3:uid="{00000000-0010-0000-0800-00001A000000}" name="25" totalsRowFunction="count" dataDxfId="1710" totalsRowDxfId="1709"/>
    <tableColumn id="27" xr3:uid="{00000000-0010-0000-0800-00001B000000}" name="26" totalsRowFunction="count" dataDxfId="1708" totalsRowDxfId="1707"/>
    <tableColumn id="28" xr3:uid="{00000000-0010-0000-0800-00001C000000}" name="27" totalsRowFunction="count" dataDxfId="1706" totalsRowDxfId="1705"/>
    <tableColumn id="29" xr3:uid="{00000000-0010-0000-0800-00001D000000}" name="28" totalsRowFunction="count" dataDxfId="1704" totalsRowDxfId="1703"/>
    <tableColumn id="30" xr3:uid="{00000000-0010-0000-0800-00001E000000}" name="29" totalsRowFunction="count" dataDxfId="1702" totalsRowDxfId="1701"/>
    <tableColumn id="31" xr3:uid="{00000000-0010-0000-0800-00001F000000}" name="30" totalsRowFunction="sum" dataDxfId="1700" totalsRowDxfId="1699"/>
    <tableColumn id="32" xr3:uid="{00000000-0010-0000-0800-000020000000}" name=" " totalsRowFunction="sum" dataDxfId="1698" totalsRowDxfId="1697"/>
    <tableColumn id="33" xr3:uid="{00000000-0010-0000-0800-000021000000}" name="合計日数" totalsRowFunction="sum" dataDxfId="1696" totalsRowDxfId="1695">
      <calculatedColumnFormula>COUNTA(月9[[#This Row],[1]:[ ]])</calculatedColumnFormula>
    </tableColumn>
  </tableColumns>
  <tableStyleInfo name="従業員の欠勤テーブル" showFirstColumn="1" showLastColumn="1" showRowStripes="1" showColumnStripes="0"/>
  <extLst>
    <ext xmlns:x14="http://schemas.microsoft.com/office/spreadsheetml/2009/9/main" uri="{504A1905-F514-4f6f-8877-14C23A59335A}">
      <x14:table altTextSummary="従業員の名前と欠勤の日付を指定します。行 12 に欠勤の種類をキー別に記録します。 V = 休暇、S = 病欠、P = 私用のほか、カスタム エントリ用の 2 つのプレースホルダーがあります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9000000}" name="月10" displayName="月10" ref="B8:AH30" totalsRowCount="1" headerRowDxfId="1694" dataDxfId="1693" totalsRowDxfId="1692">
  <tableColumns count="33">
    <tableColumn id="1" xr3:uid="{00000000-0010-0000-0900-000001000000}" name="従業員名" totalsRowFunction="custom" dataDxfId="1691" totalsRowDxfId="1690" dataCellStyle="従業員">
      <totalsRowFormula>MonthName&amp;"集計"</totalsRowFormula>
    </tableColumn>
    <tableColumn id="2" xr3:uid="{00000000-0010-0000-0900-000002000000}" name="1" totalsRowFunction="count" dataDxfId="1689" totalsRowDxfId="1688"/>
    <tableColumn id="3" xr3:uid="{00000000-0010-0000-0900-000003000000}" name="2" totalsRowFunction="count" dataDxfId="1687" totalsRowDxfId="1686"/>
    <tableColumn id="4" xr3:uid="{00000000-0010-0000-0900-000004000000}" name="3" totalsRowFunction="count" dataDxfId="1685" totalsRowDxfId="1684"/>
    <tableColumn id="5" xr3:uid="{00000000-0010-0000-0900-000005000000}" name="4" totalsRowFunction="count" dataDxfId="1683" totalsRowDxfId="1682"/>
    <tableColumn id="6" xr3:uid="{00000000-0010-0000-0900-000006000000}" name="5" totalsRowFunction="count" dataDxfId="1681" totalsRowDxfId="1680"/>
    <tableColumn id="7" xr3:uid="{00000000-0010-0000-0900-000007000000}" name="6" totalsRowFunction="count" dataDxfId="1679" totalsRowDxfId="1678"/>
    <tableColumn id="8" xr3:uid="{00000000-0010-0000-0900-000008000000}" name="7" totalsRowFunction="count" dataDxfId="1677" totalsRowDxfId="1676"/>
    <tableColumn id="9" xr3:uid="{00000000-0010-0000-0900-000009000000}" name="8" totalsRowFunction="count" dataDxfId="1675" totalsRowDxfId="1674"/>
    <tableColumn id="10" xr3:uid="{00000000-0010-0000-0900-00000A000000}" name="9" totalsRowFunction="count" dataDxfId="1673" totalsRowDxfId="1672"/>
    <tableColumn id="11" xr3:uid="{00000000-0010-0000-0900-00000B000000}" name="10" totalsRowFunction="count" dataDxfId="1671" totalsRowDxfId="1670"/>
    <tableColumn id="12" xr3:uid="{00000000-0010-0000-0900-00000C000000}" name="11" totalsRowFunction="count" dataDxfId="1669" totalsRowDxfId="1668"/>
    <tableColumn id="13" xr3:uid="{00000000-0010-0000-0900-00000D000000}" name="12" totalsRowFunction="count" dataDxfId="1667" totalsRowDxfId="1666"/>
    <tableColumn id="14" xr3:uid="{00000000-0010-0000-0900-00000E000000}" name="13" totalsRowFunction="count" dataDxfId="1665" totalsRowDxfId="1664"/>
    <tableColumn id="15" xr3:uid="{00000000-0010-0000-0900-00000F000000}" name="14" totalsRowFunction="count" dataDxfId="1663" totalsRowDxfId="1662"/>
    <tableColumn id="16" xr3:uid="{00000000-0010-0000-0900-000010000000}" name="15" totalsRowFunction="count" dataDxfId="1661" totalsRowDxfId="1660"/>
    <tableColumn id="17" xr3:uid="{00000000-0010-0000-0900-000011000000}" name="16" totalsRowFunction="count" dataDxfId="1659" totalsRowDxfId="1658"/>
    <tableColumn id="18" xr3:uid="{00000000-0010-0000-0900-000012000000}" name="17" totalsRowFunction="count" dataDxfId="1657" totalsRowDxfId="1656"/>
    <tableColumn id="19" xr3:uid="{00000000-0010-0000-0900-000013000000}" name="18" totalsRowFunction="count" dataDxfId="1655" totalsRowDxfId="1654"/>
    <tableColumn id="20" xr3:uid="{00000000-0010-0000-0900-000014000000}" name="19" totalsRowFunction="count" dataDxfId="1653" totalsRowDxfId="1652"/>
    <tableColumn id="21" xr3:uid="{00000000-0010-0000-0900-000015000000}" name="20" totalsRowFunction="count" dataDxfId="1651" totalsRowDxfId="1650"/>
    <tableColumn id="22" xr3:uid="{00000000-0010-0000-0900-000016000000}" name="21" totalsRowFunction="count" dataDxfId="1649" totalsRowDxfId="1648"/>
    <tableColumn id="23" xr3:uid="{00000000-0010-0000-0900-000017000000}" name="22" totalsRowFunction="count" dataDxfId="1647" totalsRowDxfId="1646"/>
    <tableColumn id="24" xr3:uid="{00000000-0010-0000-0900-000018000000}" name="23" totalsRowFunction="count" dataDxfId="1645" totalsRowDxfId="1644"/>
    <tableColumn id="25" xr3:uid="{00000000-0010-0000-0900-000019000000}" name="24" totalsRowFunction="count" dataDxfId="1643" totalsRowDxfId="1642"/>
    <tableColumn id="26" xr3:uid="{00000000-0010-0000-0900-00001A000000}" name="25" totalsRowFunction="count" dataDxfId="1641" totalsRowDxfId="1640"/>
    <tableColumn id="27" xr3:uid="{00000000-0010-0000-0900-00001B000000}" name="26" totalsRowFunction="count" dataDxfId="1639" totalsRowDxfId="1638"/>
    <tableColumn id="28" xr3:uid="{00000000-0010-0000-0900-00001C000000}" name="27" totalsRowFunction="count" dataDxfId="1637" totalsRowDxfId="1636"/>
    <tableColumn id="29" xr3:uid="{00000000-0010-0000-0900-00001D000000}" name="28" totalsRowFunction="count" dataDxfId="1635" totalsRowDxfId="1634"/>
    <tableColumn id="30" xr3:uid="{00000000-0010-0000-0900-00001E000000}" name="29" totalsRowFunction="count" dataDxfId="1633" totalsRowDxfId="1632"/>
    <tableColumn id="31" xr3:uid="{00000000-0010-0000-0900-00001F000000}" name="30" totalsRowFunction="sum" dataDxfId="1631" totalsRowDxfId="1630"/>
    <tableColumn id="32" xr3:uid="{00000000-0010-0000-0900-000020000000}" name="31" totalsRowFunction="sum" dataDxfId="1629" totalsRowDxfId="1628"/>
    <tableColumn id="33" xr3:uid="{00000000-0010-0000-0900-000021000000}" name="合計日数" totalsRowFunction="sum" dataDxfId="1627" totalsRowDxfId="1626">
      <calculatedColumnFormula>COUNTA(月10[[#This Row],[1]:[31]])</calculatedColumnFormula>
    </tableColumn>
  </tableColumns>
  <tableStyleInfo name="従業員の欠勤テーブル" showFirstColumn="1" showLastColumn="1" showRowStripes="1" showColumnStripes="0"/>
  <extLst>
    <ext xmlns:x14="http://schemas.microsoft.com/office/spreadsheetml/2009/9/main" uri="{504A1905-F514-4f6f-8877-14C23A59335A}">
      <x14:table altTextSummary="従業員の名前と欠勤の日付を指定します。行 12 に欠勤の種類をキー別に記録します。 V = 休暇、S = 病欠、P = 私用のほか、カスタム エントリ用の 2 つのプレースホルダーがあります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A000000}" name="月11" displayName="月11" ref="B8:AH53" totalsRowCount="1" headerRowDxfId="1625" dataDxfId="1624" totalsRowDxfId="1623">
  <tableColumns count="33">
    <tableColumn id="1" xr3:uid="{00000000-0010-0000-0A00-000001000000}" name="従業員名" totalsRowFunction="custom" dataDxfId="1622" totalsRowDxfId="1621" dataCellStyle="従業員">
      <totalsRowFormula>MonthName&amp;"集計"</totalsRowFormula>
    </tableColumn>
    <tableColumn id="2" xr3:uid="{00000000-0010-0000-0A00-000002000000}" name="1" totalsRowFunction="count" dataDxfId="1620" totalsRowDxfId="1619"/>
    <tableColumn id="3" xr3:uid="{00000000-0010-0000-0A00-000003000000}" name="2" totalsRowFunction="count" dataDxfId="1618" totalsRowDxfId="1617"/>
    <tableColumn id="4" xr3:uid="{00000000-0010-0000-0A00-000004000000}" name="3" totalsRowFunction="count" dataDxfId="1616" totalsRowDxfId="1615"/>
    <tableColumn id="5" xr3:uid="{00000000-0010-0000-0A00-000005000000}" name="4" totalsRowFunction="count" dataDxfId="1614" totalsRowDxfId="1613"/>
    <tableColumn id="6" xr3:uid="{00000000-0010-0000-0A00-000006000000}" name="5" totalsRowFunction="count" dataDxfId="1612" totalsRowDxfId="1611"/>
    <tableColumn id="7" xr3:uid="{00000000-0010-0000-0A00-000007000000}" name="6" totalsRowFunction="count" dataDxfId="1610" totalsRowDxfId="1609"/>
    <tableColumn id="8" xr3:uid="{00000000-0010-0000-0A00-000008000000}" name="7" totalsRowFunction="count" dataDxfId="1608" totalsRowDxfId="1607"/>
    <tableColumn id="9" xr3:uid="{00000000-0010-0000-0A00-000009000000}" name="8" totalsRowFunction="count" dataDxfId="1606" totalsRowDxfId="1605"/>
    <tableColumn id="10" xr3:uid="{00000000-0010-0000-0A00-00000A000000}" name="9" totalsRowFunction="count" dataDxfId="1604" totalsRowDxfId="1603"/>
    <tableColumn id="11" xr3:uid="{00000000-0010-0000-0A00-00000B000000}" name="10" totalsRowFunction="count" dataDxfId="1602" totalsRowDxfId="1601"/>
    <tableColumn id="12" xr3:uid="{00000000-0010-0000-0A00-00000C000000}" name="11" totalsRowFunction="count" dataDxfId="1600" totalsRowDxfId="1599"/>
    <tableColumn id="13" xr3:uid="{00000000-0010-0000-0A00-00000D000000}" name="12" totalsRowFunction="count" dataDxfId="1598" totalsRowDxfId="1597"/>
    <tableColumn id="14" xr3:uid="{00000000-0010-0000-0A00-00000E000000}" name="13" totalsRowFunction="count" dataDxfId="1596" totalsRowDxfId="1595"/>
    <tableColumn id="15" xr3:uid="{00000000-0010-0000-0A00-00000F000000}" name="14" totalsRowFunction="count" dataDxfId="1594" totalsRowDxfId="1593"/>
    <tableColumn id="16" xr3:uid="{00000000-0010-0000-0A00-000010000000}" name="15" totalsRowFunction="count" dataDxfId="1592" totalsRowDxfId="1591"/>
    <tableColumn id="17" xr3:uid="{00000000-0010-0000-0A00-000011000000}" name="16" totalsRowFunction="count" dataDxfId="1590" totalsRowDxfId="1589"/>
    <tableColumn id="18" xr3:uid="{00000000-0010-0000-0A00-000012000000}" name="17" totalsRowFunction="count" dataDxfId="1588" totalsRowDxfId="1587"/>
    <tableColumn id="19" xr3:uid="{00000000-0010-0000-0A00-000013000000}" name="18" totalsRowFunction="count" dataDxfId="1586" totalsRowDxfId="1585"/>
    <tableColumn id="20" xr3:uid="{00000000-0010-0000-0A00-000014000000}" name="19" totalsRowFunction="count" dataDxfId="1584" totalsRowDxfId="1583"/>
    <tableColumn id="21" xr3:uid="{00000000-0010-0000-0A00-000015000000}" name="20" totalsRowFunction="count" dataDxfId="1582" totalsRowDxfId="1581"/>
    <tableColumn id="22" xr3:uid="{00000000-0010-0000-0A00-000016000000}" name="21" totalsRowFunction="count" dataDxfId="1580" totalsRowDxfId="1579"/>
    <tableColumn id="23" xr3:uid="{00000000-0010-0000-0A00-000017000000}" name="22" totalsRowFunction="count" dataDxfId="1578" totalsRowDxfId="1577"/>
    <tableColumn id="24" xr3:uid="{00000000-0010-0000-0A00-000018000000}" name="23" totalsRowFunction="count" dataDxfId="1576" totalsRowDxfId="1575"/>
    <tableColumn id="25" xr3:uid="{00000000-0010-0000-0A00-000019000000}" name="24" totalsRowFunction="count" dataDxfId="1574" totalsRowDxfId="1573"/>
    <tableColumn id="26" xr3:uid="{00000000-0010-0000-0A00-00001A000000}" name="25" totalsRowFunction="count" dataDxfId="1572" totalsRowDxfId="1571"/>
    <tableColumn id="27" xr3:uid="{00000000-0010-0000-0A00-00001B000000}" name="26" totalsRowFunction="count" dataDxfId="1570" totalsRowDxfId="1569"/>
    <tableColumn id="28" xr3:uid="{00000000-0010-0000-0A00-00001C000000}" name="27" totalsRowFunction="count" dataDxfId="1568" totalsRowDxfId="1567"/>
    <tableColumn id="29" xr3:uid="{00000000-0010-0000-0A00-00001D000000}" name="28" totalsRowFunction="count" dataDxfId="1566" totalsRowDxfId="1565"/>
    <tableColumn id="30" xr3:uid="{00000000-0010-0000-0A00-00001E000000}" name="29" totalsRowFunction="count" dataDxfId="1564" totalsRowDxfId="1563"/>
    <tableColumn id="31" xr3:uid="{00000000-0010-0000-0A00-00001F000000}" name="30" totalsRowFunction="sum" dataDxfId="1562" totalsRowDxfId="1561"/>
    <tableColumn id="32" xr3:uid="{00000000-0010-0000-0A00-000020000000}" name=" " totalsRowFunction="sum" dataDxfId="1560" totalsRowDxfId="1559"/>
    <tableColumn id="33" xr3:uid="{00000000-0010-0000-0A00-000021000000}" name="合計日数" totalsRowFunction="sum" dataDxfId="1558" totalsRowDxfId="1557">
      <calculatedColumnFormula>COUNTA(月11[[#This Row],[1]:[ ]])</calculatedColumnFormula>
    </tableColumn>
  </tableColumns>
  <tableStyleInfo name="従業員の欠勤テーブル" showFirstColumn="1" showLastColumn="1" showRowStripes="1" showColumnStripes="0"/>
  <extLst>
    <ext xmlns:x14="http://schemas.microsoft.com/office/spreadsheetml/2009/9/main" uri="{504A1905-F514-4f6f-8877-14C23A59335A}">
      <x14:table altTextSummary="従業員の名前と欠勤の日付を指定します。行 12 に欠勤の種類をキー別に記録します。 V = 休暇、S = 病欠、P = 私用のほか、カスタム エントリ用の 2 つのプレースホルダーがあります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月12" displayName="月12" ref="B8:AH53" totalsRowCount="1" headerRowDxfId="1556" dataDxfId="1555" totalsRowDxfId="1554">
  <tableColumns count="33">
    <tableColumn id="1" xr3:uid="{00000000-0010-0000-0B00-000001000000}" name="従業員名" totalsRowFunction="custom" dataDxfId="1553" totalsRowDxfId="1552" dataCellStyle="従業員">
      <totalsRowFormula>MonthName&amp;"集計"</totalsRowFormula>
    </tableColumn>
    <tableColumn id="2" xr3:uid="{00000000-0010-0000-0B00-000002000000}" name="1" totalsRowFunction="count" dataDxfId="1551" totalsRowDxfId="1550"/>
    <tableColumn id="3" xr3:uid="{00000000-0010-0000-0B00-000003000000}" name="2" totalsRowFunction="count" dataDxfId="1549" totalsRowDxfId="1548"/>
    <tableColumn id="4" xr3:uid="{00000000-0010-0000-0B00-000004000000}" name="3" totalsRowFunction="count" dataDxfId="1547" totalsRowDxfId="1546"/>
    <tableColumn id="5" xr3:uid="{00000000-0010-0000-0B00-000005000000}" name="4" totalsRowFunction="count" dataDxfId="1545" totalsRowDxfId="1544"/>
    <tableColumn id="6" xr3:uid="{00000000-0010-0000-0B00-000006000000}" name="5" totalsRowFunction="count" dataDxfId="1543" totalsRowDxfId="1542"/>
    <tableColumn id="7" xr3:uid="{00000000-0010-0000-0B00-000007000000}" name="6" totalsRowFunction="count" dataDxfId="1541" totalsRowDxfId="1540"/>
    <tableColumn id="8" xr3:uid="{00000000-0010-0000-0B00-000008000000}" name="7" totalsRowFunction="count" dataDxfId="1539" totalsRowDxfId="1538"/>
    <tableColumn id="9" xr3:uid="{00000000-0010-0000-0B00-000009000000}" name="8" totalsRowFunction="count" dataDxfId="1537" totalsRowDxfId="1536"/>
    <tableColumn id="10" xr3:uid="{00000000-0010-0000-0B00-00000A000000}" name="9" totalsRowFunction="count" dataDxfId="1535" totalsRowDxfId="1534"/>
    <tableColumn id="11" xr3:uid="{00000000-0010-0000-0B00-00000B000000}" name="10" totalsRowFunction="count" dataDxfId="1533" totalsRowDxfId="1532"/>
    <tableColumn id="12" xr3:uid="{00000000-0010-0000-0B00-00000C000000}" name="11" totalsRowFunction="count" dataDxfId="1531" totalsRowDxfId="1530"/>
    <tableColumn id="13" xr3:uid="{00000000-0010-0000-0B00-00000D000000}" name="12" totalsRowFunction="count" dataDxfId="1529" totalsRowDxfId="1528"/>
    <tableColumn id="14" xr3:uid="{00000000-0010-0000-0B00-00000E000000}" name="13" totalsRowFunction="count" dataDxfId="1527" totalsRowDxfId="1526"/>
    <tableColumn id="15" xr3:uid="{00000000-0010-0000-0B00-00000F000000}" name="14" totalsRowFunction="count" dataDxfId="1525" totalsRowDxfId="1524"/>
    <tableColumn id="16" xr3:uid="{00000000-0010-0000-0B00-000010000000}" name="15" totalsRowFunction="count" dataDxfId="1523" totalsRowDxfId="1522"/>
    <tableColumn id="17" xr3:uid="{00000000-0010-0000-0B00-000011000000}" name="16" totalsRowFunction="count" dataDxfId="1521" totalsRowDxfId="1520"/>
    <tableColumn id="18" xr3:uid="{00000000-0010-0000-0B00-000012000000}" name="17" totalsRowFunction="count" dataDxfId="1519" totalsRowDxfId="1518"/>
    <tableColumn id="19" xr3:uid="{00000000-0010-0000-0B00-000013000000}" name="18" totalsRowFunction="count" dataDxfId="1517" totalsRowDxfId="1516"/>
    <tableColumn id="20" xr3:uid="{00000000-0010-0000-0B00-000014000000}" name="19" totalsRowFunction="count" dataDxfId="1515" totalsRowDxfId="1514"/>
    <tableColumn id="21" xr3:uid="{00000000-0010-0000-0B00-000015000000}" name="20" totalsRowFunction="count" dataDxfId="1513" totalsRowDxfId="1512"/>
    <tableColumn id="22" xr3:uid="{00000000-0010-0000-0B00-000016000000}" name="21" totalsRowFunction="count" dataDxfId="1511" totalsRowDxfId="1510"/>
    <tableColumn id="23" xr3:uid="{00000000-0010-0000-0B00-000017000000}" name="22" totalsRowFunction="count" dataDxfId="1509" totalsRowDxfId="1508"/>
    <tableColumn id="24" xr3:uid="{00000000-0010-0000-0B00-000018000000}" name="23" totalsRowFunction="count" dataDxfId="1507" totalsRowDxfId="1506"/>
    <tableColumn id="25" xr3:uid="{00000000-0010-0000-0B00-000019000000}" name="24" totalsRowFunction="count" dataDxfId="1505" totalsRowDxfId="1504"/>
    <tableColumn id="26" xr3:uid="{00000000-0010-0000-0B00-00001A000000}" name="25" totalsRowFunction="count" dataDxfId="1503" totalsRowDxfId="1502"/>
    <tableColumn id="27" xr3:uid="{00000000-0010-0000-0B00-00001B000000}" name="26" totalsRowFunction="count" dataDxfId="1501" totalsRowDxfId="1500"/>
    <tableColumn id="28" xr3:uid="{00000000-0010-0000-0B00-00001C000000}" name="27" totalsRowFunction="count" dataDxfId="1499" totalsRowDxfId="1498"/>
    <tableColumn id="29" xr3:uid="{00000000-0010-0000-0B00-00001D000000}" name="28" totalsRowFunction="count" dataDxfId="1497" totalsRowDxfId="1496"/>
    <tableColumn id="30" xr3:uid="{00000000-0010-0000-0B00-00001E000000}" name="29" totalsRowFunction="count" dataDxfId="1495" totalsRowDxfId="1494"/>
    <tableColumn id="31" xr3:uid="{00000000-0010-0000-0B00-00001F000000}" name="30" totalsRowFunction="sum" dataDxfId="1493" totalsRowDxfId="1492"/>
    <tableColumn id="32" xr3:uid="{00000000-0010-0000-0B00-000020000000}" name="31" totalsRowFunction="sum" dataDxfId="1491" totalsRowDxfId="1490"/>
    <tableColumn id="33" xr3:uid="{00000000-0010-0000-0B00-000021000000}" name="合計日数" totalsRowFunction="sum" dataDxfId="1489" totalsRowDxfId="1488" dataCellStyle="集計">
      <calculatedColumnFormula>COUNTA($C9:$AG9)</calculatedColumnFormula>
    </tableColumn>
  </tableColumns>
  <tableStyleInfo name="従業員の欠勤テーブル" showFirstColumn="1" showLastColumn="1" showRowStripes="1" showColumnStripes="0"/>
  <extLst>
    <ext xmlns:x14="http://schemas.microsoft.com/office/spreadsheetml/2009/9/main" uri="{504A1905-F514-4f6f-8877-14C23A59335A}">
      <x14:table altTextSummary="従業員の欠勤を記録するための名前のリストとカレンダー日付、具体的な欠勤の種類 (例: V=休暇、S=病欠、P=私用、カスタム エントリ用プレースホルダー 2 個) が用意されています"/>
    </ext>
  </extLst>
</table>
</file>

<file path=xl/theme/theme1.xml><?xml version="1.0" encoding="utf-8"?>
<a:theme xmlns:a="http://schemas.openxmlformats.org/drawingml/2006/main" name="Office Theme">
  <a:themeElements>
    <a:clrScheme name="TM03987167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F452F"/>
      </a:accent1>
      <a:accent2>
        <a:srgbClr val="709A97"/>
      </a:accent2>
      <a:accent3>
        <a:srgbClr val="1B417C"/>
      </a:accent3>
      <a:accent4>
        <a:srgbClr val="D8A141"/>
      </a:accent4>
      <a:accent5>
        <a:srgbClr val="CAAFF3"/>
      </a:accent5>
      <a:accent6>
        <a:srgbClr val="EF5C37"/>
      </a:accent6>
      <a:hlink>
        <a:srgbClr val="0563C1"/>
      </a:hlink>
      <a:folHlink>
        <a:srgbClr val="954F72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 tint="0.499984740745262"/>
  </sheetPr>
  <dimension ref="B1:AH30"/>
  <sheetViews>
    <sheetView showGridLines="0" zoomScaleNormal="100" workbookViewId="0">
      <selection activeCell="AH7" sqref="AH7"/>
    </sheetView>
  </sheetViews>
  <sheetFormatPr defaultColWidth="8.77734375" defaultRowHeight="30" customHeight="1" x14ac:dyDescent="0.25"/>
  <cols>
    <col min="1" max="1" width="2.88671875" customWidth="1"/>
    <col min="2" max="2" width="25.77734375" customWidth="1"/>
    <col min="3" max="33" width="4.77734375" customWidth="1"/>
    <col min="34" max="34" width="13.44140625" customWidth="1"/>
    <col min="35" max="35" width="2.88671875" customWidth="1"/>
  </cols>
  <sheetData>
    <row r="1" spans="2:34" ht="26.45" customHeight="1" x14ac:dyDescent="0.35">
      <c r="B1" s="2" t="s">
        <v>0</v>
      </c>
    </row>
    <row r="2" spans="2:34" ht="48.6" customHeight="1" x14ac:dyDescent="0.25">
      <c r="B2" s="28" t="s">
        <v>1</v>
      </c>
    </row>
    <row r="3" spans="2:34" ht="8.4499999999999993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2:34" ht="30" customHeight="1" x14ac:dyDescent="0.25">
      <c r="B4" s="8" t="s">
        <v>2</v>
      </c>
      <c r="C4" s="9" t="s">
        <v>3</v>
      </c>
      <c r="D4" s="37" t="s">
        <v>4</v>
      </c>
      <c r="E4" s="37"/>
      <c r="F4" s="37"/>
      <c r="G4" s="10" t="s">
        <v>5</v>
      </c>
      <c r="H4" s="37" t="s">
        <v>6</v>
      </c>
      <c r="I4" s="37"/>
      <c r="J4" s="37"/>
      <c r="K4" s="11"/>
      <c r="L4" s="37"/>
      <c r="M4" s="37"/>
      <c r="N4" s="12"/>
      <c r="O4" s="37" t="s">
        <v>7</v>
      </c>
      <c r="P4" s="37"/>
      <c r="Q4" s="37"/>
      <c r="R4" s="13"/>
      <c r="S4" s="37" t="s">
        <v>8</v>
      </c>
      <c r="T4" s="37"/>
      <c r="U4" s="37"/>
    </row>
    <row r="5" spans="2:34" ht="8.4499999999999993" customHeight="1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2:34" ht="15" customHeight="1" x14ac:dyDescent="0.25">
      <c r="B6" s="1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15">
        <v>2024</v>
      </c>
    </row>
    <row r="7" spans="2:34" ht="30" customHeight="1" x14ac:dyDescent="0.25">
      <c r="B7" s="15"/>
      <c r="C7" s="16" t="str">
        <f>TEXT(WEEKDAY(DATE($AH$6,4,1),1),"aaa")</f>
        <v>月</v>
      </c>
      <c r="D7" s="16" t="str">
        <f>TEXT(WEEKDAY(DATE($AH$6,4,2),1),"aaa")</f>
        <v>火</v>
      </c>
      <c r="E7" s="16" t="str">
        <f>TEXT(WEEKDAY(DATE($AH$6,4,3),1),"aaa")</f>
        <v>水</v>
      </c>
      <c r="F7" s="16" t="str">
        <f>TEXT(WEEKDAY(DATE($AH$6,4,4),1),"aaa")</f>
        <v>木</v>
      </c>
      <c r="G7" s="16" t="str">
        <f>TEXT(WEEKDAY(DATE($AH$6,4,5),1),"aaa")</f>
        <v>金</v>
      </c>
      <c r="H7" s="16" t="str">
        <f>TEXT(WEEKDAY(DATE($AH$6,4,6),1),"aaa")</f>
        <v>土</v>
      </c>
      <c r="I7" s="16" t="str">
        <f>TEXT(WEEKDAY(DATE($AH$6,4,7),1),"aaa")</f>
        <v>日</v>
      </c>
      <c r="J7" s="16" t="str">
        <f>TEXT(WEEKDAY(DATE($AH$6,4,8),1),"aaa")</f>
        <v>月</v>
      </c>
      <c r="K7" s="16" t="str">
        <f>TEXT(WEEKDAY(DATE($AH$6,4,9),1),"aaa")</f>
        <v>火</v>
      </c>
      <c r="L7" s="16" t="str">
        <f>TEXT(WEEKDAY(DATE($AH$6,4,10),1),"aaa")</f>
        <v>水</v>
      </c>
      <c r="M7" s="16" t="str">
        <f>TEXT(WEEKDAY(DATE($AH$6,4,11),1),"aaa")</f>
        <v>木</v>
      </c>
      <c r="N7" s="16" t="str">
        <f>TEXT(WEEKDAY(DATE($AH$6,4,12),1),"aaa")</f>
        <v>金</v>
      </c>
      <c r="O7" s="16" t="str">
        <f>TEXT(WEEKDAY(DATE($AH$6,4,13),1),"aaa")</f>
        <v>土</v>
      </c>
      <c r="P7" s="16" t="str">
        <f>TEXT(WEEKDAY(DATE($AH$6,4,14),1),"aaa")</f>
        <v>日</v>
      </c>
      <c r="Q7" s="16" t="str">
        <f>TEXT(WEEKDAY(DATE($AH$6,4,15),1),"aaa")</f>
        <v>月</v>
      </c>
      <c r="R7" s="16" t="str">
        <f>TEXT(WEEKDAY(DATE($AH$6,4,16),1),"aaa")</f>
        <v>火</v>
      </c>
      <c r="S7" s="16" t="str">
        <f>TEXT(WEEKDAY(DATE($AH$6,4,17),1),"aaa")</f>
        <v>水</v>
      </c>
      <c r="T7" s="16" t="str">
        <f>TEXT(WEEKDAY(DATE($AH$6,4,18),1),"aaa")</f>
        <v>木</v>
      </c>
      <c r="U7" s="16" t="str">
        <f>TEXT(WEEKDAY(DATE($AH$6,4,19),1),"aaa")</f>
        <v>金</v>
      </c>
      <c r="V7" s="16" t="str">
        <f>TEXT(WEEKDAY(DATE($AH$6,4,20),1),"aaa")</f>
        <v>土</v>
      </c>
      <c r="W7" s="16" t="str">
        <f>TEXT(WEEKDAY(DATE($AH$6,4,21),1),"aaa")</f>
        <v>日</v>
      </c>
      <c r="X7" s="16" t="str">
        <f>TEXT(WEEKDAY(DATE($AH$6,4,22),1),"aaa")</f>
        <v>月</v>
      </c>
      <c r="Y7" s="16" t="str">
        <f>TEXT(WEEKDAY(DATE($AH$6,4,23),1),"aaa")</f>
        <v>火</v>
      </c>
      <c r="Z7" s="16" t="str">
        <f>TEXT(WEEKDAY(DATE($AH$6,4,24),1),"aaa")</f>
        <v>水</v>
      </c>
      <c r="AA7" s="16" t="str">
        <f>TEXT(WEEKDAY(DATE($AH$6,4,25),1),"aaa")</f>
        <v>木</v>
      </c>
      <c r="AB7" s="16" t="str">
        <f>TEXT(WEEKDAY(DATE($AH$6,4,26),1),"aaa")</f>
        <v>金</v>
      </c>
      <c r="AC7" s="16" t="str">
        <f>TEXT(WEEKDAY(DATE($AH$6,4,27),1),"aaa")</f>
        <v>土</v>
      </c>
      <c r="AD7" s="16" t="str">
        <f>TEXT(WEEKDAY(DATE($AH$6,4,28),1),"aaa")</f>
        <v>日</v>
      </c>
      <c r="AE7" s="16" t="str">
        <f>TEXT(WEEKDAY(DATE($AH$6,4,29),1),"aaa")</f>
        <v>月</v>
      </c>
      <c r="AF7" s="16" t="str">
        <f>TEXT(WEEKDAY(DATE($AH$6,4,30),1),"aaa")</f>
        <v>火</v>
      </c>
      <c r="AG7" s="16"/>
      <c r="AH7" s="15"/>
    </row>
    <row r="8" spans="2:34" ht="30" customHeight="1" x14ac:dyDescent="0.25">
      <c r="B8" s="17" t="s">
        <v>9</v>
      </c>
      <c r="C8" s="18" t="s">
        <v>10</v>
      </c>
      <c r="D8" s="18" t="s">
        <v>11</v>
      </c>
      <c r="E8" s="18" t="s">
        <v>12</v>
      </c>
      <c r="F8" s="18" t="s">
        <v>13</v>
      </c>
      <c r="G8" s="18" t="s">
        <v>14</v>
      </c>
      <c r="H8" s="18" t="s">
        <v>15</v>
      </c>
      <c r="I8" s="18" t="s">
        <v>16</v>
      </c>
      <c r="J8" s="18" t="s">
        <v>17</v>
      </c>
      <c r="K8" s="18" t="s">
        <v>18</v>
      </c>
      <c r="L8" s="18" t="s">
        <v>19</v>
      </c>
      <c r="M8" s="18" t="s">
        <v>20</v>
      </c>
      <c r="N8" s="18" t="s">
        <v>21</v>
      </c>
      <c r="O8" s="18" t="s">
        <v>22</v>
      </c>
      <c r="P8" s="18" t="s">
        <v>23</v>
      </c>
      <c r="Q8" s="18" t="s">
        <v>24</v>
      </c>
      <c r="R8" s="18" t="s">
        <v>25</v>
      </c>
      <c r="S8" s="18" t="s">
        <v>26</v>
      </c>
      <c r="T8" s="18" t="s">
        <v>27</v>
      </c>
      <c r="U8" s="18" t="s">
        <v>28</v>
      </c>
      <c r="V8" s="18" t="s">
        <v>29</v>
      </c>
      <c r="W8" s="18" t="s">
        <v>30</v>
      </c>
      <c r="X8" s="18" t="s">
        <v>31</v>
      </c>
      <c r="Y8" s="18" t="s">
        <v>32</v>
      </c>
      <c r="Z8" s="18" t="s">
        <v>33</v>
      </c>
      <c r="AA8" s="18" t="s">
        <v>34</v>
      </c>
      <c r="AB8" s="18" t="s">
        <v>35</v>
      </c>
      <c r="AC8" s="18" t="s">
        <v>36</v>
      </c>
      <c r="AD8" s="18" t="s">
        <v>37</v>
      </c>
      <c r="AE8" s="18" t="s">
        <v>38</v>
      </c>
      <c r="AF8" s="18" t="s">
        <v>39</v>
      </c>
      <c r="AG8" s="18" t="s">
        <v>40</v>
      </c>
      <c r="AH8" s="19" t="s">
        <v>41</v>
      </c>
    </row>
    <row r="9" spans="2:34" ht="30" customHeight="1" x14ac:dyDescent="0.25">
      <c r="B9" s="20" t="s">
        <v>42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27">
        <f>COUNTA('1月'!$C9:$AG9)</f>
        <v>17</v>
      </c>
    </row>
    <row r="10" spans="2:34" ht="30" customHeight="1" x14ac:dyDescent="0.25">
      <c r="B10" s="20" t="s">
        <v>43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27">
        <f>COUNTA('1月'!$C10:$AG10)</f>
        <v>17</v>
      </c>
    </row>
    <row r="11" spans="2:34" ht="30" customHeight="1" x14ac:dyDescent="0.25">
      <c r="B11" s="20" t="s">
        <v>44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27">
        <f>COUNTA('1月'!$C11:$AG11)</f>
        <v>17</v>
      </c>
    </row>
    <row r="12" spans="2:34" ht="30" customHeight="1" x14ac:dyDescent="0.25">
      <c r="B12" s="20" t="s">
        <v>45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27">
        <f>COUNTA('1月'!$C12:$AG12)</f>
        <v>17</v>
      </c>
    </row>
    <row r="13" spans="2:34" ht="30" customHeight="1" x14ac:dyDescent="0.25">
      <c r="B13" s="20" t="s">
        <v>46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27">
        <f>COUNTA('1月'!$C13:$AG13)</f>
        <v>17</v>
      </c>
    </row>
    <row r="14" spans="2:34" ht="30" customHeight="1" x14ac:dyDescent="0.25">
      <c r="B14" s="20" t="s">
        <v>47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27">
        <f>COUNTA('1月'!$C14:$AG14)</f>
        <v>17</v>
      </c>
    </row>
    <row r="15" spans="2:34" ht="30" customHeight="1" x14ac:dyDescent="0.25">
      <c r="B15" s="20" t="s">
        <v>48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27">
        <f>COUNTA('1月'!$C15:$AG15)</f>
        <v>17</v>
      </c>
    </row>
    <row r="16" spans="2:34" ht="30" customHeight="1" x14ac:dyDescent="0.25">
      <c r="B16" s="20" t="s">
        <v>49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27">
        <f>COUNTA('1月'!$C16:$AG16)</f>
        <v>17</v>
      </c>
    </row>
    <row r="17" spans="2:34" ht="30" customHeight="1" x14ac:dyDescent="0.25">
      <c r="B17" s="20" t="s">
        <v>50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27">
        <f>COUNTA('1月'!$C17:$AG17)</f>
        <v>17</v>
      </c>
    </row>
    <row r="18" spans="2:34" ht="30" customHeight="1" x14ac:dyDescent="0.25">
      <c r="B18" s="20" t="s">
        <v>51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27">
        <f>COUNTA('1月'!$C18:$AG18)</f>
        <v>17</v>
      </c>
    </row>
    <row r="19" spans="2:34" ht="30" customHeight="1" x14ac:dyDescent="0.25">
      <c r="B19" s="20" t="s">
        <v>52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7">
        <f>COUNTA('1月'!$C19:$AG19)</f>
        <v>17</v>
      </c>
    </row>
    <row r="20" spans="2:34" ht="30" customHeight="1" x14ac:dyDescent="0.25">
      <c r="B20" s="20" t="s">
        <v>53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7">
        <f>COUNTA('1月'!$C31:$AG31)</f>
        <v>17</v>
      </c>
    </row>
    <row r="21" spans="2:34" ht="30" customHeight="1" x14ac:dyDescent="0.25">
      <c r="B21" s="20" t="s">
        <v>54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7">
        <f>COUNTA('1月'!$C32:$AG32)</f>
        <v>17</v>
      </c>
    </row>
    <row r="22" spans="2:34" ht="30" customHeight="1" x14ac:dyDescent="0.25">
      <c r="B22" s="20" t="s">
        <v>55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7">
        <f>COUNTA('1月'!$C33:$AG33)</f>
        <v>17</v>
      </c>
    </row>
    <row r="23" spans="2:34" ht="30" customHeight="1" x14ac:dyDescent="0.25">
      <c r="B23" s="20" t="s">
        <v>56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7">
        <f>COUNTA('1月'!$C34:$AG34)</f>
        <v>17</v>
      </c>
    </row>
    <row r="24" spans="2:34" ht="30" customHeight="1" x14ac:dyDescent="0.25">
      <c r="B24" s="20" t="s">
        <v>57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7">
        <f>COUNTA('1月'!$C35:$AG35)</f>
        <v>17</v>
      </c>
    </row>
    <row r="25" spans="2:34" ht="30" customHeight="1" x14ac:dyDescent="0.25">
      <c r="B25" s="20" t="s">
        <v>58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7">
        <f>COUNTA('1月'!$C36:$AG36)</f>
        <v>17</v>
      </c>
    </row>
    <row r="26" spans="2:34" ht="30" customHeight="1" x14ac:dyDescent="0.25">
      <c r="B26" s="20" t="s">
        <v>59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27">
        <f>COUNTA('1月'!$C37:$AG37)</f>
        <v>17</v>
      </c>
    </row>
    <row r="27" spans="2:34" ht="30" customHeight="1" x14ac:dyDescent="0.25">
      <c r="B27" s="20" t="s">
        <v>60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7">
        <f>COUNTA('1月'!$C38:$AG38)</f>
        <v>17</v>
      </c>
    </row>
    <row r="28" spans="2:34" ht="30" customHeight="1" x14ac:dyDescent="0.25">
      <c r="B28" s="20" t="s">
        <v>61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27">
        <f>COUNTA('1月'!$C39:$AG39)</f>
        <v>17</v>
      </c>
    </row>
    <row r="29" spans="2:34" ht="30" customHeight="1" x14ac:dyDescent="0.25">
      <c r="B29" s="20" t="s">
        <v>62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7">
        <f>COUNTA('1月'!$C40:$AG40)</f>
        <v>17</v>
      </c>
    </row>
    <row r="30" spans="2:34" ht="30" customHeight="1" x14ac:dyDescent="0.25">
      <c r="B30" s="21" t="str">
        <f>MonthName&amp;"集計"</f>
        <v>4月集計</v>
      </c>
      <c r="C30" s="22">
        <f>SUBTOTAL(103,_3月_5[1])</f>
        <v>0</v>
      </c>
      <c r="D30" s="22">
        <f>SUBTOTAL(103,_3月_5[2])</f>
        <v>0</v>
      </c>
      <c r="E30" s="22">
        <f>SUBTOTAL(103,_3月_5[3])</f>
        <v>0</v>
      </c>
      <c r="F30" s="22">
        <f>SUBTOTAL(103,_3月_5[4])</f>
        <v>0</v>
      </c>
      <c r="G30" s="22">
        <f>SUBTOTAL(103,_3月_5[5])</f>
        <v>0</v>
      </c>
      <c r="H30" s="22">
        <f>SUBTOTAL(103,_3月_5[6])</f>
        <v>0</v>
      </c>
      <c r="I30" s="22">
        <f>SUBTOTAL(103,_3月_5[7])</f>
        <v>0</v>
      </c>
      <c r="J30" s="22">
        <f>SUBTOTAL(103,_3月_5[8])</f>
        <v>0</v>
      </c>
      <c r="K30" s="22">
        <f>SUBTOTAL(103,_3月_5[9])</f>
        <v>0</v>
      </c>
      <c r="L30" s="22">
        <f>SUBTOTAL(103,_3月_5[10])</f>
        <v>0</v>
      </c>
      <c r="M30" s="22">
        <f>SUBTOTAL(103,_3月_5[11])</f>
        <v>0</v>
      </c>
      <c r="N30" s="22">
        <f>SUBTOTAL(103,_3月_5[12])</f>
        <v>0</v>
      </c>
      <c r="O30" s="22">
        <f>SUBTOTAL(103,_3月_5[13])</f>
        <v>0</v>
      </c>
      <c r="P30" s="22">
        <f>SUBTOTAL(103,_3月_5[14])</f>
        <v>0</v>
      </c>
      <c r="Q30" s="22">
        <f>SUBTOTAL(103,_3月_5[15])</f>
        <v>0</v>
      </c>
      <c r="R30" s="22">
        <f>SUBTOTAL(103,_3月_5[16])</f>
        <v>0</v>
      </c>
      <c r="S30" s="22">
        <f>SUBTOTAL(103,_3月_5[17])</f>
        <v>0</v>
      </c>
      <c r="T30" s="22">
        <f>SUBTOTAL(103,_3月_5[18])</f>
        <v>0</v>
      </c>
      <c r="U30" s="22">
        <f>SUBTOTAL(103,_3月_5[19])</f>
        <v>0</v>
      </c>
      <c r="V30" s="22">
        <f>SUBTOTAL(103,_3月_5[20])</f>
        <v>0</v>
      </c>
      <c r="W30" s="22">
        <f>SUBTOTAL(103,_3月_5[21])</f>
        <v>0</v>
      </c>
      <c r="X30" s="22">
        <f>SUBTOTAL(103,_3月_5[22])</f>
        <v>0</v>
      </c>
      <c r="Y30" s="22">
        <f>SUBTOTAL(103,_3月_5[23])</f>
        <v>0</v>
      </c>
      <c r="Z30" s="22">
        <f>SUBTOTAL(103,_3月_5[24])</f>
        <v>0</v>
      </c>
      <c r="AA30" s="22">
        <f>SUBTOTAL(103,_3月_5[25])</f>
        <v>0</v>
      </c>
      <c r="AB30" s="22">
        <f>SUBTOTAL(103,_3月_5[26])</f>
        <v>0</v>
      </c>
      <c r="AC30" s="22">
        <f>SUBTOTAL(103,_3月_5[27])</f>
        <v>0</v>
      </c>
      <c r="AD30" s="22">
        <f>SUBTOTAL(103,_3月_5[28])</f>
        <v>0</v>
      </c>
      <c r="AE30" s="22">
        <f>SUBTOTAL(103,_3月_5[29])</f>
        <v>0</v>
      </c>
      <c r="AF30" s="22">
        <f>SUBTOTAL(109,_3月_5[30])</f>
        <v>0</v>
      </c>
      <c r="AG30" s="22">
        <f>SUBTOTAL(109,_3月_5[[ ]])</f>
        <v>0</v>
      </c>
      <c r="AH30" s="22">
        <f>SUBTOTAL(109,_3月_5[合計日数])</f>
        <v>357</v>
      </c>
    </row>
  </sheetData>
  <mergeCells count="6">
    <mergeCell ref="C6:AG6"/>
    <mergeCell ref="D4:F4"/>
    <mergeCell ref="H4:J4"/>
    <mergeCell ref="L4:M4"/>
    <mergeCell ref="O4:Q4"/>
    <mergeCell ref="S4:U4"/>
  </mergeCells>
  <phoneticPr fontId="4" type="noConversion"/>
  <conditionalFormatting sqref="C9:AG29">
    <cfRule type="expression" priority="1" stopIfTrue="1">
      <formula>C9=""</formula>
    </cfRule>
    <cfRule type="expression" dxfId="656" priority="2" stopIfTrue="1">
      <formula>C9=KeyCustom2</formula>
    </cfRule>
    <cfRule type="expression" dxfId="655" priority="3" stopIfTrue="1">
      <formula>C9=KeyCustom1</formula>
    </cfRule>
    <cfRule type="expression" dxfId="654" priority="4" stopIfTrue="1">
      <formula>C9=KeySick</formula>
    </cfRule>
    <cfRule type="expression" dxfId="653" priority="5" stopIfTrue="1">
      <formula>C9=KeyPersonal</formula>
    </cfRule>
    <cfRule type="expression" dxfId="652" priority="6" stopIfTrue="1">
      <formula>C9=KeyVacation</formula>
    </cfRule>
  </conditionalFormatting>
  <conditionalFormatting sqref="AH9:AH29">
    <cfRule type="dataBar" priority="7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{E51E1809-52E6-4252-B6D5-0E4B16A870A0}</x14:id>
        </ext>
      </extLst>
    </cfRule>
  </conditionalFormatting>
  <dataValidations count="15">
    <dataValidation allowBlank="1" showInputMessage="1" showErrorMessage="1" prompt="1 月のワークシートに入力した年に基づいて自動的に更新される年" sqref="AH6" xr:uid="{D534D450-4040-4C4B-ACFB-E0820ABC2CFC}"/>
    <dataValidation allowBlank="1" showInputMessage="1" showErrorMessage="1" prompt="この列で、従業員の今月の欠勤日数の合計を自動的に計算します" sqref="AH8" xr:uid="{DC341019-F88D-494A-80A9-FE7E975A2861}"/>
    <dataValidation errorStyle="warning" allowBlank="1" showInputMessage="1" showErrorMessage="1" error="リストから名前を選択します。[キャンセル] を選択し、Alt キーを押しながら下方向キーを押してから、Enter キーを押して名前を選択します" prompt="従業員名ワークシートに従業員の名前を入力し、この列のリストから名前を選びます。Alt キーを押しながら下矢印キーを押して、Enter キーを押して名前を選択します" sqref="B8" xr:uid="{F36BC021-F71B-E743-A612-BDD36FE48F9B}"/>
    <dataValidation allowBlank="1" showInputMessage="1" showErrorMessage="1" prompt="自動的に更新されるタイトルが、このセルの内容です。タイトルを変更するには、1 月のワークシートの B1 を更新します" sqref="B2" xr:uid="{FC807180-F3E3-414D-9702-8FBC5210B550}"/>
    <dataValidation allowBlank="1" showInputMessage="1" showErrorMessage="1" prompt="文字 &quot;V&quot; は休暇のための欠勤を表します" sqref="C4" xr:uid="{9CBE34E6-0511-5048-AE20-9F897B187012}"/>
    <dataValidation allowBlank="1" showInputMessage="1" showErrorMessage="1" prompt="文字 &quot;P&quot; は私用による欠勤を表します" sqref="G4" xr:uid="{5419C718-C3A6-674F-AF48-3D453E137C51}"/>
    <dataValidation allowBlank="1" showInputMessage="1" showErrorMessage="1" prompt="文字 &quot;S&quot; は病欠を表します" sqref="K4" xr:uid="{18D615F6-AC13-3C41-A34B-EA42A09C3C9E}"/>
    <dataValidation allowBlank="1" showInputMessage="1" showErrorMessage="1" prompt="右側に文字を入力してラベルをカスタマイズし、別のキー項目を追加します" sqref="N4 R4" xr:uid="{D6CD6DEA-0056-CD45-92F4-DEFAAA621621}"/>
    <dataValidation allowBlank="1" showInputMessage="1" showErrorMessage="1" prompt="左側にカスタム キーを表すラベルを入力します" sqref="O4:Q4 S4:U4" xr:uid="{3D377D6E-BC27-654F-9B85-1EA9759F1F9B}"/>
    <dataValidation allowBlank="1" showInputMessage="1" showErrorMessage="1" prompt="このセルには、この欠勤管理の月の名前が入ります。テーブルの最後のセルには、この月の欠勤日数の合計が表示されます。テーブルの列 B で従業員名を選択します" sqref="B2" xr:uid="{8A4BB08A-5DC1-A74C-9332-E844D960CD41}"/>
    <dataValidation allowBlank="1" showInputMessage="1" showErrorMessage="1" prompt="この行の月の日付は、自動的に生成されます。従業員の欠勤と欠勤の種類を月の各日付の各列に入力します。空白は欠勤でないことを示します" sqref="C8" xr:uid="{D8726BCE-956C-3B41-916D-0B0F98B156A4}"/>
    <dataValidation allowBlank="1" showInputMessage="1" showErrorMessage="1" prompt="この行の曜日は、AH4 の年に従い当月に応じて自動的に更新されます。月の各日付は、従業員の欠勤と欠勤の種類を記録するための列です" sqref="C7:E7" xr:uid="{492FF65C-4A5C-D048-AC41-58954D7E6423}"/>
    <dataValidation allowBlank="1" showInputMessage="1" showErrorMessage="1" prompt="このワークシートで 3 月の欠勤を管理します" sqref="A1" xr:uid="{9C29030B-C671-584C-88AB-6E5DAA9E8710}"/>
    <dataValidation allowBlank="1" showInputMessage="1" showErrorMessage="1" prompt="この行には、テーブルで使用するキーが定義されています。セル C4 は休暇、G4 は私用、K4 は病欠です。セル N4 と R4 はカスタマイズ可能です" sqref="B4" xr:uid="{5938E394-FC66-4AD8-81BE-3B6CE81FAFA6}"/>
    <dataValidation allowBlank="1" showInputMessage="1" showErrorMessage="1" prompt="このセルには、ワークシートのタイトルが入ります。" sqref="B1" xr:uid="{1D85A567-65B6-4C61-A680-D93EF8D5A769}"/>
  </dataValidations>
  <pageMargins left="0.7" right="0.7" top="0.75" bottom="0.75" header="0.3" footer="0.3"/>
  <pageSetup paperSize="9" fitToHeight="0" orientation="portrait" verticalDpi="4294967293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1E1809-52E6-4252-B6D5-0E4B16A870A0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AH9:AH29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2D49D6-CD98-40B5-8714-613095D27361}">
          <x14:formula1>
            <xm:f>従業員名!$B$4:$B$35</xm:f>
          </x14:formula1>
          <xm:sqref>B9:B29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</sheetPr>
  <dimension ref="A1:AH53"/>
  <sheetViews>
    <sheetView showGridLines="0" topLeftCell="A27" zoomScaleNormal="100" workbookViewId="0">
      <selection activeCell="P24" sqref="P24"/>
    </sheetView>
  </sheetViews>
  <sheetFormatPr defaultColWidth="8.77734375" defaultRowHeight="30" customHeight="1" x14ac:dyDescent="0.25"/>
  <cols>
    <col min="1" max="1" width="2.88671875" customWidth="1"/>
    <col min="2" max="2" width="25.77734375" customWidth="1"/>
    <col min="3" max="33" width="4.77734375" customWidth="1"/>
    <col min="34" max="34" width="13.44140625" customWidth="1"/>
    <col min="35" max="35" width="2.88671875" customWidth="1"/>
  </cols>
  <sheetData>
    <row r="1" spans="1:34" s="4" customFormat="1" ht="26.45" customHeight="1" x14ac:dyDescent="0.35">
      <c r="A1" s="3"/>
      <c r="B1" s="2" t="s">
        <v>0</v>
      </c>
    </row>
    <row r="2" spans="1:34" s="4" customFormat="1" ht="48.6" customHeight="1" x14ac:dyDescent="0.25">
      <c r="A2"/>
      <c r="B2" s="28" t="s">
        <v>120</v>
      </c>
    </row>
    <row r="3" spans="1:34" s="4" customFormat="1" ht="8.4499999999999993" customHeight="1" x14ac:dyDescent="0.25">
      <c r="A3"/>
      <c r="B3" s="6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</row>
    <row r="4" spans="1:34" ht="30" customHeight="1" x14ac:dyDescent="0.25">
      <c r="B4" s="8" t="s">
        <v>2</v>
      </c>
      <c r="C4" s="9" t="s">
        <v>3</v>
      </c>
      <c r="D4" s="37" t="s">
        <v>4</v>
      </c>
      <c r="E4" s="37"/>
      <c r="F4" s="37"/>
      <c r="G4" s="10" t="s">
        <v>5</v>
      </c>
      <c r="H4" s="37" t="s">
        <v>121</v>
      </c>
      <c r="I4" s="37"/>
      <c r="J4" s="37"/>
      <c r="K4" s="11"/>
      <c r="L4" s="37"/>
      <c r="M4" s="37"/>
      <c r="N4" s="12"/>
      <c r="O4" s="37" t="s">
        <v>7</v>
      </c>
      <c r="P4" s="37"/>
      <c r="Q4" s="37"/>
      <c r="R4" s="13"/>
      <c r="S4" s="37" t="s">
        <v>8</v>
      </c>
      <c r="T4" s="37"/>
      <c r="U4" s="37"/>
    </row>
    <row r="5" spans="1:34" ht="8.4499999999999993" customHeight="1" x14ac:dyDescent="0.25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6"/>
    </row>
    <row r="6" spans="1:34" ht="15" customHeight="1" x14ac:dyDescent="0.25">
      <c r="B6" s="1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15">
        <v>2025</v>
      </c>
    </row>
    <row r="7" spans="1:34" ht="30" customHeight="1" x14ac:dyDescent="0.25">
      <c r="B7" s="15"/>
      <c r="C7" s="16" t="str">
        <f>TEXT(WEEKDAY(DATE($AH$6,1,1),1),"aaa")</f>
        <v>水</v>
      </c>
      <c r="D7" s="16" t="str">
        <f>TEXT(WEEKDAY(DATE($AH$6,1,2),1),"aaa")</f>
        <v>木</v>
      </c>
      <c r="E7" s="16" t="str">
        <f>TEXT(WEEKDAY(DATE($AH$6,1,3),1),"aaa")</f>
        <v>金</v>
      </c>
      <c r="F7" s="16" t="str">
        <f>TEXT(WEEKDAY(DATE($AH$6,1,4),1),"aaa")</f>
        <v>土</v>
      </c>
      <c r="G7" s="16" t="str">
        <f>TEXT(WEEKDAY(DATE($AH$6,1,5),1),"aaa")</f>
        <v>日</v>
      </c>
      <c r="H7" s="16" t="str">
        <f>TEXT(WEEKDAY(DATE($AH$6,1,6),1),"aaa")</f>
        <v>月</v>
      </c>
      <c r="I7" s="16" t="str">
        <f>TEXT(WEEKDAY(DATE($AH$6,1,7),1),"aaa")</f>
        <v>火</v>
      </c>
      <c r="J7" s="16" t="str">
        <f>TEXT(WEEKDAY(DATE($AH$6,1,8),1),"aaa")</f>
        <v>水</v>
      </c>
      <c r="K7" s="16" t="str">
        <f>TEXT(WEEKDAY(DATE($AH$6,1,9),1),"aaa")</f>
        <v>木</v>
      </c>
      <c r="L7" s="16" t="str">
        <f>TEXT(WEEKDAY(DATE($AH$6,1,10),1),"aaa")</f>
        <v>金</v>
      </c>
      <c r="M7" s="16" t="str">
        <f>TEXT(WEEKDAY(DATE($AH$6,1,11),1),"aaa")</f>
        <v>土</v>
      </c>
      <c r="N7" s="16" t="str">
        <f>TEXT(WEEKDAY(DATE($AH$6,1,12),1),"aaa")</f>
        <v>日</v>
      </c>
      <c r="O7" s="16" t="str">
        <f>TEXT(WEEKDAY(DATE($AH$6,1,13),1),"aaa")</f>
        <v>月</v>
      </c>
      <c r="P7" s="16" t="str">
        <f>TEXT(WEEKDAY(DATE($AH$6,1,14),1),"aaa")</f>
        <v>火</v>
      </c>
      <c r="Q7" s="16" t="str">
        <f>TEXT(WEEKDAY(DATE($AH$6,1,15),1),"aaa")</f>
        <v>水</v>
      </c>
      <c r="R7" s="16" t="str">
        <f>TEXT(WEEKDAY(DATE($AH$6,1,16),1),"aaa")</f>
        <v>木</v>
      </c>
      <c r="S7" s="16" t="str">
        <f>TEXT(WEEKDAY(DATE($AH$6,1,17),1),"aaa")</f>
        <v>金</v>
      </c>
      <c r="T7" s="16" t="str">
        <f>TEXT(WEEKDAY(DATE($AH$6,1,18),1),"aaa")</f>
        <v>土</v>
      </c>
      <c r="U7" s="16" t="str">
        <f>TEXT(WEEKDAY(DATE($AH$6,1,19),1),"aaa")</f>
        <v>日</v>
      </c>
      <c r="V7" s="16" t="str">
        <f>TEXT(WEEKDAY(DATE($AH$6,1,20),1),"aaa")</f>
        <v>月</v>
      </c>
      <c r="W7" s="16" t="str">
        <f>TEXT(WEEKDAY(DATE($AH$6,1,21),1),"aaa")</f>
        <v>火</v>
      </c>
      <c r="X7" s="16" t="str">
        <f>TEXT(WEEKDAY(DATE($AH$6,1,22),1),"aaa")</f>
        <v>水</v>
      </c>
      <c r="Y7" s="16" t="str">
        <f>TEXT(WEEKDAY(DATE($AH$6,1,23),1),"aaa")</f>
        <v>木</v>
      </c>
      <c r="Z7" s="16" t="str">
        <f>TEXT(WEEKDAY(DATE($AH$6,1,24),1),"aaa")</f>
        <v>金</v>
      </c>
      <c r="AA7" s="16" t="str">
        <f>TEXT(WEEKDAY(DATE($AH$6,1,25),1),"aaa")</f>
        <v>土</v>
      </c>
      <c r="AB7" s="16" t="str">
        <f>TEXT(WEEKDAY(DATE($AH$6,1,26),1),"aaa")</f>
        <v>日</v>
      </c>
      <c r="AC7" s="16" t="str">
        <f>TEXT(WEEKDAY(DATE($AH$6,1,27),1),"aaa")</f>
        <v>月</v>
      </c>
      <c r="AD7" s="16" t="str">
        <f>TEXT(WEEKDAY(DATE($AH$6,1,28),1),"aaa")</f>
        <v>火</v>
      </c>
      <c r="AE7" s="16" t="str">
        <f>TEXT(WEEKDAY(DATE($AH$6,1,29),1),"aaa")</f>
        <v>水</v>
      </c>
      <c r="AF7" s="16" t="str">
        <f>TEXT(WEEKDAY(DATE($AH$6,1,30),1),"aaa")</f>
        <v>木</v>
      </c>
      <c r="AG7" s="16" t="str">
        <f>TEXT(WEEKDAY(DATE($AH$6,1,31),1),"aaa")</f>
        <v>金</v>
      </c>
      <c r="AH7" s="15"/>
    </row>
    <row r="8" spans="1:34" ht="30" customHeight="1" x14ac:dyDescent="0.25">
      <c r="B8" s="17" t="s">
        <v>122</v>
      </c>
      <c r="C8" s="18" t="s">
        <v>10</v>
      </c>
      <c r="D8" s="18" t="s">
        <v>11</v>
      </c>
      <c r="E8" s="18" t="s">
        <v>12</v>
      </c>
      <c r="F8" s="18" t="s">
        <v>13</v>
      </c>
      <c r="G8" s="18" t="s">
        <v>14</v>
      </c>
      <c r="H8" s="18" t="s">
        <v>15</v>
      </c>
      <c r="I8" s="18" t="s">
        <v>16</v>
      </c>
      <c r="J8" s="18" t="s">
        <v>17</v>
      </c>
      <c r="K8" s="18" t="s">
        <v>18</v>
      </c>
      <c r="L8" s="18" t="s">
        <v>19</v>
      </c>
      <c r="M8" s="18" t="s">
        <v>20</v>
      </c>
      <c r="N8" s="18" t="s">
        <v>21</v>
      </c>
      <c r="O8" s="18" t="s">
        <v>22</v>
      </c>
      <c r="P8" s="18" t="s">
        <v>23</v>
      </c>
      <c r="Q8" s="18" t="s">
        <v>24</v>
      </c>
      <c r="R8" s="18" t="s">
        <v>25</v>
      </c>
      <c r="S8" s="18" t="s">
        <v>26</v>
      </c>
      <c r="T8" s="18" t="s">
        <v>27</v>
      </c>
      <c r="U8" s="18" t="s">
        <v>28</v>
      </c>
      <c r="V8" s="18" t="s">
        <v>29</v>
      </c>
      <c r="W8" s="18" t="s">
        <v>30</v>
      </c>
      <c r="X8" s="18" t="s">
        <v>31</v>
      </c>
      <c r="Y8" s="18" t="s">
        <v>32</v>
      </c>
      <c r="Z8" s="18" t="s">
        <v>33</v>
      </c>
      <c r="AA8" s="18" t="s">
        <v>34</v>
      </c>
      <c r="AB8" s="18" t="s">
        <v>35</v>
      </c>
      <c r="AC8" s="18" t="s">
        <v>36</v>
      </c>
      <c r="AD8" s="18" t="s">
        <v>37</v>
      </c>
      <c r="AE8" s="18" t="s">
        <v>38</v>
      </c>
      <c r="AF8" s="18" t="s">
        <v>39</v>
      </c>
      <c r="AG8" s="18" t="s">
        <v>64</v>
      </c>
      <c r="AH8" s="19" t="s">
        <v>41</v>
      </c>
    </row>
    <row r="9" spans="1:34" ht="30" customHeight="1" x14ac:dyDescent="0.25">
      <c r="B9" s="20" t="s">
        <v>75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66</v>
      </c>
      <c r="P9" s="18" t="s">
        <v>66</v>
      </c>
      <c r="Q9" s="18" t="s">
        <v>66</v>
      </c>
      <c r="R9" s="18" t="s">
        <v>66</v>
      </c>
      <c r="S9" s="18" t="s">
        <v>66</v>
      </c>
      <c r="T9" s="18"/>
      <c r="U9" s="18"/>
      <c r="V9" s="18" t="s">
        <v>66</v>
      </c>
      <c r="W9" s="18" t="s">
        <v>66</v>
      </c>
      <c r="X9" s="18" t="s">
        <v>68</v>
      </c>
      <c r="Y9" s="18" t="s">
        <v>68</v>
      </c>
      <c r="Z9" s="18" t="s">
        <v>68</v>
      </c>
      <c r="AA9" s="18" t="s">
        <v>68</v>
      </c>
      <c r="AB9" s="18" t="s">
        <v>68</v>
      </c>
      <c r="AC9" s="18" t="s">
        <v>68</v>
      </c>
      <c r="AD9" s="18" t="s">
        <v>68</v>
      </c>
      <c r="AE9" s="18" t="s">
        <v>66</v>
      </c>
      <c r="AF9" s="18" t="s">
        <v>66</v>
      </c>
      <c r="AG9" s="18" t="s">
        <v>66</v>
      </c>
      <c r="AH9" s="27">
        <f>COUNTA(月1[[#This Row],[1]:[31]])</f>
        <v>17</v>
      </c>
    </row>
    <row r="10" spans="1:34" ht="30" customHeight="1" x14ac:dyDescent="0.25">
      <c r="B10" s="20" t="s">
        <v>76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 t="s">
        <v>66</v>
      </c>
      <c r="P10" s="18" t="s">
        <v>66</v>
      </c>
      <c r="Q10" s="18" t="s">
        <v>66</v>
      </c>
      <c r="R10" s="18" t="s">
        <v>66</v>
      </c>
      <c r="S10" s="18" t="s">
        <v>66</v>
      </c>
      <c r="T10" s="18"/>
      <c r="U10" s="18"/>
      <c r="V10" s="18" t="s">
        <v>66</v>
      </c>
      <c r="W10" s="18" t="s">
        <v>66</v>
      </c>
      <c r="X10" s="18" t="s">
        <v>68</v>
      </c>
      <c r="Y10" s="18" t="s">
        <v>68</v>
      </c>
      <c r="Z10" s="18" t="s">
        <v>68</v>
      </c>
      <c r="AA10" s="18" t="s">
        <v>68</v>
      </c>
      <c r="AB10" s="18" t="s">
        <v>68</v>
      </c>
      <c r="AC10" s="18" t="s">
        <v>68</v>
      </c>
      <c r="AD10" s="18" t="s">
        <v>68</v>
      </c>
      <c r="AE10" s="18" t="s">
        <v>66</v>
      </c>
      <c r="AF10" s="18" t="s">
        <v>66</v>
      </c>
      <c r="AG10" s="18" t="s">
        <v>66</v>
      </c>
      <c r="AH10" s="27">
        <f>COUNTA(月1[[#This Row],[1]:[31]])</f>
        <v>17</v>
      </c>
    </row>
    <row r="11" spans="1:34" ht="30" customHeight="1" x14ac:dyDescent="0.25">
      <c r="B11" s="20" t="s">
        <v>77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 t="s">
        <v>66</v>
      </c>
      <c r="P11" s="18" t="s">
        <v>66</v>
      </c>
      <c r="Q11" s="18" t="s">
        <v>66</v>
      </c>
      <c r="R11" s="18" t="s">
        <v>66</v>
      </c>
      <c r="S11" s="18" t="s">
        <v>66</v>
      </c>
      <c r="T11" s="18"/>
      <c r="U11" s="18"/>
      <c r="V11" s="18" t="s">
        <v>66</v>
      </c>
      <c r="W11" s="18" t="s">
        <v>66</v>
      </c>
      <c r="X11" s="18" t="s">
        <v>68</v>
      </c>
      <c r="Y11" s="18" t="s">
        <v>68</v>
      </c>
      <c r="Z11" s="18" t="s">
        <v>68</v>
      </c>
      <c r="AA11" s="18" t="s">
        <v>68</v>
      </c>
      <c r="AB11" s="18" t="s">
        <v>68</v>
      </c>
      <c r="AC11" s="18" t="s">
        <v>68</v>
      </c>
      <c r="AD11" s="18" t="s">
        <v>68</v>
      </c>
      <c r="AE11" s="18" t="s">
        <v>66</v>
      </c>
      <c r="AF11" s="18" t="s">
        <v>66</v>
      </c>
      <c r="AG11" s="18" t="s">
        <v>66</v>
      </c>
      <c r="AH11" s="27">
        <f>COUNTA(月1[[#This Row],[1]:[31]])</f>
        <v>17</v>
      </c>
    </row>
    <row r="12" spans="1:34" ht="30" customHeight="1" x14ac:dyDescent="0.25">
      <c r="B12" s="20" t="s">
        <v>78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 t="s">
        <v>66</v>
      </c>
      <c r="P12" s="18" t="s">
        <v>66</v>
      </c>
      <c r="Q12" s="18" t="s">
        <v>66</v>
      </c>
      <c r="R12" s="18" t="s">
        <v>66</v>
      </c>
      <c r="S12" s="18" t="s">
        <v>66</v>
      </c>
      <c r="T12" s="18"/>
      <c r="U12" s="18"/>
      <c r="V12" s="18" t="s">
        <v>66</v>
      </c>
      <c r="W12" s="18" t="s">
        <v>66</v>
      </c>
      <c r="X12" s="18" t="s">
        <v>68</v>
      </c>
      <c r="Y12" s="18" t="s">
        <v>68</v>
      </c>
      <c r="Z12" s="18" t="s">
        <v>68</v>
      </c>
      <c r="AA12" s="18" t="s">
        <v>68</v>
      </c>
      <c r="AB12" s="18" t="s">
        <v>68</v>
      </c>
      <c r="AC12" s="18" t="s">
        <v>68</v>
      </c>
      <c r="AD12" s="18" t="s">
        <v>68</v>
      </c>
      <c r="AE12" s="18" t="s">
        <v>66</v>
      </c>
      <c r="AF12" s="18" t="s">
        <v>66</v>
      </c>
      <c r="AG12" s="18" t="s">
        <v>66</v>
      </c>
      <c r="AH12" s="27">
        <f>COUNTA(月1[[#This Row],[1]:[31]])</f>
        <v>17</v>
      </c>
    </row>
    <row r="13" spans="1:34" ht="30" customHeight="1" x14ac:dyDescent="0.25">
      <c r="B13" s="20" t="s">
        <v>79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 t="s">
        <v>66</v>
      </c>
      <c r="P13" s="18" t="s">
        <v>66</v>
      </c>
      <c r="Q13" s="18" t="s">
        <v>66</v>
      </c>
      <c r="R13" s="18" t="s">
        <v>66</v>
      </c>
      <c r="S13" s="18" t="s">
        <v>66</v>
      </c>
      <c r="T13" s="18"/>
      <c r="U13" s="18"/>
      <c r="V13" s="18" t="s">
        <v>66</v>
      </c>
      <c r="W13" s="18" t="s">
        <v>66</v>
      </c>
      <c r="X13" s="18" t="s">
        <v>68</v>
      </c>
      <c r="Y13" s="18" t="s">
        <v>68</v>
      </c>
      <c r="Z13" s="18" t="s">
        <v>68</v>
      </c>
      <c r="AA13" s="18" t="s">
        <v>68</v>
      </c>
      <c r="AB13" s="18" t="s">
        <v>68</v>
      </c>
      <c r="AC13" s="18" t="s">
        <v>68</v>
      </c>
      <c r="AD13" s="18" t="s">
        <v>68</v>
      </c>
      <c r="AE13" s="18" t="s">
        <v>66</v>
      </c>
      <c r="AF13" s="18" t="s">
        <v>66</v>
      </c>
      <c r="AG13" s="18" t="s">
        <v>66</v>
      </c>
      <c r="AH13" s="27">
        <f>COUNTA(月1[[#This Row],[1]:[31]])</f>
        <v>17</v>
      </c>
    </row>
    <row r="14" spans="1:34" ht="30" customHeight="1" x14ac:dyDescent="0.25">
      <c r="B14" s="20" t="s">
        <v>80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 t="s">
        <v>66</v>
      </c>
      <c r="P14" s="18" t="s">
        <v>66</v>
      </c>
      <c r="Q14" s="18" t="s">
        <v>66</v>
      </c>
      <c r="R14" s="18" t="s">
        <v>66</v>
      </c>
      <c r="S14" s="18" t="s">
        <v>66</v>
      </c>
      <c r="T14" s="18"/>
      <c r="U14" s="18"/>
      <c r="V14" s="18" t="s">
        <v>66</v>
      </c>
      <c r="W14" s="18" t="s">
        <v>66</v>
      </c>
      <c r="X14" s="18" t="s">
        <v>68</v>
      </c>
      <c r="Y14" s="18" t="s">
        <v>68</v>
      </c>
      <c r="Z14" s="18" t="s">
        <v>68</v>
      </c>
      <c r="AA14" s="18" t="s">
        <v>68</v>
      </c>
      <c r="AB14" s="18" t="s">
        <v>68</v>
      </c>
      <c r="AC14" s="18" t="s">
        <v>68</v>
      </c>
      <c r="AD14" s="18" t="s">
        <v>68</v>
      </c>
      <c r="AE14" s="18" t="s">
        <v>66</v>
      </c>
      <c r="AF14" s="18" t="s">
        <v>66</v>
      </c>
      <c r="AG14" s="18" t="s">
        <v>66</v>
      </c>
      <c r="AH14" s="27">
        <f>COUNTA(月1[[#This Row],[1]:[31]])</f>
        <v>17</v>
      </c>
    </row>
    <row r="15" spans="1:34" ht="30" customHeight="1" x14ac:dyDescent="0.25">
      <c r="B15" s="20" t="s">
        <v>81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 t="s">
        <v>66</v>
      </c>
      <c r="P15" s="18" t="s">
        <v>66</v>
      </c>
      <c r="Q15" s="18" t="s">
        <v>66</v>
      </c>
      <c r="R15" s="18" t="s">
        <v>66</v>
      </c>
      <c r="S15" s="18" t="s">
        <v>66</v>
      </c>
      <c r="T15" s="18"/>
      <c r="U15" s="18"/>
      <c r="V15" s="18" t="s">
        <v>66</v>
      </c>
      <c r="W15" s="18" t="s">
        <v>66</v>
      </c>
      <c r="X15" s="18" t="s">
        <v>68</v>
      </c>
      <c r="Y15" s="18" t="s">
        <v>68</v>
      </c>
      <c r="Z15" s="18" t="s">
        <v>68</v>
      </c>
      <c r="AA15" s="18" t="s">
        <v>68</v>
      </c>
      <c r="AB15" s="18" t="s">
        <v>68</v>
      </c>
      <c r="AC15" s="18" t="s">
        <v>68</v>
      </c>
      <c r="AD15" s="18" t="s">
        <v>68</v>
      </c>
      <c r="AE15" s="18" t="s">
        <v>66</v>
      </c>
      <c r="AF15" s="18" t="s">
        <v>66</v>
      </c>
      <c r="AG15" s="18" t="s">
        <v>66</v>
      </c>
      <c r="AH15" s="27">
        <f>COUNTA(月1[[#This Row],[1]:[31]])</f>
        <v>17</v>
      </c>
    </row>
    <row r="16" spans="1:34" ht="30" customHeight="1" x14ac:dyDescent="0.25">
      <c r="B16" s="20" t="s">
        <v>82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 t="s">
        <v>66</v>
      </c>
      <c r="P16" s="18" t="s">
        <v>66</v>
      </c>
      <c r="Q16" s="18" t="s">
        <v>66</v>
      </c>
      <c r="R16" s="18" t="s">
        <v>66</v>
      </c>
      <c r="S16" s="18" t="s">
        <v>66</v>
      </c>
      <c r="T16" s="18"/>
      <c r="U16" s="18"/>
      <c r="V16" s="18" t="s">
        <v>66</v>
      </c>
      <c r="W16" s="18" t="s">
        <v>66</v>
      </c>
      <c r="X16" s="18" t="s">
        <v>68</v>
      </c>
      <c r="Y16" s="18" t="s">
        <v>68</v>
      </c>
      <c r="Z16" s="18" t="s">
        <v>68</v>
      </c>
      <c r="AA16" s="18" t="s">
        <v>68</v>
      </c>
      <c r="AB16" s="18" t="s">
        <v>68</v>
      </c>
      <c r="AC16" s="18" t="s">
        <v>68</v>
      </c>
      <c r="AD16" s="18" t="s">
        <v>68</v>
      </c>
      <c r="AE16" s="18" t="s">
        <v>66</v>
      </c>
      <c r="AF16" s="18" t="s">
        <v>66</v>
      </c>
      <c r="AG16" s="18" t="s">
        <v>66</v>
      </c>
      <c r="AH16" s="27">
        <f>COUNTA(月1[[#This Row],[1]:[31]])</f>
        <v>17</v>
      </c>
    </row>
    <row r="17" spans="2:34" ht="30" customHeight="1" x14ac:dyDescent="0.25">
      <c r="B17" s="20" t="s">
        <v>83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 t="s">
        <v>66</v>
      </c>
      <c r="P17" s="18" t="s">
        <v>66</v>
      </c>
      <c r="Q17" s="18" t="s">
        <v>66</v>
      </c>
      <c r="R17" s="18" t="s">
        <v>66</v>
      </c>
      <c r="S17" s="18" t="s">
        <v>66</v>
      </c>
      <c r="T17" s="18"/>
      <c r="U17" s="18"/>
      <c r="V17" s="18" t="s">
        <v>66</v>
      </c>
      <c r="W17" s="18" t="s">
        <v>66</v>
      </c>
      <c r="X17" s="18" t="s">
        <v>68</v>
      </c>
      <c r="Y17" s="18" t="s">
        <v>68</v>
      </c>
      <c r="Z17" s="18" t="s">
        <v>68</v>
      </c>
      <c r="AA17" s="18" t="s">
        <v>68</v>
      </c>
      <c r="AB17" s="18" t="s">
        <v>68</v>
      </c>
      <c r="AC17" s="18" t="s">
        <v>68</v>
      </c>
      <c r="AD17" s="18" t="s">
        <v>68</v>
      </c>
      <c r="AE17" s="18" t="s">
        <v>66</v>
      </c>
      <c r="AF17" s="18" t="s">
        <v>66</v>
      </c>
      <c r="AG17" s="18" t="s">
        <v>66</v>
      </c>
      <c r="AH17" s="27">
        <f>COUNTA(月1[[#This Row],[1]:[31]])</f>
        <v>17</v>
      </c>
    </row>
    <row r="18" spans="2:34" ht="30" customHeight="1" x14ac:dyDescent="0.25">
      <c r="B18" s="20" t="s">
        <v>84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 t="s">
        <v>66</v>
      </c>
      <c r="P18" s="18" t="s">
        <v>66</v>
      </c>
      <c r="Q18" s="18" t="s">
        <v>66</v>
      </c>
      <c r="R18" s="18" t="s">
        <v>66</v>
      </c>
      <c r="S18" s="18" t="s">
        <v>66</v>
      </c>
      <c r="T18" s="18"/>
      <c r="U18" s="18"/>
      <c r="V18" s="18" t="s">
        <v>66</v>
      </c>
      <c r="W18" s="18" t="s">
        <v>66</v>
      </c>
      <c r="X18" s="18" t="s">
        <v>68</v>
      </c>
      <c r="Y18" s="18" t="s">
        <v>68</v>
      </c>
      <c r="Z18" s="18" t="s">
        <v>68</v>
      </c>
      <c r="AA18" s="18" t="s">
        <v>68</v>
      </c>
      <c r="AB18" s="18" t="s">
        <v>68</v>
      </c>
      <c r="AC18" s="18" t="s">
        <v>68</v>
      </c>
      <c r="AD18" s="18" t="s">
        <v>68</v>
      </c>
      <c r="AE18" s="18" t="s">
        <v>66</v>
      </c>
      <c r="AF18" s="18" t="s">
        <v>66</v>
      </c>
      <c r="AG18" s="18" t="s">
        <v>66</v>
      </c>
      <c r="AH18" s="27">
        <f>COUNTA(月1[[#This Row],[1]:[31]])</f>
        <v>17</v>
      </c>
    </row>
    <row r="19" spans="2:34" ht="30" customHeight="1" x14ac:dyDescent="0.25">
      <c r="B19" s="20" t="s">
        <v>85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 t="s">
        <v>66</v>
      </c>
      <c r="P19" s="18" t="s">
        <v>66</v>
      </c>
      <c r="Q19" s="18" t="s">
        <v>66</v>
      </c>
      <c r="R19" s="18" t="s">
        <v>66</v>
      </c>
      <c r="S19" s="18" t="s">
        <v>66</v>
      </c>
      <c r="T19" s="18"/>
      <c r="U19" s="18"/>
      <c r="V19" s="18" t="s">
        <v>66</v>
      </c>
      <c r="W19" s="18" t="s">
        <v>66</v>
      </c>
      <c r="X19" s="18" t="s">
        <v>68</v>
      </c>
      <c r="Y19" s="18" t="s">
        <v>68</v>
      </c>
      <c r="Z19" s="18" t="s">
        <v>68</v>
      </c>
      <c r="AA19" s="18" t="s">
        <v>68</v>
      </c>
      <c r="AB19" s="18" t="s">
        <v>68</v>
      </c>
      <c r="AC19" s="18" t="s">
        <v>68</v>
      </c>
      <c r="AD19" s="18" t="s">
        <v>68</v>
      </c>
      <c r="AE19" s="18" t="s">
        <v>66</v>
      </c>
      <c r="AF19" s="18" t="s">
        <v>66</v>
      </c>
      <c r="AG19" s="18" t="s">
        <v>66</v>
      </c>
      <c r="AH19" s="27">
        <f>COUNTA(月1[[#This Row],[1]:[31]])</f>
        <v>17</v>
      </c>
    </row>
    <row r="20" spans="2:34" ht="30" customHeight="1" x14ac:dyDescent="0.25">
      <c r="B20" s="31" t="s">
        <v>86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 t="s">
        <v>66</v>
      </c>
      <c r="W20" s="18" t="s">
        <v>66</v>
      </c>
      <c r="X20" s="18" t="s">
        <v>66</v>
      </c>
      <c r="Y20" s="18" t="s">
        <v>66</v>
      </c>
      <c r="Z20" s="18" t="s">
        <v>66</v>
      </c>
      <c r="AA20" s="18"/>
      <c r="AB20" s="18"/>
      <c r="AC20" s="18"/>
      <c r="AD20" s="18"/>
      <c r="AE20" s="18" t="s">
        <v>66</v>
      </c>
      <c r="AF20" s="18" t="s">
        <v>66</v>
      </c>
      <c r="AG20" s="18" t="s">
        <v>66</v>
      </c>
      <c r="AH20" s="27">
        <f>COUNTA(月1[[#This Row],[1]:[31]])</f>
        <v>8</v>
      </c>
    </row>
    <row r="21" spans="2:34" ht="30" customHeight="1" x14ac:dyDescent="0.25">
      <c r="B21" s="31" t="s">
        <v>87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 t="s">
        <v>66</v>
      </c>
      <c r="W21" s="18" t="s">
        <v>66</v>
      </c>
      <c r="X21" s="18" t="s">
        <v>66</v>
      </c>
      <c r="Y21" s="18" t="s">
        <v>66</v>
      </c>
      <c r="Z21" s="18" t="s">
        <v>66</v>
      </c>
      <c r="AA21" s="18"/>
      <c r="AB21" s="18"/>
      <c r="AC21" s="18"/>
      <c r="AD21" s="18"/>
      <c r="AE21" s="18" t="s">
        <v>66</v>
      </c>
      <c r="AF21" s="18" t="s">
        <v>66</v>
      </c>
      <c r="AG21" s="18" t="s">
        <v>66</v>
      </c>
      <c r="AH21" s="27">
        <f>COUNTA(月1[[#This Row],[1]:[31]])</f>
        <v>8</v>
      </c>
    </row>
    <row r="22" spans="2:34" ht="30" customHeight="1" x14ac:dyDescent="0.25">
      <c r="B22" s="31" t="s">
        <v>88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 t="s">
        <v>66</v>
      </c>
      <c r="S22" s="18" t="s">
        <v>66</v>
      </c>
      <c r="T22" s="18" t="s">
        <v>66</v>
      </c>
      <c r="U22" s="18" t="s">
        <v>66</v>
      </c>
      <c r="V22" s="18" t="s">
        <v>66</v>
      </c>
      <c r="W22" s="18" t="s">
        <v>66</v>
      </c>
      <c r="X22" s="18" t="s">
        <v>66</v>
      </c>
      <c r="Y22" s="18" t="s">
        <v>66</v>
      </c>
      <c r="Z22" s="18" t="s">
        <v>66</v>
      </c>
      <c r="AA22" s="18" t="s">
        <v>66</v>
      </c>
      <c r="AB22" s="18" t="s">
        <v>66</v>
      </c>
      <c r="AC22" s="18" t="s">
        <v>66</v>
      </c>
      <c r="AD22" s="18" t="s">
        <v>66</v>
      </c>
      <c r="AE22" s="18" t="s">
        <v>66</v>
      </c>
      <c r="AF22" s="18" t="s">
        <v>66</v>
      </c>
      <c r="AG22" s="18" t="s">
        <v>66</v>
      </c>
      <c r="AH22" s="27">
        <f>COUNTA(月1[[#This Row],[1]:[31]])</f>
        <v>16</v>
      </c>
    </row>
    <row r="23" spans="2:34" ht="30" customHeight="1" x14ac:dyDescent="0.25">
      <c r="B23" s="31" t="s">
        <v>89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 t="s">
        <v>66</v>
      </c>
      <c r="AF23" s="18" t="s">
        <v>66</v>
      </c>
      <c r="AG23" s="18" t="s">
        <v>66</v>
      </c>
      <c r="AH23" s="27">
        <f>COUNTA(月1[[#This Row],[1]:[31]])</f>
        <v>3</v>
      </c>
    </row>
    <row r="24" spans="2:34" ht="30" customHeight="1" x14ac:dyDescent="0.25">
      <c r="B24" s="31" t="s">
        <v>90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 t="s">
        <v>66</v>
      </c>
      <c r="AF24" s="18" t="s">
        <v>66</v>
      </c>
      <c r="AG24" s="18" t="s">
        <v>66</v>
      </c>
      <c r="AH24" s="27">
        <f>COUNTA(月1[[#This Row],[1]:[31]])</f>
        <v>3</v>
      </c>
    </row>
    <row r="25" spans="2:34" ht="30" customHeight="1" x14ac:dyDescent="0.25">
      <c r="B25" s="31" t="s">
        <v>91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 t="s">
        <v>66</v>
      </c>
      <c r="AF25" s="18" t="s">
        <v>66</v>
      </c>
      <c r="AG25" s="18" t="s">
        <v>66</v>
      </c>
      <c r="AH25" s="27">
        <f>COUNTA(月1[[#This Row],[1]:[31]])</f>
        <v>3</v>
      </c>
    </row>
    <row r="26" spans="2:34" ht="30" customHeight="1" x14ac:dyDescent="0.25">
      <c r="B26" s="31" t="s">
        <v>92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 t="s">
        <v>66</v>
      </c>
      <c r="AF26" s="18" t="s">
        <v>66</v>
      </c>
      <c r="AG26" s="18" t="s">
        <v>66</v>
      </c>
      <c r="AH26" s="27">
        <f>COUNTA(月1[[#This Row],[1]:[31]])</f>
        <v>3</v>
      </c>
    </row>
    <row r="27" spans="2:34" ht="30" customHeight="1" x14ac:dyDescent="0.25">
      <c r="B27" s="31" t="s">
        <v>93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 t="s">
        <v>66</v>
      </c>
      <c r="AF27" s="18" t="s">
        <v>66</v>
      </c>
      <c r="AG27" s="18" t="s">
        <v>66</v>
      </c>
      <c r="AH27" s="27">
        <f>COUNTA(月1[[#This Row],[1]:[31]])</f>
        <v>3</v>
      </c>
    </row>
    <row r="28" spans="2:34" ht="30" customHeight="1" x14ac:dyDescent="0.25">
      <c r="B28" s="31" t="s">
        <v>94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 t="s">
        <v>66</v>
      </c>
      <c r="AF28" s="18" t="s">
        <v>66</v>
      </c>
      <c r="AG28" s="18" t="s">
        <v>66</v>
      </c>
      <c r="AH28" s="27">
        <f>COUNTA(月1[[#This Row],[1]:[31]])</f>
        <v>3</v>
      </c>
    </row>
    <row r="29" spans="2:34" ht="30" customHeight="1" x14ac:dyDescent="0.25">
      <c r="B29" s="31" t="s">
        <v>95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 t="s">
        <v>66</v>
      </c>
      <c r="AF29" s="18" t="s">
        <v>66</v>
      </c>
      <c r="AG29" s="18" t="s">
        <v>66</v>
      </c>
      <c r="AH29" s="27">
        <f>COUNTA(月1[[#This Row],[1]:[31]])</f>
        <v>3</v>
      </c>
    </row>
    <row r="30" spans="2:34" ht="30" customHeight="1" x14ac:dyDescent="0.25">
      <c r="B30" s="31" t="s">
        <v>96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 t="s">
        <v>66</v>
      </c>
      <c r="AF30" s="18" t="s">
        <v>66</v>
      </c>
      <c r="AG30" s="18" t="s">
        <v>66</v>
      </c>
      <c r="AH30" s="27">
        <f>COUNTA(月1[[#This Row],[1]:[31]])</f>
        <v>3</v>
      </c>
    </row>
    <row r="31" spans="2:34" ht="30" customHeight="1" x14ac:dyDescent="0.25">
      <c r="B31" s="20" t="s">
        <v>123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 t="s">
        <v>66</v>
      </c>
      <c r="P31" s="18" t="s">
        <v>66</v>
      </c>
      <c r="Q31" s="18" t="s">
        <v>66</v>
      </c>
      <c r="R31" s="18" t="s">
        <v>66</v>
      </c>
      <c r="S31" s="18" t="s">
        <v>66</v>
      </c>
      <c r="T31" s="18"/>
      <c r="U31" s="18"/>
      <c r="V31" s="18" t="s">
        <v>66</v>
      </c>
      <c r="W31" s="18" t="s">
        <v>66</v>
      </c>
      <c r="X31" s="18" t="s">
        <v>68</v>
      </c>
      <c r="Y31" s="18" t="s">
        <v>68</v>
      </c>
      <c r="Z31" s="18" t="s">
        <v>68</v>
      </c>
      <c r="AA31" s="18" t="s">
        <v>68</v>
      </c>
      <c r="AB31" s="18" t="s">
        <v>68</v>
      </c>
      <c r="AC31" s="18" t="s">
        <v>68</v>
      </c>
      <c r="AD31" s="18" t="s">
        <v>68</v>
      </c>
      <c r="AE31" s="18" t="s">
        <v>66</v>
      </c>
      <c r="AF31" s="18" t="s">
        <v>66</v>
      </c>
      <c r="AG31" s="18" t="s">
        <v>66</v>
      </c>
      <c r="AH31" s="27">
        <f>COUNTA(月1[[#This Row],[1]:[31]])</f>
        <v>17</v>
      </c>
    </row>
    <row r="32" spans="2:34" ht="30" customHeight="1" x14ac:dyDescent="0.25">
      <c r="B32" s="20" t="s">
        <v>124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 t="s">
        <v>66</v>
      </c>
      <c r="P32" s="18" t="s">
        <v>66</v>
      </c>
      <c r="Q32" s="18" t="s">
        <v>66</v>
      </c>
      <c r="R32" s="18" t="s">
        <v>66</v>
      </c>
      <c r="S32" s="18" t="s">
        <v>66</v>
      </c>
      <c r="T32" s="18"/>
      <c r="U32" s="18"/>
      <c r="V32" s="18" t="s">
        <v>66</v>
      </c>
      <c r="W32" s="18" t="s">
        <v>66</v>
      </c>
      <c r="X32" s="18" t="s">
        <v>68</v>
      </c>
      <c r="Y32" s="18" t="s">
        <v>68</v>
      </c>
      <c r="Z32" s="18" t="s">
        <v>68</v>
      </c>
      <c r="AA32" s="18" t="s">
        <v>68</v>
      </c>
      <c r="AB32" s="18" t="s">
        <v>68</v>
      </c>
      <c r="AC32" s="18" t="s">
        <v>68</v>
      </c>
      <c r="AD32" s="18" t="s">
        <v>68</v>
      </c>
      <c r="AE32" s="18" t="s">
        <v>66</v>
      </c>
      <c r="AF32" s="18" t="s">
        <v>66</v>
      </c>
      <c r="AG32" s="18" t="s">
        <v>66</v>
      </c>
      <c r="AH32" s="27">
        <f>COUNTA(月1[[#This Row],[1]:[31]])</f>
        <v>17</v>
      </c>
    </row>
    <row r="33" spans="2:34" ht="30" customHeight="1" x14ac:dyDescent="0.25">
      <c r="B33" s="20" t="s">
        <v>125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 t="s">
        <v>66</v>
      </c>
      <c r="P33" s="18" t="s">
        <v>66</v>
      </c>
      <c r="Q33" s="18" t="s">
        <v>66</v>
      </c>
      <c r="R33" s="18" t="s">
        <v>66</v>
      </c>
      <c r="S33" s="18" t="s">
        <v>66</v>
      </c>
      <c r="T33" s="18"/>
      <c r="U33" s="18"/>
      <c r="V33" s="18" t="s">
        <v>66</v>
      </c>
      <c r="W33" s="18" t="s">
        <v>66</v>
      </c>
      <c r="X33" s="18" t="s">
        <v>68</v>
      </c>
      <c r="Y33" s="18" t="s">
        <v>68</v>
      </c>
      <c r="Z33" s="18" t="s">
        <v>68</v>
      </c>
      <c r="AA33" s="18" t="s">
        <v>68</v>
      </c>
      <c r="AB33" s="18" t="s">
        <v>68</v>
      </c>
      <c r="AC33" s="18" t="s">
        <v>68</v>
      </c>
      <c r="AD33" s="18" t="s">
        <v>68</v>
      </c>
      <c r="AE33" s="18" t="s">
        <v>66</v>
      </c>
      <c r="AF33" s="18" t="s">
        <v>66</v>
      </c>
      <c r="AG33" s="18" t="s">
        <v>66</v>
      </c>
      <c r="AH33" s="27">
        <f>COUNTA(月1[[#This Row],[1]:[31]])</f>
        <v>17</v>
      </c>
    </row>
    <row r="34" spans="2:34" ht="30" customHeight="1" x14ac:dyDescent="0.25">
      <c r="B34" s="20" t="s">
        <v>126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 t="s">
        <v>66</v>
      </c>
      <c r="P34" s="18" t="s">
        <v>66</v>
      </c>
      <c r="Q34" s="18" t="s">
        <v>66</v>
      </c>
      <c r="R34" s="18" t="s">
        <v>66</v>
      </c>
      <c r="S34" s="18" t="s">
        <v>66</v>
      </c>
      <c r="T34" s="18"/>
      <c r="U34" s="18"/>
      <c r="V34" s="18" t="s">
        <v>66</v>
      </c>
      <c r="W34" s="18" t="s">
        <v>66</v>
      </c>
      <c r="X34" s="18" t="s">
        <v>68</v>
      </c>
      <c r="Y34" s="18" t="s">
        <v>68</v>
      </c>
      <c r="Z34" s="18" t="s">
        <v>68</v>
      </c>
      <c r="AA34" s="18" t="s">
        <v>68</v>
      </c>
      <c r="AB34" s="18" t="s">
        <v>68</v>
      </c>
      <c r="AC34" s="18" t="s">
        <v>68</v>
      </c>
      <c r="AD34" s="18" t="s">
        <v>68</v>
      </c>
      <c r="AE34" s="18" t="s">
        <v>66</v>
      </c>
      <c r="AF34" s="18" t="s">
        <v>66</v>
      </c>
      <c r="AG34" s="18" t="s">
        <v>66</v>
      </c>
      <c r="AH34" s="27">
        <f>COUNTA(月1[[#This Row],[1]:[31]])</f>
        <v>17</v>
      </c>
    </row>
    <row r="35" spans="2:34" ht="30" customHeight="1" x14ac:dyDescent="0.25">
      <c r="B35" s="20" t="s">
        <v>127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 t="s">
        <v>66</v>
      </c>
      <c r="P35" s="18" t="s">
        <v>66</v>
      </c>
      <c r="Q35" s="18" t="s">
        <v>66</v>
      </c>
      <c r="R35" s="18" t="s">
        <v>66</v>
      </c>
      <c r="S35" s="18" t="s">
        <v>66</v>
      </c>
      <c r="T35" s="18"/>
      <c r="U35" s="18"/>
      <c r="V35" s="18" t="s">
        <v>66</v>
      </c>
      <c r="W35" s="18" t="s">
        <v>66</v>
      </c>
      <c r="X35" s="18" t="s">
        <v>68</v>
      </c>
      <c r="Y35" s="18" t="s">
        <v>68</v>
      </c>
      <c r="Z35" s="18" t="s">
        <v>68</v>
      </c>
      <c r="AA35" s="18" t="s">
        <v>68</v>
      </c>
      <c r="AB35" s="18" t="s">
        <v>68</v>
      </c>
      <c r="AC35" s="18" t="s">
        <v>68</v>
      </c>
      <c r="AD35" s="18" t="s">
        <v>68</v>
      </c>
      <c r="AE35" s="18" t="s">
        <v>66</v>
      </c>
      <c r="AF35" s="18" t="s">
        <v>66</v>
      </c>
      <c r="AG35" s="18" t="s">
        <v>66</v>
      </c>
      <c r="AH35" s="27">
        <f>COUNTA(月1[[#This Row],[1]:[31]])</f>
        <v>17</v>
      </c>
    </row>
    <row r="36" spans="2:34" ht="30" customHeight="1" x14ac:dyDescent="0.25">
      <c r="B36" s="20" t="s">
        <v>128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 t="s">
        <v>66</v>
      </c>
      <c r="P36" s="18" t="s">
        <v>66</v>
      </c>
      <c r="Q36" s="18" t="s">
        <v>66</v>
      </c>
      <c r="R36" s="18" t="s">
        <v>66</v>
      </c>
      <c r="S36" s="18" t="s">
        <v>66</v>
      </c>
      <c r="T36" s="18"/>
      <c r="U36" s="18"/>
      <c r="V36" s="18" t="s">
        <v>66</v>
      </c>
      <c r="W36" s="18" t="s">
        <v>66</v>
      </c>
      <c r="X36" s="18" t="s">
        <v>68</v>
      </c>
      <c r="Y36" s="18" t="s">
        <v>68</v>
      </c>
      <c r="Z36" s="18" t="s">
        <v>68</v>
      </c>
      <c r="AA36" s="18" t="s">
        <v>68</v>
      </c>
      <c r="AB36" s="18" t="s">
        <v>68</v>
      </c>
      <c r="AC36" s="18" t="s">
        <v>68</v>
      </c>
      <c r="AD36" s="18" t="s">
        <v>68</v>
      </c>
      <c r="AE36" s="18" t="s">
        <v>66</v>
      </c>
      <c r="AF36" s="18" t="s">
        <v>66</v>
      </c>
      <c r="AG36" s="18" t="s">
        <v>66</v>
      </c>
      <c r="AH36" s="27">
        <f>COUNTA(月1[[#This Row],[1]:[31]])</f>
        <v>17</v>
      </c>
    </row>
    <row r="37" spans="2:34" ht="30" customHeight="1" x14ac:dyDescent="0.25">
      <c r="B37" s="20" t="s">
        <v>129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 t="s">
        <v>66</v>
      </c>
      <c r="P37" s="18" t="s">
        <v>66</v>
      </c>
      <c r="Q37" s="18" t="s">
        <v>66</v>
      </c>
      <c r="R37" s="18" t="s">
        <v>66</v>
      </c>
      <c r="S37" s="18" t="s">
        <v>66</v>
      </c>
      <c r="T37" s="18"/>
      <c r="U37" s="18"/>
      <c r="V37" s="18" t="s">
        <v>66</v>
      </c>
      <c r="W37" s="18" t="s">
        <v>66</v>
      </c>
      <c r="X37" s="18" t="s">
        <v>68</v>
      </c>
      <c r="Y37" s="18" t="s">
        <v>68</v>
      </c>
      <c r="Z37" s="18" t="s">
        <v>68</v>
      </c>
      <c r="AA37" s="18" t="s">
        <v>68</v>
      </c>
      <c r="AB37" s="18" t="s">
        <v>68</v>
      </c>
      <c r="AC37" s="18" t="s">
        <v>68</v>
      </c>
      <c r="AD37" s="18" t="s">
        <v>68</v>
      </c>
      <c r="AE37" s="18" t="s">
        <v>66</v>
      </c>
      <c r="AF37" s="18" t="s">
        <v>66</v>
      </c>
      <c r="AG37" s="18" t="s">
        <v>66</v>
      </c>
      <c r="AH37" s="27">
        <f>COUNTA(月1[[#This Row],[1]:[31]])</f>
        <v>17</v>
      </c>
    </row>
    <row r="38" spans="2:34" ht="30" customHeight="1" x14ac:dyDescent="0.25">
      <c r="B38" s="20" t="s">
        <v>130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 t="s">
        <v>66</v>
      </c>
      <c r="P38" s="18" t="s">
        <v>66</v>
      </c>
      <c r="Q38" s="18" t="s">
        <v>66</v>
      </c>
      <c r="R38" s="18" t="s">
        <v>66</v>
      </c>
      <c r="S38" s="18" t="s">
        <v>66</v>
      </c>
      <c r="T38" s="18"/>
      <c r="U38" s="18"/>
      <c r="V38" s="18" t="s">
        <v>66</v>
      </c>
      <c r="W38" s="18" t="s">
        <v>66</v>
      </c>
      <c r="X38" s="18" t="s">
        <v>68</v>
      </c>
      <c r="Y38" s="18" t="s">
        <v>68</v>
      </c>
      <c r="Z38" s="18" t="s">
        <v>68</v>
      </c>
      <c r="AA38" s="18" t="s">
        <v>68</v>
      </c>
      <c r="AB38" s="18" t="s">
        <v>68</v>
      </c>
      <c r="AC38" s="18" t="s">
        <v>68</v>
      </c>
      <c r="AD38" s="18" t="s">
        <v>68</v>
      </c>
      <c r="AE38" s="18" t="s">
        <v>66</v>
      </c>
      <c r="AF38" s="18" t="s">
        <v>66</v>
      </c>
      <c r="AG38" s="18" t="s">
        <v>66</v>
      </c>
      <c r="AH38" s="27">
        <f>COUNTA(月1[[#This Row],[1]:[31]])</f>
        <v>17</v>
      </c>
    </row>
    <row r="39" spans="2:34" ht="30" customHeight="1" x14ac:dyDescent="0.25">
      <c r="B39" s="20" t="s">
        <v>131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 t="s">
        <v>66</v>
      </c>
      <c r="P39" s="18" t="s">
        <v>66</v>
      </c>
      <c r="Q39" s="18" t="s">
        <v>66</v>
      </c>
      <c r="R39" s="18" t="s">
        <v>66</v>
      </c>
      <c r="S39" s="18" t="s">
        <v>66</v>
      </c>
      <c r="T39" s="18"/>
      <c r="U39" s="18"/>
      <c r="V39" s="18" t="s">
        <v>66</v>
      </c>
      <c r="W39" s="18" t="s">
        <v>66</v>
      </c>
      <c r="X39" s="18" t="s">
        <v>68</v>
      </c>
      <c r="Y39" s="18" t="s">
        <v>68</v>
      </c>
      <c r="Z39" s="18" t="s">
        <v>68</v>
      </c>
      <c r="AA39" s="18" t="s">
        <v>68</v>
      </c>
      <c r="AB39" s="18" t="s">
        <v>68</v>
      </c>
      <c r="AC39" s="18" t="s">
        <v>68</v>
      </c>
      <c r="AD39" s="18" t="s">
        <v>68</v>
      </c>
      <c r="AE39" s="18" t="s">
        <v>66</v>
      </c>
      <c r="AF39" s="18" t="s">
        <v>66</v>
      </c>
      <c r="AG39" s="18" t="s">
        <v>66</v>
      </c>
      <c r="AH39" s="27">
        <f>COUNTA(月1[[#This Row],[1]:[31]])</f>
        <v>17</v>
      </c>
    </row>
    <row r="40" spans="2:34" ht="30" customHeight="1" x14ac:dyDescent="0.25">
      <c r="B40" s="20" t="s">
        <v>132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 t="s">
        <v>66</v>
      </c>
      <c r="P40" s="18" t="s">
        <v>66</v>
      </c>
      <c r="Q40" s="18" t="s">
        <v>66</v>
      </c>
      <c r="R40" s="18" t="s">
        <v>66</v>
      </c>
      <c r="S40" s="18" t="s">
        <v>66</v>
      </c>
      <c r="T40" s="18"/>
      <c r="U40" s="18"/>
      <c r="V40" s="18" t="s">
        <v>66</v>
      </c>
      <c r="W40" s="18" t="s">
        <v>66</v>
      </c>
      <c r="X40" s="18" t="s">
        <v>68</v>
      </c>
      <c r="Y40" s="18" t="s">
        <v>68</v>
      </c>
      <c r="Z40" s="18" t="s">
        <v>68</v>
      </c>
      <c r="AA40" s="18" t="s">
        <v>68</v>
      </c>
      <c r="AB40" s="18" t="s">
        <v>68</v>
      </c>
      <c r="AC40" s="18" t="s">
        <v>68</v>
      </c>
      <c r="AD40" s="18" t="s">
        <v>68</v>
      </c>
      <c r="AE40" s="18" t="s">
        <v>66</v>
      </c>
      <c r="AF40" s="18" t="s">
        <v>66</v>
      </c>
      <c r="AG40" s="18" t="s">
        <v>66</v>
      </c>
      <c r="AH40" s="27">
        <f>COUNTA(月1[[#This Row],[1]:[31]])</f>
        <v>17</v>
      </c>
    </row>
    <row r="41" spans="2:34" ht="30" customHeight="1" x14ac:dyDescent="0.25">
      <c r="B41" s="31" t="s">
        <v>107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 t="s">
        <v>66</v>
      </c>
      <c r="W41" s="18" t="s">
        <v>66</v>
      </c>
      <c r="X41" s="18" t="s">
        <v>66</v>
      </c>
      <c r="Y41" s="18" t="s">
        <v>66</v>
      </c>
      <c r="Z41" s="18" t="s">
        <v>66</v>
      </c>
      <c r="AA41" s="18"/>
      <c r="AB41" s="18"/>
      <c r="AC41" s="18"/>
      <c r="AD41" s="18"/>
      <c r="AE41" s="18" t="s">
        <v>66</v>
      </c>
      <c r="AF41" s="18" t="s">
        <v>66</v>
      </c>
      <c r="AG41" s="18" t="s">
        <v>66</v>
      </c>
      <c r="AH41" s="27">
        <f>COUNTA(月3[[#This Row],[1]:[31]])</f>
        <v>6</v>
      </c>
    </row>
    <row r="42" spans="2:34" ht="30" customHeight="1" x14ac:dyDescent="0.25">
      <c r="B42" s="31" t="s">
        <v>108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 t="s">
        <v>66</v>
      </c>
      <c r="W42" s="18" t="s">
        <v>66</v>
      </c>
      <c r="X42" s="18" t="s">
        <v>66</v>
      </c>
      <c r="Y42" s="18" t="s">
        <v>66</v>
      </c>
      <c r="Z42" s="18" t="s">
        <v>66</v>
      </c>
      <c r="AA42" s="18"/>
      <c r="AB42" s="18"/>
      <c r="AC42" s="18"/>
      <c r="AD42" s="18"/>
      <c r="AE42" s="18" t="s">
        <v>66</v>
      </c>
      <c r="AF42" s="18" t="s">
        <v>66</v>
      </c>
      <c r="AG42" s="18" t="s">
        <v>66</v>
      </c>
      <c r="AH42" s="27">
        <f>COUNTA(月3[[#This Row],[1]:[31]])</f>
        <v>6</v>
      </c>
    </row>
    <row r="43" spans="2:34" ht="30" customHeight="1" x14ac:dyDescent="0.25">
      <c r="B43" s="31" t="s">
        <v>109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 t="s">
        <v>66</v>
      </c>
      <c r="AF43" s="18" t="s">
        <v>66</v>
      </c>
      <c r="AG43" s="18" t="s">
        <v>66</v>
      </c>
      <c r="AH43" s="27">
        <f>COUNTA(月3[[#This Row],[1]:[31]])</f>
        <v>6</v>
      </c>
    </row>
    <row r="44" spans="2:34" ht="30" customHeight="1" x14ac:dyDescent="0.25">
      <c r="B44" s="31" t="s">
        <v>110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 t="s">
        <v>66</v>
      </c>
      <c r="AF44" s="18" t="s">
        <v>66</v>
      </c>
      <c r="AG44" s="18" t="s">
        <v>66</v>
      </c>
      <c r="AH44" s="27">
        <f>COUNTA(月3[[#This Row],[1]:[31]])</f>
        <v>6</v>
      </c>
    </row>
    <row r="45" spans="2:34" ht="30" customHeight="1" x14ac:dyDescent="0.25">
      <c r="B45" s="31" t="s">
        <v>111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 t="s">
        <v>66</v>
      </c>
      <c r="AF45" s="18" t="s">
        <v>66</v>
      </c>
      <c r="AG45" s="18" t="s">
        <v>66</v>
      </c>
      <c r="AH45" s="27">
        <f>COUNTA(月3[[#This Row],[1]:[31]])</f>
        <v>6</v>
      </c>
    </row>
    <row r="46" spans="2:34" ht="30" customHeight="1" x14ac:dyDescent="0.25">
      <c r="B46" s="31" t="s">
        <v>112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 t="s">
        <v>66</v>
      </c>
      <c r="AF46" s="18" t="s">
        <v>66</v>
      </c>
      <c r="AG46" s="18" t="s">
        <v>66</v>
      </c>
      <c r="AH46" s="27">
        <f>COUNTA(月3[[#This Row],[1]:[31]])</f>
        <v>6</v>
      </c>
    </row>
    <row r="47" spans="2:34" ht="30" customHeight="1" x14ac:dyDescent="0.25">
      <c r="B47" s="31" t="s">
        <v>113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 t="s">
        <v>66</v>
      </c>
      <c r="AF47" s="18" t="s">
        <v>66</v>
      </c>
      <c r="AG47" s="18" t="s">
        <v>66</v>
      </c>
      <c r="AH47" s="27">
        <f>COUNTA(月3[[#This Row],[1]:[31]])</f>
        <v>6</v>
      </c>
    </row>
    <row r="48" spans="2:34" ht="30" customHeight="1" x14ac:dyDescent="0.25">
      <c r="B48" s="31" t="s">
        <v>114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 t="s">
        <v>66</v>
      </c>
      <c r="AF48" s="18" t="s">
        <v>66</v>
      </c>
      <c r="AG48" s="18" t="s">
        <v>66</v>
      </c>
      <c r="AH48" s="27">
        <f>COUNTA(月3[[#This Row],[1]:[31]])</f>
        <v>6</v>
      </c>
    </row>
    <row r="49" spans="2:34" ht="30" customHeight="1" x14ac:dyDescent="0.25">
      <c r="B49" s="31" t="s">
        <v>115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 t="s">
        <v>66</v>
      </c>
      <c r="AF49" s="18" t="s">
        <v>66</v>
      </c>
      <c r="AG49" s="18" t="s">
        <v>66</v>
      </c>
      <c r="AH49" s="27">
        <f>COUNTA(月3[[#This Row],[1]:[31]])</f>
        <v>6</v>
      </c>
    </row>
    <row r="50" spans="2:34" ht="30" customHeight="1" x14ac:dyDescent="0.25">
      <c r="B50" s="31" t="s">
        <v>116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 t="s">
        <v>66</v>
      </c>
      <c r="AF50" s="18" t="s">
        <v>66</v>
      </c>
      <c r="AG50" s="18" t="s">
        <v>66</v>
      </c>
      <c r="AH50" s="27">
        <f>COUNTA(月3[[#This Row],[1]:[31]])</f>
        <v>6</v>
      </c>
    </row>
    <row r="51" spans="2:34" ht="30" customHeight="1" x14ac:dyDescent="0.25">
      <c r="B51" s="31" t="s">
        <v>117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 t="s">
        <v>66</v>
      </c>
      <c r="AF51" s="18" t="s">
        <v>66</v>
      </c>
      <c r="AG51" s="18" t="s">
        <v>66</v>
      </c>
      <c r="AH51" s="27">
        <f>COUNTA(月3[[#This Row],[1]:[31]])</f>
        <v>6</v>
      </c>
    </row>
    <row r="52" spans="2:34" ht="30" customHeight="1" x14ac:dyDescent="0.25">
      <c r="B52" s="31" t="s">
        <v>118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 t="s">
        <v>66</v>
      </c>
      <c r="AF52" s="18" t="s">
        <v>66</v>
      </c>
      <c r="AG52" s="18" t="s">
        <v>66</v>
      </c>
      <c r="AH52" s="27">
        <f>COUNTA(月3[[#This Row],[1]:[31]])</f>
        <v>6</v>
      </c>
    </row>
    <row r="53" spans="2:34" ht="30" customHeight="1" x14ac:dyDescent="0.25">
      <c r="B53" s="21" t="str">
        <f>MonthName&amp;"集計"</f>
        <v>1月集計</v>
      </c>
      <c r="C53" s="22">
        <f>SUBTOTAL(103,'1月'!$C$9:$C$52)</f>
        <v>0</v>
      </c>
      <c r="D53" s="22">
        <f>SUBTOTAL(103,'1月'!$D$9:$D$52)</f>
        <v>0</v>
      </c>
      <c r="E53" s="22">
        <f>SUBTOTAL(103,'1月'!$E$9:$E$52)</f>
        <v>0</v>
      </c>
      <c r="F53" s="22">
        <f>SUBTOTAL(103,'1月'!$F$9:$F$52)</f>
        <v>0</v>
      </c>
      <c r="G53" s="22">
        <f>SUBTOTAL(103,'1月'!$G$9:$G$52)</f>
        <v>0</v>
      </c>
      <c r="H53" s="22">
        <f>SUBTOTAL(103,'1月'!$H$9:$H$52)</f>
        <v>0</v>
      </c>
      <c r="I53" s="22">
        <f>SUBTOTAL(103,'1月'!$I$9:$I$52)</f>
        <v>0</v>
      </c>
      <c r="J53" s="22">
        <f>SUBTOTAL(103,'1月'!$J$9:$J$52)</f>
        <v>0</v>
      </c>
      <c r="K53" s="22">
        <f>SUBTOTAL(103,'1月'!$K$9:$K$52)</f>
        <v>0</v>
      </c>
      <c r="L53" s="22">
        <f>SUBTOTAL(103,'1月'!$L$9:$L$52)</f>
        <v>0</v>
      </c>
      <c r="M53" s="22">
        <f>SUBTOTAL(103,'1月'!$M$9:$M$52)</f>
        <v>0</v>
      </c>
      <c r="N53" s="22">
        <f>SUBTOTAL(103,'1月'!$N$9:$N$52)</f>
        <v>0</v>
      </c>
      <c r="O53" s="22">
        <f>SUBTOTAL(103,'1月'!$O$9:$O$52)</f>
        <v>21</v>
      </c>
      <c r="P53" s="22">
        <f>SUBTOTAL(103,'1月'!$P$9:$P$52)</f>
        <v>21</v>
      </c>
      <c r="Q53" s="22">
        <f>SUBTOTAL(103,'1月'!$Q$9:$Q$52)</f>
        <v>21</v>
      </c>
      <c r="R53" s="22">
        <f>SUBTOTAL(103,'1月'!$R$9:$R$52)</f>
        <v>22</v>
      </c>
      <c r="S53" s="22">
        <f>SUBTOTAL(103,'1月'!$S$9:$S$52)</f>
        <v>22</v>
      </c>
      <c r="T53" s="22">
        <f>SUBTOTAL(103,'1月'!$T$9:$T$52)</f>
        <v>1</v>
      </c>
      <c r="U53" s="22">
        <f>SUBTOTAL(103,'1月'!$U$9:$U$52)</f>
        <v>1</v>
      </c>
      <c r="V53" s="22">
        <f>SUBTOTAL(103,'1月'!$V$9:$V$52)</f>
        <v>26</v>
      </c>
      <c r="W53" s="22">
        <f>SUBTOTAL(103,'1月'!$W$9:$W$52)</f>
        <v>26</v>
      </c>
      <c r="X53" s="22">
        <f>SUBTOTAL(103,'1月'!$X$9:$X$52)</f>
        <v>26</v>
      </c>
      <c r="Y53" s="22">
        <f>SUBTOTAL(103,'1月'!$Y$9:$Y$52)</f>
        <v>26</v>
      </c>
      <c r="Z53" s="22">
        <f>SUBTOTAL(103,'1月'!$Z$9:$Z$52)</f>
        <v>26</v>
      </c>
      <c r="AA53" s="22">
        <f>SUBTOTAL(103,'1月'!$AA$9:$AA$52)</f>
        <v>22</v>
      </c>
      <c r="AB53" s="22">
        <f>SUBTOTAL(103,'1月'!$AB$9:$AB$52)</f>
        <v>22</v>
      </c>
      <c r="AC53" s="22">
        <f>SUBTOTAL(103,'1月'!$AC$9:$AC$52)</f>
        <v>22</v>
      </c>
      <c r="AD53" s="22">
        <f>SUBTOTAL(103,'1月'!$AD$9:$AD$52)</f>
        <v>22</v>
      </c>
      <c r="AE53" s="22">
        <f>SUBTOTAL(103,'1月'!$AE$9:$AE$52)</f>
        <v>44</v>
      </c>
      <c r="AF53" s="22">
        <f>SUBTOTAL(103,'1月'!$AF$9:$AF$52)</f>
        <v>44</v>
      </c>
      <c r="AG53" s="22">
        <f>SUBTOTAL(103,'1月'!$AG$9:$AG$52)</f>
        <v>44</v>
      </c>
      <c r="AH53" s="22">
        <f>SUBTOTAL(109,月1[合計日数])</f>
        <v>485</v>
      </c>
    </row>
  </sheetData>
  <mergeCells count="6">
    <mergeCell ref="C6:AG6"/>
    <mergeCell ref="D4:F4"/>
    <mergeCell ref="H4:J4"/>
    <mergeCell ref="L4:M4"/>
    <mergeCell ref="O4:Q4"/>
    <mergeCell ref="S4:U4"/>
  </mergeCells>
  <phoneticPr fontId="10"/>
  <conditionalFormatting sqref="C20:U21 AA20:AD21 C22:AD30">
    <cfRule type="expression" priority="38" stopIfTrue="1">
      <formula>C20=""</formula>
    </cfRule>
    <cfRule type="expression" dxfId="506" priority="43" stopIfTrue="1">
      <formula>C20=KeyVacation</formula>
    </cfRule>
    <cfRule type="expression" dxfId="505" priority="42" stopIfTrue="1">
      <formula>C20=KeyPersonal</formula>
    </cfRule>
    <cfRule type="expression" dxfId="504" priority="41" stopIfTrue="1">
      <formula>C20=KeySick</formula>
    </cfRule>
    <cfRule type="expression" dxfId="503" priority="40" stopIfTrue="1">
      <formula>C20=KeyCustom1</formula>
    </cfRule>
    <cfRule type="expression" dxfId="502" priority="39" stopIfTrue="1">
      <formula>C20=KeyCustom2</formula>
    </cfRule>
  </conditionalFormatting>
  <conditionalFormatting sqref="C41:U42 AA41:AD42 C43:AD52">
    <cfRule type="expression" priority="13" stopIfTrue="1">
      <formula>C41=""</formula>
    </cfRule>
    <cfRule type="expression" dxfId="501" priority="14" stopIfTrue="1">
      <formula>C41=KeyCustom2</formula>
    </cfRule>
    <cfRule type="expression" dxfId="500" priority="15" stopIfTrue="1">
      <formula>C41=KeyCustom1</formula>
    </cfRule>
    <cfRule type="expression" dxfId="499" priority="16" stopIfTrue="1">
      <formula>C41=KeySick</formula>
    </cfRule>
    <cfRule type="expression" dxfId="498" priority="17" stopIfTrue="1">
      <formula>C41=KeyPersonal</formula>
    </cfRule>
    <cfRule type="expression" dxfId="497" priority="18" stopIfTrue="1">
      <formula>C41=KeyVacation</formula>
    </cfRule>
  </conditionalFormatting>
  <conditionalFormatting sqref="C9:AG19 V20:Z21 C31:N40 T31:AG40">
    <cfRule type="expression" dxfId="496" priority="56" stopIfTrue="1">
      <formula>C9=KeyVacation</formula>
    </cfRule>
    <cfRule type="expression" dxfId="495" priority="55" stopIfTrue="1">
      <formula>C9=KeyPersonal</formula>
    </cfRule>
    <cfRule type="expression" dxfId="494" priority="54" stopIfTrue="1">
      <formula>C9=KeySick</formula>
    </cfRule>
    <cfRule type="expression" dxfId="493" priority="53" stopIfTrue="1">
      <formula>C9=KeyCustom1</formula>
    </cfRule>
    <cfRule type="expression" dxfId="492" priority="52" stopIfTrue="1">
      <formula>C9=KeyCustom2</formula>
    </cfRule>
    <cfRule type="expression" priority="47" stopIfTrue="1">
      <formula>C9=""</formula>
    </cfRule>
  </conditionalFormatting>
  <conditionalFormatting sqref="O31:S40">
    <cfRule type="expression" dxfId="491" priority="31" stopIfTrue="1">
      <formula>O31=KeyVacation</formula>
    </cfRule>
    <cfRule type="expression" priority="26" stopIfTrue="1">
      <formula>O31=""</formula>
    </cfRule>
    <cfRule type="expression" dxfId="490" priority="27" stopIfTrue="1">
      <formula>O31=KeyCustom2</formula>
    </cfRule>
    <cfRule type="expression" dxfId="489" priority="28" stopIfTrue="1">
      <formula>O31=KeyCustom1</formula>
    </cfRule>
    <cfRule type="expression" dxfId="488" priority="29" stopIfTrue="1">
      <formula>O31=KeySick</formula>
    </cfRule>
    <cfRule type="expression" dxfId="487" priority="30" stopIfTrue="1">
      <formula>O31=KeyPersonal</formula>
    </cfRule>
  </conditionalFormatting>
  <conditionalFormatting sqref="V41:Z42">
    <cfRule type="expression" priority="1" stopIfTrue="1">
      <formula>V41=""</formula>
    </cfRule>
    <cfRule type="expression" dxfId="486" priority="6" stopIfTrue="1">
      <formula>V41=KeyVacation</formula>
    </cfRule>
    <cfRule type="expression" dxfId="485" priority="5" stopIfTrue="1">
      <formula>V41=KeyPersonal</formula>
    </cfRule>
    <cfRule type="expression" dxfId="484" priority="4" stopIfTrue="1">
      <formula>V41=KeySick</formula>
    </cfRule>
    <cfRule type="expression" dxfId="483" priority="3" stopIfTrue="1">
      <formula>V41=KeyCustom1</formula>
    </cfRule>
    <cfRule type="expression" dxfId="482" priority="2" stopIfTrue="1">
      <formula>V41=KeyCustom2</formula>
    </cfRule>
  </conditionalFormatting>
  <conditionalFormatting sqref="AE20:AG30">
    <cfRule type="expression" priority="32" stopIfTrue="1">
      <formula>AE20=""</formula>
    </cfRule>
    <cfRule type="expression" dxfId="481" priority="33" stopIfTrue="1">
      <formula>AE20=KeyCustom2</formula>
    </cfRule>
    <cfRule type="expression" dxfId="480" priority="34" stopIfTrue="1">
      <formula>AE20=KeyCustom1</formula>
    </cfRule>
    <cfRule type="expression" dxfId="479" priority="35" stopIfTrue="1">
      <formula>AE20=KeySick</formula>
    </cfRule>
    <cfRule type="expression" dxfId="478" priority="36" stopIfTrue="1">
      <formula>AE20=KeyPersonal</formula>
    </cfRule>
    <cfRule type="expression" dxfId="477" priority="37" stopIfTrue="1">
      <formula>AE20=KeyVacation</formula>
    </cfRule>
  </conditionalFormatting>
  <conditionalFormatting sqref="AE41:AG52">
    <cfRule type="expression" dxfId="476" priority="12" stopIfTrue="1">
      <formula>AE41=KeyVacation</formula>
    </cfRule>
    <cfRule type="expression" dxfId="475" priority="11" stopIfTrue="1">
      <formula>AE41=KeyPersonal</formula>
    </cfRule>
    <cfRule type="expression" dxfId="474" priority="10" stopIfTrue="1">
      <formula>AE41=KeySick</formula>
    </cfRule>
    <cfRule type="expression" dxfId="473" priority="9" stopIfTrue="1">
      <formula>AE41=KeyCustom1</formula>
    </cfRule>
    <cfRule type="expression" dxfId="472" priority="8" stopIfTrue="1">
      <formula>AE41=KeyCustom2</formula>
    </cfRule>
    <cfRule type="expression" priority="7" stopIfTrue="1">
      <formula>AE41=""</formula>
    </cfRule>
  </conditionalFormatting>
  <conditionalFormatting sqref="AH9:AH19 AH31:AH40">
    <cfRule type="dataBar" priority="214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conditionalFormatting sqref="AH20:AH30">
    <cfRule type="dataBar" priority="44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{E31ED9B1-8F88-45A0-888C-8D22DCF69C39}</x14:id>
        </ext>
      </extLst>
    </cfRule>
  </conditionalFormatting>
  <conditionalFormatting sqref="AH41:AH52">
    <cfRule type="dataBar" priority="19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{19CEC49B-067A-4C40-B2A6-2EFCF5A931DA}</x14:id>
        </ext>
      </extLst>
    </cfRule>
  </conditionalFormatting>
  <dataValidations count="16">
    <dataValidation allowBlank="1" showInputMessage="1" showErrorMessage="1" prompt="この行の月の日付は、自動的に生成されます。従業員の欠勤と欠勤の種類を月の各日付の各列に入力します。空白は欠勤でないことを示します" sqref="C8" xr:uid="{FAB55708-481E-2E48-9F66-3C8E8545F6B0}"/>
    <dataValidation allowBlank="1" showErrorMessage="1" prompt="文字 &quot;V&quot; は休暇のための欠勤を表します" sqref="C4" xr:uid="{9058FE4E-B17F-E943-9A83-5582DE92BDB6}"/>
    <dataValidation allowBlank="1" showErrorMessage="1" prompt="文字 &quot;P&quot; は私用による欠勤を表します" sqref="G4" xr:uid="{C4744D51-42B4-0342-B86A-BE9D6063B807}"/>
    <dataValidation allowBlank="1" showErrorMessage="1" prompt="文字 &quot;S&quot; は病欠を表します" sqref="K4" xr:uid="{EBA2AA00-2D66-0547-8889-4D34A2A72241}"/>
    <dataValidation allowBlank="1" showErrorMessage="1" prompt="右側に文字を入力してラベルをカスタマイズし、別のキー項目を追加します" sqref="R4 N4" xr:uid="{FEABEF84-83D3-7D42-BA7C-926AE09CBA1E}"/>
    <dataValidation allowBlank="1" showInputMessage="1" showErrorMessage="1" prompt="左側にカスタム キーを表すラベルを入力します" sqref="O4:Q4 S4:U4" xr:uid="{12884A59-5F75-0848-A6CD-363E691B1D2A}"/>
    <dataValidation allowBlank="1" showInputMessage="1" showErrorMessage="1" prompt="従業員の欠勤管理では、各月の日ごとの従業員の欠勤を管理します。13 枚のワークシートがあり、12 枚が月単位、最後の 1 枚は従業員の名前別になっています。このワークシートで 1 月の欠勤を管理します" sqref="A1" xr:uid="{00000000-0002-0000-0000-00000D000000}"/>
    <dataValidation allowBlank="1" showInputMessage="1" showErrorMessage="1" prompt="下のセルに年を入力します" sqref="AH5" xr:uid="{00000000-0002-0000-0000-00000E000000}"/>
    <dataValidation allowBlank="1" showInputMessage="1" showErrorMessage="1" prompt="このセルには、この欠勤管理の月の名前が入ります。テーブルの最後のセルには、この月の欠勤日数の合計が表示されます。テーブルの列 B で従業員名を選択します" sqref="B2" xr:uid="{DF4494D1-42F6-BB47-AFAB-18021A3441AC}"/>
    <dataValidation allowBlank="1" showInputMessage="1" showErrorMessage="1" prompt="このセルには、自動的に更新されるタイトルが入ります。タイトルを変更するには、1 月のワークシートの B1 を更新します" sqref="B2" xr:uid="{20FFCBA6-5698-4E4B-9E75-1B2FD678A862}"/>
    <dataValidation errorStyle="warning" allowBlank="1" showInputMessage="1" showErrorMessage="1" error="リストから名前を選択します。[キャンセル] を選択し、Alt キーを押しながら下方向キーを押してから、Enter キーを押して名前を選択します" prompt="従業員名ワークシートに従業員の名前を入力し、この列のリストから名前を選びます。Alt キーを押しながら下矢印キーを押して、Enter キーを押して名前を選択します" sqref="B8" xr:uid="{FE3C1916-A13B-EF44-83B6-EF87C12834B2}"/>
    <dataValidation allowBlank="1" showInputMessage="1" showErrorMessage="1" prompt="この列で、従業員の今月の欠勤日数の合計を自動的に計算します" sqref="AH8" xr:uid="{17D68424-3ED0-774F-A440-37779B4905D7}"/>
    <dataValidation allowBlank="1" showInputMessage="1" showErrorMessage="1" prompt="このセルに年を入力します" sqref="AH6" xr:uid="{00000000-0002-0000-0000-000000000000}"/>
    <dataValidation allowBlank="1" showInputMessage="1" showErrorMessage="1" prompt="この行の曜日は、AH4 の年に従い当月に応じて自動的に更新されます。月の各日付は、従業員の欠勤と欠勤の種類を記録するための列です" sqref="C7" xr:uid="{F6CAA384-C773-F044-845D-980CB65F95B2}"/>
    <dataValidation allowBlank="1" showInputMessage="1" showErrorMessage="1" prompt="この行には、テーブルで使用するキーが定義されています。セル C4 は休暇、G4 は私用、K4 は病欠です。セル N4 と R4 はカスタマイズ可能です" sqref="B4" xr:uid="{254C5299-B8DC-4E28-AD10-F93B45AED253}"/>
    <dataValidation allowBlank="1" showInputMessage="1" showErrorMessage="1" prompt="このセルには、ワークシートのタイトルが入ります。" sqref="B1" xr:uid="{F61E6882-FE5C-43CD-B756-4B881652736D}"/>
  </dataValidations>
  <pageMargins left="0.7" right="0.7" top="0.75" bottom="0.75" header="0.3" footer="0.3"/>
  <pageSetup paperSize="9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AH9:AH19 AH31:AH40</xm:sqref>
        </x14:conditionalFormatting>
        <x14:conditionalFormatting xmlns:xm="http://schemas.microsoft.com/office/excel/2006/main">
          <x14:cfRule type="dataBar" id="{E31ED9B1-8F88-45A0-888C-8D22DCF69C39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AH20:AH30</xm:sqref>
        </x14:conditionalFormatting>
        <x14:conditionalFormatting xmlns:xm="http://schemas.microsoft.com/office/excel/2006/main">
          <x14:cfRule type="dataBar" id="{19CEC49B-067A-4C40-B2A6-2EFCF5A931DA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AH41:AH52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50ACC7-56EF-4E68-B1CD-390E34F3A7ED}">
          <x14:formula1>
            <xm:f>従業員名!$B$4:$B$35</xm:f>
          </x14:formula1>
          <xm:sqref>B9:B19 B31:B40</xm:sqref>
        </x14:dataValidation>
        <x14:dataValidation type="list" allowBlank="1" showInputMessage="1" showErrorMessage="1" xr:uid="{6AA9F9FC-6AA6-4BF1-9AD8-F4E3444B5331}">
          <x14:formula1>
            <xm:f>従業員名!$B$4:$B$47</xm:f>
          </x14:formula1>
          <xm:sqref>B20:B30 B41:B52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6" tint="0.39997558519241921"/>
  </sheetPr>
  <dimension ref="A1:AH53"/>
  <sheetViews>
    <sheetView showGridLines="0" zoomScaleNormal="100" workbookViewId="0">
      <selection activeCell="G4" sqref="G4"/>
    </sheetView>
  </sheetViews>
  <sheetFormatPr defaultColWidth="9.21875" defaultRowHeight="30" customHeight="1" x14ac:dyDescent="0.25"/>
  <cols>
    <col min="1" max="1" width="2.88671875" customWidth="1"/>
    <col min="2" max="2" width="25.77734375" customWidth="1"/>
    <col min="3" max="33" width="4.77734375" customWidth="1"/>
    <col min="34" max="34" width="13.44140625" customWidth="1"/>
    <col min="35" max="35" width="2.88671875" customWidth="1"/>
  </cols>
  <sheetData>
    <row r="1" spans="1:34" ht="26.45" customHeight="1" x14ac:dyDescent="0.35">
      <c r="B1" s="2" t="s">
        <v>0</v>
      </c>
    </row>
    <row r="2" spans="1:34" s="23" customFormat="1" ht="48.6" customHeight="1" x14ac:dyDescent="0.25">
      <c r="A2"/>
      <c r="B2" s="28" t="s">
        <v>133</v>
      </c>
    </row>
    <row r="3" spans="1:34" ht="8.4499999999999993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30" customHeight="1" x14ac:dyDescent="0.25">
      <c r="B4" s="8" t="s">
        <v>2</v>
      </c>
      <c r="C4" s="9" t="s">
        <v>3</v>
      </c>
      <c r="D4" s="37" t="s">
        <v>4</v>
      </c>
      <c r="E4" s="37"/>
      <c r="F4" s="37"/>
      <c r="G4" s="10" t="s">
        <v>5</v>
      </c>
      <c r="H4" s="37" t="s">
        <v>6</v>
      </c>
      <c r="I4" s="37"/>
      <c r="J4" s="37"/>
      <c r="K4" s="11"/>
      <c r="L4" s="37"/>
      <c r="M4" s="37"/>
      <c r="N4" s="12"/>
      <c r="O4" s="37" t="s">
        <v>7</v>
      </c>
      <c r="P4" s="37"/>
      <c r="Q4" s="37"/>
      <c r="R4" s="13"/>
      <c r="S4" s="37" t="s">
        <v>8</v>
      </c>
      <c r="T4" s="37"/>
      <c r="U4" s="37"/>
    </row>
    <row r="5" spans="1:34" ht="8.4499999999999993" customHeight="1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1:34" ht="15" customHeight="1" x14ac:dyDescent="0.25">
      <c r="B6" s="1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15">
        <v>2025</v>
      </c>
    </row>
    <row r="7" spans="1:34" ht="30" customHeight="1" x14ac:dyDescent="0.25">
      <c r="B7" s="15"/>
      <c r="C7" s="16" t="str">
        <f>TEXT(WEEKDAY(DATE($AH$6,2,1),1),"aaa")</f>
        <v>土</v>
      </c>
      <c r="D7" s="16" t="str">
        <f>TEXT(WEEKDAY(DATE($AH$6,2,2),1),"aaa")</f>
        <v>日</v>
      </c>
      <c r="E7" s="16" t="str">
        <f>TEXT(WEEKDAY(DATE($AH$6,2,3),1),"aaa")</f>
        <v>月</v>
      </c>
      <c r="F7" s="16" t="str">
        <f>TEXT(WEEKDAY(DATE($AH$6,2,4),1),"aaa")</f>
        <v>火</v>
      </c>
      <c r="G7" s="16" t="str">
        <f>TEXT(WEEKDAY(DATE($AH$6,2,5),1),"aaa")</f>
        <v>水</v>
      </c>
      <c r="H7" s="16" t="str">
        <f>TEXT(WEEKDAY(DATE($AH$6,2,6),1),"aaa")</f>
        <v>木</v>
      </c>
      <c r="I7" s="16" t="str">
        <f>TEXT(WEEKDAY(DATE($AH$6,2,7),1),"aaa")</f>
        <v>金</v>
      </c>
      <c r="J7" s="16" t="str">
        <f>TEXT(WEEKDAY(DATE($AH$6,2,8),1),"aaa")</f>
        <v>土</v>
      </c>
      <c r="K7" s="16" t="str">
        <f>TEXT(WEEKDAY(DATE($AH$6,2,9),1),"aaa")</f>
        <v>日</v>
      </c>
      <c r="L7" s="16" t="str">
        <f>TEXT(WEEKDAY(DATE($AH$6,2,10),1),"aaa")</f>
        <v>月</v>
      </c>
      <c r="M7" s="16" t="str">
        <f>TEXT(WEEKDAY(DATE($AH$6,2,11),1),"aaa")</f>
        <v>火</v>
      </c>
      <c r="N7" s="16" t="str">
        <f>TEXT(WEEKDAY(DATE($AH$6,2,12),1),"aaa")</f>
        <v>水</v>
      </c>
      <c r="O7" s="16" t="str">
        <f>TEXT(WEEKDAY(DATE($AH$6,2,13),1),"aaa")</f>
        <v>木</v>
      </c>
      <c r="P7" s="16" t="str">
        <f>TEXT(WEEKDAY(DATE($AH$6,2,14),1),"aaa")</f>
        <v>金</v>
      </c>
      <c r="Q7" s="16" t="str">
        <f>TEXT(WEEKDAY(DATE($AH$6,2,15),1),"aaa")</f>
        <v>土</v>
      </c>
      <c r="R7" s="16" t="str">
        <f>TEXT(WEEKDAY(DATE($AH$6,2,16),1),"aaa")</f>
        <v>日</v>
      </c>
      <c r="S7" s="16" t="str">
        <f>TEXT(WEEKDAY(DATE($AH$6,2,17),1),"aaa")</f>
        <v>月</v>
      </c>
      <c r="T7" s="16" t="str">
        <f>TEXT(WEEKDAY(DATE($AH$6,2,18),1),"aaa")</f>
        <v>火</v>
      </c>
      <c r="U7" s="16" t="str">
        <f>TEXT(WEEKDAY(DATE($AH$6,2,19),1),"aaa")</f>
        <v>水</v>
      </c>
      <c r="V7" s="16" t="str">
        <f>TEXT(WEEKDAY(DATE($AH$6,2,20),1),"aaa")</f>
        <v>木</v>
      </c>
      <c r="W7" s="16" t="str">
        <f>TEXT(WEEKDAY(DATE($AH$6,2,21),1),"aaa")</f>
        <v>金</v>
      </c>
      <c r="X7" s="16" t="str">
        <f>TEXT(WEEKDAY(DATE($AH$6,2,22),1),"aaa")</f>
        <v>土</v>
      </c>
      <c r="Y7" s="16" t="str">
        <f>TEXT(WEEKDAY(DATE($AH$6,2,23),1),"aaa")</f>
        <v>日</v>
      </c>
      <c r="Z7" s="16" t="str">
        <f>TEXT(WEEKDAY(DATE($AH$6,2,24),1),"aaa")</f>
        <v>月</v>
      </c>
      <c r="AA7" s="16" t="str">
        <f>TEXT(WEEKDAY(DATE($AH$6,2,25),1),"aaa")</f>
        <v>火</v>
      </c>
      <c r="AB7" s="16" t="str">
        <f>TEXT(WEEKDAY(DATE($AH$6,2,26),1),"aaa")</f>
        <v>水</v>
      </c>
      <c r="AC7" s="16" t="str">
        <f>TEXT(WEEKDAY(DATE($AH$6,2,27),1),"aaa")</f>
        <v>木</v>
      </c>
      <c r="AD7" s="16" t="str">
        <f>TEXT(WEEKDAY(DATE($AH$6,2,28),1),"aaa")</f>
        <v>金</v>
      </c>
      <c r="AE7" s="16" t="str">
        <f>TEXT(WEEKDAY(DATE($AH$6,2,29),1),"aaa")</f>
        <v>土</v>
      </c>
      <c r="AF7" s="16"/>
      <c r="AG7" s="16"/>
      <c r="AH7" s="15"/>
    </row>
    <row r="8" spans="1:34" ht="30" customHeight="1" x14ac:dyDescent="0.25">
      <c r="B8" s="17" t="s">
        <v>9</v>
      </c>
      <c r="C8" s="18" t="s">
        <v>10</v>
      </c>
      <c r="D8" s="18" t="s">
        <v>11</v>
      </c>
      <c r="E8" s="18" t="s">
        <v>12</v>
      </c>
      <c r="F8" s="18" t="s">
        <v>13</v>
      </c>
      <c r="G8" s="18" t="s">
        <v>14</v>
      </c>
      <c r="H8" s="18" t="s">
        <v>15</v>
      </c>
      <c r="I8" s="18" t="s">
        <v>16</v>
      </c>
      <c r="J8" s="18" t="s">
        <v>17</v>
      </c>
      <c r="K8" s="18" t="s">
        <v>18</v>
      </c>
      <c r="L8" s="18" t="s">
        <v>19</v>
      </c>
      <c r="M8" s="18" t="s">
        <v>20</v>
      </c>
      <c r="N8" s="18" t="s">
        <v>21</v>
      </c>
      <c r="O8" s="18" t="s">
        <v>22</v>
      </c>
      <c r="P8" s="18" t="s">
        <v>23</v>
      </c>
      <c r="Q8" s="18" t="s">
        <v>24</v>
      </c>
      <c r="R8" s="18" t="s">
        <v>25</v>
      </c>
      <c r="S8" s="18" t="s">
        <v>26</v>
      </c>
      <c r="T8" s="18" t="s">
        <v>27</v>
      </c>
      <c r="U8" s="18" t="s">
        <v>28</v>
      </c>
      <c r="V8" s="18" t="s">
        <v>29</v>
      </c>
      <c r="W8" s="18" t="s">
        <v>30</v>
      </c>
      <c r="X8" s="18" t="s">
        <v>31</v>
      </c>
      <c r="Y8" s="18" t="s">
        <v>32</v>
      </c>
      <c r="Z8" s="18" t="s">
        <v>33</v>
      </c>
      <c r="AA8" s="18" t="s">
        <v>34</v>
      </c>
      <c r="AB8" s="18" t="s">
        <v>35</v>
      </c>
      <c r="AC8" s="18" t="s">
        <v>36</v>
      </c>
      <c r="AD8" s="18" t="s">
        <v>37</v>
      </c>
      <c r="AE8" s="18" t="s">
        <v>38</v>
      </c>
      <c r="AF8" s="18" t="s">
        <v>40</v>
      </c>
      <c r="AG8" s="18" t="s">
        <v>134</v>
      </c>
      <c r="AH8" s="19" t="s">
        <v>41</v>
      </c>
    </row>
    <row r="9" spans="1:34" ht="30" customHeight="1" x14ac:dyDescent="0.25">
      <c r="B9" s="20" t="s">
        <v>75</v>
      </c>
      <c r="C9" s="18"/>
      <c r="D9" s="18" t="s">
        <v>66</v>
      </c>
      <c r="E9" s="18" t="s">
        <v>66</v>
      </c>
      <c r="F9" s="18" t="s">
        <v>66</v>
      </c>
      <c r="G9" s="18" t="s">
        <v>66</v>
      </c>
      <c r="H9" s="18" t="s">
        <v>68</v>
      </c>
      <c r="I9" s="18" t="s">
        <v>66</v>
      </c>
      <c r="J9" s="18" t="s">
        <v>66</v>
      </c>
      <c r="K9" s="18" t="s">
        <v>66</v>
      </c>
      <c r="L9" s="18" t="s">
        <v>66</v>
      </c>
      <c r="M9" s="18" t="s">
        <v>66</v>
      </c>
      <c r="N9" s="18" t="s">
        <v>66</v>
      </c>
      <c r="O9" s="18" t="s">
        <v>66</v>
      </c>
      <c r="P9" s="18" t="s">
        <v>66</v>
      </c>
      <c r="Q9" s="18" t="s">
        <v>66</v>
      </c>
      <c r="R9" s="18" t="s">
        <v>66</v>
      </c>
      <c r="S9" s="18" t="s">
        <v>66</v>
      </c>
      <c r="T9" s="18" t="s">
        <v>66</v>
      </c>
      <c r="U9" s="18"/>
      <c r="V9" s="18"/>
      <c r="W9" s="18"/>
      <c r="X9" s="18"/>
      <c r="Y9" s="18"/>
      <c r="Z9" s="34" t="s">
        <v>5</v>
      </c>
      <c r="AA9" s="34" t="s">
        <v>5</v>
      </c>
      <c r="AB9" s="34" t="s">
        <v>5</v>
      </c>
      <c r="AC9" s="34" t="s">
        <v>5</v>
      </c>
      <c r="AD9" s="34" t="s">
        <v>5</v>
      </c>
      <c r="AE9" s="18"/>
      <c r="AF9" s="18"/>
      <c r="AG9" s="18"/>
      <c r="AH9" s="27">
        <f>COUNTA('1月'!$C9:$AG9)</f>
        <v>17</v>
      </c>
    </row>
    <row r="10" spans="1:34" ht="30" customHeight="1" x14ac:dyDescent="0.25">
      <c r="B10" s="20" t="s">
        <v>76</v>
      </c>
      <c r="C10" s="18"/>
      <c r="D10" s="18" t="s">
        <v>66</v>
      </c>
      <c r="E10" s="18" t="s">
        <v>66</v>
      </c>
      <c r="F10" s="18" t="s">
        <v>66</v>
      </c>
      <c r="G10" s="18" t="s">
        <v>66</v>
      </c>
      <c r="H10" s="18" t="s">
        <v>68</v>
      </c>
      <c r="I10" s="18" t="s">
        <v>66</v>
      </c>
      <c r="J10" s="18" t="s">
        <v>66</v>
      </c>
      <c r="K10" s="18" t="s">
        <v>66</v>
      </c>
      <c r="L10" s="18" t="s">
        <v>66</v>
      </c>
      <c r="M10" s="18" t="s">
        <v>66</v>
      </c>
      <c r="N10" s="18" t="s">
        <v>66</v>
      </c>
      <c r="O10" s="18" t="s">
        <v>66</v>
      </c>
      <c r="P10" s="18" t="s">
        <v>66</v>
      </c>
      <c r="Q10" s="18" t="s">
        <v>66</v>
      </c>
      <c r="R10" s="18" t="s">
        <v>66</v>
      </c>
      <c r="S10" s="18" t="s">
        <v>66</v>
      </c>
      <c r="T10" s="18" t="s">
        <v>66</v>
      </c>
      <c r="U10" s="18"/>
      <c r="V10" s="18"/>
      <c r="W10" s="18"/>
      <c r="X10" s="18"/>
      <c r="Y10" s="18"/>
      <c r="Z10" s="34" t="s">
        <v>5</v>
      </c>
      <c r="AA10" s="34" t="s">
        <v>5</v>
      </c>
      <c r="AB10" s="34" t="s">
        <v>5</v>
      </c>
      <c r="AC10" s="34" t="s">
        <v>5</v>
      </c>
      <c r="AD10" s="34" t="s">
        <v>5</v>
      </c>
      <c r="AE10" s="18"/>
      <c r="AF10" s="18"/>
      <c r="AG10" s="18"/>
      <c r="AH10" s="27">
        <f>COUNTA('1月'!$C10:$AG10)</f>
        <v>17</v>
      </c>
    </row>
    <row r="11" spans="1:34" ht="30" customHeight="1" x14ac:dyDescent="0.25">
      <c r="B11" s="20" t="s">
        <v>77</v>
      </c>
      <c r="C11" s="18"/>
      <c r="D11" s="18" t="s">
        <v>66</v>
      </c>
      <c r="E11" s="18" t="s">
        <v>66</v>
      </c>
      <c r="F11" s="18" t="s">
        <v>66</v>
      </c>
      <c r="G11" s="18" t="s">
        <v>66</v>
      </c>
      <c r="H11" s="18" t="s">
        <v>68</v>
      </c>
      <c r="I11" s="18" t="s">
        <v>66</v>
      </c>
      <c r="J11" s="18" t="s">
        <v>66</v>
      </c>
      <c r="K11" s="18" t="s">
        <v>66</v>
      </c>
      <c r="L11" s="18" t="s">
        <v>66</v>
      </c>
      <c r="M11" s="18" t="s">
        <v>66</v>
      </c>
      <c r="N11" s="18" t="s">
        <v>66</v>
      </c>
      <c r="O11" s="18" t="s">
        <v>66</v>
      </c>
      <c r="P11" s="18" t="s">
        <v>66</v>
      </c>
      <c r="Q11" s="18" t="s">
        <v>66</v>
      </c>
      <c r="R11" s="18" t="s">
        <v>66</v>
      </c>
      <c r="S11" s="18" t="s">
        <v>66</v>
      </c>
      <c r="T11" s="18" t="s">
        <v>66</v>
      </c>
      <c r="U11" s="18"/>
      <c r="V11" s="18"/>
      <c r="W11" s="18"/>
      <c r="X11" s="18"/>
      <c r="Y11" s="18"/>
      <c r="Z11" s="34" t="s">
        <v>5</v>
      </c>
      <c r="AA11" s="34" t="s">
        <v>5</v>
      </c>
      <c r="AB11" s="34" t="s">
        <v>5</v>
      </c>
      <c r="AC11" s="34" t="s">
        <v>5</v>
      </c>
      <c r="AD11" s="34" t="s">
        <v>5</v>
      </c>
      <c r="AE11" s="18"/>
      <c r="AF11" s="18"/>
      <c r="AG11" s="18"/>
      <c r="AH11" s="27">
        <f>COUNTA('1月'!$C11:$AG11)</f>
        <v>17</v>
      </c>
    </row>
    <row r="12" spans="1:34" ht="30" customHeight="1" x14ac:dyDescent="0.25">
      <c r="B12" s="20" t="s">
        <v>78</v>
      </c>
      <c r="C12" s="18"/>
      <c r="D12" s="18" t="s">
        <v>66</v>
      </c>
      <c r="E12" s="18" t="s">
        <v>66</v>
      </c>
      <c r="F12" s="18" t="s">
        <v>66</v>
      </c>
      <c r="G12" s="18" t="s">
        <v>66</v>
      </c>
      <c r="H12" s="18" t="s">
        <v>68</v>
      </c>
      <c r="I12" s="18" t="s">
        <v>66</v>
      </c>
      <c r="J12" s="18" t="s">
        <v>66</v>
      </c>
      <c r="K12" s="18" t="s">
        <v>66</v>
      </c>
      <c r="L12" s="18" t="s">
        <v>66</v>
      </c>
      <c r="M12" s="18" t="s">
        <v>66</v>
      </c>
      <c r="N12" s="18" t="s">
        <v>66</v>
      </c>
      <c r="O12" s="18" t="s">
        <v>66</v>
      </c>
      <c r="P12" s="18" t="s">
        <v>66</v>
      </c>
      <c r="Q12" s="18" t="s">
        <v>66</v>
      </c>
      <c r="R12" s="18" t="s">
        <v>66</v>
      </c>
      <c r="S12" s="18" t="s">
        <v>66</v>
      </c>
      <c r="T12" s="18" t="s">
        <v>66</v>
      </c>
      <c r="U12" s="18"/>
      <c r="V12" s="18"/>
      <c r="W12" s="18"/>
      <c r="X12" s="18"/>
      <c r="Y12" s="18"/>
      <c r="Z12" s="34" t="s">
        <v>5</v>
      </c>
      <c r="AA12" s="34" t="s">
        <v>5</v>
      </c>
      <c r="AB12" s="34" t="s">
        <v>5</v>
      </c>
      <c r="AC12" s="34" t="s">
        <v>5</v>
      </c>
      <c r="AD12" s="34" t="s">
        <v>5</v>
      </c>
      <c r="AE12" s="18"/>
      <c r="AF12" s="18"/>
      <c r="AG12" s="18"/>
      <c r="AH12" s="27">
        <f>COUNTA('1月'!$C12:$AG12)</f>
        <v>17</v>
      </c>
    </row>
    <row r="13" spans="1:34" ht="30" customHeight="1" x14ac:dyDescent="0.25">
      <c r="B13" s="20" t="s">
        <v>79</v>
      </c>
      <c r="C13" s="18"/>
      <c r="D13" s="18" t="s">
        <v>66</v>
      </c>
      <c r="E13" s="18" t="s">
        <v>66</v>
      </c>
      <c r="F13" s="18" t="s">
        <v>66</v>
      </c>
      <c r="G13" s="18" t="s">
        <v>66</v>
      </c>
      <c r="H13" s="18" t="s">
        <v>68</v>
      </c>
      <c r="I13" s="18" t="s">
        <v>66</v>
      </c>
      <c r="J13" s="18" t="s">
        <v>66</v>
      </c>
      <c r="K13" s="18" t="s">
        <v>66</v>
      </c>
      <c r="L13" s="18" t="s">
        <v>66</v>
      </c>
      <c r="M13" s="18" t="s">
        <v>66</v>
      </c>
      <c r="N13" s="18" t="s">
        <v>66</v>
      </c>
      <c r="O13" s="18" t="s">
        <v>66</v>
      </c>
      <c r="P13" s="18" t="s">
        <v>66</v>
      </c>
      <c r="Q13" s="18" t="s">
        <v>66</v>
      </c>
      <c r="R13" s="18" t="s">
        <v>66</v>
      </c>
      <c r="S13" s="18" t="s">
        <v>66</v>
      </c>
      <c r="T13" s="18" t="s">
        <v>66</v>
      </c>
      <c r="U13" s="34" t="s">
        <v>5</v>
      </c>
      <c r="V13" s="34" t="s">
        <v>5</v>
      </c>
      <c r="W13" s="34" t="s">
        <v>5</v>
      </c>
      <c r="X13" s="34" t="s">
        <v>5</v>
      </c>
      <c r="Y13" s="34" t="s">
        <v>5</v>
      </c>
      <c r="Z13" s="34" t="s">
        <v>5</v>
      </c>
      <c r="AA13" s="34" t="s">
        <v>5</v>
      </c>
      <c r="AB13" s="34" t="s">
        <v>5</v>
      </c>
      <c r="AC13" s="34" t="s">
        <v>5</v>
      </c>
      <c r="AD13" s="34" t="s">
        <v>5</v>
      </c>
      <c r="AE13" s="18"/>
      <c r="AF13" s="18"/>
      <c r="AG13" s="18"/>
      <c r="AH13" s="27">
        <f>COUNTA('1月'!$C13:$AG13)</f>
        <v>17</v>
      </c>
    </row>
    <row r="14" spans="1:34" ht="30" customHeight="1" x14ac:dyDescent="0.25">
      <c r="B14" s="20" t="s">
        <v>80</v>
      </c>
      <c r="C14" s="18"/>
      <c r="D14" s="18" t="s">
        <v>66</v>
      </c>
      <c r="E14" s="18" t="s">
        <v>66</v>
      </c>
      <c r="F14" s="18" t="s">
        <v>66</v>
      </c>
      <c r="G14" s="18" t="s">
        <v>66</v>
      </c>
      <c r="H14" s="18" t="s">
        <v>68</v>
      </c>
      <c r="I14" s="18" t="s">
        <v>66</v>
      </c>
      <c r="J14" s="18" t="s">
        <v>66</v>
      </c>
      <c r="K14" s="18" t="s">
        <v>66</v>
      </c>
      <c r="L14" s="18" t="s">
        <v>66</v>
      </c>
      <c r="M14" s="18" t="s">
        <v>66</v>
      </c>
      <c r="N14" s="18" t="s">
        <v>66</v>
      </c>
      <c r="O14" s="18" t="s">
        <v>66</v>
      </c>
      <c r="P14" s="18" t="s">
        <v>66</v>
      </c>
      <c r="Q14" s="18" t="s">
        <v>66</v>
      </c>
      <c r="R14" s="18" t="s">
        <v>66</v>
      </c>
      <c r="S14" s="18" t="s">
        <v>66</v>
      </c>
      <c r="T14" s="18" t="s">
        <v>66</v>
      </c>
      <c r="U14" s="34" t="s">
        <v>5</v>
      </c>
      <c r="V14" s="34" t="s">
        <v>5</v>
      </c>
      <c r="W14" s="34" t="s">
        <v>5</v>
      </c>
      <c r="X14" s="34" t="s">
        <v>5</v>
      </c>
      <c r="Y14" s="34" t="s">
        <v>5</v>
      </c>
      <c r="Z14" s="34" t="s">
        <v>5</v>
      </c>
      <c r="AA14" s="34" t="s">
        <v>5</v>
      </c>
      <c r="AB14" s="34" t="s">
        <v>5</v>
      </c>
      <c r="AC14" s="34" t="s">
        <v>5</v>
      </c>
      <c r="AD14" s="34" t="s">
        <v>5</v>
      </c>
      <c r="AE14" s="18"/>
      <c r="AF14" s="18"/>
      <c r="AG14" s="18"/>
      <c r="AH14" s="27">
        <f>COUNTA('1月'!$C14:$AG14)</f>
        <v>17</v>
      </c>
    </row>
    <row r="15" spans="1:34" ht="30" customHeight="1" x14ac:dyDescent="0.25">
      <c r="B15" s="20" t="s">
        <v>81</v>
      </c>
      <c r="C15" s="18"/>
      <c r="D15" s="18" t="s">
        <v>66</v>
      </c>
      <c r="E15" s="18" t="s">
        <v>66</v>
      </c>
      <c r="F15" s="18" t="s">
        <v>66</v>
      </c>
      <c r="G15" s="18" t="s">
        <v>66</v>
      </c>
      <c r="H15" s="18" t="s">
        <v>68</v>
      </c>
      <c r="I15" s="18" t="s">
        <v>66</v>
      </c>
      <c r="J15" s="18" t="s">
        <v>66</v>
      </c>
      <c r="K15" s="18" t="s">
        <v>66</v>
      </c>
      <c r="L15" s="18" t="s">
        <v>66</v>
      </c>
      <c r="M15" s="18" t="s">
        <v>66</v>
      </c>
      <c r="N15" s="18" t="s">
        <v>66</v>
      </c>
      <c r="O15" s="18" t="s">
        <v>66</v>
      </c>
      <c r="P15" s="18" t="s">
        <v>66</v>
      </c>
      <c r="Q15" s="18" t="s">
        <v>66</v>
      </c>
      <c r="R15" s="18" t="s">
        <v>66</v>
      </c>
      <c r="S15" s="18" t="s">
        <v>66</v>
      </c>
      <c r="T15" s="18" t="s">
        <v>66</v>
      </c>
      <c r="U15" s="34" t="s">
        <v>5</v>
      </c>
      <c r="V15" s="34" t="s">
        <v>5</v>
      </c>
      <c r="W15" s="34" t="s">
        <v>5</v>
      </c>
      <c r="X15" s="34" t="s">
        <v>5</v>
      </c>
      <c r="Y15" s="34" t="s">
        <v>5</v>
      </c>
      <c r="Z15" s="34" t="s">
        <v>5</v>
      </c>
      <c r="AA15" s="34" t="s">
        <v>5</v>
      </c>
      <c r="AB15" s="34" t="s">
        <v>5</v>
      </c>
      <c r="AC15" s="34" t="s">
        <v>5</v>
      </c>
      <c r="AD15" s="34" t="s">
        <v>5</v>
      </c>
      <c r="AE15" s="18"/>
      <c r="AF15" s="18"/>
      <c r="AG15" s="18"/>
      <c r="AH15" s="27">
        <f>COUNTA('1月'!$C15:$AG15)</f>
        <v>17</v>
      </c>
    </row>
    <row r="16" spans="1:34" ht="30" customHeight="1" x14ac:dyDescent="0.25">
      <c r="B16" s="20" t="s">
        <v>82</v>
      </c>
      <c r="C16" s="18"/>
      <c r="D16" s="18" t="s">
        <v>66</v>
      </c>
      <c r="E16" s="18" t="s">
        <v>66</v>
      </c>
      <c r="F16" s="18" t="s">
        <v>66</v>
      </c>
      <c r="G16" s="18" t="s">
        <v>66</v>
      </c>
      <c r="H16" s="18" t="s">
        <v>68</v>
      </c>
      <c r="I16" s="18" t="s">
        <v>66</v>
      </c>
      <c r="J16" s="18" t="s">
        <v>66</v>
      </c>
      <c r="K16" s="18" t="s">
        <v>66</v>
      </c>
      <c r="L16" s="18" t="s">
        <v>66</v>
      </c>
      <c r="M16" s="18" t="s">
        <v>66</v>
      </c>
      <c r="N16" s="18" t="s">
        <v>66</v>
      </c>
      <c r="O16" s="18" t="s">
        <v>66</v>
      </c>
      <c r="P16" s="18" t="s">
        <v>66</v>
      </c>
      <c r="Q16" s="18" t="s">
        <v>66</v>
      </c>
      <c r="R16" s="18" t="s">
        <v>66</v>
      </c>
      <c r="S16" s="18" t="s">
        <v>66</v>
      </c>
      <c r="T16" s="18" t="s">
        <v>66</v>
      </c>
      <c r="U16" s="34" t="s">
        <v>5</v>
      </c>
      <c r="V16" s="34" t="s">
        <v>5</v>
      </c>
      <c r="W16" s="34" t="s">
        <v>5</v>
      </c>
      <c r="X16" s="34" t="s">
        <v>5</v>
      </c>
      <c r="Y16" s="34" t="s">
        <v>5</v>
      </c>
      <c r="Z16" s="34" t="s">
        <v>5</v>
      </c>
      <c r="AA16" s="34" t="s">
        <v>5</v>
      </c>
      <c r="AB16" s="34" t="s">
        <v>5</v>
      </c>
      <c r="AC16" s="34" t="s">
        <v>5</v>
      </c>
      <c r="AD16" s="34" t="s">
        <v>5</v>
      </c>
      <c r="AE16" s="18"/>
      <c r="AF16" s="18"/>
      <c r="AG16" s="18"/>
      <c r="AH16" s="27">
        <f>COUNTA('1月'!$C16:$AG16)</f>
        <v>17</v>
      </c>
    </row>
    <row r="17" spans="2:34" ht="30" customHeight="1" x14ac:dyDescent="0.25">
      <c r="B17" s="20" t="s">
        <v>83</v>
      </c>
      <c r="C17" s="18"/>
      <c r="D17" s="18" t="s">
        <v>66</v>
      </c>
      <c r="E17" s="18" t="s">
        <v>66</v>
      </c>
      <c r="F17" s="18" t="s">
        <v>66</v>
      </c>
      <c r="G17" s="18" t="s">
        <v>66</v>
      </c>
      <c r="H17" s="18" t="s">
        <v>68</v>
      </c>
      <c r="I17" s="18" t="s">
        <v>66</v>
      </c>
      <c r="J17" s="18" t="s">
        <v>66</v>
      </c>
      <c r="K17" s="18" t="s">
        <v>66</v>
      </c>
      <c r="L17" s="18" t="s">
        <v>66</v>
      </c>
      <c r="M17" s="18" t="s">
        <v>66</v>
      </c>
      <c r="N17" s="18" t="s">
        <v>66</v>
      </c>
      <c r="O17" s="18" t="s">
        <v>66</v>
      </c>
      <c r="P17" s="18" t="s">
        <v>66</v>
      </c>
      <c r="Q17" s="18" t="s">
        <v>66</v>
      </c>
      <c r="R17" s="18" t="s">
        <v>66</v>
      </c>
      <c r="S17" s="18" t="s">
        <v>66</v>
      </c>
      <c r="T17" s="18" t="s">
        <v>66</v>
      </c>
      <c r="U17" s="34" t="s">
        <v>5</v>
      </c>
      <c r="V17" s="34" t="s">
        <v>5</v>
      </c>
      <c r="W17" s="34" t="s">
        <v>5</v>
      </c>
      <c r="X17" s="34" t="s">
        <v>5</v>
      </c>
      <c r="Y17" s="34" t="s">
        <v>5</v>
      </c>
      <c r="Z17" s="34" t="s">
        <v>5</v>
      </c>
      <c r="AA17" s="34" t="s">
        <v>5</v>
      </c>
      <c r="AB17" s="34" t="s">
        <v>5</v>
      </c>
      <c r="AC17" s="34" t="s">
        <v>5</v>
      </c>
      <c r="AD17" s="34" t="s">
        <v>5</v>
      </c>
      <c r="AE17" s="18"/>
      <c r="AF17" s="18"/>
      <c r="AG17" s="18"/>
      <c r="AH17" s="27">
        <f>COUNTA('1月'!$C17:$AG17)</f>
        <v>17</v>
      </c>
    </row>
    <row r="18" spans="2:34" ht="30" customHeight="1" x14ac:dyDescent="0.25">
      <c r="B18" s="20" t="s">
        <v>84</v>
      </c>
      <c r="C18" s="18"/>
      <c r="D18" s="18" t="s">
        <v>66</v>
      </c>
      <c r="E18" s="18" t="s">
        <v>66</v>
      </c>
      <c r="F18" s="18" t="s">
        <v>66</v>
      </c>
      <c r="G18" s="18" t="s">
        <v>66</v>
      </c>
      <c r="H18" s="18" t="s">
        <v>68</v>
      </c>
      <c r="I18" s="18" t="s">
        <v>66</v>
      </c>
      <c r="J18" s="18" t="s">
        <v>66</v>
      </c>
      <c r="K18" s="18" t="s">
        <v>66</v>
      </c>
      <c r="L18" s="18" t="s">
        <v>66</v>
      </c>
      <c r="M18" s="18" t="s">
        <v>66</v>
      </c>
      <c r="N18" s="18" t="s">
        <v>66</v>
      </c>
      <c r="O18" s="18" t="s">
        <v>66</v>
      </c>
      <c r="P18" s="18" t="s">
        <v>66</v>
      </c>
      <c r="Q18" s="18" t="s">
        <v>66</v>
      </c>
      <c r="R18" s="18" t="s">
        <v>66</v>
      </c>
      <c r="S18" s="18" t="s">
        <v>66</v>
      </c>
      <c r="T18" s="18" t="s">
        <v>66</v>
      </c>
      <c r="U18" s="34" t="s">
        <v>5</v>
      </c>
      <c r="V18" s="34" t="s">
        <v>5</v>
      </c>
      <c r="W18" s="34" t="s">
        <v>5</v>
      </c>
      <c r="X18" s="34" t="s">
        <v>5</v>
      </c>
      <c r="Y18" s="34" t="s">
        <v>5</v>
      </c>
      <c r="Z18" s="34" t="s">
        <v>5</v>
      </c>
      <c r="AA18" s="34" t="s">
        <v>5</v>
      </c>
      <c r="AB18" s="34" t="s">
        <v>5</v>
      </c>
      <c r="AC18" s="34" t="s">
        <v>5</v>
      </c>
      <c r="AD18" s="34" t="s">
        <v>5</v>
      </c>
      <c r="AE18" s="18"/>
      <c r="AF18" s="18"/>
      <c r="AG18" s="18"/>
      <c r="AH18" s="27">
        <f>COUNTA('1月'!$C18:$AG18)</f>
        <v>17</v>
      </c>
    </row>
    <row r="19" spans="2:34" ht="30" customHeight="1" x14ac:dyDescent="0.25">
      <c r="B19" s="20" t="s">
        <v>85</v>
      </c>
      <c r="C19" s="18"/>
      <c r="D19" s="18" t="s">
        <v>66</v>
      </c>
      <c r="E19" s="18" t="s">
        <v>66</v>
      </c>
      <c r="F19" s="18" t="s">
        <v>66</v>
      </c>
      <c r="G19" s="18" t="s">
        <v>66</v>
      </c>
      <c r="H19" s="18" t="s">
        <v>68</v>
      </c>
      <c r="I19" s="18" t="s">
        <v>66</v>
      </c>
      <c r="J19" s="18" t="s">
        <v>66</v>
      </c>
      <c r="K19" s="18" t="s">
        <v>66</v>
      </c>
      <c r="L19" s="18" t="s">
        <v>66</v>
      </c>
      <c r="M19" s="18" t="s">
        <v>66</v>
      </c>
      <c r="N19" s="18" t="s">
        <v>66</v>
      </c>
      <c r="O19" s="18" t="s">
        <v>66</v>
      </c>
      <c r="P19" s="18" t="s">
        <v>66</v>
      </c>
      <c r="Q19" s="18" t="s">
        <v>66</v>
      </c>
      <c r="R19" s="18" t="s">
        <v>66</v>
      </c>
      <c r="S19" s="18" t="s">
        <v>66</v>
      </c>
      <c r="T19" s="18" t="s">
        <v>66</v>
      </c>
      <c r="U19" s="34" t="s">
        <v>5</v>
      </c>
      <c r="V19" s="34" t="s">
        <v>5</v>
      </c>
      <c r="W19" s="34" t="s">
        <v>5</v>
      </c>
      <c r="X19" s="34" t="s">
        <v>5</v>
      </c>
      <c r="Y19" s="34" t="s">
        <v>5</v>
      </c>
      <c r="Z19" s="34" t="s">
        <v>5</v>
      </c>
      <c r="AA19" s="34" t="s">
        <v>5</v>
      </c>
      <c r="AB19" s="34" t="s">
        <v>5</v>
      </c>
      <c r="AC19" s="34" t="s">
        <v>5</v>
      </c>
      <c r="AD19" s="34" t="s">
        <v>5</v>
      </c>
      <c r="AE19" s="18"/>
      <c r="AF19" s="18"/>
      <c r="AG19" s="18"/>
      <c r="AH19" s="27">
        <f>COUNTA('1月'!$C19:$AG19)</f>
        <v>17</v>
      </c>
    </row>
    <row r="20" spans="2:34" ht="30" customHeight="1" x14ac:dyDescent="0.25">
      <c r="B20" s="31" t="s">
        <v>86</v>
      </c>
      <c r="C20" s="18"/>
      <c r="D20" s="18" t="s">
        <v>66</v>
      </c>
      <c r="E20" s="18" t="s">
        <v>66</v>
      </c>
      <c r="F20" s="18" t="s">
        <v>66</v>
      </c>
      <c r="G20" s="18" t="s">
        <v>66</v>
      </c>
      <c r="H20" s="18" t="s">
        <v>66</v>
      </c>
      <c r="I20" s="18" t="s">
        <v>66</v>
      </c>
      <c r="J20" s="18" t="s">
        <v>66</v>
      </c>
      <c r="K20" s="18" t="s">
        <v>66</v>
      </c>
      <c r="L20" s="18" t="s">
        <v>66</v>
      </c>
      <c r="M20" s="18" t="s">
        <v>66</v>
      </c>
      <c r="N20" s="18" t="s">
        <v>66</v>
      </c>
      <c r="O20" s="18" t="s">
        <v>66</v>
      </c>
      <c r="P20" s="18" t="s">
        <v>66</v>
      </c>
      <c r="Q20" s="18" t="s">
        <v>66</v>
      </c>
      <c r="R20" s="18" t="s">
        <v>66</v>
      </c>
      <c r="S20" s="18" t="s">
        <v>66</v>
      </c>
      <c r="T20" s="18" t="s">
        <v>66</v>
      </c>
      <c r="U20" s="18"/>
      <c r="V20" s="18"/>
      <c r="W20" s="18"/>
      <c r="X20" s="18"/>
      <c r="Y20" s="18"/>
      <c r="Z20" s="18"/>
      <c r="AA20" s="18" t="s">
        <v>3</v>
      </c>
      <c r="AB20" s="18" t="s">
        <v>3</v>
      </c>
      <c r="AC20" s="18" t="s">
        <v>3</v>
      </c>
      <c r="AD20" s="18" t="s">
        <v>3</v>
      </c>
      <c r="AE20" s="18"/>
      <c r="AF20" s="18"/>
      <c r="AG20" s="18"/>
      <c r="AH20" s="27">
        <f>COUNTA(月11_2[[#This Row],[1]:[ ]])</f>
        <v>0</v>
      </c>
    </row>
    <row r="21" spans="2:34" ht="30" customHeight="1" x14ac:dyDescent="0.25">
      <c r="B21" s="31" t="s">
        <v>87</v>
      </c>
      <c r="C21" s="18"/>
      <c r="D21" s="18" t="s">
        <v>66</v>
      </c>
      <c r="E21" s="18" t="s">
        <v>66</v>
      </c>
      <c r="F21" s="18" t="s">
        <v>66</v>
      </c>
      <c r="G21" s="18" t="s">
        <v>66</v>
      </c>
      <c r="H21" s="18" t="s">
        <v>66</v>
      </c>
      <c r="I21" s="18" t="s">
        <v>66</v>
      </c>
      <c r="J21" s="18" t="s">
        <v>66</v>
      </c>
      <c r="K21" s="18" t="s">
        <v>66</v>
      </c>
      <c r="L21" s="18" t="s">
        <v>66</v>
      </c>
      <c r="M21" s="18" t="s">
        <v>66</v>
      </c>
      <c r="N21" s="18" t="s">
        <v>66</v>
      </c>
      <c r="O21" s="18" t="s">
        <v>66</v>
      </c>
      <c r="P21" s="18" t="s">
        <v>66</v>
      </c>
      <c r="Q21" s="18" t="s">
        <v>66</v>
      </c>
      <c r="R21" s="18" t="s">
        <v>66</v>
      </c>
      <c r="S21" s="18" t="s">
        <v>66</v>
      </c>
      <c r="T21" s="18" t="s">
        <v>66</v>
      </c>
      <c r="U21" s="18"/>
      <c r="V21" s="18"/>
      <c r="W21" s="18"/>
      <c r="X21" s="18"/>
      <c r="Y21" s="18"/>
      <c r="Z21" s="18"/>
      <c r="AA21" s="18" t="s">
        <v>3</v>
      </c>
      <c r="AB21" s="18" t="s">
        <v>3</v>
      </c>
      <c r="AC21" s="18" t="s">
        <v>3</v>
      </c>
      <c r="AD21" s="18" t="s">
        <v>3</v>
      </c>
      <c r="AE21" s="18"/>
      <c r="AF21" s="18"/>
      <c r="AG21" s="18"/>
      <c r="AH21" s="27">
        <f>COUNTA(月11_2[[#This Row],[1]:[ ]])</f>
        <v>0</v>
      </c>
    </row>
    <row r="22" spans="2:34" ht="30" customHeight="1" x14ac:dyDescent="0.25">
      <c r="B22" s="31" t="s">
        <v>88</v>
      </c>
      <c r="C22" s="18"/>
      <c r="D22" s="18" t="s">
        <v>66</v>
      </c>
      <c r="E22" s="18" t="s">
        <v>66</v>
      </c>
      <c r="F22" s="18" t="s">
        <v>66</v>
      </c>
      <c r="G22" s="18" t="s">
        <v>66</v>
      </c>
      <c r="H22" s="18" t="s">
        <v>66</v>
      </c>
      <c r="I22" s="18" t="s">
        <v>66</v>
      </c>
      <c r="J22" s="18" t="s">
        <v>66</v>
      </c>
      <c r="K22" s="18" t="s">
        <v>66</v>
      </c>
      <c r="L22" s="18" t="s">
        <v>66</v>
      </c>
      <c r="M22" s="18" t="s">
        <v>66</v>
      </c>
      <c r="N22" s="18" t="s">
        <v>66</v>
      </c>
      <c r="O22" s="18" t="s">
        <v>66</v>
      </c>
      <c r="P22" s="18" t="s">
        <v>66</v>
      </c>
      <c r="Q22" s="18" t="s">
        <v>66</v>
      </c>
      <c r="R22" s="18" t="s">
        <v>66</v>
      </c>
      <c r="S22" s="18" t="s">
        <v>66</v>
      </c>
      <c r="T22" s="18" t="s">
        <v>66</v>
      </c>
      <c r="U22" s="18"/>
      <c r="V22" s="18"/>
      <c r="W22" s="18"/>
      <c r="X22" s="18"/>
      <c r="Y22" s="18"/>
      <c r="Z22" s="18"/>
      <c r="AA22" s="18" t="s">
        <v>3</v>
      </c>
      <c r="AB22" s="18" t="s">
        <v>3</v>
      </c>
      <c r="AC22" s="18" t="s">
        <v>3</v>
      </c>
      <c r="AD22" s="18" t="s">
        <v>3</v>
      </c>
      <c r="AE22" s="18"/>
      <c r="AF22" s="18"/>
      <c r="AG22" s="18"/>
      <c r="AH22" s="27">
        <f>COUNTA(月11_2[[#This Row],[1]:[ ]])</f>
        <v>0</v>
      </c>
    </row>
    <row r="23" spans="2:34" ht="30" customHeight="1" x14ac:dyDescent="0.25">
      <c r="B23" s="31" t="s">
        <v>89</v>
      </c>
      <c r="C23" s="18"/>
      <c r="D23" s="18" t="s">
        <v>66</v>
      </c>
      <c r="E23" s="18" t="s">
        <v>66</v>
      </c>
      <c r="F23" s="18" t="s">
        <v>66</v>
      </c>
      <c r="G23" s="18" t="s">
        <v>66</v>
      </c>
      <c r="H23" s="18" t="s">
        <v>66</v>
      </c>
      <c r="I23" s="18" t="s">
        <v>66</v>
      </c>
      <c r="J23" s="18" t="s">
        <v>66</v>
      </c>
      <c r="K23" s="18" t="s">
        <v>66</v>
      </c>
      <c r="L23" s="18" t="s">
        <v>66</v>
      </c>
      <c r="M23" s="18" t="s">
        <v>66</v>
      </c>
      <c r="N23" s="18" t="s">
        <v>66</v>
      </c>
      <c r="O23" s="18" t="s">
        <v>66</v>
      </c>
      <c r="P23" s="18" t="s">
        <v>66</v>
      </c>
      <c r="Q23" s="18" t="s">
        <v>66</v>
      </c>
      <c r="R23" s="18" t="s">
        <v>66</v>
      </c>
      <c r="S23" s="18" t="s">
        <v>66</v>
      </c>
      <c r="T23" s="18" t="s">
        <v>66</v>
      </c>
      <c r="U23" s="18"/>
      <c r="V23" s="18"/>
      <c r="W23" s="18"/>
      <c r="X23" s="18"/>
      <c r="Y23" s="18"/>
      <c r="Z23" s="18"/>
      <c r="AA23" s="18" t="s">
        <v>3</v>
      </c>
      <c r="AB23" s="18" t="s">
        <v>3</v>
      </c>
      <c r="AC23" s="18" t="s">
        <v>3</v>
      </c>
      <c r="AD23" s="18" t="s">
        <v>3</v>
      </c>
      <c r="AE23" s="18"/>
      <c r="AF23" s="18"/>
      <c r="AG23" s="18"/>
      <c r="AH23" s="27">
        <f>COUNTA(月11_2[[#This Row],[1]:[ ]])</f>
        <v>0</v>
      </c>
    </row>
    <row r="24" spans="2:34" ht="30" customHeight="1" x14ac:dyDescent="0.25">
      <c r="B24" s="31" t="s">
        <v>90</v>
      </c>
      <c r="C24" s="18"/>
      <c r="D24" s="18" t="s">
        <v>66</v>
      </c>
      <c r="E24" s="18" t="s">
        <v>66</v>
      </c>
      <c r="F24" s="18" t="s">
        <v>66</v>
      </c>
      <c r="G24" s="18" t="s">
        <v>66</v>
      </c>
      <c r="H24" s="18" t="s">
        <v>66</v>
      </c>
      <c r="I24" s="18" t="s">
        <v>66</v>
      </c>
      <c r="J24" s="18" t="s">
        <v>66</v>
      </c>
      <c r="K24" s="18" t="s">
        <v>66</v>
      </c>
      <c r="L24" s="18" t="s">
        <v>66</v>
      </c>
      <c r="M24" s="18" t="s">
        <v>66</v>
      </c>
      <c r="N24" s="18" t="s">
        <v>66</v>
      </c>
      <c r="O24" s="18" t="s">
        <v>66</v>
      </c>
      <c r="P24" s="18" t="s">
        <v>66</v>
      </c>
      <c r="Q24" s="18" t="s">
        <v>66</v>
      </c>
      <c r="R24" s="18" t="s">
        <v>66</v>
      </c>
      <c r="S24" s="18" t="s">
        <v>66</v>
      </c>
      <c r="T24" s="18" t="s">
        <v>66</v>
      </c>
      <c r="U24" s="18"/>
      <c r="V24" s="18"/>
      <c r="W24" s="18"/>
      <c r="X24" s="18"/>
      <c r="Y24" s="18"/>
      <c r="Z24" s="18"/>
      <c r="AA24" s="18" t="s">
        <v>3</v>
      </c>
      <c r="AB24" s="18" t="s">
        <v>3</v>
      </c>
      <c r="AC24" s="18" t="s">
        <v>3</v>
      </c>
      <c r="AD24" s="18" t="s">
        <v>3</v>
      </c>
      <c r="AE24" s="18"/>
      <c r="AF24" s="18"/>
      <c r="AG24" s="18"/>
      <c r="AH24" s="27">
        <f>COUNTA(月11_2[[#This Row],[1]:[ ]])</f>
        <v>0</v>
      </c>
    </row>
    <row r="25" spans="2:34" ht="30" customHeight="1" x14ac:dyDescent="0.25">
      <c r="B25" s="31" t="s">
        <v>91</v>
      </c>
      <c r="C25" s="18"/>
      <c r="D25" s="18" t="s">
        <v>66</v>
      </c>
      <c r="E25" s="18" t="s">
        <v>66</v>
      </c>
      <c r="F25" s="18" t="s">
        <v>66</v>
      </c>
      <c r="G25" s="18" t="s">
        <v>66</v>
      </c>
      <c r="H25" s="18" t="s">
        <v>66</v>
      </c>
      <c r="I25" s="18" t="s">
        <v>66</v>
      </c>
      <c r="J25" s="18" t="s">
        <v>66</v>
      </c>
      <c r="K25" s="18" t="s">
        <v>66</v>
      </c>
      <c r="L25" s="18" t="s">
        <v>66</v>
      </c>
      <c r="M25" s="18" t="s">
        <v>66</v>
      </c>
      <c r="N25" s="18" t="s">
        <v>66</v>
      </c>
      <c r="O25" s="18" t="s">
        <v>66</v>
      </c>
      <c r="P25" s="18" t="s">
        <v>66</v>
      </c>
      <c r="Q25" s="18" t="s">
        <v>66</v>
      </c>
      <c r="R25" s="18" t="s">
        <v>66</v>
      </c>
      <c r="S25" s="18" t="s">
        <v>66</v>
      </c>
      <c r="T25" s="18" t="s">
        <v>66</v>
      </c>
      <c r="U25" s="18"/>
      <c r="V25" s="18"/>
      <c r="W25" s="18"/>
      <c r="X25" s="18"/>
      <c r="Y25" s="18"/>
      <c r="Z25" s="18"/>
      <c r="AA25" s="18" t="s">
        <v>3</v>
      </c>
      <c r="AB25" s="18" t="s">
        <v>3</v>
      </c>
      <c r="AC25" s="18" t="s">
        <v>3</v>
      </c>
      <c r="AD25" s="18" t="s">
        <v>3</v>
      </c>
      <c r="AE25" s="18"/>
      <c r="AF25" s="18"/>
      <c r="AG25" s="18"/>
      <c r="AH25" s="27">
        <f>COUNTA(月11_2[[#This Row],[1]:[ ]])</f>
        <v>0</v>
      </c>
    </row>
    <row r="26" spans="2:34" ht="30" customHeight="1" x14ac:dyDescent="0.25">
      <c r="B26" s="31" t="s">
        <v>92</v>
      </c>
      <c r="C26" s="18"/>
      <c r="D26" s="18" t="s">
        <v>66</v>
      </c>
      <c r="E26" s="18" t="s">
        <v>66</v>
      </c>
      <c r="F26" s="18" t="s">
        <v>66</v>
      </c>
      <c r="G26" s="18" t="s">
        <v>66</v>
      </c>
      <c r="H26" s="18" t="s">
        <v>66</v>
      </c>
      <c r="I26" s="18" t="s">
        <v>66</v>
      </c>
      <c r="J26" s="18" t="s">
        <v>66</v>
      </c>
      <c r="K26" s="18" t="s">
        <v>66</v>
      </c>
      <c r="L26" s="18" t="s">
        <v>66</v>
      </c>
      <c r="M26" s="18" t="s">
        <v>66</v>
      </c>
      <c r="N26" s="18" t="s">
        <v>66</v>
      </c>
      <c r="O26" s="18" t="s">
        <v>66</v>
      </c>
      <c r="P26" s="18" t="s">
        <v>66</v>
      </c>
      <c r="Q26" s="18" t="s">
        <v>66</v>
      </c>
      <c r="R26" s="18" t="s">
        <v>66</v>
      </c>
      <c r="S26" s="18" t="s">
        <v>66</v>
      </c>
      <c r="T26" s="18" t="s">
        <v>66</v>
      </c>
      <c r="U26" s="18"/>
      <c r="V26" s="18"/>
      <c r="W26" s="18"/>
      <c r="X26" s="18"/>
      <c r="Y26" s="18"/>
      <c r="Z26" s="18"/>
      <c r="AA26" s="18" t="s">
        <v>3</v>
      </c>
      <c r="AB26" s="18" t="s">
        <v>3</v>
      </c>
      <c r="AC26" s="18" t="s">
        <v>3</v>
      </c>
      <c r="AD26" s="18" t="s">
        <v>3</v>
      </c>
      <c r="AE26" s="18"/>
      <c r="AF26" s="18"/>
      <c r="AG26" s="18"/>
      <c r="AH26" s="27">
        <f>COUNTA(月11_2[[#This Row],[1]:[ ]])</f>
        <v>0</v>
      </c>
    </row>
    <row r="27" spans="2:34" ht="30" customHeight="1" x14ac:dyDescent="0.25">
      <c r="B27" s="31" t="s">
        <v>93</v>
      </c>
      <c r="C27" s="18"/>
      <c r="D27" s="18" t="s">
        <v>66</v>
      </c>
      <c r="E27" s="18" t="s">
        <v>66</v>
      </c>
      <c r="F27" s="18" t="s">
        <v>66</v>
      </c>
      <c r="G27" s="18" t="s">
        <v>66</v>
      </c>
      <c r="H27" s="18" t="s">
        <v>66</v>
      </c>
      <c r="I27" s="18" t="s">
        <v>66</v>
      </c>
      <c r="J27" s="18" t="s">
        <v>66</v>
      </c>
      <c r="K27" s="18" t="s">
        <v>66</v>
      </c>
      <c r="L27" s="18" t="s">
        <v>66</v>
      </c>
      <c r="M27" s="18" t="s">
        <v>66</v>
      </c>
      <c r="N27" s="18" t="s">
        <v>66</v>
      </c>
      <c r="O27" s="18" t="s">
        <v>66</v>
      </c>
      <c r="P27" s="18" t="s">
        <v>66</v>
      </c>
      <c r="Q27" s="18" t="s">
        <v>66</v>
      </c>
      <c r="R27" s="18" t="s">
        <v>66</v>
      </c>
      <c r="S27" s="18" t="s">
        <v>66</v>
      </c>
      <c r="T27" s="18" t="s">
        <v>66</v>
      </c>
      <c r="U27" s="18"/>
      <c r="V27" s="18"/>
      <c r="W27" s="18"/>
      <c r="X27" s="18"/>
      <c r="Y27" s="18"/>
      <c r="Z27" s="18"/>
      <c r="AA27" s="18" t="s">
        <v>3</v>
      </c>
      <c r="AB27" s="18" t="s">
        <v>3</v>
      </c>
      <c r="AC27" s="18" t="s">
        <v>3</v>
      </c>
      <c r="AD27" s="18" t="s">
        <v>3</v>
      </c>
      <c r="AE27" s="18"/>
      <c r="AF27" s="18"/>
      <c r="AG27" s="18"/>
      <c r="AH27" s="27">
        <f>COUNTA(月11_2[[#This Row],[1]:[ ]])</f>
        <v>0</v>
      </c>
    </row>
    <row r="28" spans="2:34" ht="30" customHeight="1" x14ac:dyDescent="0.25">
      <c r="B28" s="31" t="s">
        <v>94</v>
      </c>
      <c r="C28" s="18"/>
      <c r="D28" s="18" t="s">
        <v>66</v>
      </c>
      <c r="E28" s="18" t="s">
        <v>66</v>
      </c>
      <c r="F28" s="18" t="s">
        <v>66</v>
      </c>
      <c r="G28" s="18" t="s">
        <v>66</v>
      </c>
      <c r="H28" s="18" t="s">
        <v>66</v>
      </c>
      <c r="I28" s="18" t="s">
        <v>66</v>
      </c>
      <c r="J28" s="18" t="s">
        <v>66</v>
      </c>
      <c r="K28" s="18" t="s">
        <v>66</v>
      </c>
      <c r="L28" s="18" t="s">
        <v>66</v>
      </c>
      <c r="M28" s="18" t="s">
        <v>66</v>
      </c>
      <c r="N28" s="18" t="s">
        <v>66</v>
      </c>
      <c r="O28" s="18" t="s">
        <v>66</v>
      </c>
      <c r="P28" s="18" t="s">
        <v>66</v>
      </c>
      <c r="Q28" s="18" t="s">
        <v>66</v>
      </c>
      <c r="R28" s="18" t="s">
        <v>66</v>
      </c>
      <c r="S28" s="18" t="s">
        <v>66</v>
      </c>
      <c r="T28" s="18" t="s">
        <v>66</v>
      </c>
      <c r="U28" s="18"/>
      <c r="V28" s="18"/>
      <c r="W28" s="18"/>
      <c r="X28" s="18"/>
      <c r="Y28" s="18"/>
      <c r="Z28" s="18"/>
      <c r="AA28" s="18" t="s">
        <v>3</v>
      </c>
      <c r="AB28" s="18" t="s">
        <v>3</v>
      </c>
      <c r="AC28" s="18" t="s">
        <v>3</v>
      </c>
      <c r="AD28" s="18" t="s">
        <v>3</v>
      </c>
      <c r="AE28" s="18"/>
      <c r="AF28" s="18"/>
      <c r="AG28" s="18"/>
      <c r="AH28" s="27">
        <f>COUNTA(月11_2[[#This Row],[1]:[ ]])</f>
        <v>0</v>
      </c>
    </row>
    <row r="29" spans="2:34" ht="30" customHeight="1" x14ac:dyDescent="0.25">
      <c r="B29" s="31" t="s">
        <v>95</v>
      </c>
      <c r="C29" s="18"/>
      <c r="D29" s="18" t="s">
        <v>66</v>
      </c>
      <c r="E29" s="18" t="s">
        <v>66</v>
      </c>
      <c r="F29" s="18" t="s">
        <v>66</v>
      </c>
      <c r="G29" s="18" t="s">
        <v>66</v>
      </c>
      <c r="H29" s="18" t="s">
        <v>66</v>
      </c>
      <c r="I29" s="18" t="s">
        <v>66</v>
      </c>
      <c r="J29" s="18" t="s">
        <v>66</v>
      </c>
      <c r="K29" s="18" t="s">
        <v>66</v>
      </c>
      <c r="L29" s="18" t="s">
        <v>66</v>
      </c>
      <c r="M29" s="18" t="s">
        <v>66</v>
      </c>
      <c r="N29" s="18" t="s">
        <v>66</v>
      </c>
      <c r="O29" s="18" t="s">
        <v>66</v>
      </c>
      <c r="P29" s="18" t="s">
        <v>66</v>
      </c>
      <c r="Q29" s="18" t="s">
        <v>66</v>
      </c>
      <c r="R29" s="18" t="s">
        <v>66</v>
      </c>
      <c r="S29" s="18" t="s">
        <v>66</v>
      </c>
      <c r="T29" s="18" t="s">
        <v>66</v>
      </c>
      <c r="U29" s="18"/>
      <c r="V29" s="18"/>
      <c r="W29" s="18"/>
      <c r="X29" s="18"/>
      <c r="Y29" s="18"/>
      <c r="Z29" s="18"/>
      <c r="AA29" s="18" t="s">
        <v>3</v>
      </c>
      <c r="AB29" s="18" t="s">
        <v>3</v>
      </c>
      <c r="AC29" s="18" t="s">
        <v>3</v>
      </c>
      <c r="AD29" s="18" t="s">
        <v>3</v>
      </c>
      <c r="AE29" s="18"/>
      <c r="AF29" s="18"/>
      <c r="AG29" s="18"/>
      <c r="AH29" s="27">
        <f>COUNTA(月11_2[[#This Row],[1]:[ ]])</f>
        <v>0</v>
      </c>
    </row>
    <row r="30" spans="2:34" ht="30" customHeight="1" x14ac:dyDescent="0.25">
      <c r="B30" s="31" t="s">
        <v>96</v>
      </c>
      <c r="C30" s="18"/>
      <c r="D30" s="18" t="s">
        <v>66</v>
      </c>
      <c r="E30" s="18" t="s">
        <v>66</v>
      </c>
      <c r="F30" s="18" t="s">
        <v>66</v>
      </c>
      <c r="G30" s="18" t="s">
        <v>66</v>
      </c>
      <c r="H30" s="18" t="s">
        <v>66</v>
      </c>
      <c r="I30" s="18" t="s">
        <v>66</v>
      </c>
      <c r="J30" s="18" t="s">
        <v>66</v>
      </c>
      <c r="K30" s="18" t="s">
        <v>66</v>
      </c>
      <c r="L30" s="18" t="s">
        <v>66</v>
      </c>
      <c r="M30" s="18" t="s">
        <v>66</v>
      </c>
      <c r="N30" s="18" t="s">
        <v>66</v>
      </c>
      <c r="O30" s="18" t="s">
        <v>66</v>
      </c>
      <c r="P30" s="18" t="s">
        <v>66</v>
      </c>
      <c r="Q30" s="18" t="s">
        <v>66</v>
      </c>
      <c r="R30" s="18" t="s">
        <v>66</v>
      </c>
      <c r="S30" s="18" t="s">
        <v>66</v>
      </c>
      <c r="T30" s="18" t="s">
        <v>66</v>
      </c>
      <c r="U30" s="18"/>
      <c r="V30" s="18"/>
      <c r="W30" s="18"/>
      <c r="X30" s="18"/>
      <c r="Y30" s="18"/>
      <c r="Z30" s="18"/>
      <c r="AA30" s="18" t="s">
        <v>3</v>
      </c>
      <c r="AB30" s="18" t="s">
        <v>3</v>
      </c>
      <c r="AC30" s="18" t="s">
        <v>3</v>
      </c>
      <c r="AD30" s="18" t="s">
        <v>3</v>
      </c>
      <c r="AE30" s="18"/>
      <c r="AF30" s="18"/>
      <c r="AG30" s="18"/>
      <c r="AH30" s="27">
        <f>COUNTA(月11_2[[#This Row],[1]:[ ]])</f>
        <v>0</v>
      </c>
    </row>
    <row r="31" spans="2:34" ht="30" customHeight="1" x14ac:dyDescent="0.25">
      <c r="B31" s="20" t="s">
        <v>97</v>
      </c>
      <c r="C31" s="18"/>
      <c r="D31" s="18" t="s">
        <v>66</v>
      </c>
      <c r="E31" s="18" t="s">
        <v>66</v>
      </c>
      <c r="F31" s="18" t="s">
        <v>66</v>
      </c>
      <c r="G31" s="18" t="s">
        <v>66</v>
      </c>
      <c r="H31" s="18" t="s">
        <v>66</v>
      </c>
      <c r="I31" s="18" t="s">
        <v>66</v>
      </c>
      <c r="J31" s="18" t="s">
        <v>66</v>
      </c>
      <c r="K31" s="18" t="s">
        <v>66</v>
      </c>
      <c r="L31" s="18" t="s">
        <v>66</v>
      </c>
      <c r="M31" s="18" t="s">
        <v>66</v>
      </c>
      <c r="N31" s="18" t="s">
        <v>66</v>
      </c>
      <c r="O31" s="18" t="s">
        <v>66</v>
      </c>
      <c r="P31" s="18" t="s">
        <v>66</v>
      </c>
      <c r="Q31" s="18" t="s">
        <v>66</v>
      </c>
      <c r="R31" s="18" t="s">
        <v>66</v>
      </c>
      <c r="S31" s="18" t="s">
        <v>66</v>
      </c>
      <c r="T31" s="18" t="s">
        <v>66</v>
      </c>
      <c r="U31" s="18"/>
      <c r="V31" s="18"/>
      <c r="W31" s="18"/>
      <c r="X31" s="18"/>
      <c r="Y31" s="18"/>
      <c r="Z31" s="34" t="s">
        <v>5</v>
      </c>
      <c r="AA31" s="34" t="s">
        <v>5</v>
      </c>
      <c r="AB31" s="34" t="s">
        <v>5</v>
      </c>
      <c r="AC31" s="34" t="s">
        <v>5</v>
      </c>
      <c r="AD31" s="34" t="s">
        <v>5</v>
      </c>
      <c r="AE31" s="18"/>
      <c r="AF31" s="18"/>
      <c r="AG31" s="18"/>
      <c r="AH31" s="27">
        <f>COUNTA('1月'!$C31:$AG31)</f>
        <v>17</v>
      </c>
    </row>
    <row r="32" spans="2:34" ht="30" customHeight="1" x14ac:dyDescent="0.25">
      <c r="B32" s="20" t="s">
        <v>124</v>
      </c>
      <c r="C32" s="18"/>
      <c r="D32" s="18" t="s">
        <v>66</v>
      </c>
      <c r="E32" s="18" t="s">
        <v>66</v>
      </c>
      <c r="F32" s="18" t="s">
        <v>66</v>
      </c>
      <c r="G32" s="18" t="s">
        <v>66</v>
      </c>
      <c r="H32" s="18" t="s">
        <v>66</v>
      </c>
      <c r="I32" s="18" t="s">
        <v>66</v>
      </c>
      <c r="J32" s="18" t="s">
        <v>66</v>
      </c>
      <c r="K32" s="18" t="s">
        <v>66</v>
      </c>
      <c r="L32" s="18" t="s">
        <v>66</v>
      </c>
      <c r="M32" s="18" t="s">
        <v>66</v>
      </c>
      <c r="N32" s="18" t="s">
        <v>66</v>
      </c>
      <c r="O32" s="18" t="s">
        <v>66</v>
      </c>
      <c r="P32" s="18" t="s">
        <v>66</v>
      </c>
      <c r="Q32" s="18" t="s">
        <v>66</v>
      </c>
      <c r="R32" s="18" t="s">
        <v>66</v>
      </c>
      <c r="S32" s="18" t="s">
        <v>66</v>
      </c>
      <c r="T32" s="18" t="s">
        <v>66</v>
      </c>
      <c r="U32" s="18"/>
      <c r="V32" s="18"/>
      <c r="W32" s="18"/>
      <c r="X32" s="18"/>
      <c r="Y32" s="18"/>
      <c r="Z32" s="34" t="s">
        <v>5</v>
      </c>
      <c r="AA32" s="34" t="s">
        <v>5</v>
      </c>
      <c r="AB32" s="34" t="s">
        <v>5</v>
      </c>
      <c r="AC32" s="34" t="s">
        <v>5</v>
      </c>
      <c r="AD32" s="34" t="s">
        <v>5</v>
      </c>
      <c r="AE32" s="18"/>
      <c r="AF32" s="18"/>
      <c r="AG32" s="18"/>
      <c r="AH32" s="27">
        <f>COUNTA('1月'!$C32:$AG32)</f>
        <v>17</v>
      </c>
    </row>
    <row r="33" spans="2:34" ht="30" customHeight="1" x14ac:dyDescent="0.25">
      <c r="B33" s="20" t="s">
        <v>125</v>
      </c>
      <c r="C33" s="18"/>
      <c r="D33" s="18" t="s">
        <v>66</v>
      </c>
      <c r="E33" s="18" t="s">
        <v>66</v>
      </c>
      <c r="F33" s="18" t="s">
        <v>66</v>
      </c>
      <c r="G33" s="18" t="s">
        <v>66</v>
      </c>
      <c r="H33" s="18" t="s">
        <v>66</v>
      </c>
      <c r="I33" s="18" t="s">
        <v>66</v>
      </c>
      <c r="J33" s="18" t="s">
        <v>66</v>
      </c>
      <c r="K33" s="18" t="s">
        <v>66</v>
      </c>
      <c r="L33" s="18" t="s">
        <v>66</v>
      </c>
      <c r="M33" s="18" t="s">
        <v>66</v>
      </c>
      <c r="N33" s="18" t="s">
        <v>66</v>
      </c>
      <c r="O33" s="18" t="s">
        <v>66</v>
      </c>
      <c r="P33" s="18" t="s">
        <v>66</v>
      </c>
      <c r="Q33" s="18" t="s">
        <v>66</v>
      </c>
      <c r="R33" s="18" t="s">
        <v>66</v>
      </c>
      <c r="S33" s="18" t="s">
        <v>66</v>
      </c>
      <c r="T33" s="18" t="s">
        <v>66</v>
      </c>
      <c r="U33" s="18"/>
      <c r="V33" s="18"/>
      <c r="W33" s="18"/>
      <c r="X33" s="18"/>
      <c r="Y33" s="18"/>
      <c r="Z33" s="34" t="s">
        <v>5</v>
      </c>
      <c r="AA33" s="34" t="s">
        <v>5</v>
      </c>
      <c r="AB33" s="34" t="s">
        <v>5</v>
      </c>
      <c r="AC33" s="34" t="s">
        <v>5</v>
      </c>
      <c r="AD33" s="34" t="s">
        <v>5</v>
      </c>
      <c r="AE33" s="18"/>
      <c r="AF33" s="18"/>
      <c r="AG33" s="18"/>
      <c r="AH33" s="27">
        <f>COUNTA('1月'!$C33:$AG33)</f>
        <v>17</v>
      </c>
    </row>
    <row r="34" spans="2:34" ht="30" customHeight="1" x14ac:dyDescent="0.25">
      <c r="B34" s="20" t="s">
        <v>126</v>
      </c>
      <c r="C34" s="18"/>
      <c r="D34" s="18" t="s">
        <v>66</v>
      </c>
      <c r="E34" s="18" t="s">
        <v>66</v>
      </c>
      <c r="F34" s="18" t="s">
        <v>66</v>
      </c>
      <c r="G34" s="18" t="s">
        <v>66</v>
      </c>
      <c r="H34" s="18" t="s">
        <v>66</v>
      </c>
      <c r="I34" s="18" t="s">
        <v>66</v>
      </c>
      <c r="J34" s="18" t="s">
        <v>66</v>
      </c>
      <c r="K34" s="18" t="s">
        <v>66</v>
      </c>
      <c r="L34" s="18" t="s">
        <v>66</v>
      </c>
      <c r="M34" s="18" t="s">
        <v>66</v>
      </c>
      <c r="N34" s="18" t="s">
        <v>66</v>
      </c>
      <c r="O34" s="18" t="s">
        <v>66</v>
      </c>
      <c r="P34" s="18" t="s">
        <v>66</v>
      </c>
      <c r="Q34" s="18" t="s">
        <v>66</v>
      </c>
      <c r="R34" s="18" t="s">
        <v>66</v>
      </c>
      <c r="S34" s="18" t="s">
        <v>66</v>
      </c>
      <c r="T34" s="18" t="s">
        <v>66</v>
      </c>
      <c r="U34" s="18"/>
      <c r="V34" s="18"/>
      <c r="W34" s="18"/>
      <c r="X34" s="18"/>
      <c r="Y34" s="18"/>
      <c r="Z34" s="34" t="s">
        <v>5</v>
      </c>
      <c r="AA34" s="34" t="s">
        <v>5</v>
      </c>
      <c r="AB34" s="34" t="s">
        <v>5</v>
      </c>
      <c r="AC34" s="34" t="s">
        <v>5</v>
      </c>
      <c r="AD34" s="34" t="s">
        <v>5</v>
      </c>
      <c r="AE34" s="18"/>
      <c r="AF34" s="18"/>
      <c r="AG34" s="18"/>
      <c r="AH34" s="27">
        <f>COUNTA('1月'!$C34:$AG34)</f>
        <v>17</v>
      </c>
    </row>
    <row r="35" spans="2:34" ht="30" customHeight="1" x14ac:dyDescent="0.25">
      <c r="B35" s="20" t="s">
        <v>127</v>
      </c>
      <c r="C35" s="18"/>
      <c r="D35" s="18" t="s">
        <v>66</v>
      </c>
      <c r="E35" s="18" t="s">
        <v>66</v>
      </c>
      <c r="F35" s="18" t="s">
        <v>66</v>
      </c>
      <c r="G35" s="18" t="s">
        <v>66</v>
      </c>
      <c r="H35" s="18" t="s">
        <v>66</v>
      </c>
      <c r="I35" s="18" t="s">
        <v>66</v>
      </c>
      <c r="J35" s="18" t="s">
        <v>66</v>
      </c>
      <c r="K35" s="18" t="s">
        <v>66</v>
      </c>
      <c r="L35" s="18" t="s">
        <v>66</v>
      </c>
      <c r="M35" s="18" t="s">
        <v>66</v>
      </c>
      <c r="N35" s="18" t="s">
        <v>66</v>
      </c>
      <c r="O35" s="18" t="s">
        <v>66</v>
      </c>
      <c r="P35" s="18" t="s">
        <v>66</v>
      </c>
      <c r="Q35" s="18" t="s">
        <v>66</v>
      </c>
      <c r="R35" s="18" t="s">
        <v>66</v>
      </c>
      <c r="S35" s="18" t="s">
        <v>66</v>
      </c>
      <c r="T35" s="18" t="s">
        <v>66</v>
      </c>
      <c r="U35" s="34" t="s">
        <v>5</v>
      </c>
      <c r="V35" s="34" t="s">
        <v>5</v>
      </c>
      <c r="W35" s="34" t="s">
        <v>5</v>
      </c>
      <c r="X35" s="34" t="s">
        <v>5</v>
      </c>
      <c r="Y35" s="34" t="s">
        <v>5</v>
      </c>
      <c r="Z35" s="34" t="s">
        <v>5</v>
      </c>
      <c r="AA35" s="34" t="s">
        <v>5</v>
      </c>
      <c r="AB35" s="34" t="s">
        <v>5</v>
      </c>
      <c r="AC35" s="34" t="s">
        <v>5</v>
      </c>
      <c r="AD35" s="34" t="s">
        <v>5</v>
      </c>
      <c r="AE35" s="18"/>
      <c r="AF35" s="18"/>
      <c r="AG35" s="18"/>
      <c r="AH35" s="27">
        <f>COUNTA('1月'!$C35:$AG35)</f>
        <v>17</v>
      </c>
    </row>
    <row r="36" spans="2:34" ht="30" customHeight="1" x14ac:dyDescent="0.25">
      <c r="B36" s="20" t="s">
        <v>128</v>
      </c>
      <c r="C36" s="18"/>
      <c r="D36" s="18" t="s">
        <v>66</v>
      </c>
      <c r="E36" s="18" t="s">
        <v>66</v>
      </c>
      <c r="F36" s="18" t="s">
        <v>66</v>
      </c>
      <c r="G36" s="18" t="s">
        <v>66</v>
      </c>
      <c r="H36" s="18" t="s">
        <v>66</v>
      </c>
      <c r="I36" s="18" t="s">
        <v>66</v>
      </c>
      <c r="J36" s="18" t="s">
        <v>66</v>
      </c>
      <c r="K36" s="18" t="s">
        <v>66</v>
      </c>
      <c r="L36" s="18" t="s">
        <v>66</v>
      </c>
      <c r="M36" s="18" t="s">
        <v>66</v>
      </c>
      <c r="N36" s="18" t="s">
        <v>66</v>
      </c>
      <c r="O36" s="18" t="s">
        <v>66</v>
      </c>
      <c r="P36" s="18" t="s">
        <v>66</v>
      </c>
      <c r="Q36" s="18" t="s">
        <v>66</v>
      </c>
      <c r="R36" s="18" t="s">
        <v>66</v>
      </c>
      <c r="S36" s="18" t="s">
        <v>66</v>
      </c>
      <c r="T36" s="18" t="s">
        <v>66</v>
      </c>
      <c r="U36" s="34" t="s">
        <v>5</v>
      </c>
      <c r="V36" s="34" t="s">
        <v>5</v>
      </c>
      <c r="W36" s="34" t="s">
        <v>5</v>
      </c>
      <c r="X36" s="34" t="s">
        <v>5</v>
      </c>
      <c r="Y36" s="34" t="s">
        <v>5</v>
      </c>
      <c r="Z36" s="34" t="s">
        <v>5</v>
      </c>
      <c r="AA36" s="34" t="s">
        <v>5</v>
      </c>
      <c r="AB36" s="34" t="s">
        <v>5</v>
      </c>
      <c r="AC36" s="34" t="s">
        <v>5</v>
      </c>
      <c r="AD36" s="34" t="s">
        <v>5</v>
      </c>
      <c r="AE36" s="18"/>
      <c r="AF36" s="18"/>
      <c r="AG36" s="18"/>
      <c r="AH36" s="27">
        <f>COUNTA('1月'!$C36:$AG36)</f>
        <v>17</v>
      </c>
    </row>
    <row r="37" spans="2:34" ht="30" customHeight="1" x14ac:dyDescent="0.25">
      <c r="B37" s="20" t="s">
        <v>129</v>
      </c>
      <c r="C37" s="18"/>
      <c r="D37" s="18" t="s">
        <v>66</v>
      </c>
      <c r="E37" s="18" t="s">
        <v>66</v>
      </c>
      <c r="F37" s="18" t="s">
        <v>66</v>
      </c>
      <c r="G37" s="18" t="s">
        <v>66</v>
      </c>
      <c r="H37" s="18" t="s">
        <v>66</v>
      </c>
      <c r="I37" s="18" t="s">
        <v>66</v>
      </c>
      <c r="J37" s="18" t="s">
        <v>66</v>
      </c>
      <c r="K37" s="18" t="s">
        <v>66</v>
      </c>
      <c r="L37" s="18" t="s">
        <v>66</v>
      </c>
      <c r="M37" s="18" t="s">
        <v>66</v>
      </c>
      <c r="N37" s="18" t="s">
        <v>66</v>
      </c>
      <c r="O37" s="18" t="s">
        <v>66</v>
      </c>
      <c r="P37" s="18" t="s">
        <v>66</v>
      </c>
      <c r="Q37" s="18" t="s">
        <v>66</v>
      </c>
      <c r="R37" s="18" t="s">
        <v>66</v>
      </c>
      <c r="S37" s="18" t="s">
        <v>66</v>
      </c>
      <c r="T37" s="18" t="s">
        <v>66</v>
      </c>
      <c r="U37" s="34" t="s">
        <v>5</v>
      </c>
      <c r="V37" s="34" t="s">
        <v>5</v>
      </c>
      <c r="W37" s="34" t="s">
        <v>5</v>
      </c>
      <c r="X37" s="34" t="s">
        <v>5</v>
      </c>
      <c r="Y37" s="34" t="s">
        <v>5</v>
      </c>
      <c r="Z37" s="34" t="s">
        <v>5</v>
      </c>
      <c r="AA37" s="34" t="s">
        <v>5</v>
      </c>
      <c r="AB37" s="34" t="s">
        <v>5</v>
      </c>
      <c r="AC37" s="34" t="s">
        <v>5</v>
      </c>
      <c r="AD37" s="34" t="s">
        <v>5</v>
      </c>
      <c r="AE37" s="18"/>
      <c r="AF37" s="18"/>
      <c r="AG37" s="18"/>
      <c r="AH37" s="27">
        <f>COUNTA('1月'!$C37:$AG37)</f>
        <v>17</v>
      </c>
    </row>
    <row r="38" spans="2:34" ht="30" customHeight="1" x14ac:dyDescent="0.25">
      <c r="B38" s="20" t="s">
        <v>130</v>
      </c>
      <c r="C38" s="18"/>
      <c r="D38" s="18" t="s">
        <v>66</v>
      </c>
      <c r="E38" s="18" t="s">
        <v>66</v>
      </c>
      <c r="F38" s="18" t="s">
        <v>66</v>
      </c>
      <c r="G38" s="18" t="s">
        <v>66</v>
      </c>
      <c r="H38" s="18" t="s">
        <v>66</v>
      </c>
      <c r="I38" s="18" t="s">
        <v>66</v>
      </c>
      <c r="J38" s="18" t="s">
        <v>66</v>
      </c>
      <c r="K38" s="18" t="s">
        <v>66</v>
      </c>
      <c r="L38" s="18" t="s">
        <v>66</v>
      </c>
      <c r="M38" s="18" t="s">
        <v>66</v>
      </c>
      <c r="N38" s="18" t="s">
        <v>66</v>
      </c>
      <c r="O38" s="18" t="s">
        <v>66</v>
      </c>
      <c r="P38" s="18" t="s">
        <v>66</v>
      </c>
      <c r="Q38" s="18" t="s">
        <v>66</v>
      </c>
      <c r="R38" s="18" t="s">
        <v>66</v>
      </c>
      <c r="S38" s="18" t="s">
        <v>66</v>
      </c>
      <c r="T38" s="18" t="s">
        <v>66</v>
      </c>
      <c r="U38" s="34" t="s">
        <v>5</v>
      </c>
      <c r="V38" s="34" t="s">
        <v>5</v>
      </c>
      <c r="W38" s="34" t="s">
        <v>5</v>
      </c>
      <c r="X38" s="34" t="s">
        <v>5</v>
      </c>
      <c r="Y38" s="34" t="s">
        <v>5</v>
      </c>
      <c r="Z38" s="34" t="s">
        <v>5</v>
      </c>
      <c r="AA38" s="34" t="s">
        <v>5</v>
      </c>
      <c r="AB38" s="34" t="s">
        <v>5</v>
      </c>
      <c r="AC38" s="34" t="s">
        <v>5</v>
      </c>
      <c r="AD38" s="34" t="s">
        <v>5</v>
      </c>
      <c r="AE38" s="18"/>
      <c r="AF38" s="18"/>
      <c r="AG38" s="18"/>
      <c r="AH38" s="27">
        <f>COUNTA('1月'!$C38:$AG38)</f>
        <v>17</v>
      </c>
    </row>
    <row r="39" spans="2:34" ht="30" customHeight="1" x14ac:dyDescent="0.25">
      <c r="B39" s="20" t="s">
        <v>131</v>
      </c>
      <c r="C39" s="18"/>
      <c r="D39" s="18" t="s">
        <v>66</v>
      </c>
      <c r="E39" s="18" t="s">
        <v>66</v>
      </c>
      <c r="F39" s="18" t="s">
        <v>66</v>
      </c>
      <c r="G39" s="18" t="s">
        <v>66</v>
      </c>
      <c r="H39" s="18" t="s">
        <v>66</v>
      </c>
      <c r="I39" s="18" t="s">
        <v>66</v>
      </c>
      <c r="J39" s="18" t="s">
        <v>66</v>
      </c>
      <c r="K39" s="18" t="s">
        <v>66</v>
      </c>
      <c r="L39" s="18" t="s">
        <v>66</v>
      </c>
      <c r="M39" s="18" t="s">
        <v>66</v>
      </c>
      <c r="N39" s="18" t="s">
        <v>66</v>
      </c>
      <c r="O39" s="18" t="s">
        <v>66</v>
      </c>
      <c r="P39" s="18" t="s">
        <v>66</v>
      </c>
      <c r="Q39" s="18" t="s">
        <v>66</v>
      </c>
      <c r="R39" s="18" t="s">
        <v>66</v>
      </c>
      <c r="S39" s="18" t="s">
        <v>66</v>
      </c>
      <c r="T39" s="18" t="s">
        <v>66</v>
      </c>
      <c r="U39" s="34" t="s">
        <v>5</v>
      </c>
      <c r="V39" s="34" t="s">
        <v>5</v>
      </c>
      <c r="W39" s="34" t="s">
        <v>5</v>
      </c>
      <c r="X39" s="34" t="s">
        <v>5</v>
      </c>
      <c r="Y39" s="34" t="s">
        <v>5</v>
      </c>
      <c r="Z39" s="34" t="s">
        <v>5</v>
      </c>
      <c r="AA39" s="34" t="s">
        <v>5</v>
      </c>
      <c r="AB39" s="34" t="s">
        <v>5</v>
      </c>
      <c r="AC39" s="34" t="s">
        <v>5</v>
      </c>
      <c r="AD39" s="34" t="s">
        <v>5</v>
      </c>
      <c r="AE39" s="18"/>
      <c r="AF39" s="18"/>
      <c r="AG39" s="18"/>
      <c r="AH39" s="27">
        <f>COUNTA('1月'!$C39:$AG39)</f>
        <v>17</v>
      </c>
    </row>
    <row r="40" spans="2:34" ht="30" customHeight="1" x14ac:dyDescent="0.25">
      <c r="B40" s="20" t="s">
        <v>132</v>
      </c>
      <c r="C40" s="18"/>
      <c r="D40" s="18" t="s">
        <v>66</v>
      </c>
      <c r="E40" s="18" t="s">
        <v>66</v>
      </c>
      <c r="F40" s="18" t="s">
        <v>66</v>
      </c>
      <c r="G40" s="18" t="s">
        <v>66</v>
      </c>
      <c r="H40" s="18" t="s">
        <v>66</v>
      </c>
      <c r="I40" s="18" t="s">
        <v>66</v>
      </c>
      <c r="J40" s="18" t="s">
        <v>66</v>
      </c>
      <c r="K40" s="18" t="s">
        <v>66</v>
      </c>
      <c r="L40" s="18" t="s">
        <v>66</v>
      </c>
      <c r="M40" s="18" t="s">
        <v>66</v>
      </c>
      <c r="N40" s="18" t="s">
        <v>66</v>
      </c>
      <c r="O40" s="18" t="s">
        <v>66</v>
      </c>
      <c r="P40" s="18" t="s">
        <v>66</v>
      </c>
      <c r="Q40" s="18" t="s">
        <v>66</v>
      </c>
      <c r="R40" s="18" t="s">
        <v>66</v>
      </c>
      <c r="S40" s="18" t="s">
        <v>66</v>
      </c>
      <c r="T40" s="18" t="s">
        <v>66</v>
      </c>
      <c r="U40" s="34" t="s">
        <v>5</v>
      </c>
      <c r="V40" s="34" t="s">
        <v>5</v>
      </c>
      <c r="W40" s="34" t="s">
        <v>5</v>
      </c>
      <c r="X40" s="34" t="s">
        <v>5</v>
      </c>
      <c r="Y40" s="34" t="s">
        <v>5</v>
      </c>
      <c r="Z40" s="34" t="s">
        <v>5</v>
      </c>
      <c r="AA40" s="34" t="s">
        <v>5</v>
      </c>
      <c r="AB40" s="34" t="s">
        <v>5</v>
      </c>
      <c r="AC40" s="34" t="s">
        <v>5</v>
      </c>
      <c r="AD40" s="34" t="s">
        <v>5</v>
      </c>
      <c r="AE40" s="18"/>
      <c r="AF40" s="18"/>
      <c r="AG40" s="18"/>
      <c r="AH40" s="27">
        <f>COUNTA('1月'!$C40:$AG40)</f>
        <v>17</v>
      </c>
    </row>
    <row r="41" spans="2:34" ht="30" customHeight="1" x14ac:dyDescent="0.25">
      <c r="B41" s="31" t="s">
        <v>107</v>
      </c>
      <c r="C41" s="18"/>
      <c r="D41" s="18" t="s">
        <v>66</v>
      </c>
      <c r="E41" s="18" t="s">
        <v>66</v>
      </c>
      <c r="F41" s="18" t="s">
        <v>66</v>
      </c>
      <c r="G41" s="18" t="s">
        <v>66</v>
      </c>
      <c r="H41" s="18" t="s">
        <v>66</v>
      </c>
      <c r="I41" s="18" t="s">
        <v>66</v>
      </c>
      <c r="J41" s="18" t="s">
        <v>66</v>
      </c>
      <c r="K41" s="18" t="s">
        <v>66</v>
      </c>
      <c r="L41" s="18" t="s">
        <v>66</v>
      </c>
      <c r="M41" s="18" t="s">
        <v>66</v>
      </c>
      <c r="N41" s="18" t="s">
        <v>66</v>
      </c>
      <c r="O41" s="18" t="s">
        <v>66</v>
      </c>
      <c r="P41" s="18" t="s">
        <v>66</v>
      </c>
      <c r="Q41" s="18" t="s">
        <v>66</v>
      </c>
      <c r="R41" s="18" t="s">
        <v>66</v>
      </c>
      <c r="S41" s="18" t="s">
        <v>66</v>
      </c>
      <c r="T41" s="18" t="s">
        <v>66</v>
      </c>
      <c r="U41" s="18"/>
      <c r="V41" s="18"/>
      <c r="W41" s="18"/>
      <c r="X41" s="18"/>
      <c r="Y41" s="18"/>
      <c r="Z41" s="18"/>
      <c r="AA41" s="18" t="s">
        <v>66</v>
      </c>
      <c r="AB41" s="18" t="s">
        <v>66</v>
      </c>
      <c r="AC41" s="18" t="s">
        <v>66</v>
      </c>
      <c r="AD41" s="18" t="s">
        <v>66</v>
      </c>
      <c r="AE41" s="18"/>
      <c r="AF41" s="18"/>
      <c r="AG41" s="18"/>
      <c r="AH41" s="27">
        <f>COUNTA(月3[[#This Row],[1]:[31]])</f>
        <v>6</v>
      </c>
    </row>
    <row r="42" spans="2:34" ht="30" customHeight="1" x14ac:dyDescent="0.25">
      <c r="B42" s="31" t="s">
        <v>108</v>
      </c>
      <c r="C42" s="18"/>
      <c r="D42" s="18" t="s">
        <v>66</v>
      </c>
      <c r="E42" s="18" t="s">
        <v>66</v>
      </c>
      <c r="F42" s="18" t="s">
        <v>66</v>
      </c>
      <c r="G42" s="18" t="s">
        <v>66</v>
      </c>
      <c r="H42" s="18" t="s">
        <v>66</v>
      </c>
      <c r="I42" s="18" t="s">
        <v>66</v>
      </c>
      <c r="J42" s="18" t="s">
        <v>66</v>
      </c>
      <c r="K42" s="18" t="s">
        <v>66</v>
      </c>
      <c r="L42" s="18" t="s">
        <v>66</v>
      </c>
      <c r="M42" s="18" t="s">
        <v>66</v>
      </c>
      <c r="N42" s="18" t="s">
        <v>66</v>
      </c>
      <c r="O42" s="18" t="s">
        <v>66</v>
      </c>
      <c r="P42" s="18" t="s">
        <v>66</v>
      </c>
      <c r="Q42" s="18" t="s">
        <v>66</v>
      </c>
      <c r="R42" s="18" t="s">
        <v>66</v>
      </c>
      <c r="S42" s="18" t="s">
        <v>66</v>
      </c>
      <c r="T42" s="18" t="s">
        <v>66</v>
      </c>
      <c r="U42" s="18"/>
      <c r="V42" s="18"/>
      <c r="W42" s="18"/>
      <c r="X42" s="18"/>
      <c r="Y42" s="18"/>
      <c r="Z42" s="18"/>
      <c r="AA42" s="18" t="s">
        <v>66</v>
      </c>
      <c r="AB42" s="18" t="s">
        <v>66</v>
      </c>
      <c r="AC42" s="18" t="s">
        <v>66</v>
      </c>
      <c r="AD42" s="18" t="s">
        <v>66</v>
      </c>
      <c r="AE42" s="18"/>
      <c r="AF42" s="18"/>
      <c r="AG42" s="18"/>
      <c r="AH42" s="27">
        <f>COUNTA(月3[[#This Row],[1]:[31]])</f>
        <v>6</v>
      </c>
    </row>
    <row r="43" spans="2:34" ht="30" customHeight="1" x14ac:dyDescent="0.25">
      <c r="B43" s="31" t="s">
        <v>109</v>
      </c>
      <c r="C43" s="18"/>
      <c r="D43" s="18" t="s">
        <v>66</v>
      </c>
      <c r="E43" s="18" t="s">
        <v>66</v>
      </c>
      <c r="F43" s="18" t="s">
        <v>66</v>
      </c>
      <c r="G43" s="18" t="s">
        <v>66</v>
      </c>
      <c r="H43" s="18" t="s">
        <v>66</v>
      </c>
      <c r="I43" s="18" t="s">
        <v>66</v>
      </c>
      <c r="J43" s="18" t="s">
        <v>66</v>
      </c>
      <c r="K43" s="18" t="s">
        <v>66</v>
      </c>
      <c r="L43" s="18" t="s">
        <v>66</v>
      </c>
      <c r="M43" s="18" t="s">
        <v>66</v>
      </c>
      <c r="N43" s="18" t="s">
        <v>66</v>
      </c>
      <c r="O43" s="18" t="s">
        <v>66</v>
      </c>
      <c r="P43" s="18" t="s">
        <v>66</v>
      </c>
      <c r="Q43" s="18" t="s">
        <v>66</v>
      </c>
      <c r="R43" s="18" t="s">
        <v>66</v>
      </c>
      <c r="S43" s="18" t="s">
        <v>66</v>
      </c>
      <c r="T43" s="18" t="s">
        <v>66</v>
      </c>
      <c r="U43" s="18"/>
      <c r="V43" s="18"/>
      <c r="W43" s="18"/>
      <c r="X43" s="18"/>
      <c r="Y43" s="18"/>
      <c r="Z43" s="18"/>
      <c r="AA43" s="18" t="s">
        <v>66</v>
      </c>
      <c r="AB43" s="18" t="s">
        <v>66</v>
      </c>
      <c r="AC43" s="18" t="s">
        <v>66</v>
      </c>
      <c r="AD43" s="18" t="s">
        <v>66</v>
      </c>
      <c r="AE43" s="18"/>
      <c r="AF43" s="18"/>
      <c r="AG43" s="18"/>
      <c r="AH43" s="27">
        <f>COUNTA(月3[[#This Row],[1]:[31]])</f>
        <v>6</v>
      </c>
    </row>
    <row r="44" spans="2:34" ht="30" customHeight="1" x14ac:dyDescent="0.25">
      <c r="B44" s="31" t="s">
        <v>110</v>
      </c>
      <c r="C44" s="18"/>
      <c r="D44" s="18" t="s">
        <v>66</v>
      </c>
      <c r="E44" s="18" t="s">
        <v>66</v>
      </c>
      <c r="F44" s="18" t="s">
        <v>66</v>
      </c>
      <c r="G44" s="18" t="s">
        <v>66</v>
      </c>
      <c r="H44" s="18" t="s">
        <v>66</v>
      </c>
      <c r="I44" s="18" t="s">
        <v>66</v>
      </c>
      <c r="J44" s="18" t="s">
        <v>66</v>
      </c>
      <c r="K44" s="18" t="s">
        <v>66</v>
      </c>
      <c r="L44" s="18" t="s">
        <v>66</v>
      </c>
      <c r="M44" s="18" t="s">
        <v>66</v>
      </c>
      <c r="N44" s="18" t="s">
        <v>66</v>
      </c>
      <c r="O44" s="18" t="s">
        <v>66</v>
      </c>
      <c r="P44" s="18" t="s">
        <v>66</v>
      </c>
      <c r="Q44" s="18" t="s">
        <v>66</v>
      </c>
      <c r="R44" s="18" t="s">
        <v>66</v>
      </c>
      <c r="S44" s="18" t="s">
        <v>66</v>
      </c>
      <c r="T44" s="18" t="s">
        <v>66</v>
      </c>
      <c r="U44" s="18"/>
      <c r="V44" s="18"/>
      <c r="W44" s="18"/>
      <c r="X44" s="18"/>
      <c r="Y44" s="18"/>
      <c r="Z44" s="18"/>
      <c r="AA44" s="18" t="s">
        <v>66</v>
      </c>
      <c r="AB44" s="18" t="s">
        <v>66</v>
      </c>
      <c r="AC44" s="18" t="s">
        <v>66</v>
      </c>
      <c r="AD44" s="18" t="s">
        <v>66</v>
      </c>
      <c r="AE44" s="18"/>
      <c r="AF44" s="18"/>
      <c r="AG44" s="18"/>
      <c r="AH44" s="27">
        <f>COUNTA(月3[[#This Row],[1]:[31]])</f>
        <v>6</v>
      </c>
    </row>
    <row r="45" spans="2:34" ht="30" customHeight="1" x14ac:dyDescent="0.25">
      <c r="B45" s="31" t="s">
        <v>111</v>
      </c>
      <c r="C45" s="18"/>
      <c r="D45" s="18" t="s">
        <v>66</v>
      </c>
      <c r="E45" s="18" t="s">
        <v>66</v>
      </c>
      <c r="F45" s="18" t="s">
        <v>66</v>
      </c>
      <c r="G45" s="18" t="s">
        <v>66</v>
      </c>
      <c r="H45" s="18" t="s">
        <v>66</v>
      </c>
      <c r="I45" s="18" t="s">
        <v>66</v>
      </c>
      <c r="J45" s="18" t="s">
        <v>66</v>
      </c>
      <c r="K45" s="18" t="s">
        <v>66</v>
      </c>
      <c r="L45" s="18" t="s">
        <v>66</v>
      </c>
      <c r="M45" s="18" t="s">
        <v>66</v>
      </c>
      <c r="N45" s="18" t="s">
        <v>66</v>
      </c>
      <c r="O45" s="18" t="s">
        <v>66</v>
      </c>
      <c r="P45" s="18" t="s">
        <v>66</v>
      </c>
      <c r="Q45" s="18" t="s">
        <v>66</v>
      </c>
      <c r="R45" s="18" t="s">
        <v>66</v>
      </c>
      <c r="S45" s="18" t="s">
        <v>66</v>
      </c>
      <c r="T45" s="18" t="s">
        <v>66</v>
      </c>
      <c r="U45" s="18"/>
      <c r="V45" s="18"/>
      <c r="W45" s="18"/>
      <c r="X45" s="18"/>
      <c r="Y45" s="18"/>
      <c r="Z45" s="18"/>
      <c r="AA45" s="18" t="s">
        <v>66</v>
      </c>
      <c r="AB45" s="18" t="s">
        <v>66</v>
      </c>
      <c r="AC45" s="18" t="s">
        <v>66</v>
      </c>
      <c r="AD45" s="18" t="s">
        <v>66</v>
      </c>
      <c r="AE45" s="18"/>
      <c r="AF45" s="18"/>
      <c r="AG45" s="18"/>
      <c r="AH45" s="27">
        <f>COUNTA(月3[[#This Row],[1]:[31]])</f>
        <v>6</v>
      </c>
    </row>
    <row r="46" spans="2:34" ht="30" customHeight="1" x14ac:dyDescent="0.25">
      <c r="B46" s="31" t="s">
        <v>112</v>
      </c>
      <c r="C46" s="18"/>
      <c r="D46" s="18" t="s">
        <v>66</v>
      </c>
      <c r="E46" s="18" t="s">
        <v>66</v>
      </c>
      <c r="F46" s="18" t="s">
        <v>66</v>
      </c>
      <c r="G46" s="18" t="s">
        <v>66</v>
      </c>
      <c r="H46" s="18" t="s">
        <v>66</v>
      </c>
      <c r="I46" s="18" t="s">
        <v>66</v>
      </c>
      <c r="J46" s="18" t="s">
        <v>66</v>
      </c>
      <c r="K46" s="18" t="s">
        <v>66</v>
      </c>
      <c r="L46" s="18" t="s">
        <v>66</v>
      </c>
      <c r="M46" s="18" t="s">
        <v>66</v>
      </c>
      <c r="N46" s="18" t="s">
        <v>66</v>
      </c>
      <c r="O46" s="18" t="s">
        <v>66</v>
      </c>
      <c r="P46" s="18" t="s">
        <v>66</v>
      </c>
      <c r="Q46" s="18" t="s">
        <v>66</v>
      </c>
      <c r="R46" s="18" t="s">
        <v>66</v>
      </c>
      <c r="S46" s="18" t="s">
        <v>66</v>
      </c>
      <c r="T46" s="18" t="s">
        <v>66</v>
      </c>
      <c r="U46" s="18"/>
      <c r="V46" s="18"/>
      <c r="W46" s="18"/>
      <c r="X46" s="18"/>
      <c r="Y46" s="18"/>
      <c r="Z46" s="18"/>
      <c r="AA46" s="18" t="s">
        <v>66</v>
      </c>
      <c r="AB46" s="18" t="s">
        <v>66</v>
      </c>
      <c r="AC46" s="18" t="s">
        <v>66</v>
      </c>
      <c r="AD46" s="18" t="s">
        <v>66</v>
      </c>
      <c r="AE46" s="18"/>
      <c r="AF46" s="18"/>
      <c r="AG46" s="18"/>
      <c r="AH46" s="27">
        <f>COUNTA(月3[[#This Row],[1]:[31]])</f>
        <v>6</v>
      </c>
    </row>
    <row r="47" spans="2:34" ht="30" customHeight="1" x14ac:dyDescent="0.25">
      <c r="B47" s="31" t="s">
        <v>113</v>
      </c>
      <c r="C47" s="18"/>
      <c r="D47" s="18" t="s">
        <v>66</v>
      </c>
      <c r="E47" s="18" t="s">
        <v>66</v>
      </c>
      <c r="F47" s="18" t="s">
        <v>66</v>
      </c>
      <c r="G47" s="18" t="s">
        <v>66</v>
      </c>
      <c r="H47" s="18" t="s">
        <v>66</v>
      </c>
      <c r="I47" s="18" t="s">
        <v>66</v>
      </c>
      <c r="J47" s="18" t="s">
        <v>66</v>
      </c>
      <c r="K47" s="18" t="s">
        <v>66</v>
      </c>
      <c r="L47" s="18" t="s">
        <v>66</v>
      </c>
      <c r="M47" s="18" t="s">
        <v>66</v>
      </c>
      <c r="N47" s="18" t="s">
        <v>66</v>
      </c>
      <c r="O47" s="18" t="s">
        <v>66</v>
      </c>
      <c r="P47" s="18" t="s">
        <v>66</v>
      </c>
      <c r="Q47" s="18" t="s">
        <v>66</v>
      </c>
      <c r="R47" s="18" t="s">
        <v>66</v>
      </c>
      <c r="S47" s="18" t="s">
        <v>66</v>
      </c>
      <c r="T47" s="18" t="s">
        <v>66</v>
      </c>
      <c r="U47" s="18"/>
      <c r="V47" s="18"/>
      <c r="W47" s="18"/>
      <c r="X47" s="18"/>
      <c r="Y47" s="18"/>
      <c r="Z47" s="18"/>
      <c r="AA47" s="18" t="s">
        <v>66</v>
      </c>
      <c r="AB47" s="18" t="s">
        <v>66</v>
      </c>
      <c r="AC47" s="18" t="s">
        <v>66</v>
      </c>
      <c r="AD47" s="18" t="s">
        <v>66</v>
      </c>
      <c r="AE47" s="18"/>
      <c r="AF47" s="18"/>
      <c r="AG47" s="18"/>
      <c r="AH47" s="27">
        <f>COUNTA(月3[[#This Row],[1]:[31]])</f>
        <v>6</v>
      </c>
    </row>
    <row r="48" spans="2:34" ht="30" customHeight="1" x14ac:dyDescent="0.25">
      <c r="B48" s="31" t="s">
        <v>114</v>
      </c>
      <c r="C48" s="18"/>
      <c r="D48" s="18" t="s">
        <v>66</v>
      </c>
      <c r="E48" s="18" t="s">
        <v>66</v>
      </c>
      <c r="F48" s="18" t="s">
        <v>66</v>
      </c>
      <c r="G48" s="18" t="s">
        <v>66</v>
      </c>
      <c r="H48" s="18" t="s">
        <v>66</v>
      </c>
      <c r="I48" s="18" t="s">
        <v>66</v>
      </c>
      <c r="J48" s="18" t="s">
        <v>66</v>
      </c>
      <c r="K48" s="18" t="s">
        <v>66</v>
      </c>
      <c r="L48" s="18" t="s">
        <v>66</v>
      </c>
      <c r="M48" s="18" t="s">
        <v>66</v>
      </c>
      <c r="N48" s="18" t="s">
        <v>66</v>
      </c>
      <c r="O48" s="18" t="s">
        <v>66</v>
      </c>
      <c r="P48" s="18" t="s">
        <v>66</v>
      </c>
      <c r="Q48" s="18" t="s">
        <v>66</v>
      </c>
      <c r="R48" s="18" t="s">
        <v>66</v>
      </c>
      <c r="S48" s="18" t="s">
        <v>66</v>
      </c>
      <c r="T48" s="18" t="s">
        <v>66</v>
      </c>
      <c r="U48" s="18"/>
      <c r="V48" s="18"/>
      <c r="W48" s="18"/>
      <c r="X48" s="18"/>
      <c r="Y48" s="18"/>
      <c r="Z48" s="18"/>
      <c r="AA48" s="18" t="s">
        <v>66</v>
      </c>
      <c r="AB48" s="18" t="s">
        <v>66</v>
      </c>
      <c r="AC48" s="18" t="s">
        <v>66</v>
      </c>
      <c r="AD48" s="18" t="s">
        <v>66</v>
      </c>
      <c r="AE48" s="18"/>
      <c r="AF48" s="18"/>
      <c r="AG48" s="18"/>
      <c r="AH48" s="27">
        <f>COUNTA(月3[[#This Row],[1]:[31]])</f>
        <v>6</v>
      </c>
    </row>
    <row r="49" spans="2:34" ht="30" customHeight="1" x14ac:dyDescent="0.25">
      <c r="B49" s="31" t="s">
        <v>115</v>
      </c>
      <c r="C49" s="18"/>
      <c r="D49" s="18" t="s">
        <v>66</v>
      </c>
      <c r="E49" s="18" t="s">
        <v>66</v>
      </c>
      <c r="F49" s="18" t="s">
        <v>66</v>
      </c>
      <c r="G49" s="18" t="s">
        <v>66</v>
      </c>
      <c r="H49" s="18" t="s">
        <v>66</v>
      </c>
      <c r="I49" s="18" t="s">
        <v>66</v>
      </c>
      <c r="J49" s="18" t="s">
        <v>66</v>
      </c>
      <c r="K49" s="18" t="s">
        <v>66</v>
      </c>
      <c r="L49" s="18" t="s">
        <v>66</v>
      </c>
      <c r="M49" s="18" t="s">
        <v>66</v>
      </c>
      <c r="N49" s="18" t="s">
        <v>66</v>
      </c>
      <c r="O49" s="18" t="s">
        <v>66</v>
      </c>
      <c r="P49" s="18" t="s">
        <v>66</v>
      </c>
      <c r="Q49" s="18" t="s">
        <v>66</v>
      </c>
      <c r="R49" s="18" t="s">
        <v>66</v>
      </c>
      <c r="S49" s="18" t="s">
        <v>66</v>
      </c>
      <c r="T49" s="18" t="s">
        <v>66</v>
      </c>
      <c r="U49" s="18"/>
      <c r="V49" s="18"/>
      <c r="W49" s="18"/>
      <c r="X49" s="18"/>
      <c r="Y49" s="18"/>
      <c r="Z49" s="18"/>
      <c r="AA49" s="18" t="s">
        <v>66</v>
      </c>
      <c r="AB49" s="18" t="s">
        <v>66</v>
      </c>
      <c r="AC49" s="18" t="s">
        <v>66</v>
      </c>
      <c r="AD49" s="18" t="s">
        <v>66</v>
      </c>
      <c r="AE49" s="18"/>
      <c r="AF49" s="18"/>
      <c r="AG49" s="18"/>
      <c r="AH49" s="27">
        <f>COUNTA(月3[[#This Row],[1]:[31]])</f>
        <v>6</v>
      </c>
    </row>
    <row r="50" spans="2:34" ht="30" customHeight="1" x14ac:dyDescent="0.25">
      <c r="B50" s="31" t="s">
        <v>116</v>
      </c>
      <c r="C50" s="18"/>
      <c r="D50" s="18" t="s">
        <v>66</v>
      </c>
      <c r="E50" s="18" t="s">
        <v>66</v>
      </c>
      <c r="F50" s="18" t="s">
        <v>66</v>
      </c>
      <c r="G50" s="18" t="s">
        <v>66</v>
      </c>
      <c r="H50" s="18" t="s">
        <v>66</v>
      </c>
      <c r="I50" s="18" t="s">
        <v>66</v>
      </c>
      <c r="J50" s="18" t="s">
        <v>66</v>
      </c>
      <c r="K50" s="18" t="s">
        <v>66</v>
      </c>
      <c r="L50" s="18" t="s">
        <v>66</v>
      </c>
      <c r="M50" s="18" t="s">
        <v>66</v>
      </c>
      <c r="N50" s="18" t="s">
        <v>66</v>
      </c>
      <c r="O50" s="18" t="s">
        <v>66</v>
      </c>
      <c r="P50" s="18" t="s">
        <v>66</v>
      </c>
      <c r="Q50" s="18" t="s">
        <v>66</v>
      </c>
      <c r="R50" s="18" t="s">
        <v>66</v>
      </c>
      <c r="S50" s="18" t="s">
        <v>66</v>
      </c>
      <c r="T50" s="18" t="s">
        <v>66</v>
      </c>
      <c r="U50" s="18"/>
      <c r="V50" s="18"/>
      <c r="W50" s="18"/>
      <c r="X50" s="18"/>
      <c r="Y50" s="18"/>
      <c r="Z50" s="18"/>
      <c r="AA50" s="18" t="s">
        <v>66</v>
      </c>
      <c r="AB50" s="18" t="s">
        <v>66</v>
      </c>
      <c r="AC50" s="18" t="s">
        <v>66</v>
      </c>
      <c r="AD50" s="18" t="s">
        <v>66</v>
      </c>
      <c r="AE50" s="18"/>
      <c r="AF50" s="18"/>
      <c r="AG50" s="18"/>
      <c r="AH50" s="27">
        <f>COUNTA(月3[[#This Row],[1]:[31]])</f>
        <v>6</v>
      </c>
    </row>
    <row r="51" spans="2:34" ht="30" customHeight="1" x14ac:dyDescent="0.25">
      <c r="B51" s="31" t="s">
        <v>117</v>
      </c>
      <c r="C51" s="18"/>
      <c r="D51" s="18" t="s">
        <v>66</v>
      </c>
      <c r="E51" s="18" t="s">
        <v>66</v>
      </c>
      <c r="F51" s="18" t="s">
        <v>66</v>
      </c>
      <c r="G51" s="18" t="s">
        <v>66</v>
      </c>
      <c r="H51" s="18" t="s">
        <v>66</v>
      </c>
      <c r="I51" s="18" t="s">
        <v>66</v>
      </c>
      <c r="J51" s="18" t="s">
        <v>66</v>
      </c>
      <c r="K51" s="18" t="s">
        <v>66</v>
      </c>
      <c r="L51" s="18" t="s">
        <v>66</v>
      </c>
      <c r="M51" s="18" t="s">
        <v>66</v>
      </c>
      <c r="N51" s="18" t="s">
        <v>66</v>
      </c>
      <c r="O51" s="18" t="s">
        <v>66</v>
      </c>
      <c r="P51" s="18" t="s">
        <v>66</v>
      </c>
      <c r="Q51" s="18" t="s">
        <v>66</v>
      </c>
      <c r="R51" s="18" t="s">
        <v>66</v>
      </c>
      <c r="S51" s="18" t="s">
        <v>66</v>
      </c>
      <c r="T51" s="18" t="s">
        <v>66</v>
      </c>
      <c r="U51" s="18"/>
      <c r="V51" s="18"/>
      <c r="W51" s="18"/>
      <c r="X51" s="18"/>
      <c r="Y51" s="18"/>
      <c r="Z51" s="18"/>
      <c r="AA51" s="18" t="s">
        <v>66</v>
      </c>
      <c r="AB51" s="18" t="s">
        <v>66</v>
      </c>
      <c r="AC51" s="18" t="s">
        <v>66</v>
      </c>
      <c r="AD51" s="18" t="s">
        <v>66</v>
      </c>
      <c r="AE51" s="18"/>
      <c r="AF51" s="18"/>
      <c r="AG51" s="18"/>
      <c r="AH51" s="27">
        <f>COUNTA(月3[[#This Row],[1]:[31]])</f>
        <v>6</v>
      </c>
    </row>
    <row r="52" spans="2:34" ht="30" customHeight="1" x14ac:dyDescent="0.25">
      <c r="B52" s="31" t="s">
        <v>118</v>
      </c>
      <c r="C52" s="18"/>
      <c r="D52" s="18" t="s">
        <v>66</v>
      </c>
      <c r="E52" s="18" t="s">
        <v>66</v>
      </c>
      <c r="F52" s="18" t="s">
        <v>66</v>
      </c>
      <c r="G52" s="18" t="s">
        <v>66</v>
      </c>
      <c r="H52" s="18" t="s">
        <v>66</v>
      </c>
      <c r="I52" s="18" t="s">
        <v>66</v>
      </c>
      <c r="J52" s="18" t="s">
        <v>66</v>
      </c>
      <c r="K52" s="18" t="s">
        <v>66</v>
      </c>
      <c r="L52" s="18" t="s">
        <v>66</v>
      </c>
      <c r="M52" s="18" t="s">
        <v>66</v>
      </c>
      <c r="N52" s="18" t="s">
        <v>66</v>
      </c>
      <c r="O52" s="18" t="s">
        <v>66</v>
      </c>
      <c r="P52" s="18" t="s">
        <v>66</v>
      </c>
      <c r="Q52" s="18" t="s">
        <v>66</v>
      </c>
      <c r="R52" s="18" t="s">
        <v>66</v>
      </c>
      <c r="S52" s="18" t="s">
        <v>66</v>
      </c>
      <c r="T52" s="18" t="s">
        <v>66</v>
      </c>
      <c r="U52" s="18"/>
      <c r="V52" s="18"/>
      <c r="W52" s="18"/>
      <c r="X52" s="18"/>
      <c r="Y52" s="18"/>
      <c r="Z52" s="18"/>
      <c r="AA52" s="18" t="s">
        <v>66</v>
      </c>
      <c r="AB52" s="18" t="s">
        <v>66</v>
      </c>
      <c r="AC52" s="18" t="s">
        <v>66</v>
      </c>
      <c r="AD52" s="18" t="s">
        <v>66</v>
      </c>
      <c r="AE52" s="18"/>
      <c r="AF52" s="18"/>
      <c r="AG52" s="18"/>
      <c r="AH52" s="27">
        <f>COUNTA(月3[[#This Row],[1]:[31]])</f>
        <v>6</v>
      </c>
    </row>
    <row r="53" spans="2:34" ht="30" customHeight="1" x14ac:dyDescent="0.25">
      <c r="B53" s="21" t="str">
        <f>MonthName&amp;"集計"</f>
        <v>2月集計</v>
      </c>
      <c r="C53" s="22">
        <f>SUBTOTAL(103,月2[1])</f>
        <v>0</v>
      </c>
      <c r="D53" s="22">
        <f>SUBTOTAL(103,月2[2])</f>
        <v>44</v>
      </c>
      <c r="E53" s="22">
        <f>SUBTOTAL(103,月2[3])</f>
        <v>44</v>
      </c>
      <c r="F53" s="22">
        <f>SUBTOTAL(103,月2[4])</f>
        <v>44</v>
      </c>
      <c r="G53" s="22">
        <f>SUBTOTAL(103,月2[5])</f>
        <v>44</v>
      </c>
      <c r="H53" s="22">
        <f>SUBTOTAL(103,月2[6])</f>
        <v>44</v>
      </c>
      <c r="I53" s="22">
        <f>SUBTOTAL(103,月2[7])</f>
        <v>44</v>
      </c>
      <c r="J53" s="22">
        <f>SUBTOTAL(103,月2[8])</f>
        <v>44</v>
      </c>
      <c r="K53" s="22">
        <f>SUBTOTAL(103,月2[9])</f>
        <v>44</v>
      </c>
      <c r="L53" s="22">
        <f>SUBTOTAL(103,月2[10])</f>
        <v>44</v>
      </c>
      <c r="M53" s="22">
        <f>SUBTOTAL(103,月2[11])</f>
        <v>44</v>
      </c>
      <c r="N53" s="22">
        <f>SUBTOTAL(103,月2[12])</f>
        <v>44</v>
      </c>
      <c r="O53" s="22">
        <f>SUBTOTAL(103,月2[13])</f>
        <v>44</v>
      </c>
      <c r="P53" s="22">
        <f>SUBTOTAL(103,月2[14])</f>
        <v>44</v>
      </c>
      <c r="Q53" s="22">
        <f>SUBTOTAL(103,月2[15])</f>
        <v>44</v>
      </c>
      <c r="R53" s="22">
        <f>SUBTOTAL(103,月2[16])</f>
        <v>44</v>
      </c>
      <c r="S53" s="22">
        <f>SUBTOTAL(103,月2[17])</f>
        <v>44</v>
      </c>
      <c r="T53" s="22">
        <f>SUBTOTAL(103,月2[18])</f>
        <v>44</v>
      </c>
      <c r="U53" s="22">
        <f>SUBTOTAL(103,月2[19])</f>
        <v>13</v>
      </c>
      <c r="V53" s="22">
        <f>SUBTOTAL(103,月2[20])</f>
        <v>13</v>
      </c>
      <c r="W53" s="22">
        <f>SUBTOTAL(103,月2[21])</f>
        <v>13</v>
      </c>
      <c r="X53" s="22">
        <f>SUBTOTAL(103,月2[22])</f>
        <v>13</v>
      </c>
      <c r="Y53" s="22">
        <f>SUBTOTAL(103,月2[23])</f>
        <v>13</v>
      </c>
      <c r="Z53" s="22">
        <f>SUBTOTAL(103,月2[24])</f>
        <v>21</v>
      </c>
      <c r="AA53" s="22">
        <f>SUBTOTAL(103,月2[25])</f>
        <v>44</v>
      </c>
      <c r="AB53" s="22">
        <f>SUBTOTAL(103,月2[26])</f>
        <v>44</v>
      </c>
      <c r="AC53" s="22">
        <f>SUBTOTAL(103,月2[27])</f>
        <v>44</v>
      </c>
      <c r="AD53" s="22">
        <f>SUBTOTAL(103,月2[28])</f>
        <v>44</v>
      </c>
      <c r="AE53" s="22">
        <f>SUBTOTAL(103,月2[29])</f>
        <v>0</v>
      </c>
      <c r="AF53" s="22"/>
      <c r="AG53" s="22"/>
      <c r="AH53" s="22">
        <f>SUBTOTAL(109,月2[合計日数])</f>
        <v>429</v>
      </c>
    </row>
  </sheetData>
  <mergeCells count="6">
    <mergeCell ref="C6:AG6"/>
    <mergeCell ref="D4:F4"/>
    <mergeCell ref="H4:J4"/>
    <mergeCell ref="L4:M4"/>
    <mergeCell ref="O4:Q4"/>
    <mergeCell ref="S4:U4"/>
  </mergeCells>
  <phoneticPr fontId="10"/>
  <conditionalFormatting sqref="C20:C30 U20:AG30">
    <cfRule type="expression" dxfId="471" priority="94" stopIfTrue="1">
      <formula>C20=KeyCustom1</formula>
    </cfRule>
    <cfRule type="expression" dxfId="470" priority="95" stopIfTrue="1">
      <formula>C20=KeySick</formula>
    </cfRule>
    <cfRule type="expression" dxfId="469" priority="96" stopIfTrue="1">
      <formula>C20=KeyPersonal</formula>
    </cfRule>
    <cfRule type="expression" dxfId="468" priority="97" stopIfTrue="1">
      <formula>C20=KeyVacation</formula>
    </cfRule>
    <cfRule type="expression" priority="92" stopIfTrue="1">
      <formula>C20=""</formula>
    </cfRule>
    <cfRule type="expression" dxfId="467" priority="93" stopIfTrue="1">
      <formula>C20=KeyCustom2</formula>
    </cfRule>
  </conditionalFormatting>
  <conditionalFormatting sqref="C9:Y12 AE9:AG19 C13:T19 AA20:AD30 C31:Y34 C35:T40">
    <cfRule type="expression" dxfId="466" priority="102" stopIfTrue="1">
      <formula>C9=KeySick</formula>
    </cfRule>
    <cfRule type="expression" dxfId="465" priority="101" stopIfTrue="1">
      <formula>C9=KeyCustom1</formula>
    </cfRule>
    <cfRule type="expression" dxfId="464" priority="100" stopIfTrue="1">
      <formula>C9=KeyCustom2</formula>
    </cfRule>
    <cfRule type="expression" dxfId="463" priority="104" stopIfTrue="1">
      <formula>C9=KeyVacation</formula>
    </cfRule>
    <cfRule type="expression" dxfId="462" priority="103" stopIfTrue="1">
      <formula>C9=KeyPersonal</formula>
    </cfRule>
  </conditionalFormatting>
  <conditionalFormatting sqref="D20:I30">
    <cfRule type="expression" dxfId="461" priority="91" stopIfTrue="1">
      <formula>D20=KeyVacation</formula>
    </cfRule>
    <cfRule type="expression" dxfId="460" priority="90" stopIfTrue="1">
      <formula>D20=KeyPersonal</formula>
    </cfRule>
    <cfRule type="expression" dxfId="459" priority="89" stopIfTrue="1">
      <formula>D20=KeySick</formula>
    </cfRule>
    <cfRule type="expression" dxfId="458" priority="88" stopIfTrue="1">
      <formula>D20=KeyCustom1</formula>
    </cfRule>
    <cfRule type="expression" dxfId="457" priority="87" stopIfTrue="1">
      <formula>D20=KeyCustom2</formula>
    </cfRule>
    <cfRule type="expression" priority="86" stopIfTrue="1">
      <formula>D20=""</formula>
    </cfRule>
  </conditionalFormatting>
  <conditionalFormatting sqref="D41:T52">
    <cfRule type="expression" dxfId="456" priority="72" stopIfTrue="1">
      <formula>D41=KeyVacation</formula>
    </cfRule>
    <cfRule type="expression" dxfId="455" priority="71" stopIfTrue="1">
      <formula>D41=KeyPersonal</formula>
    </cfRule>
    <cfRule type="expression" dxfId="454" priority="70" stopIfTrue="1">
      <formula>D41=KeySick</formula>
    </cfRule>
    <cfRule type="expression" dxfId="453" priority="69" stopIfTrue="1">
      <formula>D41=KeyCustom1</formula>
    </cfRule>
    <cfRule type="expression" priority="67" stopIfTrue="1">
      <formula>D41=""</formula>
    </cfRule>
    <cfRule type="expression" dxfId="452" priority="68" stopIfTrue="1">
      <formula>D41=KeyCustom2</formula>
    </cfRule>
  </conditionalFormatting>
  <conditionalFormatting sqref="J20:T30">
    <cfRule type="expression" dxfId="451" priority="81" stopIfTrue="1">
      <formula>J20=KeyCustom2</formula>
    </cfRule>
    <cfRule type="expression" dxfId="450" priority="85" stopIfTrue="1">
      <formula>J20=KeyVacation</formula>
    </cfRule>
    <cfRule type="expression" dxfId="449" priority="84" stopIfTrue="1">
      <formula>J20=KeyPersonal</formula>
    </cfRule>
    <cfRule type="expression" dxfId="448" priority="83" stopIfTrue="1">
      <formula>J20=KeySick</formula>
    </cfRule>
    <cfRule type="expression" dxfId="447" priority="82" stopIfTrue="1">
      <formula>J20=KeyCustom1</formula>
    </cfRule>
    <cfRule type="expression" priority="80" stopIfTrue="1">
      <formula>J20=""</formula>
    </cfRule>
  </conditionalFormatting>
  <conditionalFormatting sqref="U41">
    <cfRule type="expression" dxfId="446" priority="60" stopIfTrue="1">
      <formula>U41=KeyVacation</formula>
    </cfRule>
    <cfRule type="expression" dxfId="445" priority="59" stopIfTrue="1">
      <formula>U41=KeyPersonal</formula>
    </cfRule>
    <cfRule type="expression" priority="55" stopIfTrue="1">
      <formula>U41=""</formula>
    </cfRule>
    <cfRule type="expression" dxfId="444" priority="56" stopIfTrue="1">
      <formula>U41=KeyCustom2</formula>
    </cfRule>
    <cfRule type="expression" dxfId="443" priority="57" stopIfTrue="1">
      <formula>U41=KeyCustom1</formula>
    </cfRule>
    <cfRule type="expression" dxfId="442" priority="58" stopIfTrue="1">
      <formula>U41=KeySick</formula>
    </cfRule>
  </conditionalFormatting>
  <conditionalFormatting sqref="V41">
    <cfRule type="expression" dxfId="441" priority="54" stopIfTrue="1">
      <formula>V41=KeyVacation</formula>
    </cfRule>
    <cfRule type="expression" priority="49" stopIfTrue="1">
      <formula>V41=""</formula>
    </cfRule>
    <cfRule type="expression" dxfId="440" priority="50" stopIfTrue="1">
      <formula>V41=KeyCustom2</formula>
    </cfRule>
    <cfRule type="expression" dxfId="439" priority="51" stopIfTrue="1">
      <formula>V41=KeyCustom1</formula>
    </cfRule>
    <cfRule type="expression" dxfId="438" priority="52" stopIfTrue="1">
      <formula>V41=KeySick</formula>
    </cfRule>
    <cfRule type="expression" dxfId="437" priority="53" stopIfTrue="1">
      <formula>V41=KeyPersonal</formula>
    </cfRule>
  </conditionalFormatting>
  <conditionalFormatting sqref="W41">
    <cfRule type="expression" dxfId="436" priority="45" stopIfTrue="1">
      <formula>W41=KeyCustom1</formula>
    </cfRule>
    <cfRule type="expression" priority="43" stopIfTrue="1">
      <formula>W41=""</formula>
    </cfRule>
    <cfRule type="expression" dxfId="435" priority="48" stopIfTrue="1">
      <formula>W41=KeyVacation</formula>
    </cfRule>
    <cfRule type="expression" dxfId="434" priority="47" stopIfTrue="1">
      <formula>W41=KeyPersonal</formula>
    </cfRule>
    <cfRule type="expression" dxfId="433" priority="46" stopIfTrue="1">
      <formula>W41=KeySick</formula>
    </cfRule>
    <cfRule type="expression" dxfId="432" priority="44" stopIfTrue="1">
      <formula>W41=KeyCustom2</formula>
    </cfRule>
  </conditionalFormatting>
  <conditionalFormatting sqref="X41">
    <cfRule type="expression" priority="37" stopIfTrue="1">
      <formula>X41=""</formula>
    </cfRule>
    <cfRule type="expression" dxfId="431" priority="41" stopIfTrue="1">
      <formula>X41=KeyPersonal</formula>
    </cfRule>
    <cfRule type="expression" dxfId="430" priority="42" stopIfTrue="1">
      <formula>X41=KeyVacation</formula>
    </cfRule>
    <cfRule type="expression" dxfId="429" priority="40" stopIfTrue="1">
      <formula>X41=KeySick</formula>
    </cfRule>
    <cfRule type="expression" dxfId="428" priority="39" stopIfTrue="1">
      <formula>X41=KeyCustom1</formula>
    </cfRule>
    <cfRule type="expression" dxfId="427" priority="38" stopIfTrue="1">
      <formula>X41=KeyCustom2</formula>
    </cfRule>
  </conditionalFormatting>
  <conditionalFormatting sqref="Y41">
    <cfRule type="expression" dxfId="426" priority="35" stopIfTrue="1">
      <formula>Y41=KeyPersonal</formula>
    </cfRule>
    <cfRule type="expression" dxfId="425" priority="36" stopIfTrue="1">
      <formula>Y41=KeyVacation</formula>
    </cfRule>
    <cfRule type="expression" priority="31" stopIfTrue="1">
      <formula>Y41=""</formula>
    </cfRule>
    <cfRule type="expression" dxfId="424" priority="32" stopIfTrue="1">
      <formula>Y41=KeyCustom2</formula>
    </cfRule>
    <cfRule type="expression" dxfId="423" priority="34" stopIfTrue="1">
      <formula>Y41=KeySick</formula>
    </cfRule>
    <cfRule type="expression" dxfId="422" priority="33" stopIfTrue="1">
      <formula>Y41=KeyCustom1</formula>
    </cfRule>
  </conditionalFormatting>
  <conditionalFormatting sqref="Z41">
    <cfRule type="expression" dxfId="421" priority="28" stopIfTrue="1">
      <formula>Z41=KeySick</formula>
    </cfRule>
    <cfRule type="expression" dxfId="420" priority="26" stopIfTrue="1">
      <formula>Z41=KeyCustom2</formula>
    </cfRule>
    <cfRule type="expression" priority="25" stopIfTrue="1">
      <formula>Z41=""</formula>
    </cfRule>
    <cfRule type="expression" dxfId="419" priority="27" stopIfTrue="1">
      <formula>Z41=KeyCustom1</formula>
    </cfRule>
    <cfRule type="expression" dxfId="418" priority="30" stopIfTrue="1">
      <formula>Z41=KeyVacation</formula>
    </cfRule>
    <cfRule type="expression" dxfId="417" priority="29" stopIfTrue="1">
      <formula>Z41=KeyPersonal</formula>
    </cfRule>
  </conditionalFormatting>
  <conditionalFormatting sqref="AA41">
    <cfRule type="expression" dxfId="416" priority="21" stopIfTrue="1">
      <formula>AA41=KeyCustom1</formula>
    </cfRule>
    <cfRule type="expression" dxfId="415" priority="24" stopIfTrue="1">
      <formula>AA41=KeyVacation</formula>
    </cfRule>
    <cfRule type="expression" dxfId="414" priority="22" stopIfTrue="1">
      <formula>AA41=KeySick</formula>
    </cfRule>
    <cfRule type="expression" dxfId="413" priority="23" stopIfTrue="1">
      <formula>AA41=KeyPersonal</formula>
    </cfRule>
    <cfRule type="expression" priority="19" stopIfTrue="1">
      <formula>AA41=""</formula>
    </cfRule>
    <cfRule type="expression" dxfId="412" priority="20" stopIfTrue="1">
      <formula>AA41=KeyCustom2</formula>
    </cfRule>
  </conditionalFormatting>
  <conditionalFormatting sqref="AA20:AD30 C9:Y12 AE9:AG19 C13:T19 C31:Y34 C35:T40">
    <cfRule type="expression" priority="99" stopIfTrue="1">
      <formula>C9=""</formula>
    </cfRule>
  </conditionalFormatting>
  <conditionalFormatting sqref="AA42:AD52">
    <cfRule type="expression" dxfId="411" priority="62" stopIfTrue="1">
      <formula>AA42=KeyCustom2</formula>
    </cfRule>
    <cfRule type="expression" dxfId="410" priority="63" stopIfTrue="1">
      <formula>AA42=KeyCustom1</formula>
    </cfRule>
    <cfRule type="expression" dxfId="409" priority="66" stopIfTrue="1">
      <formula>AA42=KeyVacation</formula>
    </cfRule>
    <cfRule type="expression" dxfId="408" priority="65" stopIfTrue="1">
      <formula>AA42=KeyPersonal</formula>
    </cfRule>
    <cfRule type="expression" dxfId="407" priority="64" stopIfTrue="1">
      <formula>AA42=KeySick</formula>
    </cfRule>
    <cfRule type="expression" priority="61" stopIfTrue="1">
      <formula>AA42=""</formula>
    </cfRule>
  </conditionalFormatting>
  <conditionalFormatting sqref="AB41">
    <cfRule type="expression" priority="13" stopIfTrue="1">
      <formula>AB41=""</formula>
    </cfRule>
    <cfRule type="expression" dxfId="406" priority="16" stopIfTrue="1">
      <formula>AB41=KeySick</formula>
    </cfRule>
    <cfRule type="expression" dxfId="405" priority="15" stopIfTrue="1">
      <formula>AB41=KeyCustom1</formula>
    </cfRule>
    <cfRule type="expression" dxfId="404" priority="17" stopIfTrue="1">
      <formula>AB41=KeyPersonal</formula>
    </cfRule>
    <cfRule type="expression" dxfId="403" priority="14" stopIfTrue="1">
      <formula>AB41=KeyCustom2</formula>
    </cfRule>
    <cfRule type="expression" dxfId="402" priority="18" stopIfTrue="1">
      <formula>AB41=KeyVacation</formula>
    </cfRule>
  </conditionalFormatting>
  <conditionalFormatting sqref="AC41">
    <cfRule type="expression" dxfId="401" priority="8" stopIfTrue="1">
      <formula>AC41=KeyCustom2</formula>
    </cfRule>
    <cfRule type="expression" dxfId="400" priority="10" stopIfTrue="1">
      <formula>AC41=KeySick</formula>
    </cfRule>
    <cfRule type="expression" dxfId="399" priority="11" stopIfTrue="1">
      <formula>AC41=KeyPersonal</formula>
    </cfRule>
    <cfRule type="expression" dxfId="398" priority="9" stopIfTrue="1">
      <formula>AC41=KeyCustom1</formula>
    </cfRule>
    <cfRule type="expression" dxfId="397" priority="12" stopIfTrue="1">
      <formula>AC41=KeyVacation</formula>
    </cfRule>
    <cfRule type="expression" priority="7" stopIfTrue="1">
      <formula>AC41=""</formula>
    </cfRule>
  </conditionalFormatting>
  <conditionalFormatting sqref="AD41">
    <cfRule type="expression" dxfId="396" priority="3" stopIfTrue="1">
      <formula>AD41=KeyCustom1</formula>
    </cfRule>
    <cfRule type="expression" dxfId="395" priority="4" stopIfTrue="1">
      <formula>AD41=KeySick</formula>
    </cfRule>
    <cfRule type="expression" dxfId="394" priority="5" stopIfTrue="1">
      <formula>AD41=KeyPersonal</formula>
    </cfRule>
    <cfRule type="expression" dxfId="393" priority="6" stopIfTrue="1">
      <formula>AD41=KeyVacation</formula>
    </cfRule>
    <cfRule type="expression" dxfId="392" priority="2" stopIfTrue="1">
      <formula>AD41=KeyCustom2</formula>
    </cfRule>
    <cfRule type="expression" priority="1" stopIfTrue="1">
      <formula>AD41=""</formula>
    </cfRule>
  </conditionalFormatting>
  <conditionalFormatting sqref="AE7">
    <cfRule type="expression" dxfId="391" priority="106">
      <formula>MONTH(DATE(CalendarYear,2,29))&lt;&gt;2</formula>
    </cfRule>
  </conditionalFormatting>
  <conditionalFormatting sqref="AE8">
    <cfRule type="expression" dxfId="390" priority="122">
      <formula>MONTH(DATE(CalendarYear,2,29))&lt;&gt;2</formula>
    </cfRule>
  </conditionalFormatting>
  <conditionalFormatting sqref="AE31:AG52 C41:C52 U42:Z52">
    <cfRule type="expression" dxfId="389" priority="77" stopIfTrue="1">
      <formula>C31=KeyPersonal</formula>
    </cfRule>
    <cfRule type="expression" dxfId="388" priority="76" stopIfTrue="1">
      <formula>C31=KeySick</formula>
    </cfRule>
    <cfRule type="expression" dxfId="387" priority="78" stopIfTrue="1">
      <formula>C31=KeyVacation</formula>
    </cfRule>
    <cfRule type="expression" dxfId="386" priority="75" stopIfTrue="1">
      <formula>C31=KeyCustom1</formula>
    </cfRule>
    <cfRule type="expression" priority="73" stopIfTrue="1">
      <formula>C31=""</formula>
    </cfRule>
    <cfRule type="expression" dxfId="385" priority="74" stopIfTrue="1">
      <formula>C31=KeyCustom2</formula>
    </cfRule>
  </conditionalFormatting>
  <conditionalFormatting sqref="AH9:AH19 AH31:AH40">
    <cfRule type="dataBar" priority="105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{62450990-9DE9-4D0F-9F0C-BE9C213F3AFC}</x14:id>
        </ext>
      </extLst>
    </cfRule>
  </conditionalFormatting>
  <conditionalFormatting sqref="AH20:AH30">
    <cfRule type="dataBar" priority="98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{D3B59B6D-C9C0-4B7F-B5D0-BFF01A025B8E}</x14:id>
        </ext>
      </extLst>
    </cfRule>
  </conditionalFormatting>
  <conditionalFormatting sqref="AH41:AH52">
    <cfRule type="dataBar" priority="79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{23C8734B-BDE7-4512-B1FA-6ED13BF9C23E}</x14:id>
        </ext>
      </extLst>
    </cfRule>
  </conditionalFormatting>
  <dataValidations xWindow="232" yWindow="365" count="15">
    <dataValidation allowBlank="1" showInputMessage="1" showErrorMessage="1" prompt="1 月のワークシートに入力した年に基づいて自動的に更新される年" sqref="AH6" xr:uid="{00000000-0002-0000-0100-000000000000}"/>
    <dataValidation allowBlank="1" showInputMessage="1" showErrorMessage="1" prompt="このワークシートでは 2 月の欠勤を管理します" sqref="A1" xr:uid="{00000000-0002-0000-0100-000001000000}"/>
    <dataValidation allowBlank="1" showInputMessage="1" showErrorMessage="1" prompt="この列で、従業員の今月の欠勤日数の合計を自動的に計算します" sqref="AH8" xr:uid="{77246999-1DD3-7143-AA66-1A208D7E07C6}"/>
    <dataValidation allowBlank="1" showInputMessage="1" showErrorMessage="1" prompt="自動的に更新されるタイトルが、このセルの内容です。タイトルを変更するには、1 月のワークシートの B1 を更新します" sqref="B2" xr:uid="{00000000-0002-0000-0100-000003000000}"/>
    <dataValidation allowBlank="1" showInputMessage="1" showErrorMessage="1" prompt="この欠勤管理の月の名前が、このセルの内容です。テーブルの最後のセルは、この月の欠勤日数の合計です。テーブルの列 B で従業員名を選択します" sqref="B2" xr:uid="{00000000-0002-0000-0100-000004000000}"/>
    <dataValidation errorStyle="warning" allowBlank="1" showInputMessage="1" showErrorMessage="1" error="リストから名前を選択します。[キャンセル] を選択し、Alt キーを押しながら下方向キーを押してから、Enter キーを押して名前を選択します" prompt="従業員名ワークシートに従業員の名前を入力し、この列のリストから名前を選びます。Alt キーを押しながら下矢印キーを押して、Enter キーを押して名前を選択します" sqref="B8" xr:uid="{63261372-7DCA-F84F-9EF6-13D18C8D58CC}"/>
    <dataValidation allowBlank="1" showInputMessage="1" showErrorMessage="1" prompt="左側にカスタム キーを表すラベルを入力します" sqref="O4:Q4 S4:U4" xr:uid="{00000000-0002-0000-0100-000007000000}"/>
    <dataValidation allowBlank="1" showErrorMessage="1" prompt="右側に文字を入力してラベルをカスタマイズし、別のキー項目を追加します" sqref="R4 N4" xr:uid="{00000000-0002-0000-0100-000008000000}"/>
    <dataValidation allowBlank="1" showErrorMessage="1" prompt="文字 &quot;S&quot; は病欠を表します" sqref="K4" xr:uid="{00000000-0002-0000-0100-000009000000}"/>
    <dataValidation allowBlank="1" showErrorMessage="1" prompt="文字 &quot;P&quot; は私用による欠勤を表します" sqref="G4 U35:Y40 Z9:AD19 U13:Y19 Z31:AD40" xr:uid="{00000000-0002-0000-0100-00000A000000}"/>
    <dataValidation allowBlank="1" showErrorMessage="1" prompt="文字 &quot;V&quot; は休暇のための欠勤を表します" sqref="C4" xr:uid="{00000000-0002-0000-0100-00000B000000}"/>
    <dataValidation allowBlank="1" showInputMessage="1" showErrorMessage="1" prompt="この行の月の日付は、自動的に生成されます。従業員の欠勤と欠勤の種類を月の各日付の各列に入力します。空白は欠勤でないことを示します" sqref="C8" xr:uid="{00000000-0002-0000-0100-00000D000000}"/>
    <dataValidation allowBlank="1" showInputMessage="1" showErrorMessage="1" prompt="この行の曜日は、AH4 の年に従い当月に応じて自動的に更新されます。月の各日付は、従業員の欠勤と欠勤の種類を記録するための列です" sqref="C7" xr:uid="{525721C9-B345-0C4C-8302-350AF692807F}"/>
    <dataValidation allowBlank="1" showInputMessage="1" showErrorMessage="1" prompt="この行には、テーブルで使用するキーが定義されています。セル C4 は休暇、G4 は私用、K4 は病欠です。セル N4 と R4 はカスタマイズ可能です" sqref="B4" xr:uid="{7C2F778E-AA90-4389-BE25-016652C40577}"/>
    <dataValidation allowBlank="1" showInputMessage="1" showErrorMessage="1" prompt="このセルには、ワークシートのタイトルが入ります。" sqref="B1" xr:uid="{9DF97B27-3BD9-4F84-B927-7F309BD2B65E}"/>
  </dataValidations>
  <pageMargins left="0.7" right="0.7" top="0.75" bottom="0.75" header="0.3" footer="0.3"/>
  <pageSetup paperSize="9" fitToHeight="0" orientation="portrait" verticalDpi="4294967293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450990-9DE9-4D0F-9F0C-BE9C213F3AFC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AH9:AH19 AH31:AH40</xm:sqref>
        </x14:conditionalFormatting>
        <x14:conditionalFormatting xmlns:xm="http://schemas.microsoft.com/office/excel/2006/main">
          <x14:cfRule type="dataBar" id="{D3B59B6D-C9C0-4B7F-B5D0-BFF01A025B8E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AH20:AH30</xm:sqref>
        </x14:conditionalFormatting>
        <x14:conditionalFormatting xmlns:xm="http://schemas.microsoft.com/office/excel/2006/main">
          <x14:cfRule type="dataBar" id="{23C8734B-BDE7-4512-B1FA-6ED13BF9C23E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AH41:AH52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232" yWindow="365" count="2">
        <x14:dataValidation type="list" allowBlank="1" showInputMessage="1" showErrorMessage="1" xr:uid="{93E4572D-F60E-43D3-A5C9-1BFF88E5AFA3}">
          <x14:formula1>
            <xm:f>従業員名!$B$4:$B$35</xm:f>
          </x14:formula1>
          <xm:sqref>B9:B19 B31:B40</xm:sqref>
        </x14:dataValidation>
        <x14:dataValidation type="list" allowBlank="1" showInputMessage="1" showErrorMessage="1" xr:uid="{78E2691D-6D05-4594-8E82-5957C4FBE3EF}">
          <x14:formula1>
            <xm:f>従業員名!$B$4:$B$47</xm:f>
          </x14:formula1>
          <xm:sqref>B20:B30 B41:B52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 tint="0.499984740745262"/>
  </sheetPr>
  <dimension ref="B1:AH53"/>
  <sheetViews>
    <sheetView showGridLines="0" topLeftCell="C17" zoomScaleNormal="100" workbookViewId="0">
      <selection activeCell="O30" sqref="O30"/>
    </sheetView>
  </sheetViews>
  <sheetFormatPr defaultColWidth="8.77734375" defaultRowHeight="30" customHeight="1" x14ac:dyDescent="0.25"/>
  <cols>
    <col min="1" max="1" width="2.88671875" customWidth="1"/>
    <col min="2" max="2" width="25.77734375" customWidth="1"/>
    <col min="3" max="33" width="4.77734375" customWidth="1"/>
    <col min="34" max="34" width="13.44140625" customWidth="1"/>
    <col min="35" max="35" width="2.88671875" customWidth="1"/>
  </cols>
  <sheetData>
    <row r="1" spans="2:34" ht="26.45" customHeight="1" x14ac:dyDescent="0.35">
      <c r="B1" s="2" t="s">
        <v>0</v>
      </c>
    </row>
    <row r="2" spans="2:34" ht="48.6" customHeight="1" x14ac:dyDescent="0.25">
      <c r="B2" s="29" t="s">
        <v>135</v>
      </c>
    </row>
    <row r="3" spans="2:34" ht="8.4499999999999993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2:34" ht="30" customHeight="1" x14ac:dyDescent="0.25">
      <c r="B4" s="8" t="s">
        <v>2</v>
      </c>
      <c r="C4" s="9" t="s">
        <v>3</v>
      </c>
      <c r="D4" s="37" t="s">
        <v>4</v>
      </c>
      <c r="E4" s="37"/>
      <c r="F4" s="37"/>
      <c r="G4" s="10" t="s">
        <v>5</v>
      </c>
      <c r="H4" s="37" t="s">
        <v>6</v>
      </c>
      <c r="I4" s="37"/>
      <c r="J4" s="37"/>
      <c r="K4" s="11"/>
      <c r="L4" s="37"/>
      <c r="M4" s="37"/>
      <c r="N4" s="12"/>
      <c r="O4" s="37" t="s">
        <v>7</v>
      </c>
      <c r="P4" s="37"/>
      <c r="Q4" s="37"/>
      <c r="R4" s="13"/>
      <c r="S4" s="37" t="s">
        <v>8</v>
      </c>
      <c r="T4" s="37"/>
      <c r="U4" s="37"/>
    </row>
    <row r="5" spans="2:34" ht="8.4499999999999993" customHeight="1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2:34" ht="15" customHeight="1" x14ac:dyDescent="0.25">
      <c r="B6" s="1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15">
        <v>2025</v>
      </c>
    </row>
    <row r="7" spans="2:34" ht="30" customHeight="1" x14ac:dyDescent="0.25">
      <c r="B7" s="15"/>
      <c r="C7" s="16" t="str">
        <f>TEXT(WEEKDAY(DATE($AH$6,3,1),1),"aaa")</f>
        <v>土</v>
      </c>
      <c r="D7" s="16" t="str">
        <f>TEXT(WEEKDAY(DATE($AH$6,3,2),1),"aaa")</f>
        <v>日</v>
      </c>
      <c r="E7" s="16" t="str">
        <f>TEXT(WEEKDAY(DATE($AH$6,3,3),1),"aaa")</f>
        <v>月</v>
      </c>
      <c r="F7" s="16" t="str">
        <f>TEXT(WEEKDAY(DATE($AH$6,3,4),1),"aaa")</f>
        <v>火</v>
      </c>
      <c r="G7" s="16" t="str">
        <f>TEXT(WEEKDAY(DATE($AH$6,3,5),1),"aaa")</f>
        <v>水</v>
      </c>
      <c r="H7" s="16" t="str">
        <f>TEXT(WEEKDAY(DATE($AH$6,3,6),1),"aaa")</f>
        <v>木</v>
      </c>
      <c r="I7" s="16" t="str">
        <f>TEXT(WEEKDAY(DATE($AH$6,3,7),1),"aaa")</f>
        <v>金</v>
      </c>
      <c r="J7" s="16" t="str">
        <f>TEXT(WEEKDAY(DATE($AH$6,3,8),1),"aaa")</f>
        <v>土</v>
      </c>
      <c r="K7" s="16" t="str">
        <f>TEXT(WEEKDAY(DATE($AH$6,3,9),1),"aaa")</f>
        <v>日</v>
      </c>
      <c r="L7" s="16" t="str">
        <f>TEXT(WEEKDAY(DATE($AH$6,3,10),1),"aaa")</f>
        <v>月</v>
      </c>
      <c r="M7" s="16" t="str">
        <f>TEXT(WEEKDAY(DATE($AH$6,3,11),1),"aaa")</f>
        <v>火</v>
      </c>
      <c r="N7" s="16" t="str">
        <f>TEXT(WEEKDAY(DATE($AH$6,3,12),1),"aaa")</f>
        <v>水</v>
      </c>
      <c r="O7" s="16" t="str">
        <f>TEXT(WEEKDAY(DATE($AH$6,3,13),1),"aaa")</f>
        <v>木</v>
      </c>
      <c r="P7" s="16" t="str">
        <f>TEXT(WEEKDAY(DATE($AH$6,3,14),1),"aaa")</f>
        <v>金</v>
      </c>
      <c r="Q7" s="16" t="str">
        <f>TEXT(WEEKDAY(DATE($AH$6,3,15),1),"aaa")</f>
        <v>土</v>
      </c>
      <c r="R7" s="16" t="str">
        <f>TEXT(WEEKDAY(DATE($AH$6,3,16),1),"aaa")</f>
        <v>日</v>
      </c>
      <c r="S7" s="16" t="str">
        <f>TEXT(WEEKDAY(DATE($AH$6,3,17),1),"aaa")</f>
        <v>月</v>
      </c>
      <c r="T7" s="16" t="str">
        <f>TEXT(WEEKDAY(DATE($AH$6,3,18),1),"aaa")</f>
        <v>火</v>
      </c>
      <c r="U7" s="16" t="str">
        <f>TEXT(WEEKDAY(DATE($AH$6,3,19),1),"aaa")</f>
        <v>水</v>
      </c>
      <c r="V7" s="16" t="str">
        <f>TEXT(WEEKDAY(DATE($AH$6,3,20),1),"aaa")</f>
        <v>木</v>
      </c>
      <c r="W7" s="16" t="str">
        <f>TEXT(WEEKDAY(DATE($AH$6,3,21),1),"aaa")</f>
        <v>金</v>
      </c>
      <c r="X7" s="16" t="str">
        <f>TEXT(WEEKDAY(DATE($AH$6,3,22),1),"aaa")</f>
        <v>土</v>
      </c>
      <c r="Y7" s="16" t="str">
        <f>TEXT(WEEKDAY(DATE($AH$6,3,23),1),"aaa")</f>
        <v>日</v>
      </c>
      <c r="Z7" s="16" t="str">
        <f>TEXT(WEEKDAY(DATE($AH$6,3,24),1),"aaa")</f>
        <v>月</v>
      </c>
      <c r="AA7" s="16" t="str">
        <f>TEXT(WEEKDAY(DATE($AH$6,3,25),1),"aaa")</f>
        <v>火</v>
      </c>
      <c r="AB7" s="16" t="str">
        <f>TEXT(WEEKDAY(DATE($AH$6,3,26),1),"aaa")</f>
        <v>水</v>
      </c>
      <c r="AC7" s="16" t="str">
        <f>TEXT(WEEKDAY(DATE($AH$6,3,27),1),"aaa")</f>
        <v>木</v>
      </c>
      <c r="AD7" s="16" t="str">
        <f>TEXT(WEEKDAY(DATE($AH$6,3,28),1),"aaa")</f>
        <v>金</v>
      </c>
      <c r="AE7" s="16" t="str">
        <f>TEXT(WEEKDAY(DATE($AH$6,3,29),1),"aaa")</f>
        <v>土</v>
      </c>
      <c r="AF7" s="16" t="str">
        <f>TEXT(WEEKDAY(DATE($AH$6,3,30),1),"aaa")</f>
        <v>日</v>
      </c>
      <c r="AG7" s="16" t="str">
        <f>TEXT(WEEKDAY(DATE($AH$6,3,31),1),"aaa")</f>
        <v>月</v>
      </c>
      <c r="AH7" s="15"/>
    </row>
    <row r="8" spans="2:34" ht="30" customHeight="1" x14ac:dyDescent="0.25">
      <c r="B8" s="17" t="s">
        <v>9</v>
      </c>
      <c r="C8" s="18" t="s">
        <v>10</v>
      </c>
      <c r="D8" s="18" t="s">
        <v>11</v>
      </c>
      <c r="E8" s="18" t="s">
        <v>12</v>
      </c>
      <c r="F8" s="18" t="s">
        <v>13</v>
      </c>
      <c r="G8" s="18" t="s">
        <v>14</v>
      </c>
      <c r="H8" s="18" t="s">
        <v>15</v>
      </c>
      <c r="I8" s="18" t="s">
        <v>16</v>
      </c>
      <c r="J8" s="18" t="s">
        <v>17</v>
      </c>
      <c r="K8" s="18" t="s">
        <v>18</v>
      </c>
      <c r="L8" s="18" t="s">
        <v>19</v>
      </c>
      <c r="M8" s="18" t="s">
        <v>20</v>
      </c>
      <c r="N8" s="18" t="s">
        <v>21</v>
      </c>
      <c r="O8" s="18" t="s">
        <v>22</v>
      </c>
      <c r="P8" s="18" t="s">
        <v>23</v>
      </c>
      <c r="Q8" s="18" t="s">
        <v>24</v>
      </c>
      <c r="R8" s="18" t="s">
        <v>25</v>
      </c>
      <c r="S8" s="18" t="s">
        <v>26</v>
      </c>
      <c r="T8" s="18" t="s">
        <v>27</v>
      </c>
      <c r="U8" s="18" t="s">
        <v>28</v>
      </c>
      <c r="V8" s="18" t="s">
        <v>29</v>
      </c>
      <c r="W8" s="18" t="s">
        <v>30</v>
      </c>
      <c r="X8" s="18" t="s">
        <v>31</v>
      </c>
      <c r="Y8" s="18" t="s">
        <v>32</v>
      </c>
      <c r="Z8" s="18" t="s">
        <v>33</v>
      </c>
      <c r="AA8" s="18" t="s">
        <v>34</v>
      </c>
      <c r="AB8" s="18" t="s">
        <v>35</v>
      </c>
      <c r="AC8" s="18" t="s">
        <v>36</v>
      </c>
      <c r="AD8" s="18" t="s">
        <v>37</v>
      </c>
      <c r="AE8" s="18" t="s">
        <v>38</v>
      </c>
      <c r="AF8" s="18" t="s">
        <v>39</v>
      </c>
      <c r="AG8" s="18" t="s">
        <v>64</v>
      </c>
      <c r="AH8" s="19" t="s">
        <v>41</v>
      </c>
    </row>
    <row r="9" spans="2:34" ht="30" customHeight="1" x14ac:dyDescent="0.25">
      <c r="B9" s="20" t="s">
        <v>75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9" t="s">
        <v>3</v>
      </c>
      <c r="O9" s="9" t="s">
        <v>3</v>
      </c>
      <c r="P9" s="9" t="s">
        <v>3</v>
      </c>
      <c r="Q9" s="18"/>
      <c r="R9" s="18"/>
      <c r="S9" s="18" t="s">
        <v>3</v>
      </c>
      <c r="T9" s="18" t="s">
        <v>3</v>
      </c>
      <c r="U9" s="18"/>
      <c r="V9" s="18"/>
      <c r="W9" s="18" t="s">
        <v>3</v>
      </c>
      <c r="X9" s="18"/>
      <c r="Y9" s="18"/>
      <c r="Z9" s="18"/>
      <c r="AA9" s="18"/>
      <c r="AB9" s="18" t="s">
        <v>66</v>
      </c>
      <c r="AC9" s="18" t="s">
        <v>66</v>
      </c>
      <c r="AD9" s="18" t="s">
        <v>66</v>
      </c>
      <c r="AE9" s="18" t="s">
        <v>66</v>
      </c>
      <c r="AF9" s="18" t="s">
        <v>66</v>
      </c>
      <c r="AG9" s="18" t="s">
        <v>66</v>
      </c>
      <c r="AH9" s="27">
        <f>COUNTA(月3[[#This Row],[1]:[31]])</f>
        <v>12</v>
      </c>
    </row>
    <row r="10" spans="2:34" ht="30" customHeight="1" x14ac:dyDescent="0.25">
      <c r="B10" s="20" t="s">
        <v>76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9" t="s">
        <v>3</v>
      </c>
      <c r="O10" s="9" t="s">
        <v>3</v>
      </c>
      <c r="P10" s="9" t="s">
        <v>3</v>
      </c>
      <c r="Q10" s="18"/>
      <c r="R10" s="18"/>
      <c r="S10" s="18" t="s">
        <v>3</v>
      </c>
      <c r="T10" s="18" t="s">
        <v>3</v>
      </c>
      <c r="U10" s="18"/>
      <c r="V10" s="18"/>
      <c r="W10" s="18" t="s">
        <v>3</v>
      </c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27">
        <f>COUNTA(月3[[#This Row],[1]:[31]])</f>
        <v>6</v>
      </c>
    </row>
    <row r="11" spans="2:34" ht="30" customHeight="1" x14ac:dyDescent="0.25">
      <c r="B11" s="20" t="s">
        <v>77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9" t="s">
        <v>3</v>
      </c>
      <c r="O11" s="9" t="s">
        <v>3</v>
      </c>
      <c r="P11" s="9" t="s">
        <v>3</v>
      </c>
      <c r="Q11" s="18"/>
      <c r="R11" s="18"/>
      <c r="S11" s="18" t="s">
        <v>3</v>
      </c>
      <c r="T11" s="18" t="s">
        <v>3</v>
      </c>
      <c r="U11" s="18"/>
      <c r="V11" s="18"/>
      <c r="W11" s="18" t="s">
        <v>3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27">
        <f>COUNTA(月3[[#This Row],[1]:[31]])</f>
        <v>6</v>
      </c>
    </row>
    <row r="12" spans="2:34" ht="30" customHeight="1" x14ac:dyDescent="0.25">
      <c r="B12" s="20" t="s">
        <v>78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9" t="s">
        <v>3</v>
      </c>
      <c r="O12" s="9" t="s">
        <v>3</v>
      </c>
      <c r="P12" s="9" t="s">
        <v>3</v>
      </c>
      <c r="Q12" s="18"/>
      <c r="R12" s="18"/>
      <c r="S12" s="18" t="s">
        <v>3</v>
      </c>
      <c r="T12" s="18" t="s">
        <v>3</v>
      </c>
      <c r="U12" s="18"/>
      <c r="V12" s="18"/>
      <c r="W12" s="18" t="s">
        <v>3</v>
      </c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27">
        <f>COUNTA(月3[[#This Row],[1]:[31]])</f>
        <v>6</v>
      </c>
    </row>
    <row r="13" spans="2:34" ht="30" customHeight="1" x14ac:dyDescent="0.25">
      <c r="B13" s="20" t="s">
        <v>79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9" t="s">
        <v>3</v>
      </c>
      <c r="O13" s="9" t="s">
        <v>3</v>
      </c>
      <c r="P13" s="9" t="s">
        <v>3</v>
      </c>
      <c r="Q13" s="18"/>
      <c r="R13" s="18"/>
      <c r="S13" s="18" t="s">
        <v>3</v>
      </c>
      <c r="T13" s="18" t="s">
        <v>3</v>
      </c>
      <c r="U13" s="18"/>
      <c r="V13" s="18"/>
      <c r="W13" s="18" t="s">
        <v>3</v>
      </c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27">
        <f>COUNTA(月3[[#This Row],[1]:[31]])</f>
        <v>6</v>
      </c>
    </row>
    <row r="14" spans="2:34" ht="30" customHeight="1" x14ac:dyDescent="0.25">
      <c r="B14" s="20" t="s">
        <v>80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9" t="s">
        <v>3</v>
      </c>
      <c r="O14" s="9" t="s">
        <v>3</v>
      </c>
      <c r="P14" s="9" t="s">
        <v>3</v>
      </c>
      <c r="Q14" s="18"/>
      <c r="R14" s="18"/>
      <c r="S14" s="18" t="s">
        <v>3</v>
      </c>
      <c r="T14" s="18" t="s">
        <v>3</v>
      </c>
      <c r="U14" s="18"/>
      <c r="V14" s="18"/>
      <c r="W14" s="18" t="s">
        <v>3</v>
      </c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27">
        <f>COUNTA(月3[[#This Row],[1]:[31]])</f>
        <v>6</v>
      </c>
    </row>
    <row r="15" spans="2:34" ht="30" customHeight="1" x14ac:dyDescent="0.25">
      <c r="B15" s="20" t="s">
        <v>81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9" t="s">
        <v>3</v>
      </c>
      <c r="O15" s="9" t="s">
        <v>3</v>
      </c>
      <c r="P15" s="9" t="s">
        <v>3</v>
      </c>
      <c r="Q15" s="18"/>
      <c r="R15" s="18"/>
      <c r="S15" s="18" t="s">
        <v>3</v>
      </c>
      <c r="T15" s="18" t="s">
        <v>3</v>
      </c>
      <c r="U15" s="18"/>
      <c r="V15" s="18"/>
      <c r="W15" s="18" t="s">
        <v>3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27">
        <f>COUNTA(月3[[#This Row],[1]:[31]])</f>
        <v>6</v>
      </c>
    </row>
    <row r="16" spans="2:34" ht="30" customHeight="1" x14ac:dyDescent="0.25">
      <c r="B16" s="20" t="s">
        <v>82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9" t="s">
        <v>3</v>
      </c>
      <c r="O16" s="9" t="s">
        <v>3</v>
      </c>
      <c r="P16" s="9" t="s">
        <v>3</v>
      </c>
      <c r="Q16" s="18"/>
      <c r="R16" s="18"/>
      <c r="S16" s="18" t="s">
        <v>3</v>
      </c>
      <c r="T16" s="18" t="s">
        <v>3</v>
      </c>
      <c r="U16" s="18"/>
      <c r="V16" s="18"/>
      <c r="W16" s="18" t="s">
        <v>3</v>
      </c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27">
        <f>COUNTA(月3[[#This Row],[1]:[31]])</f>
        <v>6</v>
      </c>
    </row>
    <row r="17" spans="2:34" ht="30" customHeight="1" x14ac:dyDescent="0.25">
      <c r="B17" s="20" t="s">
        <v>83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9" t="s">
        <v>3</v>
      </c>
      <c r="O17" s="9" t="s">
        <v>3</v>
      </c>
      <c r="P17" s="9" t="s">
        <v>3</v>
      </c>
      <c r="Q17" s="18"/>
      <c r="R17" s="18"/>
      <c r="S17" s="18" t="s">
        <v>3</v>
      </c>
      <c r="T17" s="18" t="s">
        <v>3</v>
      </c>
      <c r="U17" s="18"/>
      <c r="V17" s="18"/>
      <c r="W17" s="18" t="s">
        <v>3</v>
      </c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27">
        <f>COUNTA(月3[[#This Row],[1]:[31]])</f>
        <v>6</v>
      </c>
    </row>
    <row r="18" spans="2:34" ht="30" customHeight="1" x14ac:dyDescent="0.25">
      <c r="B18" s="20" t="s">
        <v>84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9" t="s">
        <v>3</v>
      </c>
      <c r="O18" s="9" t="s">
        <v>3</v>
      </c>
      <c r="P18" s="9" t="s">
        <v>3</v>
      </c>
      <c r="Q18" s="18"/>
      <c r="R18" s="18"/>
      <c r="S18" s="18" t="s">
        <v>3</v>
      </c>
      <c r="T18" s="18" t="s">
        <v>3</v>
      </c>
      <c r="U18" s="18"/>
      <c r="V18" s="18"/>
      <c r="W18" s="18" t="s">
        <v>3</v>
      </c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27">
        <f>COUNTA(月3[[#This Row],[1]:[31]])</f>
        <v>6</v>
      </c>
    </row>
    <row r="19" spans="2:34" ht="30" customHeight="1" x14ac:dyDescent="0.25">
      <c r="B19" s="20" t="s">
        <v>85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9" t="s">
        <v>3</v>
      </c>
      <c r="O19" s="9" t="s">
        <v>3</v>
      </c>
      <c r="P19" s="9" t="s">
        <v>3</v>
      </c>
      <c r="Q19" s="18"/>
      <c r="R19" s="18"/>
      <c r="S19" s="18" t="s">
        <v>3</v>
      </c>
      <c r="T19" s="18" t="s">
        <v>3</v>
      </c>
      <c r="U19" s="18"/>
      <c r="V19" s="18"/>
      <c r="W19" s="18" t="s">
        <v>3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7">
        <f>COUNTA(月3[[#This Row],[1]:[31]])</f>
        <v>6</v>
      </c>
    </row>
    <row r="20" spans="2:34" ht="30" customHeight="1" x14ac:dyDescent="0.25">
      <c r="B20" s="31" t="s">
        <v>86</v>
      </c>
      <c r="C20" s="18"/>
      <c r="D20" s="18"/>
      <c r="E20" s="18" t="s">
        <v>3</v>
      </c>
      <c r="F20" s="9" t="s">
        <v>66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 t="s">
        <v>3</v>
      </c>
      <c r="T20" s="18" t="s">
        <v>3</v>
      </c>
      <c r="U20" s="18"/>
      <c r="V20" s="18"/>
      <c r="W20" s="18" t="s">
        <v>3</v>
      </c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7">
        <f>COUNTA(月3[[#This Row],[1]:[31]])</f>
        <v>5</v>
      </c>
    </row>
    <row r="21" spans="2:34" ht="30" customHeight="1" x14ac:dyDescent="0.25">
      <c r="B21" s="31" t="s">
        <v>87</v>
      </c>
      <c r="C21" s="18"/>
      <c r="D21" s="18"/>
      <c r="E21" s="18" t="s">
        <v>3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 t="s">
        <v>3</v>
      </c>
      <c r="T21" s="18" t="s">
        <v>3</v>
      </c>
      <c r="U21" s="18"/>
      <c r="V21" s="18"/>
      <c r="W21" s="18" t="s">
        <v>3</v>
      </c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7">
        <f>COUNTA(月3[[#This Row],[1]:[31]])</f>
        <v>4</v>
      </c>
    </row>
    <row r="22" spans="2:34" ht="30" customHeight="1" x14ac:dyDescent="0.25">
      <c r="B22" s="31" t="s">
        <v>88</v>
      </c>
      <c r="C22" s="18"/>
      <c r="D22" s="18"/>
      <c r="E22" s="18" t="s">
        <v>3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 t="s">
        <v>3</v>
      </c>
      <c r="T22" s="18" t="s">
        <v>3</v>
      </c>
      <c r="U22" s="18"/>
      <c r="V22" s="18"/>
      <c r="W22" s="18" t="s">
        <v>3</v>
      </c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7">
        <f>COUNTA(月3[[#This Row],[1]:[31]])</f>
        <v>4</v>
      </c>
    </row>
    <row r="23" spans="2:34" ht="30" customHeight="1" x14ac:dyDescent="0.25">
      <c r="B23" s="31" t="s">
        <v>89</v>
      </c>
      <c r="C23" s="18"/>
      <c r="D23" s="18"/>
      <c r="E23" s="18" t="s">
        <v>3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 t="s">
        <v>3</v>
      </c>
      <c r="T23" s="18" t="s">
        <v>3</v>
      </c>
      <c r="U23" s="18"/>
      <c r="V23" s="18"/>
      <c r="W23" s="18" t="s">
        <v>3</v>
      </c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7">
        <f>COUNTA(月3[[#This Row],[1]:[31]])</f>
        <v>4</v>
      </c>
    </row>
    <row r="24" spans="2:34" ht="30" customHeight="1" x14ac:dyDescent="0.25">
      <c r="B24" s="31" t="s">
        <v>90</v>
      </c>
      <c r="C24" s="18"/>
      <c r="D24" s="18"/>
      <c r="E24" s="18" t="s">
        <v>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 t="s">
        <v>3</v>
      </c>
      <c r="T24" s="18" t="s">
        <v>3</v>
      </c>
      <c r="U24" s="18"/>
      <c r="V24" s="18"/>
      <c r="W24" s="18" t="s">
        <v>3</v>
      </c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7">
        <f>COUNTA(月3[[#This Row],[1]:[31]])</f>
        <v>4</v>
      </c>
    </row>
    <row r="25" spans="2:34" ht="30" customHeight="1" x14ac:dyDescent="0.25">
      <c r="B25" s="31" t="s">
        <v>91</v>
      </c>
      <c r="C25" s="18"/>
      <c r="D25" s="18"/>
      <c r="E25" s="18" t="s">
        <v>3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 t="s">
        <v>3</v>
      </c>
      <c r="T25" s="18" t="s">
        <v>3</v>
      </c>
      <c r="U25" s="18"/>
      <c r="V25" s="18"/>
      <c r="W25" s="18" t="s">
        <v>3</v>
      </c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7">
        <f>COUNTA(月3[[#This Row],[1]:[31]])</f>
        <v>4</v>
      </c>
    </row>
    <row r="26" spans="2:34" ht="30" customHeight="1" x14ac:dyDescent="0.25">
      <c r="B26" s="31" t="s">
        <v>92</v>
      </c>
      <c r="C26" s="18"/>
      <c r="D26" s="18"/>
      <c r="E26" s="18" t="s">
        <v>3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 t="s">
        <v>3</v>
      </c>
      <c r="T26" s="18" t="s">
        <v>3</v>
      </c>
      <c r="U26" s="18"/>
      <c r="V26" s="18"/>
      <c r="W26" s="18" t="s">
        <v>3</v>
      </c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27">
        <f>COUNTA(月3[[#This Row],[1]:[31]])</f>
        <v>4</v>
      </c>
    </row>
    <row r="27" spans="2:34" ht="30" customHeight="1" x14ac:dyDescent="0.25">
      <c r="B27" s="31" t="s">
        <v>93</v>
      </c>
      <c r="C27" s="18"/>
      <c r="D27" s="18"/>
      <c r="E27" s="18" t="s">
        <v>3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 t="s">
        <v>3</v>
      </c>
      <c r="T27" s="18" t="s">
        <v>3</v>
      </c>
      <c r="U27" s="18"/>
      <c r="V27" s="18"/>
      <c r="W27" s="18" t="s">
        <v>3</v>
      </c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7">
        <f>COUNTA(月3[[#This Row],[1]:[31]])</f>
        <v>4</v>
      </c>
    </row>
    <row r="28" spans="2:34" ht="30" customHeight="1" x14ac:dyDescent="0.25">
      <c r="B28" s="31" t="s">
        <v>94</v>
      </c>
      <c r="C28" s="18"/>
      <c r="D28" s="18"/>
      <c r="E28" s="18" t="s">
        <v>3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 t="s">
        <v>3</v>
      </c>
      <c r="T28" s="18" t="s">
        <v>3</v>
      </c>
      <c r="U28" s="18"/>
      <c r="V28" s="18"/>
      <c r="W28" s="18" t="s">
        <v>3</v>
      </c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27">
        <f>COUNTA(月3[[#This Row],[1]:[31]])</f>
        <v>4</v>
      </c>
    </row>
    <row r="29" spans="2:34" ht="30" customHeight="1" x14ac:dyDescent="0.25">
      <c r="B29" s="31" t="s">
        <v>95</v>
      </c>
      <c r="C29" s="18"/>
      <c r="D29" s="18"/>
      <c r="E29" s="18" t="s">
        <v>3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 t="s">
        <v>3</v>
      </c>
      <c r="T29" s="18" t="s">
        <v>3</v>
      </c>
      <c r="U29" s="18"/>
      <c r="V29" s="18"/>
      <c r="W29" s="18" t="s">
        <v>3</v>
      </c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7">
        <f>COUNTA(月3[[#This Row],[1]:[31]])</f>
        <v>4</v>
      </c>
    </row>
    <row r="30" spans="2:34" ht="30" customHeight="1" x14ac:dyDescent="0.25">
      <c r="B30" s="31" t="s">
        <v>96</v>
      </c>
      <c r="C30" s="18"/>
      <c r="D30" s="18"/>
      <c r="E30" s="18" t="s">
        <v>3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 t="s">
        <v>3</v>
      </c>
      <c r="T30" s="18" t="s">
        <v>3</v>
      </c>
      <c r="U30" s="18"/>
      <c r="V30" s="18"/>
      <c r="W30" s="18" t="s">
        <v>3</v>
      </c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27">
        <f>COUNTA(月3[[#This Row],[1]:[31]])</f>
        <v>4</v>
      </c>
    </row>
    <row r="31" spans="2:34" ht="30" customHeight="1" x14ac:dyDescent="0.25">
      <c r="B31" s="20" t="s">
        <v>97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9" t="s">
        <v>3</v>
      </c>
      <c r="O31" s="9" t="s">
        <v>3</v>
      </c>
      <c r="P31" s="9" t="s">
        <v>3</v>
      </c>
      <c r="Q31" s="18"/>
      <c r="R31" s="18"/>
      <c r="S31" s="18" t="s">
        <v>3</v>
      </c>
      <c r="T31" s="18" t="s">
        <v>3</v>
      </c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7">
        <f>COUNTA(月3[[#This Row],[1]:[31]])</f>
        <v>5</v>
      </c>
    </row>
    <row r="32" spans="2:34" ht="30" customHeight="1" x14ac:dyDescent="0.25">
      <c r="B32" s="20" t="s">
        <v>98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9" t="s">
        <v>3</v>
      </c>
      <c r="O32" s="9" t="s">
        <v>3</v>
      </c>
      <c r="P32" s="9" t="s">
        <v>3</v>
      </c>
      <c r="Q32" s="18"/>
      <c r="R32" s="18"/>
      <c r="S32" s="18" t="s">
        <v>3</v>
      </c>
      <c r="T32" s="18" t="s">
        <v>3</v>
      </c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27">
        <f>COUNTA(月3[[#This Row],[1]:[31]])</f>
        <v>5</v>
      </c>
    </row>
    <row r="33" spans="2:34" ht="30" customHeight="1" x14ac:dyDescent="0.25">
      <c r="B33" s="20" t="s">
        <v>99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9" t="s">
        <v>3</v>
      </c>
      <c r="O33" s="9" t="s">
        <v>3</v>
      </c>
      <c r="P33" s="9" t="s">
        <v>3</v>
      </c>
      <c r="Q33" s="18"/>
      <c r="R33" s="18"/>
      <c r="S33" s="18" t="s">
        <v>3</v>
      </c>
      <c r="T33" s="18" t="s">
        <v>3</v>
      </c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27">
        <f>COUNTA(月3[[#This Row],[1]:[31]])</f>
        <v>5</v>
      </c>
    </row>
    <row r="34" spans="2:34" ht="30" customHeight="1" x14ac:dyDescent="0.25">
      <c r="B34" s="20" t="s">
        <v>100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9" t="s">
        <v>3</v>
      </c>
      <c r="O34" s="9" t="s">
        <v>3</v>
      </c>
      <c r="P34" s="9" t="s">
        <v>3</v>
      </c>
      <c r="Q34" s="18"/>
      <c r="R34" s="18"/>
      <c r="S34" s="18" t="s">
        <v>3</v>
      </c>
      <c r="T34" s="18" t="s">
        <v>3</v>
      </c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7">
        <f>COUNTA(月3[[#This Row],[1]:[31]])</f>
        <v>5</v>
      </c>
    </row>
    <row r="35" spans="2:34" ht="30" customHeight="1" x14ac:dyDescent="0.25">
      <c r="B35" s="20" t="s">
        <v>101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9" t="s">
        <v>3</v>
      </c>
      <c r="O35" s="9" t="s">
        <v>3</v>
      </c>
      <c r="P35" s="9" t="s">
        <v>3</v>
      </c>
      <c r="Q35" s="18"/>
      <c r="R35" s="18"/>
      <c r="S35" s="18" t="s">
        <v>3</v>
      </c>
      <c r="T35" s="18" t="s">
        <v>3</v>
      </c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7">
        <f>COUNTA(月3[[#This Row],[1]:[31]])</f>
        <v>5</v>
      </c>
    </row>
    <row r="36" spans="2:34" ht="30" customHeight="1" x14ac:dyDescent="0.25">
      <c r="B36" s="20" t="s">
        <v>102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9" t="s">
        <v>3</v>
      </c>
      <c r="O36" s="9" t="s">
        <v>3</v>
      </c>
      <c r="P36" s="9" t="s">
        <v>3</v>
      </c>
      <c r="Q36" s="18"/>
      <c r="R36" s="18"/>
      <c r="S36" s="18" t="s">
        <v>3</v>
      </c>
      <c r="T36" s="18" t="s">
        <v>3</v>
      </c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7">
        <f>COUNTA(月3[[#This Row],[1]:[31]])</f>
        <v>5</v>
      </c>
    </row>
    <row r="37" spans="2:34" ht="30" customHeight="1" x14ac:dyDescent="0.25">
      <c r="B37" s="20" t="s">
        <v>103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9" t="s">
        <v>3</v>
      </c>
      <c r="O37" s="9" t="s">
        <v>3</v>
      </c>
      <c r="P37" s="9" t="s">
        <v>3</v>
      </c>
      <c r="Q37" s="18"/>
      <c r="R37" s="18"/>
      <c r="S37" s="18" t="s">
        <v>3</v>
      </c>
      <c r="T37" s="18" t="s">
        <v>3</v>
      </c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27">
        <f>COUNTA(月3[[#This Row],[1]:[31]])</f>
        <v>5</v>
      </c>
    </row>
    <row r="38" spans="2:34" ht="30" customHeight="1" x14ac:dyDescent="0.25">
      <c r="B38" s="20" t="s">
        <v>104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9" t="s">
        <v>3</v>
      </c>
      <c r="O38" s="9" t="s">
        <v>3</v>
      </c>
      <c r="P38" s="9" t="s">
        <v>3</v>
      </c>
      <c r="Q38" s="18"/>
      <c r="R38" s="18"/>
      <c r="S38" s="18" t="s">
        <v>3</v>
      </c>
      <c r="T38" s="18" t="s">
        <v>3</v>
      </c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7">
        <f>COUNTA(月3[[#This Row],[1]:[31]])</f>
        <v>5</v>
      </c>
    </row>
    <row r="39" spans="2:34" ht="30" customHeight="1" x14ac:dyDescent="0.25">
      <c r="B39" s="20" t="s">
        <v>105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9" t="s">
        <v>3</v>
      </c>
      <c r="O39" s="9" t="s">
        <v>3</v>
      </c>
      <c r="P39" s="9" t="s">
        <v>3</v>
      </c>
      <c r="Q39" s="18"/>
      <c r="R39" s="18"/>
      <c r="S39" s="18" t="s">
        <v>3</v>
      </c>
      <c r="T39" s="18" t="s">
        <v>3</v>
      </c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7">
        <f>COUNTA(月3[[#This Row],[1]:[31]])</f>
        <v>5</v>
      </c>
    </row>
    <row r="40" spans="2:34" ht="30" customHeight="1" x14ac:dyDescent="0.25">
      <c r="B40" s="20" t="s">
        <v>106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9" t="s">
        <v>3</v>
      </c>
      <c r="O40" s="9" t="s">
        <v>3</v>
      </c>
      <c r="P40" s="9" t="s">
        <v>3</v>
      </c>
      <c r="Q40" s="18"/>
      <c r="R40" s="18"/>
      <c r="S40" s="18" t="s">
        <v>3</v>
      </c>
      <c r="T40" s="18" t="s">
        <v>3</v>
      </c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27">
        <f>COUNTA(月3[[#This Row],[1]:[31]])</f>
        <v>5</v>
      </c>
    </row>
    <row r="41" spans="2:34" ht="30" customHeight="1" x14ac:dyDescent="0.25">
      <c r="B41" s="31" t="s">
        <v>107</v>
      </c>
      <c r="C41" s="18"/>
      <c r="D41" s="18"/>
      <c r="E41" s="18" t="s">
        <v>3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 t="s">
        <v>3</v>
      </c>
      <c r="T41" s="18" t="s">
        <v>3</v>
      </c>
      <c r="U41" s="18"/>
      <c r="V41" s="18" t="s">
        <v>3</v>
      </c>
      <c r="W41" s="18" t="s">
        <v>3</v>
      </c>
      <c r="X41" s="18" t="s">
        <v>3</v>
      </c>
      <c r="Y41" s="18"/>
      <c r="Z41" s="18"/>
      <c r="AA41" s="18"/>
      <c r="AB41" s="18"/>
      <c r="AC41" s="18"/>
      <c r="AD41" s="18"/>
      <c r="AE41" s="18"/>
      <c r="AF41" s="18"/>
      <c r="AG41" s="18"/>
      <c r="AH41" s="27">
        <f>COUNTA(月3[[#This Row],[1]:[31]])</f>
        <v>6</v>
      </c>
    </row>
    <row r="42" spans="2:34" ht="30" customHeight="1" x14ac:dyDescent="0.25">
      <c r="B42" s="31" t="s">
        <v>108</v>
      </c>
      <c r="C42" s="18"/>
      <c r="D42" s="18"/>
      <c r="E42" s="18" t="s">
        <v>3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 t="s">
        <v>3</v>
      </c>
      <c r="T42" s="18" t="s">
        <v>3</v>
      </c>
      <c r="U42" s="18"/>
      <c r="V42" s="18" t="s">
        <v>3</v>
      </c>
      <c r="W42" s="18" t="s">
        <v>3</v>
      </c>
      <c r="X42" s="18" t="s">
        <v>3</v>
      </c>
      <c r="Y42" s="18"/>
      <c r="Z42" s="18"/>
      <c r="AA42" s="18"/>
      <c r="AB42" s="18"/>
      <c r="AC42" s="18"/>
      <c r="AD42" s="18"/>
      <c r="AE42" s="18"/>
      <c r="AF42" s="18"/>
      <c r="AG42" s="18"/>
      <c r="AH42" s="27">
        <f>COUNTA(月3[[#This Row],[1]:[31]])</f>
        <v>6</v>
      </c>
    </row>
    <row r="43" spans="2:34" ht="30" customHeight="1" x14ac:dyDescent="0.25">
      <c r="B43" s="31" t="s">
        <v>109</v>
      </c>
      <c r="C43" s="18"/>
      <c r="D43" s="18"/>
      <c r="E43" s="18" t="s">
        <v>3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 t="s">
        <v>3</v>
      </c>
      <c r="T43" s="18" t="s">
        <v>3</v>
      </c>
      <c r="U43" s="18"/>
      <c r="V43" s="18" t="s">
        <v>3</v>
      </c>
      <c r="W43" s="18" t="s">
        <v>3</v>
      </c>
      <c r="X43" s="18" t="s">
        <v>3</v>
      </c>
      <c r="Y43" s="18"/>
      <c r="Z43" s="18"/>
      <c r="AA43" s="18"/>
      <c r="AB43" s="18"/>
      <c r="AC43" s="18"/>
      <c r="AD43" s="18"/>
      <c r="AE43" s="18"/>
      <c r="AF43" s="18"/>
      <c r="AG43" s="18"/>
      <c r="AH43" s="27">
        <f>COUNTA(月3[[#This Row],[1]:[31]])</f>
        <v>6</v>
      </c>
    </row>
    <row r="44" spans="2:34" ht="30" customHeight="1" x14ac:dyDescent="0.25">
      <c r="B44" s="31" t="s">
        <v>110</v>
      </c>
      <c r="C44" s="18"/>
      <c r="D44" s="18"/>
      <c r="E44" s="18" t="s">
        <v>3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 t="s">
        <v>3</v>
      </c>
      <c r="T44" s="18" t="s">
        <v>3</v>
      </c>
      <c r="U44" s="18"/>
      <c r="V44" s="18" t="s">
        <v>3</v>
      </c>
      <c r="W44" s="18" t="s">
        <v>3</v>
      </c>
      <c r="X44" s="18" t="s">
        <v>3</v>
      </c>
      <c r="Y44" s="18"/>
      <c r="Z44" s="18"/>
      <c r="AA44" s="18"/>
      <c r="AB44" s="18"/>
      <c r="AC44" s="18"/>
      <c r="AD44" s="18"/>
      <c r="AE44" s="18"/>
      <c r="AF44" s="18"/>
      <c r="AG44" s="18"/>
      <c r="AH44" s="27">
        <f>COUNTA(月3[[#This Row],[1]:[31]])</f>
        <v>6</v>
      </c>
    </row>
    <row r="45" spans="2:34" ht="30" customHeight="1" x14ac:dyDescent="0.25">
      <c r="B45" s="31" t="s">
        <v>111</v>
      </c>
      <c r="C45" s="18"/>
      <c r="D45" s="18"/>
      <c r="E45" s="18" t="s">
        <v>3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 t="s">
        <v>3</v>
      </c>
      <c r="T45" s="18" t="s">
        <v>3</v>
      </c>
      <c r="U45" s="18"/>
      <c r="V45" s="18" t="s">
        <v>3</v>
      </c>
      <c r="W45" s="18" t="s">
        <v>3</v>
      </c>
      <c r="X45" s="18" t="s">
        <v>3</v>
      </c>
      <c r="Y45" s="18"/>
      <c r="Z45" s="18"/>
      <c r="AA45" s="18"/>
      <c r="AB45" s="18"/>
      <c r="AC45" s="18"/>
      <c r="AD45" s="18"/>
      <c r="AE45" s="18"/>
      <c r="AF45" s="18"/>
      <c r="AG45" s="18"/>
      <c r="AH45" s="27">
        <f>COUNTA(月3[[#This Row],[1]:[31]])</f>
        <v>6</v>
      </c>
    </row>
    <row r="46" spans="2:34" ht="30" customHeight="1" x14ac:dyDescent="0.25">
      <c r="B46" s="31" t="s">
        <v>112</v>
      </c>
      <c r="C46" s="18"/>
      <c r="D46" s="18"/>
      <c r="E46" s="18" t="s">
        <v>3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 t="s">
        <v>3</v>
      </c>
      <c r="T46" s="18" t="s">
        <v>3</v>
      </c>
      <c r="U46" s="18"/>
      <c r="V46" s="18" t="s">
        <v>3</v>
      </c>
      <c r="W46" s="18" t="s">
        <v>3</v>
      </c>
      <c r="X46" s="18" t="s">
        <v>3</v>
      </c>
      <c r="Y46" s="18"/>
      <c r="Z46" s="18"/>
      <c r="AA46" s="18"/>
      <c r="AB46" s="18"/>
      <c r="AC46" s="18"/>
      <c r="AD46" s="18"/>
      <c r="AE46" s="18"/>
      <c r="AF46" s="18"/>
      <c r="AG46" s="18"/>
      <c r="AH46" s="27">
        <f>COUNTA(月3[[#This Row],[1]:[31]])</f>
        <v>6</v>
      </c>
    </row>
    <row r="47" spans="2:34" ht="30" customHeight="1" x14ac:dyDescent="0.25">
      <c r="B47" s="31" t="s">
        <v>113</v>
      </c>
      <c r="C47" s="18"/>
      <c r="D47" s="18"/>
      <c r="E47" s="18" t="s">
        <v>3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 t="s">
        <v>3</v>
      </c>
      <c r="T47" s="18" t="s">
        <v>3</v>
      </c>
      <c r="U47" s="18"/>
      <c r="V47" s="18" t="s">
        <v>3</v>
      </c>
      <c r="W47" s="18" t="s">
        <v>3</v>
      </c>
      <c r="X47" s="18" t="s">
        <v>3</v>
      </c>
      <c r="Y47" s="18"/>
      <c r="Z47" s="18"/>
      <c r="AA47" s="18"/>
      <c r="AB47" s="18"/>
      <c r="AC47" s="18"/>
      <c r="AD47" s="18"/>
      <c r="AE47" s="18"/>
      <c r="AF47" s="18"/>
      <c r="AG47" s="18"/>
      <c r="AH47" s="27">
        <f>COUNTA(月3[[#This Row],[1]:[31]])</f>
        <v>6</v>
      </c>
    </row>
    <row r="48" spans="2:34" ht="30" customHeight="1" x14ac:dyDescent="0.25">
      <c r="B48" s="31" t="s">
        <v>114</v>
      </c>
      <c r="C48" s="18"/>
      <c r="D48" s="18"/>
      <c r="E48" s="18" t="s">
        <v>3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 t="s">
        <v>3</v>
      </c>
      <c r="T48" s="18" t="s">
        <v>3</v>
      </c>
      <c r="U48" s="18"/>
      <c r="V48" s="18" t="s">
        <v>3</v>
      </c>
      <c r="W48" s="18" t="s">
        <v>3</v>
      </c>
      <c r="X48" s="18" t="s">
        <v>3</v>
      </c>
      <c r="Y48" s="18"/>
      <c r="Z48" s="18"/>
      <c r="AA48" s="18"/>
      <c r="AB48" s="18"/>
      <c r="AC48" s="18"/>
      <c r="AD48" s="18"/>
      <c r="AE48" s="18"/>
      <c r="AF48" s="18"/>
      <c r="AG48" s="18"/>
      <c r="AH48" s="27">
        <f>COUNTA(月3[[#This Row],[1]:[31]])</f>
        <v>6</v>
      </c>
    </row>
    <row r="49" spans="2:34" ht="30" customHeight="1" x14ac:dyDescent="0.25">
      <c r="B49" s="31" t="s">
        <v>115</v>
      </c>
      <c r="C49" s="18"/>
      <c r="D49" s="18"/>
      <c r="E49" s="18" t="s">
        <v>3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 t="s">
        <v>3</v>
      </c>
      <c r="T49" s="18" t="s">
        <v>3</v>
      </c>
      <c r="U49" s="18"/>
      <c r="V49" s="18" t="s">
        <v>3</v>
      </c>
      <c r="W49" s="18" t="s">
        <v>3</v>
      </c>
      <c r="X49" s="18" t="s">
        <v>3</v>
      </c>
      <c r="Y49" s="18"/>
      <c r="Z49" s="18"/>
      <c r="AA49" s="18"/>
      <c r="AB49" s="18"/>
      <c r="AC49" s="18"/>
      <c r="AD49" s="18"/>
      <c r="AE49" s="18"/>
      <c r="AF49" s="18"/>
      <c r="AG49" s="18"/>
      <c r="AH49" s="27">
        <f>COUNTA(月3[[#This Row],[1]:[31]])</f>
        <v>6</v>
      </c>
    </row>
    <row r="50" spans="2:34" ht="30" customHeight="1" x14ac:dyDescent="0.25">
      <c r="B50" s="31" t="s">
        <v>116</v>
      </c>
      <c r="C50" s="18"/>
      <c r="D50" s="18"/>
      <c r="E50" s="18" t="s">
        <v>3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 t="s">
        <v>3</v>
      </c>
      <c r="T50" s="18" t="s">
        <v>3</v>
      </c>
      <c r="U50" s="18"/>
      <c r="V50" s="18" t="s">
        <v>3</v>
      </c>
      <c r="W50" s="18" t="s">
        <v>3</v>
      </c>
      <c r="X50" s="18" t="s">
        <v>3</v>
      </c>
      <c r="Y50" s="18"/>
      <c r="Z50" s="18"/>
      <c r="AA50" s="18"/>
      <c r="AB50" s="18"/>
      <c r="AC50" s="18"/>
      <c r="AD50" s="18"/>
      <c r="AE50" s="18"/>
      <c r="AF50" s="18"/>
      <c r="AG50" s="18"/>
      <c r="AH50" s="27">
        <f>COUNTA(月3[[#This Row],[1]:[31]])</f>
        <v>6</v>
      </c>
    </row>
    <row r="51" spans="2:34" ht="30" customHeight="1" x14ac:dyDescent="0.25">
      <c r="B51" s="31" t="s">
        <v>117</v>
      </c>
      <c r="C51" s="18"/>
      <c r="D51" s="18"/>
      <c r="E51" s="18" t="s">
        <v>3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 t="s">
        <v>3</v>
      </c>
      <c r="T51" s="18" t="s">
        <v>3</v>
      </c>
      <c r="U51" s="18"/>
      <c r="V51" s="18" t="s">
        <v>3</v>
      </c>
      <c r="W51" s="18" t="s">
        <v>3</v>
      </c>
      <c r="X51" s="18" t="s">
        <v>3</v>
      </c>
      <c r="Y51" s="18"/>
      <c r="Z51" s="18"/>
      <c r="AA51" s="18"/>
      <c r="AB51" s="18"/>
      <c r="AC51" s="18"/>
      <c r="AD51" s="18"/>
      <c r="AE51" s="18"/>
      <c r="AF51" s="18"/>
      <c r="AG51" s="18"/>
      <c r="AH51" s="27">
        <f>COUNTA(月3[[#This Row],[1]:[31]])</f>
        <v>6</v>
      </c>
    </row>
    <row r="52" spans="2:34" ht="30" customHeight="1" x14ac:dyDescent="0.25">
      <c r="B52" s="31" t="s">
        <v>118</v>
      </c>
      <c r="C52" s="18"/>
      <c r="D52" s="18"/>
      <c r="E52" s="18" t="s">
        <v>3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 t="s">
        <v>3</v>
      </c>
      <c r="T52" s="18" t="s">
        <v>3</v>
      </c>
      <c r="U52" s="18"/>
      <c r="V52" s="18" t="s">
        <v>3</v>
      </c>
      <c r="W52" s="18" t="s">
        <v>3</v>
      </c>
      <c r="X52" s="18" t="s">
        <v>3</v>
      </c>
      <c r="Y52" s="18"/>
      <c r="Z52" s="18"/>
      <c r="AA52" s="18"/>
      <c r="AB52" s="18"/>
      <c r="AC52" s="18"/>
      <c r="AD52" s="18"/>
      <c r="AE52" s="18"/>
      <c r="AF52" s="18"/>
      <c r="AG52" s="18"/>
      <c r="AH52" s="27">
        <f>COUNTA(月3[[#This Row],[1]:[31]])</f>
        <v>6</v>
      </c>
    </row>
    <row r="53" spans="2:34" ht="30" customHeight="1" x14ac:dyDescent="0.25">
      <c r="B53" s="21" t="str">
        <f>MonthName&amp;"集計"</f>
        <v>3月集計</v>
      </c>
      <c r="C53" s="22">
        <f>SUBTOTAL(103,月3[1])</f>
        <v>0</v>
      </c>
      <c r="D53" s="22">
        <f>SUBTOTAL(103,月3[2])</f>
        <v>0</v>
      </c>
      <c r="E53" s="22">
        <f>SUBTOTAL(103,月3[3])</f>
        <v>23</v>
      </c>
      <c r="F53" s="22">
        <f>SUBTOTAL(103,月3[4])</f>
        <v>1</v>
      </c>
      <c r="G53" s="22">
        <f>SUBTOTAL(103,月3[5])</f>
        <v>0</v>
      </c>
      <c r="H53" s="22">
        <f>SUBTOTAL(103,月3[6])</f>
        <v>0</v>
      </c>
      <c r="I53" s="22">
        <f>SUBTOTAL(103,月3[7])</f>
        <v>0</v>
      </c>
      <c r="J53" s="22">
        <f>SUBTOTAL(103,月3[8])</f>
        <v>0</v>
      </c>
      <c r="K53" s="22">
        <f>SUBTOTAL(103,月3[9])</f>
        <v>0</v>
      </c>
      <c r="L53" s="22">
        <f>SUBTOTAL(103,月3[10])</f>
        <v>0</v>
      </c>
      <c r="M53" s="22">
        <f>SUBTOTAL(103,月3[11])</f>
        <v>0</v>
      </c>
      <c r="N53" s="22">
        <f>SUBTOTAL(103,月3[12])</f>
        <v>21</v>
      </c>
      <c r="O53" s="22">
        <f>SUBTOTAL(103,月3[13])</f>
        <v>21</v>
      </c>
      <c r="P53" s="22">
        <f>SUBTOTAL(103,月3[14])</f>
        <v>21</v>
      </c>
      <c r="Q53" s="22">
        <f>SUBTOTAL(103,月3[15])</f>
        <v>0</v>
      </c>
      <c r="R53" s="22">
        <f>SUBTOTAL(103,月3[16])</f>
        <v>0</v>
      </c>
      <c r="S53" s="22">
        <f>SUBTOTAL(103,月3[17])</f>
        <v>44</v>
      </c>
      <c r="T53" s="22">
        <f>SUBTOTAL(103,月3[18])</f>
        <v>44</v>
      </c>
      <c r="U53" s="22">
        <f>SUBTOTAL(103,月3[19])</f>
        <v>0</v>
      </c>
      <c r="V53" s="22">
        <f>SUBTOTAL(103,月3[20])</f>
        <v>12</v>
      </c>
      <c r="W53" s="22">
        <f>SUBTOTAL(103,月3[21])</f>
        <v>34</v>
      </c>
      <c r="X53" s="22">
        <f>SUBTOTAL(103,月3[22])</f>
        <v>12</v>
      </c>
      <c r="Y53" s="22">
        <f>SUBTOTAL(103,月3[23])</f>
        <v>0</v>
      </c>
      <c r="Z53" s="22">
        <f>SUBTOTAL(103,月3[24])</f>
        <v>0</v>
      </c>
      <c r="AA53" s="22">
        <f>SUBTOTAL(103,月3[25])</f>
        <v>0</v>
      </c>
      <c r="AB53" s="22">
        <f>SUBTOTAL(103,月3[26])</f>
        <v>1</v>
      </c>
      <c r="AC53" s="22">
        <f>SUBTOTAL(103,月3[27])</f>
        <v>1</v>
      </c>
      <c r="AD53" s="22">
        <f>SUBTOTAL(103,月3[28])</f>
        <v>1</v>
      </c>
      <c r="AE53" s="22">
        <f>SUBTOTAL(103,月3[29])</f>
        <v>1</v>
      </c>
      <c r="AF53" s="22">
        <f>SUBTOTAL(109,月3[30])</f>
        <v>0</v>
      </c>
      <c r="AG53" s="22">
        <f>SUBTOTAL(109,月3[31])</f>
        <v>0</v>
      </c>
      <c r="AH53" s="22">
        <f>SUBTOTAL(109,月3[合計日数])</f>
        <v>239</v>
      </c>
    </row>
  </sheetData>
  <mergeCells count="6">
    <mergeCell ref="C6:AG6"/>
    <mergeCell ref="D4:F4"/>
    <mergeCell ref="H4:J4"/>
    <mergeCell ref="L4:M4"/>
    <mergeCell ref="O4:Q4"/>
    <mergeCell ref="S4:U4"/>
  </mergeCells>
  <phoneticPr fontId="10"/>
  <conditionalFormatting sqref="C9:M19 Q9:AG19 C20:E20 G20:AG20 C21:AG30 C31:M40 Q31:AG40 C41:AG52">
    <cfRule type="expression" priority="1" stopIfTrue="1">
      <formula>C9=""</formula>
    </cfRule>
    <cfRule type="expression" dxfId="384" priority="2" stopIfTrue="1">
      <formula>C9=KeyCustom2</formula>
    </cfRule>
    <cfRule type="expression" dxfId="383" priority="3" stopIfTrue="1">
      <formula>C9=KeyCustom1</formula>
    </cfRule>
    <cfRule type="expression" dxfId="382" priority="4" stopIfTrue="1">
      <formula>C9=KeySick</formula>
    </cfRule>
    <cfRule type="expression" dxfId="381" priority="5" stopIfTrue="1">
      <formula>C9=KeyPersonal</formula>
    </cfRule>
    <cfRule type="expression" dxfId="380" priority="6" stopIfTrue="1">
      <formula>C9=KeyVacation</formula>
    </cfRule>
  </conditionalFormatting>
  <conditionalFormatting sqref="AH9:AH52">
    <cfRule type="dataBar" priority="7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{15CAF273-E818-47C0-9787-3779C92037BC}</x14:id>
        </ext>
      </extLst>
    </cfRule>
  </conditionalFormatting>
  <dataValidations count="15">
    <dataValidation allowBlank="1" showInputMessage="1" showErrorMessage="1" prompt="この行の月の日付は、自動的に生成されます。従業員の欠勤と欠勤の種類を月の各日付の各列に入力します。空白は欠勤でないことを示します" sqref="C8" xr:uid="{00000000-0002-0000-0200-000000000000}"/>
    <dataValidation allowBlank="1" showInputMessage="1" showErrorMessage="1" prompt="左側にカスタム キーを表すラベルを入力します" sqref="O4:Q4 S4:U4" xr:uid="{E366FBFA-347E-8543-BF03-F13C8B9DCA49}"/>
    <dataValidation allowBlank="1" showErrorMessage="1" prompt="右側に文字を入力してラベルをカスタマイズし、別のキー項目を追加します" sqref="R4 N4" xr:uid="{8C7F6C70-699C-2D4E-95B7-BEEF00444CC1}"/>
    <dataValidation allowBlank="1" showErrorMessage="1" prompt="文字 &quot;S&quot; は病欠を表します" sqref="K4" xr:uid="{299D83F3-6B77-0849-9674-CBC3EF3148C0}"/>
    <dataValidation allowBlank="1" showErrorMessage="1" prompt="文字 &quot;P&quot; は私用による欠勤を表します" sqref="G4" xr:uid="{D96709FA-C89E-174E-BD1B-910451DEBE05}"/>
    <dataValidation allowBlank="1" showErrorMessage="1" prompt="文字 &quot;V&quot; は休暇のための欠勤を表します" sqref="C4 F20 N9:P19 N31:P40" xr:uid="{29AC19CC-7211-AC4C-934C-F8A72FBB8569}"/>
    <dataValidation allowBlank="1" showInputMessage="1" showErrorMessage="1" prompt="自動的に更新されるタイトルが、このセルの内容です。タイトルを変更するには、1 月のワークシートの B1 を更新します" sqref="B2" xr:uid="{00000000-0002-0000-0200-000009000000}"/>
    <dataValidation errorStyle="warning" allowBlank="1" showInputMessage="1" showErrorMessage="1" error="リストから名前を選択します。[キャンセル] を選択し、Alt キーを押しながら下方向キーを押してから、Enter キーを押して名前を選択します" prompt="従業員名ワークシートに従業員の名前を入力し、この列のリストから名前を選びます。Alt キーを押しながら下矢印キーを押して、Enter キーを押して名前を選択します" sqref="B8" xr:uid="{E46101B5-4A18-414B-9169-B2F7AB28F054}"/>
    <dataValidation allowBlank="1" showInputMessage="1" showErrorMessage="1" prompt="このワークシートで 3 月の欠勤を管理します" sqref="A1" xr:uid="{00000000-0002-0000-0200-00000B000000}"/>
    <dataValidation allowBlank="1" showInputMessage="1" showErrorMessage="1" prompt="この列で、従業員の今月の欠勤日数の合計を自動的に計算します" sqref="AH8" xr:uid="{70BD9EEE-E1FD-D147-919D-901970D7AADE}"/>
    <dataValidation allowBlank="1" showInputMessage="1" showErrorMessage="1" prompt="1 月のワークシートに入力した年に基づいて自動的に更新される年" sqref="AH6" xr:uid="{A06F72EE-346E-CD4A-B706-B1500A526D8A}"/>
    <dataValidation allowBlank="1" showInputMessage="1" showErrorMessage="1" prompt="この行の曜日は、AH4 の年に従い当月に応じて自動的に更新されます。月の各日付は、従業員の欠勤と欠勤の種類を記録するための列です" sqref="C7" xr:uid="{02C7B989-E77F-4A4F-82FD-F03860560B2B}"/>
    <dataValidation allowBlank="1" showInputMessage="1" showErrorMessage="1" prompt="このセルには、この欠勤管理の月の名前が入ります。テーブルの最後のセルには、この月の欠勤日数の合計が表示されます。テーブルの列 B で従業員名を選択します" sqref="B2" xr:uid="{00000000-0002-0000-0200-000002000000}"/>
    <dataValidation allowBlank="1" showInputMessage="1" showErrorMessage="1" prompt="この行には、テーブルで使用するキーが定義されています。セル C4 は休暇、G4 は私用、K4 は病欠です。セル N4 と R4 はカスタマイズ可能です" sqref="B4" xr:uid="{9A98B74B-4764-403E-92AD-9C10299A10A6}"/>
    <dataValidation allowBlank="1" showInputMessage="1" showErrorMessage="1" prompt="このセルには、ワークシートのタイトルが入ります。" sqref="B1" xr:uid="{EB3E8C71-AF5D-4874-BC75-DD3117E0086D}"/>
  </dataValidations>
  <pageMargins left="0.7" right="0.7" top="0.75" bottom="0.75" header="0.3" footer="0.3"/>
  <pageSetup paperSize="9" fitToHeight="0" orientation="portrait" verticalDpi="4294967293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CAF273-E818-47C0-9787-3779C92037BC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AH9:AH52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870789-9E47-4870-AF9E-55FAB4FB62A3}">
          <x14:formula1>
            <xm:f>従業員名!$B$4:$B$47</xm:f>
          </x14:formula1>
          <xm:sqref>B9:B52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AFDC-A4F2-414E-986E-18C6A5C223CC}">
  <sheetPr>
    <tabColor theme="7"/>
  </sheetPr>
  <dimension ref="B1:AH66"/>
  <sheetViews>
    <sheetView showGridLines="0" zoomScale="85" zoomScaleNormal="85" workbookViewId="0">
      <selection activeCell="D7" sqref="D7"/>
    </sheetView>
  </sheetViews>
  <sheetFormatPr defaultColWidth="8.77734375" defaultRowHeight="30" customHeight="1" x14ac:dyDescent="0.25"/>
  <cols>
    <col min="1" max="1" width="2.88671875" customWidth="1"/>
    <col min="2" max="2" width="25.77734375" customWidth="1"/>
    <col min="3" max="33" width="4.77734375" customWidth="1"/>
    <col min="34" max="34" width="13.44140625" customWidth="1"/>
    <col min="35" max="35" width="2.88671875" customWidth="1"/>
  </cols>
  <sheetData>
    <row r="1" spans="2:34" ht="26.45" customHeight="1" x14ac:dyDescent="0.35">
      <c r="B1" s="2" t="s">
        <v>0</v>
      </c>
    </row>
    <row r="2" spans="2:34" ht="48.6" customHeight="1" x14ac:dyDescent="0.25">
      <c r="B2" s="28" t="s">
        <v>136</v>
      </c>
    </row>
    <row r="3" spans="2:34" ht="8.4499999999999993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2:34" ht="30" customHeight="1" x14ac:dyDescent="0.25">
      <c r="B4" s="8" t="s">
        <v>2</v>
      </c>
      <c r="C4" s="9" t="s">
        <v>3</v>
      </c>
      <c r="D4" s="37" t="s">
        <v>4</v>
      </c>
      <c r="E4" s="37"/>
      <c r="F4" s="37"/>
      <c r="G4" s="10" t="s">
        <v>5</v>
      </c>
      <c r="H4" s="37" t="s">
        <v>6</v>
      </c>
      <c r="I4" s="37"/>
      <c r="J4" s="37"/>
      <c r="K4" s="11"/>
      <c r="L4" s="37"/>
      <c r="M4" s="37"/>
      <c r="N4" s="12"/>
      <c r="O4" s="37" t="s">
        <v>7</v>
      </c>
      <c r="P4" s="37"/>
      <c r="Q4" s="37"/>
      <c r="R4" s="13"/>
      <c r="S4" s="37" t="s">
        <v>8</v>
      </c>
      <c r="T4" s="37"/>
      <c r="U4" s="37"/>
    </row>
    <row r="5" spans="2:34" ht="8.4499999999999993" customHeight="1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2:34" ht="15" customHeight="1" x14ac:dyDescent="0.25">
      <c r="B6" s="1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15">
        <v>2025</v>
      </c>
    </row>
    <row r="7" spans="2:34" ht="30" customHeight="1" x14ac:dyDescent="0.25">
      <c r="B7" s="15"/>
      <c r="C7" s="16" t="s">
        <v>137</v>
      </c>
      <c r="D7" s="16" t="s">
        <v>138</v>
      </c>
      <c r="E7" s="16" t="s">
        <v>139</v>
      </c>
      <c r="F7" s="16" t="s">
        <v>140</v>
      </c>
      <c r="G7" s="16" t="s">
        <v>141</v>
      </c>
      <c r="H7" s="16" t="s">
        <v>142</v>
      </c>
      <c r="I7" s="16" t="s">
        <v>143</v>
      </c>
      <c r="J7" s="16" t="s">
        <v>137</v>
      </c>
      <c r="K7" s="16" t="s">
        <v>138</v>
      </c>
      <c r="L7" s="16" t="s">
        <v>139</v>
      </c>
      <c r="M7" s="16" t="s">
        <v>140</v>
      </c>
      <c r="N7" s="16" t="s">
        <v>141</v>
      </c>
      <c r="O7" s="16" t="s">
        <v>142</v>
      </c>
      <c r="P7" s="16" t="s">
        <v>143</v>
      </c>
      <c r="Q7" s="16" t="s">
        <v>137</v>
      </c>
      <c r="R7" s="16" t="s">
        <v>138</v>
      </c>
      <c r="S7" s="16" t="s">
        <v>139</v>
      </c>
      <c r="T7" s="16" t="s">
        <v>140</v>
      </c>
      <c r="U7" s="16" t="s">
        <v>141</v>
      </c>
      <c r="V7" s="16" t="s">
        <v>142</v>
      </c>
      <c r="W7" s="16" t="s">
        <v>143</v>
      </c>
      <c r="X7" s="16" t="s">
        <v>137</v>
      </c>
      <c r="Y7" s="16" t="s">
        <v>138</v>
      </c>
      <c r="Z7" s="16" t="s">
        <v>139</v>
      </c>
      <c r="AA7" s="16" t="s">
        <v>140</v>
      </c>
      <c r="AB7" s="16" t="s">
        <v>141</v>
      </c>
      <c r="AC7" s="16" t="s">
        <v>142</v>
      </c>
      <c r="AD7" s="16" t="s">
        <v>143</v>
      </c>
      <c r="AE7" s="16" t="s">
        <v>137</v>
      </c>
      <c r="AF7" s="16" t="s">
        <v>138</v>
      </c>
      <c r="AG7" s="16"/>
      <c r="AH7" s="15"/>
    </row>
    <row r="8" spans="2:34" ht="30" customHeight="1" x14ac:dyDescent="0.25">
      <c r="B8" s="17" t="s">
        <v>9</v>
      </c>
      <c r="C8" s="18" t="s">
        <v>10</v>
      </c>
      <c r="D8" s="18" t="s">
        <v>11</v>
      </c>
      <c r="E8" s="18" t="s">
        <v>12</v>
      </c>
      <c r="F8" s="18" t="s">
        <v>13</v>
      </c>
      <c r="G8" s="18" t="s">
        <v>14</v>
      </c>
      <c r="H8" s="18" t="s">
        <v>15</v>
      </c>
      <c r="I8" s="18" t="s">
        <v>16</v>
      </c>
      <c r="J8" s="18" t="s">
        <v>17</v>
      </c>
      <c r="K8" s="18" t="s">
        <v>18</v>
      </c>
      <c r="L8" s="18" t="s">
        <v>19</v>
      </c>
      <c r="M8" s="18" t="s">
        <v>20</v>
      </c>
      <c r="N8" s="18" t="s">
        <v>21</v>
      </c>
      <c r="O8" s="18" t="s">
        <v>22</v>
      </c>
      <c r="P8" s="18" t="s">
        <v>23</v>
      </c>
      <c r="Q8" s="18" t="s">
        <v>24</v>
      </c>
      <c r="R8" s="18" t="s">
        <v>25</v>
      </c>
      <c r="S8" s="18" t="s">
        <v>26</v>
      </c>
      <c r="T8" s="18" t="s">
        <v>27</v>
      </c>
      <c r="U8" s="18" t="s">
        <v>28</v>
      </c>
      <c r="V8" s="18" t="s">
        <v>29</v>
      </c>
      <c r="W8" s="18" t="s">
        <v>30</v>
      </c>
      <c r="X8" s="18" t="s">
        <v>31</v>
      </c>
      <c r="Y8" s="18" t="s">
        <v>32</v>
      </c>
      <c r="Z8" s="18" t="s">
        <v>33</v>
      </c>
      <c r="AA8" s="18" t="s">
        <v>34</v>
      </c>
      <c r="AB8" s="18" t="s">
        <v>35</v>
      </c>
      <c r="AC8" s="18" t="s">
        <v>36</v>
      </c>
      <c r="AD8" s="18" t="s">
        <v>37</v>
      </c>
      <c r="AE8" s="18" t="s">
        <v>38</v>
      </c>
      <c r="AF8" s="18" t="s">
        <v>39</v>
      </c>
      <c r="AG8" s="18" t="s">
        <v>40</v>
      </c>
      <c r="AH8" s="19" t="s">
        <v>41</v>
      </c>
    </row>
    <row r="9" spans="2:34" ht="30" customHeight="1" x14ac:dyDescent="0.25">
      <c r="B9" s="20" t="s">
        <v>75</v>
      </c>
      <c r="C9" s="18" t="s">
        <v>5</v>
      </c>
      <c r="D9" s="18" t="s">
        <v>5</v>
      </c>
      <c r="E9" s="18"/>
      <c r="F9" s="18"/>
      <c r="G9" s="18"/>
      <c r="H9" s="18"/>
      <c r="I9" s="18" t="s">
        <v>3</v>
      </c>
      <c r="J9" s="18" t="s">
        <v>3</v>
      </c>
      <c r="K9" s="18" t="s">
        <v>3</v>
      </c>
      <c r="L9" s="18" t="s">
        <v>3</v>
      </c>
      <c r="M9" s="18" t="s">
        <v>3</v>
      </c>
      <c r="N9" s="18"/>
      <c r="O9" s="18"/>
      <c r="P9" s="18"/>
      <c r="Q9" s="18"/>
      <c r="R9" s="18"/>
      <c r="S9" s="18" t="s">
        <v>3</v>
      </c>
      <c r="T9" s="18" t="s">
        <v>3</v>
      </c>
      <c r="U9" s="18" t="s">
        <v>3</v>
      </c>
      <c r="V9" s="18" t="s">
        <v>3</v>
      </c>
      <c r="W9" s="18" t="s">
        <v>3</v>
      </c>
      <c r="X9" s="18" t="s">
        <v>3</v>
      </c>
      <c r="Y9" s="18" t="s">
        <v>3</v>
      </c>
      <c r="Z9" s="18" t="s">
        <v>3</v>
      </c>
      <c r="AA9" s="18" t="s">
        <v>3</v>
      </c>
      <c r="AB9" s="18" t="s">
        <v>3</v>
      </c>
      <c r="AC9" s="18" t="s">
        <v>3</v>
      </c>
      <c r="AD9" s="18" t="s">
        <v>3</v>
      </c>
      <c r="AE9" s="18" t="s">
        <v>3</v>
      </c>
      <c r="AF9" s="18" t="s">
        <v>3</v>
      </c>
      <c r="AG9" s="18"/>
      <c r="AH9" s="27">
        <f>COUNTA('25年4月'!$C9:$AG9)</f>
        <v>21</v>
      </c>
    </row>
    <row r="10" spans="2:34" ht="30" customHeight="1" x14ac:dyDescent="0.25">
      <c r="B10" s="20" t="s">
        <v>76</v>
      </c>
      <c r="C10" s="18" t="s">
        <v>5</v>
      </c>
      <c r="D10" s="18" t="s">
        <v>5</v>
      </c>
      <c r="E10" s="18"/>
      <c r="F10" s="18"/>
      <c r="G10" s="18"/>
      <c r="H10" s="18"/>
      <c r="I10" s="18" t="s">
        <v>3</v>
      </c>
      <c r="J10" s="18" t="s">
        <v>3</v>
      </c>
      <c r="K10" s="18" t="s">
        <v>3</v>
      </c>
      <c r="L10" s="18" t="s">
        <v>3</v>
      </c>
      <c r="M10" s="18" t="s">
        <v>3</v>
      </c>
      <c r="N10" s="18"/>
      <c r="O10" s="18"/>
      <c r="P10" s="18"/>
      <c r="Q10" s="18"/>
      <c r="R10" s="18"/>
      <c r="S10" s="18" t="s">
        <v>3</v>
      </c>
      <c r="T10" s="18" t="s">
        <v>3</v>
      </c>
      <c r="U10" s="18" t="s">
        <v>3</v>
      </c>
      <c r="V10" s="18" t="s">
        <v>3</v>
      </c>
      <c r="W10" s="18" t="s">
        <v>3</v>
      </c>
      <c r="X10" s="18" t="s">
        <v>3</v>
      </c>
      <c r="Y10" s="18" t="s">
        <v>3</v>
      </c>
      <c r="Z10" s="18" t="s">
        <v>3</v>
      </c>
      <c r="AA10" s="18" t="s">
        <v>3</v>
      </c>
      <c r="AB10" s="18" t="s">
        <v>3</v>
      </c>
      <c r="AC10" s="18" t="s">
        <v>3</v>
      </c>
      <c r="AD10" s="18" t="s">
        <v>3</v>
      </c>
      <c r="AE10" s="18" t="s">
        <v>3</v>
      </c>
      <c r="AF10" s="18" t="s">
        <v>3</v>
      </c>
      <c r="AG10" s="18"/>
      <c r="AH10" s="27">
        <f>COUNTA('25年4月'!$C10:$AG10)</f>
        <v>21</v>
      </c>
    </row>
    <row r="11" spans="2:34" ht="30" customHeight="1" x14ac:dyDescent="0.25">
      <c r="B11" s="20" t="s">
        <v>77</v>
      </c>
      <c r="C11" s="18" t="s">
        <v>5</v>
      </c>
      <c r="D11" s="18" t="s">
        <v>5</v>
      </c>
      <c r="E11" s="18"/>
      <c r="F11" s="18"/>
      <c r="G11" s="18"/>
      <c r="H11" s="18"/>
      <c r="I11" s="18" t="s">
        <v>3</v>
      </c>
      <c r="J11" s="18" t="s">
        <v>3</v>
      </c>
      <c r="K11" s="18" t="s">
        <v>3</v>
      </c>
      <c r="L11" s="18" t="s">
        <v>3</v>
      </c>
      <c r="M11" s="18" t="s">
        <v>3</v>
      </c>
      <c r="N11" s="18"/>
      <c r="O11" s="18"/>
      <c r="P11" s="18"/>
      <c r="Q11" s="18"/>
      <c r="R11" s="18"/>
      <c r="S11" s="18" t="s">
        <v>3</v>
      </c>
      <c r="T11" s="18" t="s">
        <v>3</v>
      </c>
      <c r="U11" s="18" t="s">
        <v>3</v>
      </c>
      <c r="V11" s="18" t="s">
        <v>3</v>
      </c>
      <c r="W11" s="18" t="s">
        <v>3</v>
      </c>
      <c r="X11" s="18" t="s">
        <v>3</v>
      </c>
      <c r="Y11" s="18" t="s">
        <v>3</v>
      </c>
      <c r="Z11" s="18" t="s">
        <v>3</v>
      </c>
      <c r="AA11" s="18" t="s">
        <v>3</v>
      </c>
      <c r="AB11" s="18" t="s">
        <v>3</v>
      </c>
      <c r="AC11" s="18" t="s">
        <v>3</v>
      </c>
      <c r="AD11" s="18" t="s">
        <v>3</v>
      </c>
      <c r="AE11" s="18" t="s">
        <v>3</v>
      </c>
      <c r="AF11" s="18" t="s">
        <v>3</v>
      </c>
      <c r="AG11" s="18"/>
      <c r="AH11" s="27">
        <f>COUNTA('25年4月'!$C11:$AG11)</f>
        <v>21</v>
      </c>
    </row>
    <row r="12" spans="2:34" ht="30" customHeight="1" x14ac:dyDescent="0.25">
      <c r="B12" s="20" t="s">
        <v>78</v>
      </c>
      <c r="C12" s="18" t="s">
        <v>5</v>
      </c>
      <c r="D12" s="18" t="s">
        <v>5</v>
      </c>
      <c r="E12" s="18"/>
      <c r="F12" s="18"/>
      <c r="G12" s="18"/>
      <c r="H12" s="18"/>
      <c r="I12" s="18" t="s">
        <v>3</v>
      </c>
      <c r="J12" s="18" t="s">
        <v>3</v>
      </c>
      <c r="K12" s="18" t="s">
        <v>3</v>
      </c>
      <c r="L12" s="18" t="s">
        <v>3</v>
      </c>
      <c r="M12" s="18" t="s">
        <v>3</v>
      </c>
      <c r="N12" s="18"/>
      <c r="O12" s="18"/>
      <c r="P12" s="18"/>
      <c r="Q12" s="18"/>
      <c r="R12" s="18"/>
      <c r="S12" s="18" t="s">
        <v>3</v>
      </c>
      <c r="T12" s="18" t="s">
        <v>3</v>
      </c>
      <c r="U12" s="18" t="s">
        <v>3</v>
      </c>
      <c r="V12" s="18" t="s">
        <v>3</v>
      </c>
      <c r="W12" s="18" t="s">
        <v>3</v>
      </c>
      <c r="X12" s="18" t="s">
        <v>3</v>
      </c>
      <c r="Y12" s="18" t="s">
        <v>3</v>
      </c>
      <c r="Z12" s="18" t="s">
        <v>3</v>
      </c>
      <c r="AA12" s="18" t="s">
        <v>3</v>
      </c>
      <c r="AB12" s="18" t="s">
        <v>3</v>
      </c>
      <c r="AC12" s="18" t="s">
        <v>3</v>
      </c>
      <c r="AD12" s="18" t="s">
        <v>3</v>
      </c>
      <c r="AE12" s="18" t="s">
        <v>3</v>
      </c>
      <c r="AF12" s="18" t="s">
        <v>3</v>
      </c>
      <c r="AG12" s="18"/>
      <c r="AH12" s="27">
        <f>COUNTA('25年4月'!$C12:$AG12)</f>
        <v>21</v>
      </c>
    </row>
    <row r="13" spans="2:34" ht="30" customHeight="1" x14ac:dyDescent="0.25">
      <c r="B13" s="20" t="s">
        <v>79</v>
      </c>
      <c r="C13" s="18"/>
      <c r="D13" s="18"/>
      <c r="E13" s="18"/>
      <c r="F13" s="18" t="s">
        <v>3</v>
      </c>
      <c r="G13" s="18" t="s">
        <v>3</v>
      </c>
      <c r="H13" s="18" t="s">
        <v>3</v>
      </c>
      <c r="I13" s="18" t="s">
        <v>3</v>
      </c>
      <c r="J13" s="18" t="s">
        <v>3</v>
      </c>
      <c r="K13" s="18" t="s">
        <v>3</v>
      </c>
      <c r="L13" s="18" t="s">
        <v>3</v>
      </c>
      <c r="M13" s="18" t="s">
        <v>3</v>
      </c>
      <c r="N13" s="18" t="s">
        <v>3</v>
      </c>
      <c r="O13" s="18" t="s">
        <v>3</v>
      </c>
      <c r="P13" s="18" t="s">
        <v>3</v>
      </c>
      <c r="Q13" s="18" t="s">
        <v>3</v>
      </c>
      <c r="R13" s="18" t="s">
        <v>3</v>
      </c>
      <c r="S13" s="18" t="s">
        <v>3</v>
      </c>
      <c r="T13" s="18" t="s">
        <v>3</v>
      </c>
      <c r="U13" s="18" t="s">
        <v>3</v>
      </c>
      <c r="V13" s="18" t="s">
        <v>3</v>
      </c>
      <c r="W13" s="18" t="s">
        <v>3</v>
      </c>
      <c r="X13" s="18" t="s">
        <v>3</v>
      </c>
      <c r="Y13" s="18" t="s">
        <v>3</v>
      </c>
      <c r="Z13" s="18" t="s">
        <v>3</v>
      </c>
      <c r="AA13" s="18" t="s">
        <v>3</v>
      </c>
      <c r="AB13" s="18" t="s">
        <v>3</v>
      </c>
      <c r="AC13" s="18" t="s">
        <v>3</v>
      </c>
      <c r="AD13" s="18" t="s">
        <v>3</v>
      </c>
      <c r="AE13" s="18" t="s">
        <v>3</v>
      </c>
      <c r="AF13" s="18" t="s">
        <v>3</v>
      </c>
      <c r="AG13" s="18"/>
      <c r="AH13" s="27">
        <f>COUNTA('25年4月'!$C13:$AG13)</f>
        <v>27</v>
      </c>
    </row>
    <row r="14" spans="2:34" ht="30" customHeight="1" x14ac:dyDescent="0.25">
      <c r="B14" s="20" t="s">
        <v>80</v>
      </c>
      <c r="C14" s="18"/>
      <c r="D14" s="18"/>
      <c r="E14" s="18"/>
      <c r="F14" s="18" t="s">
        <v>3</v>
      </c>
      <c r="G14" s="18" t="s">
        <v>3</v>
      </c>
      <c r="H14" s="18" t="s">
        <v>3</v>
      </c>
      <c r="I14" s="18" t="s">
        <v>3</v>
      </c>
      <c r="J14" s="18" t="s">
        <v>3</v>
      </c>
      <c r="K14" s="18" t="s">
        <v>3</v>
      </c>
      <c r="L14" s="18" t="s">
        <v>3</v>
      </c>
      <c r="M14" s="18" t="s">
        <v>3</v>
      </c>
      <c r="N14" s="18" t="s">
        <v>3</v>
      </c>
      <c r="O14" s="18" t="s">
        <v>3</v>
      </c>
      <c r="P14" s="18" t="s">
        <v>3</v>
      </c>
      <c r="Q14" s="18" t="s">
        <v>3</v>
      </c>
      <c r="R14" s="18" t="s">
        <v>3</v>
      </c>
      <c r="S14" s="18" t="s">
        <v>3</v>
      </c>
      <c r="T14" s="18" t="s">
        <v>3</v>
      </c>
      <c r="U14" s="18" t="s">
        <v>3</v>
      </c>
      <c r="V14" s="18" t="s">
        <v>3</v>
      </c>
      <c r="W14" s="18" t="s">
        <v>3</v>
      </c>
      <c r="X14" s="18" t="s">
        <v>3</v>
      </c>
      <c r="Y14" s="18" t="s">
        <v>3</v>
      </c>
      <c r="Z14" s="18" t="s">
        <v>3</v>
      </c>
      <c r="AA14" s="18" t="s">
        <v>3</v>
      </c>
      <c r="AB14" s="18" t="s">
        <v>3</v>
      </c>
      <c r="AC14" s="18" t="s">
        <v>3</v>
      </c>
      <c r="AD14" s="18" t="s">
        <v>3</v>
      </c>
      <c r="AE14" s="18" t="s">
        <v>3</v>
      </c>
      <c r="AF14" s="18" t="s">
        <v>3</v>
      </c>
      <c r="AG14" s="18"/>
      <c r="AH14" s="27">
        <f>COUNTA('25年4月'!$C14:$AG14)</f>
        <v>27</v>
      </c>
    </row>
    <row r="15" spans="2:34" ht="30" customHeight="1" x14ac:dyDescent="0.25">
      <c r="B15" s="20" t="s">
        <v>81</v>
      </c>
      <c r="C15" s="18"/>
      <c r="D15" s="18"/>
      <c r="E15" s="18" t="s">
        <v>66</v>
      </c>
      <c r="F15" s="18" t="s">
        <v>66</v>
      </c>
      <c r="G15" s="18" t="s">
        <v>66</v>
      </c>
      <c r="H15" s="18" t="s">
        <v>66</v>
      </c>
      <c r="I15" s="18" t="s">
        <v>66</v>
      </c>
      <c r="J15" s="18" t="s">
        <v>66</v>
      </c>
      <c r="K15" s="18" t="s">
        <v>66</v>
      </c>
      <c r="L15" s="18" t="s">
        <v>66</v>
      </c>
      <c r="M15" s="18" t="s">
        <v>66</v>
      </c>
      <c r="N15" s="18"/>
      <c r="O15" s="18"/>
      <c r="P15" s="18"/>
      <c r="Q15" s="18"/>
      <c r="R15" s="18"/>
      <c r="S15" s="18" t="s">
        <v>3</v>
      </c>
      <c r="T15" s="18" t="s">
        <v>3</v>
      </c>
      <c r="U15" s="18" t="s">
        <v>3</v>
      </c>
      <c r="V15" s="18" t="s">
        <v>3</v>
      </c>
      <c r="W15" s="18" t="s">
        <v>3</v>
      </c>
      <c r="X15" s="18" t="s">
        <v>3</v>
      </c>
      <c r="Y15" s="18" t="s">
        <v>3</v>
      </c>
      <c r="Z15" s="18" t="s">
        <v>3</v>
      </c>
      <c r="AA15" s="18" t="s">
        <v>3</v>
      </c>
      <c r="AB15" s="18" t="s">
        <v>3</v>
      </c>
      <c r="AC15" s="18" t="s">
        <v>3</v>
      </c>
      <c r="AD15" s="18" t="s">
        <v>3</v>
      </c>
      <c r="AE15" s="18" t="s">
        <v>3</v>
      </c>
      <c r="AF15" s="18" t="s">
        <v>3</v>
      </c>
      <c r="AG15" s="18"/>
      <c r="AH15" s="27">
        <f>COUNTA('25年4月'!$C15:$AG15)</f>
        <v>23</v>
      </c>
    </row>
    <row r="16" spans="2:34" ht="30" customHeight="1" x14ac:dyDescent="0.25">
      <c r="B16" s="20" t="s">
        <v>82</v>
      </c>
      <c r="C16" s="18"/>
      <c r="D16" s="18"/>
      <c r="E16" s="18" t="s">
        <v>66</v>
      </c>
      <c r="F16" s="18" t="s">
        <v>66</v>
      </c>
      <c r="G16" s="18" t="s">
        <v>66</v>
      </c>
      <c r="H16" s="18" t="s">
        <v>66</v>
      </c>
      <c r="I16" s="18" t="s">
        <v>66</v>
      </c>
      <c r="J16" s="18" t="s">
        <v>66</v>
      </c>
      <c r="K16" s="18" t="s">
        <v>66</v>
      </c>
      <c r="L16" s="18" t="s">
        <v>66</v>
      </c>
      <c r="M16" s="18" t="s">
        <v>66</v>
      </c>
      <c r="N16" s="18"/>
      <c r="O16" s="18"/>
      <c r="P16" s="18"/>
      <c r="Q16" s="18"/>
      <c r="R16" s="18"/>
      <c r="S16" s="18" t="s">
        <v>3</v>
      </c>
      <c r="T16" s="18" t="s">
        <v>3</v>
      </c>
      <c r="U16" s="18" t="s">
        <v>3</v>
      </c>
      <c r="V16" s="18" t="s">
        <v>3</v>
      </c>
      <c r="W16" s="18" t="s">
        <v>3</v>
      </c>
      <c r="X16" s="18" t="s">
        <v>3</v>
      </c>
      <c r="Y16" s="18" t="s">
        <v>3</v>
      </c>
      <c r="Z16" s="18" t="s">
        <v>3</v>
      </c>
      <c r="AA16" s="18" t="s">
        <v>3</v>
      </c>
      <c r="AB16" s="18" t="s">
        <v>3</v>
      </c>
      <c r="AC16" s="18" t="s">
        <v>3</v>
      </c>
      <c r="AD16" s="18" t="s">
        <v>3</v>
      </c>
      <c r="AE16" s="18" t="s">
        <v>3</v>
      </c>
      <c r="AF16" s="18" t="s">
        <v>3</v>
      </c>
      <c r="AG16" s="18"/>
      <c r="AH16" s="27">
        <f>COUNTA('25年4月'!$C16:$AG16)</f>
        <v>23</v>
      </c>
    </row>
    <row r="17" spans="2:34" ht="30" customHeight="1" x14ac:dyDescent="0.25">
      <c r="B17" s="20" t="s">
        <v>83</v>
      </c>
      <c r="C17" s="18"/>
      <c r="D17" s="18"/>
      <c r="E17" s="18" t="s">
        <v>66</v>
      </c>
      <c r="F17" s="18" t="s">
        <v>66</v>
      </c>
      <c r="G17" s="18" t="s">
        <v>66</v>
      </c>
      <c r="H17" s="18" t="s">
        <v>66</v>
      </c>
      <c r="I17" s="18" t="s">
        <v>66</v>
      </c>
      <c r="J17" s="18" t="s">
        <v>66</v>
      </c>
      <c r="K17" s="18" t="s">
        <v>66</v>
      </c>
      <c r="L17" s="18" t="s">
        <v>66</v>
      </c>
      <c r="M17" s="18" t="s">
        <v>66</v>
      </c>
      <c r="N17" s="18"/>
      <c r="O17" s="18"/>
      <c r="P17" s="18"/>
      <c r="Q17" s="18"/>
      <c r="R17" s="18"/>
      <c r="S17" s="18" t="s">
        <v>3</v>
      </c>
      <c r="T17" s="18" t="s">
        <v>3</v>
      </c>
      <c r="U17" s="18" t="s">
        <v>3</v>
      </c>
      <c r="V17" s="18" t="s">
        <v>3</v>
      </c>
      <c r="W17" s="18" t="s">
        <v>3</v>
      </c>
      <c r="X17" s="18" t="s">
        <v>3</v>
      </c>
      <c r="Y17" s="18" t="s">
        <v>3</v>
      </c>
      <c r="Z17" s="18" t="s">
        <v>3</v>
      </c>
      <c r="AA17" s="18" t="s">
        <v>3</v>
      </c>
      <c r="AB17" s="18" t="s">
        <v>3</v>
      </c>
      <c r="AC17" s="18" t="s">
        <v>3</v>
      </c>
      <c r="AD17" s="18" t="s">
        <v>3</v>
      </c>
      <c r="AE17" s="18" t="s">
        <v>3</v>
      </c>
      <c r="AF17" s="18" t="s">
        <v>3</v>
      </c>
      <c r="AG17" s="18"/>
      <c r="AH17" s="27">
        <f>COUNTA('25年4月'!$C17:$AG17)</f>
        <v>23</v>
      </c>
    </row>
    <row r="18" spans="2:34" ht="30" customHeight="1" x14ac:dyDescent="0.25">
      <c r="B18" s="20" t="s">
        <v>84</v>
      </c>
      <c r="C18" s="18"/>
      <c r="D18" s="18"/>
      <c r="E18" s="18" t="s">
        <v>66</v>
      </c>
      <c r="F18" s="18" t="s">
        <v>66</v>
      </c>
      <c r="G18" s="18" t="s">
        <v>66</v>
      </c>
      <c r="H18" s="18" t="s">
        <v>66</v>
      </c>
      <c r="I18" s="18" t="s">
        <v>66</v>
      </c>
      <c r="J18" s="18" t="s">
        <v>66</v>
      </c>
      <c r="K18" s="18" t="s">
        <v>66</v>
      </c>
      <c r="L18" s="18" t="s">
        <v>66</v>
      </c>
      <c r="M18" s="18" t="s">
        <v>66</v>
      </c>
      <c r="N18" s="18"/>
      <c r="O18" s="18"/>
      <c r="P18" s="18"/>
      <c r="Q18" s="18"/>
      <c r="R18" s="18"/>
      <c r="S18" s="18" t="s">
        <v>3</v>
      </c>
      <c r="T18" s="18" t="s">
        <v>3</v>
      </c>
      <c r="U18" s="18" t="s">
        <v>3</v>
      </c>
      <c r="V18" s="18" t="s">
        <v>3</v>
      </c>
      <c r="W18" s="18" t="s">
        <v>3</v>
      </c>
      <c r="X18" s="18" t="s">
        <v>3</v>
      </c>
      <c r="Y18" s="18" t="s">
        <v>3</v>
      </c>
      <c r="Z18" s="18" t="s">
        <v>3</v>
      </c>
      <c r="AA18" s="18" t="s">
        <v>3</v>
      </c>
      <c r="AB18" s="18" t="s">
        <v>3</v>
      </c>
      <c r="AC18" s="18" t="s">
        <v>3</v>
      </c>
      <c r="AD18" s="18" t="s">
        <v>3</v>
      </c>
      <c r="AE18" s="18" t="s">
        <v>3</v>
      </c>
      <c r="AF18" s="18" t="s">
        <v>3</v>
      </c>
      <c r="AG18" s="18"/>
      <c r="AH18" s="27">
        <f>COUNTA('25年4月'!$C18:$AG18)</f>
        <v>23</v>
      </c>
    </row>
    <row r="19" spans="2:34" ht="30" customHeight="1" x14ac:dyDescent="0.25">
      <c r="B19" s="20" t="s">
        <v>85</v>
      </c>
      <c r="C19" s="18"/>
      <c r="D19" s="18"/>
      <c r="E19" s="18" t="s">
        <v>66</v>
      </c>
      <c r="F19" s="18" t="s">
        <v>66</v>
      </c>
      <c r="G19" s="18" t="s">
        <v>66</v>
      </c>
      <c r="H19" s="18" t="s">
        <v>66</v>
      </c>
      <c r="I19" s="18" t="s">
        <v>66</v>
      </c>
      <c r="J19" s="18" t="s">
        <v>66</v>
      </c>
      <c r="K19" s="18" t="s">
        <v>66</v>
      </c>
      <c r="L19" s="18" t="s">
        <v>66</v>
      </c>
      <c r="M19" s="18" t="s">
        <v>66</v>
      </c>
      <c r="N19" s="18"/>
      <c r="O19" s="18"/>
      <c r="P19" s="18"/>
      <c r="Q19" s="18"/>
      <c r="R19" s="18"/>
      <c r="S19" s="18" t="s">
        <v>3</v>
      </c>
      <c r="T19" s="18" t="s">
        <v>3</v>
      </c>
      <c r="U19" s="18" t="s">
        <v>3</v>
      </c>
      <c r="V19" s="18" t="s">
        <v>3</v>
      </c>
      <c r="W19" s="18" t="s">
        <v>3</v>
      </c>
      <c r="X19" s="18" t="s">
        <v>3</v>
      </c>
      <c r="Y19" s="18" t="s">
        <v>3</v>
      </c>
      <c r="Z19" s="18" t="s">
        <v>3</v>
      </c>
      <c r="AA19" s="18" t="s">
        <v>3</v>
      </c>
      <c r="AB19" s="18" t="s">
        <v>3</v>
      </c>
      <c r="AC19" s="18" t="s">
        <v>3</v>
      </c>
      <c r="AD19" s="18" t="s">
        <v>3</v>
      </c>
      <c r="AE19" s="18" t="s">
        <v>3</v>
      </c>
      <c r="AF19" s="18" t="s">
        <v>3</v>
      </c>
      <c r="AG19" s="18"/>
      <c r="AH19" s="27">
        <f>COUNTA('25年4月'!$C19:$AG19)</f>
        <v>23</v>
      </c>
    </row>
    <row r="20" spans="2:34" ht="30" customHeight="1" x14ac:dyDescent="0.25">
      <c r="B20" s="31" t="s">
        <v>86</v>
      </c>
      <c r="C20" s="18"/>
      <c r="D20" s="18"/>
      <c r="E20" s="18"/>
      <c r="F20" s="18" t="s">
        <v>3</v>
      </c>
      <c r="G20" s="18" t="s">
        <v>3</v>
      </c>
      <c r="H20" s="18" t="s">
        <v>3</v>
      </c>
      <c r="I20" s="18" t="s">
        <v>3</v>
      </c>
      <c r="J20" s="18" t="s">
        <v>3</v>
      </c>
      <c r="K20" s="18" t="s">
        <v>3</v>
      </c>
      <c r="L20" s="18" t="s">
        <v>3</v>
      </c>
      <c r="M20" s="18" t="s">
        <v>3</v>
      </c>
      <c r="N20" s="18" t="s">
        <v>3</v>
      </c>
      <c r="O20" s="18" t="s">
        <v>3</v>
      </c>
      <c r="P20" s="18" t="s">
        <v>3</v>
      </c>
      <c r="Q20" s="18" t="s">
        <v>3</v>
      </c>
      <c r="R20" s="18" t="s">
        <v>3</v>
      </c>
      <c r="S20" s="18" t="s">
        <v>3</v>
      </c>
      <c r="T20" s="18" t="s">
        <v>3</v>
      </c>
      <c r="U20" s="18" t="s">
        <v>3</v>
      </c>
      <c r="V20" s="18" t="s">
        <v>3</v>
      </c>
      <c r="W20" s="18" t="s">
        <v>3</v>
      </c>
      <c r="X20" s="18" t="s">
        <v>3</v>
      </c>
      <c r="Y20" s="18" t="s">
        <v>3</v>
      </c>
      <c r="Z20" s="18" t="s">
        <v>3</v>
      </c>
      <c r="AA20" s="18" t="s">
        <v>3</v>
      </c>
      <c r="AB20" s="18" t="s">
        <v>3</v>
      </c>
      <c r="AC20" s="18" t="s">
        <v>3</v>
      </c>
      <c r="AD20" s="18" t="s">
        <v>3</v>
      </c>
      <c r="AE20" s="18" t="s">
        <v>3</v>
      </c>
      <c r="AF20" s="18" t="s">
        <v>3</v>
      </c>
      <c r="AG20" s="18"/>
      <c r="AH20" s="27">
        <f>COUNTA(月11_26[[#This Row],[1]:[ ]])</f>
        <v>27</v>
      </c>
    </row>
    <row r="21" spans="2:34" ht="30" customHeight="1" x14ac:dyDescent="0.25">
      <c r="B21" s="31" t="s">
        <v>87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 t="s">
        <v>3</v>
      </c>
      <c r="T21" s="18" t="s">
        <v>3</v>
      </c>
      <c r="U21" s="18" t="s">
        <v>3</v>
      </c>
      <c r="V21" s="18" t="s">
        <v>3</v>
      </c>
      <c r="W21" s="18" t="s">
        <v>3</v>
      </c>
      <c r="X21" s="18" t="s">
        <v>3</v>
      </c>
      <c r="Y21" s="18" t="s">
        <v>3</v>
      </c>
      <c r="Z21" s="18" t="s">
        <v>3</v>
      </c>
      <c r="AA21" s="18" t="s">
        <v>3</v>
      </c>
      <c r="AB21" s="18" t="s">
        <v>3</v>
      </c>
      <c r="AC21" s="18" t="s">
        <v>3</v>
      </c>
      <c r="AD21" s="18" t="s">
        <v>3</v>
      </c>
      <c r="AE21" s="18" t="s">
        <v>3</v>
      </c>
      <c r="AF21" s="18" t="s">
        <v>3</v>
      </c>
      <c r="AG21" s="18"/>
      <c r="AH21" s="27">
        <f>COUNTA(月11_26[[#This Row],[1]:[ ]])</f>
        <v>14</v>
      </c>
    </row>
    <row r="22" spans="2:34" ht="30" customHeight="1" x14ac:dyDescent="0.25">
      <c r="B22" s="31" t="s">
        <v>88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 t="s">
        <v>3</v>
      </c>
      <c r="T22" s="18" t="s">
        <v>3</v>
      </c>
      <c r="U22" s="18" t="s">
        <v>3</v>
      </c>
      <c r="V22" s="18" t="s">
        <v>3</v>
      </c>
      <c r="W22" s="18" t="s">
        <v>3</v>
      </c>
      <c r="X22" s="18" t="s">
        <v>3</v>
      </c>
      <c r="Y22" s="18" t="s">
        <v>3</v>
      </c>
      <c r="Z22" s="18" t="s">
        <v>3</v>
      </c>
      <c r="AA22" s="18" t="s">
        <v>3</v>
      </c>
      <c r="AB22" s="18" t="s">
        <v>3</v>
      </c>
      <c r="AC22" s="18" t="s">
        <v>3</v>
      </c>
      <c r="AD22" s="18" t="s">
        <v>3</v>
      </c>
      <c r="AE22" s="18" t="s">
        <v>3</v>
      </c>
      <c r="AF22" s="18" t="s">
        <v>3</v>
      </c>
      <c r="AG22" s="18"/>
      <c r="AH22" s="27">
        <f>COUNTA(月11_26[[#This Row],[1]:[ ]])</f>
        <v>14</v>
      </c>
    </row>
    <row r="23" spans="2:34" ht="30" customHeight="1" x14ac:dyDescent="0.25">
      <c r="B23" s="31" t="s">
        <v>89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 t="s">
        <v>3</v>
      </c>
      <c r="T23" s="18" t="s">
        <v>3</v>
      </c>
      <c r="U23" s="18" t="s">
        <v>3</v>
      </c>
      <c r="V23" s="18" t="s">
        <v>3</v>
      </c>
      <c r="W23" s="18" t="s">
        <v>3</v>
      </c>
      <c r="X23" s="18" t="s">
        <v>3</v>
      </c>
      <c r="Y23" s="18" t="s">
        <v>3</v>
      </c>
      <c r="Z23" s="18" t="s">
        <v>3</v>
      </c>
      <c r="AA23" s="18" t="s">
        <v>3</v>
      </c>
      <c r="AB23" s="18" t="s">
        <v>3</v>
      </c>
      <c r="AC23" s="18" t="s">
        <v>3</v>
      </c>
      <c r="AD23" s="18" t="s">
        <v>3</v>
      </c>
      <c r="AE23" s="18" t="s">
        <v>3</v>
      </c>
      <c r="AF23" s="18" t="s">
        <v>3</v>
      </c>
      <c r="AG23" s="18"/>
      <c r="AH23" s="27">
        <f>COUNTA(月11_26[[#This Row],[1]:[ ]])</f>
        <v>14</v>
      </c>
    </row>
    <row r="24" spans="2:34" ht="30" customHeight="1" x14ac:dyDescent="0.25">
      <c r="B24" s="31" t="s">
        <v>90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 t="s">
        <v>3</v>
      </c>
      <c r="T24" s="18" t="s">
        <v>3</v>
      </c>
      <c r="U24" s="18" t="s">
        <v>3</v>
      </c>
      <c r="V24" s="18" t="s">
        <v>3</v>
      </c>
      <c r="W24" s="18" t="s">
        <v>3</v>
      </c>
      <c r="X24" s="18" t="s">
        <v>3</v>
      </c>
      <c r="Y24" s="18" t="s">
        <v>3</v>
      </c>
      <c r="Z24" s="18" t="s">
        <v>3</v>
      </c>
      <c r="AA24" s="18" t="s">
        <v>3</v>
      </c>
      <c r="AB24" s="18" t="s">
        <v>3</v>
      </c>
      <c r="AC24" s="18" t="s">
        <v>3</v>
      </c>
      <c r="AD24" s="18" t="s">
        <v>3</v>
      </c>
      <c r="AE24" s="18" t="s">
        <v>3</v>
      </c>
      <c r="AF24" s="18" t="s">
        <v>3</v>
      </c>
      <c r="AG24" s="18"/>
      <c r="AH24" s="27">
        <f>COUNTA(月11_26[[#This Row],[1]:[ ]])</f>
        <v>14</v>
      </c>
    </row>
    <row r="25" spans="2:34" ht="30" customHeight="1" x14ac:dyDescent="0.25">
      <c r="B25" s="31" t="s">
        <v>91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 t="s">
        <v>3</v>
      </c>
      <c r="T25" s="18" t="s">
        <v>3</v>
      </c>
      <c r="U25" s="18" t="s">
        <v>3</v>
      </c>
      <c r="V25" s="18" t="s">
        <v>3</v>
      </c>
      <c r="W25" s="18" t="s">
        <v>3</v>
      </c>
      <c r="X25" s="18" t="s">
        <v>3</v>
      </c>
      <c r="Y25" s="18" t="s">
        <v>3</v>
      </c>
      <c r="Z25" s="18" t="s">
        <v>3</v>
      </c>
      <c r="AA25" s="18" t="s">
        <v>3</v>
      </c>
      <c r="AB25" s="18" t="s">
        <v>3</v>
      </c>
      <c r="AC25" s="18" t="s">
        <v>3</v>
      </c>
      <c r="AD25" s="18" t="s">
        <v>3</v>
      </c>
      <c r="AE25" s="18" t="s">
        <v>3</v>
      </c>
      <c r="AF25" s="18" t="s">
        <v>3</v>
      </c>
      <c r="AG25" s="18"/>
      <c r="AH25" s="27">
        <f>COUNTA(月11_26[[#This Row],[1]:[ ]])</f>
        <v>14</v>
      </c>
    </row>
    <row r="26" spans="2:34" ht="30" customHeight="1" x14ac:dyDescent="0.25">
      <c r="B26" s="31" t="s">
        <v>92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 t="s">
        <v>3</v>
      </c>
      <c r="T26" s="18" t="s">
        <v>3</v>
      </c>
      <c r="U26" s="18" t="s">
        <v>3</v>
      </c>
      <c r="V26" s="18" t="s">
        <v>3</v>
      </c>
      <c r="W26" s="18" t="s">
        <v>3</v>
      </c>
      <c r="X26" s="18" t="s">
        <v>3</v>
      </c>
      <c r="Y26" s="18" t="s">
        <v>3</v>
      </c>
      <c r="Z26" s="18" t="s">
        <v>3</v>
      </c>
      <c r="AA26" s="18" t="s">
        <v>3</v>
      </c>
      <c r="AB26" s="18" t="s">
        <v>3</v>
      </c>
      <c r="AC26" s="18" t="s">
        <v>3</v>
      </c>
      <c r="AD26" s="18" t="s">
        <v>3</v>
      </c>
      <c r="AE26" s="18" t="s">
        <v>3</v>
      </c>
      <c r="AF26" s="18" t="s">
        <v>3</v>
      </c>
      <c r="AG26" s="18"/>
      <c r="AH26" s="27">
        <f>COUNTA(月11_26[[#This Row],[1]:[ ]])</f>
        <v>14</v>
      </c>
    </row>
    <row r="27" spans="2:34" ht="30" customHeight="1" x14ac:dyDescent="0.25">
      <c r="B27" s="31" t="s">
        <v>93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 t="s">
        <v>3</v>
      </c>
      <c r="T27" s="18" t="s">
        <v>3</v>
      </c>
      <c r="U27" s="18" t="s">
        <v>3</v>
      </c>
      <c r="V27" s="18" t="s">
        <v>3</v>
      </c>
      <c r="W27" s="18" t="s">
        <v>3</v>
      </c>
      <c r="X27" s="18" t="s">
        <v>3</v>
      </c>
      <c r="Y27" s="18" t="s">
        <v>3</v>
      </c>
      <c r="Z27" s="18" t="s">
        <v>3</v>
      </c>
      <c r="AA27" s="18" t="s">
        <v>3</v>
      </c>
      <c r="AB27" s="18" t="s">
        <v>3</v>
      </c>
      <c r="AC27" s="18" t="s">
        <v>3</v>
      </c>
      <c r="AD27" s="18" t="s">
        <v>3</v>
      </c>
      <c r="AE27" s="18" t="s">
        <v>3</v>
      </c>
      <c r="AF27" s="18" t="s">
        <v>3</v>
      </c>
      <c r="AG27" s="18"/>
      <c r="AH27" s="27">
        <f>COUNTA(月11_26[[#This Row],[1]:[ ]])</f>
        <v>14</v>
      </c>
    </row>
    <row r="28" spans="2:34" ht="30" customHeight="1" x14ac:dyDescent="0.25">
      <c r="B28" s="31" t="s">
        <v>94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 t="s">
        <v>3</v>
      </c>
      <c r="T28" s="18" t="s">
        <v>3</v>
      </c>
      <c r="U28" s="18" t="s">
        <v>3</v>
      </c>
      <c r="V28" s="18" t="s">
        <v>3</v>
      </c>
      <c r="W28" s="18" t="s">
        <v>3</v>
      </c>
      <c r="X28" s="18" t="s">
        <v>3</v>
      </c>
      <c r="Y28" s="18" t="s">
        <v>3</v>
      </c>
      <c r="Z28" s="18" t="s">
        <v>3</v>
      </c>
      <c r="AA28" s="18" t="s">
        <v>3</v>
      </c>
      <c r="AB28" s="18" t="s">
        <v>3</v>
      </c>
      <c r="AC28" s="18" t="s">
        <v>3</v>
      </c>
      <c r="AD28" s="18" t="s">
        <v>3</v>
      </c>
      <c r="AE28" s="18" t="s">
        <v>3</v>
      </c>
      <c r="AF28" s="18" t="s">
        <v>3</v>
      </c>
      <c r="AG28" s="18"/>
      <c r="AH28" s="27">
        <f>COUNTA(月11_26[[#This Row],[1]:[ ]])</f>
        <v>14</v>
      </c>
    </row>
    <row r="29" spans="2:34" ht="30" customHeight="1" x14ac:dyDescent="0.25">
      <c r="B29" s="31" t="s">
        <v>95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 t="s">
        <v>3</v>
      </c>
      <c r="T29" s="18" t="s">
        <v>3</v>
      </c>
      <c r="U29" s="18" t="s">
        <v>3</v>
      </c>
      <c r="V29" s="18" t="s">
        <v>3</v>
      </c>
      <c r="W29" s="18" t="s">
        <v>3</v>
      </c>
      <c r="X29" s="18" t="s">
        <v>3</v>
      </c>
      <c r="Y29" s="18" t="s">
        <v>3</v>
      </c>
      <c r="Z29" s="18" t="s">
        <v>3</v>
      </c>
      <c r="AA29" s="18" t="s">
        <v>3</v>
      </c>
      <c r="AB29" s="18" t="s">
        <v>3</v>
      </c>
      <c r="AC29" s="18" t="s">
        <v>3</v>
      </c>
      <c r="AD29" s="18" t="s">
        <v>3</v>
      </c>
      <c r="AE29" s="18" t="s">
        <v>3</v>
      </c>
      <c r="AF29" s="18" t="s">
        <v>3</v>
      </c>
      <c r="AG29" s="18"/>
      <c r="AH29" s="27">
        <f>COUNTA(月11_26[[#This Row],[1]:[ ]])</f>
        <v>14</v>
      </c>
    </row>
    <row r="30" spans="2:34" ht="30" customHeight="1" x14ac:dyDescent="0.25">
      <c r="B30" s="31" t="s">
        <v>96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 t="s">
        <v>3</v>
      </c>
      <c r="T30" s="18" t="s">
        <v>3</v>
      </c>
      <c r="U30" s="18" t="s">
        <v>3</v>
      </c>
      <c r="V30" s="18" t="s">
        <v>3</v>
      </c>
      <c r="W30" s="18" t="s">
        <v>3</v>
      </c>
      <c r="X30" s="18" t="s">
        <v>3</v>
      </c>
      <c r="Y30" s="18" t="s">
        <v>3</v>
      </c>
      <c r="Z30" s="18" t="s">
        <v>3</v>
      </c>
      <c r="AA30" s="18" t="s">
        <v>3</v>
      </c>
      <c r="AB30" s="18" t="s">
        <v>3</v>
      </c>
      <c r="AC30" s="18" t="s">
        <v>3</v>
      </c>
      <c r="AD30" s="18" t="s">
        <v>3</v>
      </c>
      <c r="AE30" s="18" t="s">
        <v>3</v>
      </c>
      <c r="AF30" s="18" t="s">
        <v>3</v>
      </c>
      <c r="AG30" s="18"/>
      <c r="AH30" s="27">
        <f>COUNTA(月11_26[[#This Row],[1]:[ ]])</f>
        <v>14</v>
      </c>
    </row>
    <row r="31" spans="2:34" ht="30" customHeight="1" x14ac:dyDescent="0.25">
      <c r="B31" s="20" t="s">
        <v>97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 t="s">
        <v>3</v>
      </c>
      <c r="Y31" s="18" t="s">
        <v>3</v>
      </c>
      <c r="Z31" s="18" t="s">
        <v>3</v>
      </c>
      <c r="AA31" s="18" t="s">
        <v>3</v>
      </c>
      <c r="AB31" s="18" t="s">
        <v>3</v>
      </c>
      <c r="AC31" s="18" t="s">
        <v>3</v>
      </c>
      <c r="AD31" s="18" t="s">
        <v>3</v>
      </c>
      <c r="AE31" s="18" t="s">
        <v>3</v>
      </c>
      <c r="AF31" s="18" t="s">
        <v>3</v>
      </c>
      <c r="AG31" s="18"/>
      <c r="AH31" s="27">
        <f>COUNTA('25年4月'!$C31:$AG31)</f>
        <v>9</v>
      </c>
    </row>
    <row r="32" spans="2:34" ht="30" customHeight="1" x14ac:dyDescent="0.25">
      <c r="B32" s="20" t="s">
        <v>98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 t="s">
        <v>3</v>
      </c>
      <c r="Y32" s="18" t="s">
        <v>3</v>
      </c>
      <c r="Z32" s="18" t="s">
        <v>3</v>
      </c>
      <c r="AA32" s="18" t="s">
        <v>3</v>
      </c>
      <c r="AB32" s="18" t="s">
        <v>3</v>
      </c>
      <c r="AC32" s="18" t="s">
        <v>3</v>
      </c>
      <c r="AD32" s="18" t="s">
        <v>3</v>
      </c>
      <c r="AE32" s="18" t="s">
        <v>3</v>
      </c>
      <c r="AF32" s="18" t="s">
        <v>3</v>
      </c>
      <c r="AG32" s="18"/>
      <c r="AH32" s="27">
        <f>COUNTA('25年4月'!$C32:$AG32)</f>
        <v>9</v>
      </c>
    </row>
    <row r="33" spans="2:34" ht="30" customHeight="1" x14ac:dyDescent="0.25">
      <c r="B33" s="20" t="s">
        <v>99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 t="s">
        <v>3</v>
      </c>
      <c r="Y33" s="18" t="s">
        <v>3</v>
      </c>
      <c r="Z33" s="18" t="s">
        <v>3</v>
      </c>
      <c r="AA33" s="18" t="s">
        <v>3</v>
      </c>
      <c r="AB33" s="18" t="s">
        <v>3</v>
      </c>
      <c r="AC33" s="18" t="s">
        <v>3</v>
      </c>
      <c r="AD33" s="18" t="s">
        <v>3</v>
      </c>
      <c r="AE33" s="18" t="s">
        <v>3</v>
      </c>
      <c r="AF33" s="18" t="s">
        <v>3</v>
      </c>
      <c r="AG33" s="18"/>
      <c r="AH33" s="27">
        <f>COUNTA('25年4月'!$C33:$AG33)</f>
        <v>9</v>
      </c>
    </row>
    <row r="34" spans="2:34" ht="30" customHeight="1" x14ac:dyDescent="0.25">
      <c r="B34" s="20" t="s">
        <v>100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 t="s">
        <v>3</v>
      </c>
      <c r="Y34" s="18" t="s">
        <v>3</v>
      </c>
      <c r="Z34" s="18" t="s">
        <v>3</v>
      </c>
      <c r="AA34" s="18" t="s">
        <v>3</v>
      </c>
      <c r="AB34" s="18" t="s">
        <v>3</v>
      </c>
      <c r="AC34" s="18" t="s">
        <v>3</v>
      </c>
      <c r="AD34" s="18" t="s">
        <v>3</v>
      </c>
      <c r="AE34" s="18" t="s">
        <v>3</v>
      </c>
      <c r="AF34" s="18" t="s">
        <v>3</v>
      </c>
      <c r="AG34" s="18"/>
      <c r="AH34" s="27">
        <f>COUNTA('25年4月'!$C34:$AG34)</f>
        <v>9</v>
      </c>
    </row>
    <row r="35" spans="2:34" ht="30" customHeight="1" x14ac:dyDescent="0.25">
      <c r="B35" s="20" t="s">
        <v>101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 t="s">
        <v>3</v>
      </c>
      <c r="Y35" s="18" t="s">
        <v>3</v>
      </c>
      <c r="Z35" s="18" t="s">
        <v>3</v>
      </c>
      <c r="AA35" s="18" t="s">
        <v>3</v>
      </c>
      <c r="AB35" s="18" t="s">
        <v>3</v>
      </c>
      <c r="AC35" s="18" t="s">
        <v>3</v>
      </c>
      <c r="AD35" s="18" t="s">
        <v>3</v>
      </c>
      <c r="AE35" s="18" t="s">
        <v>3</v>
      </c>
      <c r="AF35" s="18" t="s">
        <v>3</v>
      </c>
      <c r="AG35" s="18"/>
      <c r="AH35" s="27">
        <f>COUNTA('25年4月'!$C35:$AG35)</f>
        <v>9</v>
      </c>
    </row>
    <row r="36" spans="2:34" ht="30" customHeight="1" x14ac:dyDescent="0.25">
      <c r="B36" s="20" t="s">
        <v>102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 t="s">
        <v>3</v>
      </c>
      <c r="Y36" s="18" t="s">
        <v>3</v>
      </c>
      <c r="Z36" s="18" t="s">
        <v>3</v>
      </c>
      <c r="AA36" s="18" t="s">
        <v>3</v>
      </c>
      <c r="AB36" s="18" t="s">
        <v>3</v>
      </c>
      <c r="AC36" s="18" t="s">
        <v>3</v>
      </c>
      <c r="AD36" s="18" t="s">
        <v>3</v>
      </c>
      <c r="AE36" s="18" t="s">
        <v>3</v>
      </c>
      <c r="AF36" s="18" t="s">
        <v>3</v>
      </c>
      <c r="AG36" s="18"/>
      <c r="AH36" s="27">
        <f>COUNTA('25年4月'!$C36:$AG36)</f>
        <v>9</v>
      </c>
    </row>
    <row r="37" spans="2:34" ht="30" customHeight="1" x14ac:dyDescent="0.25">
      <c r="B37" s="20" t="s">
        <v>103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 t="s">
        <v>3</v>
      </c>
      <c r="Y37" s="18" t="s">
        <v>3</v>
      </c>
      <c r="Z37" s="18" t="s">
        <v>3</v>
      </c>
      <c r="AA37" s="18" t="s">
        <v>3</v>
      </c>
      <c r="AB37" s="18" t="s">
        <v>3</v>
      </c>
      <c r="AC37" s="18" t="s">
        <v>3</v>
      </c>
      <c r="AD37" s="18" t="s">
        <v>3</v>
      </c>
      <c r="AE37" s="18" t="s">
        <v>3</v>
      </c>
      <c r="AF37" s="18" t="s">
        <v>3</v>
      </c>
      <c r="AG37" s="18"/>
      <c r="AH37" s="27">
        <f>COUNTA('25年4月'!$C37:$AG37)</f>
        <v>9</v>
      </c>
    </row>
    <row r="38" spans="2:34" ht="30" customHeight="1" x14ac:dyDescent="0.25">
      <c r="B38" s="20" t="s">
        <v>104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 t="s">
        <v>3</v>
      </c>
      <c r="Y38" s="18" t="s">
        <v>3</v>
      </c>
      <c r="Z38" s="18" t="s">
        <v>3</v>
      </c>
      <c r="AA38" s="18" t="s">
        <v>3</v>
      </c>
      <c r="AB38" s="18" t="s">
        <v>3</v>
      </c>
      <c r="AC38" s="18" t="s">
        <v>3</v>
      </c>
      <c r="AD38" s="18" t="s">
        <v>3</v>
      </c>
      <c r="AE38" s="18" t="s">
        <v>3</v>
      </c>
      <c r="AF38" s="18" t="s">
        <v>3</v>
      </c>
      <c r="AG38" s="18"/>
      <c r="AH38" s="27">
        <f>COUNTA('25年4月'!$C38:$AG38)</f>
        <v>9</v>
      </c>
    </row>
    <row r="39" spans="2:34" ht="30" customHeight="1" x14ac:dyDescent="0.25">
      <c r="B39" s="20" t="s">
        <v>105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 t="s">
        <v>3</v>
      </c>
      <c r="Y39" s="18" t="s">
        <v>3</v>
      </c>
      <c r="Z39" s="18" t="s">
        <v>3</v>
      </c>
      <c r="AA39" s="18" t="s">
        <v>3</v>
      </c>
      <c r="AB39" s="18" t="s">
        <v>3</v>
      </c>
      <c r="AC39" s="18" t="s">
        <v>3</v>
      </c>
      <c r="AD39" s="18" t="s">
        <v>3</v>
      </c>
      <c r="AE39" s="18" t="s">
        <v>3</v>
      </c>
      <c r="AF39" s="18" t="s">
        <v>3</v>
      </c>
      <c r="AG39" s="18"/>
      <c r="AH39" s="27">
        <f>COUNTA('25年4月'!$C39:$AG39)</f>
        <v>9</v>
      </c>
    </row>
    <row r="40" spans="2:34" ht="30" customHeight="1" x14ac:dyDescent="0.25">
      <c r="B40" s="20" t="s">
        <v>106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 t="s">
        <v>3</v>
      </c>
      <c r="Y40" s="18" t="s">
        <v>3</v>
      </c>
      <c r="Z40" s="18" t="s">
        <v>3</v>
      </c>
      <c r="AA40" s="18" t="s">
        <v>3</v>
      </c>
      <c r="AB40" s="18" t="s">
        <v>3</v>
      </c>
      <c r="AC40" s="18" t="s">
        <v>3</v>
      </c>
      <c r="AD40" s="18" t="s">
        <v>3</v>
      </c>
      <c r="AE40" s="18" t="s">
        <v>3</v>
      </c>
      <c r="AF40" s="18" t="s">
        <v>3</v>
      </c>
      <c r="AG40" s="18"/>
      <c r="AH40" s="27">
        <f>COUNTA('25年4月'!$C40:$AG40)</f>
        <v>9</v>
      </c>
    </row>
    <row r="41" spans="2:34" ht="30" customHeight="1" x14ac:dyDescent="0.25">
      <c r="B41" s="31" t="s">
        <v>107</v>
      </c>
      <c r="C41" s="18" t="s">
        <v>5</v>
      </c>
      <c r="D41" s="18" t="s">
        <v>5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 t="s">
        <v>3</v>
      </c>
      <c r="T41" s="18" t="s">
        <v>3</v>
      </c>
      <c r="U41" s="18" t="s">
        <v>3</v>
      </c>
      <c r="V41" s="18" t="s">
        <v>3</v>
      </c>
      <c r="W41" s="18" t="s">
        <v>3</v>
      </c>
      <c r="X41" s="18" t="s">
        <v>3</v>
      </c>
      <c r="Y41" s="18" t="s">
        <v>3</v>
      </c>
      <c r="Z41" s="18" t="s">
        <v>3</v>
      </c>
      <c r="AA41" s="18" t="s">
        <v>3</v>
      </c>
      <c r="AB41" s="18" t="s">
        <v>3</v>
      </c>
      <c r="AC41" s="18" t="s">
        <v>3</v>
      </c>
      <c r="AD41" s="18" t="s">
        <v>3</v>
      </c>
      <c r="AE41" s="18" t="s">
        <v>3</v>
      </c>
      <c r="AF41" s="18" t="s">
        <v>3</v>
      </c>
      <c r="AG41" s="18"/>
      <c r="AH41" s="27">
        <f>COUNTA(月11_26[[#This Row],[1]:[ ]])</f>
        <v>16</v>
      </c>
    </row>
    <row r="42" spans="2:34" ht="30" customHeight="1" x14ac:dyDescent="0.25">
      <c r="B42" s="31" t="s">
        <v>108</v>
      </c>
      <c r="C42" s="18" t="s">
        <v>5</v>
      </c>
      <c r="D42" s="18" t="s">
        <v>5</v>
      </c>
      <c r="E42" s="18" t="s">
        <v>66</v>
      </c>
      <c r="F42" s="18" t="s">
        <v>66</v>
      </c>
      <c r="G42" s="18" t="s">
        <v>66</v>
      </c>
      <c r="H42" s="18" t="s">
        <v>66</v>
      </c>
      <c r="I42" s="18" t="s">
        <v>66</v>
      </c>
      <c r="J42" s="18" t="s">
        <v>66</v>
      </c>
      <c r="K42" s="18" t="s">
        <v>66</v>
      </c>
      <c r="L42" s="18" t="s">
        <v>66</v>
      </c>
      <c r="M42" s="18" t="s">
        <v>66</v>
      </c>
      <c r="N42" s="18"/>
      <c r="O42" s="18"/>
      <c r="P42" s="18"/>
      <c r="Q42" s="18"/>
      <c r="R42" s="18"/>
      <c r="S42" s="18" t="s">
        <v>3</v>
      </c>
      <c r="T42" s="18" t="s">
        <v>3</v>
      </c>
      <c r="U42" s="18" t="s">
        <v>3</v>
      </c>
      <c r="V42" s="18" t="s">
        <v>3</v>
      </c>
      <c r="W42" s="18" t="s">
        <v>3</v>
      </c>
      <c r="X42" s="18" t="s">
        <v>3</v>
      </c>
      <c r="Y42" s="18" t="s">
        <v>3</v>
      </c>
      <c r="Z42" s="18" t="s">
        <v>3</v>
      </c>
      <c r="AA42" s="18" t="s">
        <v>3</v>
      </c>
      <c r="AB42" s="18" t="s">
        <v>3</v>
      </c>
      <c r="AC42" s="18" t="s">
        <v>3</v>
      </c>
      <c r="AD42" s="18" t="s">
        <v>3</v>
      </c>
      <c r="AE42" s="18" t="s">
        <v>3</v>
      </c>
      <c r="AF42" s="18" t="s">
        <v>3</v>
      </c>
      <c r="AG42" s="18"/>
      <c r="AH42" s="27">
        <f>COUNTA(月11_26[[#This Row],[1]:[ ]])</f>
        <v>25</v>
      </c>
    </row>
    <row r="43" spans="2:34" ht="30" customHeight="1" x14ac:dyDescent="0.25">
      <c r="B43" s="31" t="s">
        <v>109</v>
      </c>
      <c r="C43" s="18" t="s">
        <v>5</v>
      </c>
      <c r="D43" s="18" t="s">
        <v>5</v>
      </c>
      <c r="E43" s="18" t="s">
        <v>66</v>
      </c>
      <c r="F43" s="18" t="s">
        <v>66</v>
      </c>
      <c r="G43" s="18" t="s">
        <v>66</v>
      </c>
      <c r="H43" s="18" t="s">
        <v>66</v>
      </c>
      <c r="I43" s="18" t="s">
        <v>66</v>
      </c>
      <c r="J43" s="18" t="s">
        <v>66</v>
      </c>
      <c r="K43" s="18" t="s">
        <v>66</v>
      </c>
      <c r="L43" s="18" t="s">
        <v>66</v>
      </c>
      <c r="M43" s="18" t="s">
        <v>66</v>
      </c>
      <c r="N43" s="18"/>
      <c r="O43" s="18"/>
      <c r="P43" s="18"/>
      <c r="Q43" s="18"/>
      <c r="R43" s="18"/>
      <c r="S43" s="18" t="s">
        <v>3</v>
      </c>
      <c r="T43" s="18" t="s">
        <v>3</v>
      </c>
      <c r="U43" s="18" t="s">
        <v>3</v>
      </c>
      <c r="V43" s="18" t="s">
        <v>3</v>
      </c>
      <c r="W43" s="18" t="s">
        <v>3</v>
      </c>
      <c r="X43" s="18" t="s">
        <v>3</v>
      </c>
      <c r="Y43" s="18" t="s">
        <v>3</v>
      </c>
      <c r="Z43" s="18" t="s">
        <v>3</v>
      </c>
      <c r="AA43" s="18" t="s">
        <v>3</v>
      </c>
      <c r="AB43" s="18" t="s">
        <v>3</v>
      </c>
      <c r="AC43" s="18" t="s">
        <v>3</v>
      </c>
      <c r="AD43" s="18" t="s">
        <v>3</v>
      </c>
      <c r="AE43" s="18" t="s">
        <v>3</v>
      </c>
      <c r="AF43" s="18" t="s">
        <v>3</v>
      </c>
      <c r="AG43" s="18"/>
      <c r="AH43" s="27">
        <f>COUNTA(月11_26[[#This Row],[1]:[ ]])</f>
        <v>25</v>
      </c>
    </row>
    <row r="44" spans="2:34" ht="30" customHeight="1" x14ac:dyDescent="0.25">
      <c r="B44" s="31" t="s">
        <v>110</v>
      </c>
      <c r="C44" s="18" t="s">
        <v>5</v>
      </c>
      <c r="D44" s="18" t="s">
        <v>5</v>
      </c>
      <c r="E44" s="18" t="s">
        <v>66</v>
      </c>
      <c r="F44" s="18" t="s">
        <v>66</v>
      </c>
      <c r="G44" s="18" t="s">
        <v>66</v>
      </c>
      <c r="H44" s="18" t="s">
        <v>66</v>
      </c>
      <c r="I44" s="18" t="s">
        <v>66</v>
      </c>
      <c r="J44" s="18" t="s">
        <v>66</v>
      </c>
      <c r="K44" s="18" t="s">
        <v>66</v>
      </c>
      <c r="L44" s="18" t="s">
        <v>66</v>
      </c>
      <c r="M44" s="18" t="s">
        <v>66</v>
      </c>
      <c r="N44" s="18"/>
      <c r="O44" s="18"/>
      <c r="P44" s="18"/>
      <c r="Q44" s="18"/>
      <c r="R44" s="18"/>
      <c r="S44" s="18" t="s">
        <v>3</v>
      </c>
      <c r="T44" s="18" t="s">
        <v>3</v>
      </c>
      <c r="U44" s="18" t="s">
        <v>3</v>
      </c>
      <c r="V44" s="18" t="s">
        <v>3</v>
      </c>
      <c r="W44" s="18" t="s">
        <v>3</v>
      </c>
      <c r="X44" s="18" t="s">
        <v>3</v>
      </c>
      <c r="Y44" s="18" t="s">
        <v>3</v>
      </c>
      <c r="Z44" s="18" t="s">
        <v>3</v>
      </c>
      <c r="AA44" s="18" t="s">
        <v>3</v>
      </c>
      <c r="AB44" s="18" t="s">
        <v>3</v>
      </c>
      <c r="AC44" s="18" t="s">
        <v>3</v>
      </c>
      <c r="AD44" s="18" t="s">
        <v>3</v>
      </c>
      <c r="AE44" s="18" t="s">
        <v>3</v>
      </c>
      <c r="AF44" s="18" t="s">
        <v>3</v>
      </c>
      <c r="AG44" s="18"/>
      <c r="AH44" s="27">
        <f>COUNTA(月11_26[[#This Row],[1]:[ ]])</f>
        <v>25</v>
      </c>
    </row>
    <row r="45" spans="2:34" ht="30" customHeight="1" x14ac:dyDescent="0.25">
      <c r="B45" s="31" t="s">
        <v>111</v>
      </c>
      <c r="C45" s="18" t="s">
        <v>5</v>
      </c>
      <c r="D45" s="18" t="s">
        <v>5</v>
      </c>
      <c r="E45" s="18" t="s">
        <v>66</v>
      </c>
      <c r="F45" s="18" t="s">
        <v>66</v>
      </c>
      <c r="G45" s="18" t="s">
        <v>66</v>
      </c>
      <c r="H45" s="18" t="s">
        <v>66</v>
      </c>
      <c r="I45" s="18" t="s">
        <v>66</v>
      </c>
      <c r="J45" s="18" t="s">
        <v>66</v>
      </c>
      <c r="K45" s="18" t="s">
        <v>66</v>
      </c>
      <c r="L45" s="18" t="s">
        <v>66</v>
      </c>
      <c r="M45" s="18" t="s">
        <v>66</v>
      </c>
      <c r="N45" s="18"/>
      <c r="O45" s="18"/>
      <c r="P45" s="18"/>
      <c r="Q45" s="18"/>
      <c r="R45" s="18"/>
      <c r="S45" s="18" t="s">
        <v>3</v>
      </c>
      <c r="T45" s="18" t="s">
        <v>3</v>
      </c>
      <c r="U45" s="18" t="s">
        <v>3</v>
      </c>
      <c r="V45" s="18" t="s">
        <v>3</v>
      </c>
      <c r="W45" s="18" t="s">
        <v>3</v>
      </c>
      <c r="X45" s="18" t="s">
        <v>3</v>
      </c>
      <c r="Y45" s="18" t="s">
        <v>3</v>
      </c>
      <c r="Z45" s="18" t="s">
        <v>3</v>
      </c>
      <c r="AA45" s="18" t="s">
        <v>3</v>
      </c>
      <c r="AB45" s="18" t="s">
        <v>3</v>
      </c>
      <c r="AC45" s="18" t="s">
        <v>3</v>
      </c>
      <c r="AD45" s="18" t="s">
        <v>3</v>
      </c>
      <c r="AE45" s="18" t="s">
        <v>3</v>
      </c>
      <c r="AF45" s="18" t="s">
        <v>3</v>
      </c>
      <c r="AG45" s="18"/>
      <c r="AH45" s="27">
        <f>COUNTA(月11_26[[#This Row],[1]:[ ]])</f>
        <v>25</v>
      </c>
    </row>
    <row r="46" spans="2:34" ht="30" customHeight="1" x14ac:dyDescent="0.25">
      <c r="B46" s="31" t="s">
        <v>112</v>
      </c>
      <c r="C46" s="18" t="s">
        <v>5</v>
      </c>
      <c r="D46" s="18" t="s">
        <v>5</v>
      </c>
      <c r="E46" s="18" t="s">
        <v>66</v>
      </c>
      <c r="F46" s="18" t="s">
        <v>66</v>
      </c>
      <c r="G46" s="18" t="s">
        <v>66</v>
      </c>
      <c r="H46" s="18" t="s">
        <v>66</v>
      </c>
      <c r="I46" s="18" t="s">
        <v>66</v>
      </c>
      <c r="J46" s="18" t="s">
        <v>66</v>
      </c>
      <c r="K46" s="18" t="s">
        <v>66</v>
      </c>
      <c r="L46" s="18" t="s">
        <v>66</v>
      </c>
      <c r="M46" s="18" t="s">
        <v>66</v>
      </c>
      <c r="N46" s="18"/>
      <c r="O46" s="18"/>
      <c r="P46" s="18"/>
      <c r="Q46" s="18"/>
      <c r="R46" s="18"/>
      <c r="S46" s="18" t="s">
        <v>3</v>
      </c>
      <c r="T46" s="18" t="s">
        <v>3</v>
      </c>
      <c r="U46" s="18" t="s">
        <v>3</v>
      </c>
      <c r="V46" s="18" t="s">
        <v>3</v>
      </c>
      <c r="W46" s="18" t="s">
        <v>3</v>
      </c>
      <c r="X46" s="18" t="s">
        <v>3</v>
      </c>
      <c r="Y46" s="18" t="s">
        <v>3</v>
      </c>
      <c r="Z46" s="18" t="s">
        <v>3</v>
      </c>
      <c r="AA46" s="18" t="s">
        <v>3</v>
      </c>
      <c r="AB46" s="18" t="s">
        <v>3</v>
      </c>
      <c r="AC46" s="18" t="s">
        <v>3</v>
      </c>
      <c r="AD46" s="18" t="s">
        <v>3</v>
      </c>
      <c r="AE46" s="18" t="s">
        <v>3</v>
      </c>
      <c r="AF46" s="18" t="s">
        <v>3</v>
      </c>
      <c r="AG46" s="18"/>
      <c r="AH46" s="27">
        <f>COUNTA(月11_26[[#This Row],[1]:[ ]])</f>
        <v>25</v>
      </c>
    </row>
    <row r="47" spans="2:34" ht="30" customHeight="1" x14ac:dyDescent="0.25">
      <c r="B47" s="31" t="s">
        <v>113</v>
      </c>
      <c r="C47" s="18"/>
      <c r="D47" s="18"/>
      <c r="E47" s="18" t="s">
        <v>66</v>
      </c>
      <c r="F47" s="18" t="s">
        <v>66</v>
      </c>
      <c r="G47" s="18" t="s">
        <v>66</v>
      </c>
      <c r="H47" s="18" t="s">
        <v>66</v>
      </c>
      <c r="I47" s="18" t="s">
        <v>66</v>
      </c>
      <c r="J47" s="18" t="s">
        <v>66</v>
      </c>
      <c r="K47" s="18" t="s">
        <v>66</v>
      </c>
      <c r="L47" s="18" t="s">
        <v>66</v>
      </c>
      <c r="M47" s="18" t="s">
        <v>66</v>
      </c>
      <c r="N47" s="18"/>
      <c r="O47" s="18"/>
      <c r="P47" s="18"/>
      <c r="Q47" s="18"/>
      <c r="R47" s="18"/>
      <c r="S47" s="18" t="s">
        <v>3</v>
      </c>
      <c r="T47" s="18" t="s">
        <v>3</v>
      </c>
      <c r="U47" s="18" t="s">
        <v>3</v>
      </c>
      <c r="V47" s="18" t="s">
        <v>3</v>
      </c>
      <c r="W47" s="18" t="s">
        <v>3</v>
      </c>
      <c r="X47" s="18" t="s">
        <v>3</v>
      </c>
      <c r="Y47" s="18" t="s">
        <v>3</v>
      </c>
      <c r="Z47" s="18" t="s">
        <v>3</v>
      </c>
      <c r="AA47" s="18" t="s">
        <v>3</v>
      </c>
      <c r="AB47" s="18" t="s">
        <v>3</v>
      </c>
      <c r="AC47" s="18" t="s">
        <v>3</v>
      </c>
      <c r="AD47" s="18" t="s">
        <v>3</v>
      </c>
      <c r="AE47" s="18" t="s">
        <v>3</v>
      </c>
      <c r="AF47" s="18" t="s">
        <v>3</v>
      </c>
      <c r="AG47" s="18"/>
      <c r="AH47" s="27">
        <f>COUNTA(月11_26[[#This Row],[1]:[ ]])</f>
        <v>23</v>
      </c>
    </row>
    <row r="48" spans="2:34" ht="30" customHeight="1" x14ac:dyDescent="0.25">
      <c r="B48" s="31" t="s">
        <v>114</v>
      </c>
      <c r="C48" s="18"/>
      <c r="D48" s="18"/>
      <c r="E48" s="18" t="s">
        <v>66</v>
      </c>
      <c r="F48" s="18" t="s">
        <v>66</v>
      </c>
      <c r="G48" s="18" t="s">
        <v>66</v>
      </c>
      <c r="H48" s="18" t="s">
        <v>66</v>
      </c>
      <c r="I48" s="18" t="s">
        <v>66</v>
      </c>
      <c r="J48" s="18" t="s">
        <v>66</v>
      </c>
      <c r="K48" s="18" t="s">
        <v>66</v>
      </c>
      <c r="L48" s="18" t="s">
        <v>66</v>
      </c>
      <c r="M48" s="18" t="s">
        <v>66</v>
      </c>
      <c r="N48" s="18"/>
      <c r="O48" s="18"/>
      <c r="P48" s="18"/>
      <c r="Q48" s="18"/>
      <c r="R48" s="18"/>
      <c r="S48" s="18" t="s">
        <v>3</v>
      </c>
      <c r="T48" s="18" t="s">
        <v>3</v>
      </c>
      <c r="U48" s="18" t="s">
        <v>3</v>
      </c>
      <c r="V48" s="18" t="s">
        <v>3</v>
      </c>
      <c r="W48" s="18" t="s">
        <v>3</v>
      </c>
      <c r="X48" s="18" t="s">
        <v>3</v>
      </c>
      <c r="Y48" s="18" t="s">
        <v>3</v>
      </c>
      <c r="Z48" s="18" t="s">
        <v>3</v>
      </c>
      <c r="AA48" s="18" t="s">
        <v>3</v>
      </c>
      <c r="AB48" s="18" t="s">
        <v>3</v>
      </c>
      <c r="AC48" s="18" t="s">
        <v>3</v>
      </c>
      <c r="AD48" s="18" t="s">
        <v>3</v>
      </c>
      <c r="AE48" s="18" t="s">
        <v>3</v>
      </c>
      <c r="AF48" s="18" t="s">
        <v>3</v>
      </c>
      <c r="AG48" s="18"/>
      <c r="AH48" s="27">
        <f>COUNTA(月11_26[[#This Row],[1]:[ ]])</f>
        <v>23</v>
      </c>
    </row>
    <row r="49" spans="2:34" ht="30" customHeight="1" x14ac:dyDescent="0.25">
      <c r="B49" s="31" t="s">
        <v>115</v>
      </c>
      <c r="C49" s="18"/>
      <c r="D49" s="18"/>
      <c r="E49" s="18" t="s">
        <v>66</v>
      </c>
      <c r="F49" s="18" t="s">
        <v>66</v>
      </c>
      <c r="G49" s="18" t="s">
        <v>66</v>
      </c>
      <c r="H49" s="18" t="s">
        <v>66</v>
      </c>
      <c r="I49" s="18" t="s">
        <v>66</v>
      </c>
      <c r="J49" s="18" t="s">
        <v>66</v>
      </c>
      <c r="K49" s="18" t="s">
        <v>66</v>
      </c>
      <c r="L49" s="18" t="s">
        <v>66</v>
      </c>
      <c r="M49" s="18" t="s">
        <v>66</v>
      </c>
      <c r="N49" s="18"/>
      <c r="O49" s="18"/>
      <c r="P49" s="18"/>
      <c r="Q49" s="18"/>
      <c r="R49" s="18"/>
      <c r="S49" s="18" t="s">
        <v>3</v>
      </c>
      <c r="T49" s="18" t="s">
        <v>3</v>
      </c>
      <c r="U49" s="18" t="s">
        <v>3</v>
      </c>
      <c r="V49" s="18" t="s">
        <v>3</v>
      </c>
      <c r="W49" s="18" t="s">
        <v>3</v>
      </c>
      <c r="X49" s="18" t="s">
        <v>3</v>
      </c>
      <c r="Y49" s="18" t="s">
        <v>3</v>
      </c>
      <c r="Z49" s="18" t="s">
        <v>3</v>
      </c>
      <c r="AA49" s="18" t="s">
        <v>3</v>
      </c>
      <c r="AB49" s="18" t="s">
        <v>3</v>
      </c>
      <c r="AC49" s="18" t="s">
        <v>3</v>
      </c>
      <c r="AD49" s="18" t="s">
        <v>3</v>
      </c>
      <c r="AE49" s="18" t="s">
        <v>3</v>
      </c>
      <c r="AF49" s="18" t="s">
        <v>3</v>
      </c>
      <c r="AG49" s="18"/>
      <c r="AH49" s="27">
        <f>COUNTA(月11_26[[#This Row],[1]:[ ]])</f>
        <v>23</v>
      </c>
    </row>
    <row r="50" spans="2:34" ht="30" customHeight="1" x14ac:dyDescent="0.25">
      <c r="B50" s="31" t="s">
        <v>116</v>
      </c>
      <c r="C50" s="18"/>
      <c r="D50" s="18"/>
      <c r="E50" s="18" t="s">
        <v>66</v>
      </c>
      <c r="F50" s="18" t="s">
        <v>66</v>
      </c>
      <c r="G50" s="18" t="s">
        <v>66</v>
      </c>
      <c r="H50" s="18" t="s">
        <v>66</v>
      </c>
      <c r="I50" s="18" t="s">
        <v>66</v>
      </c>
      <c r="J50" s="18" t="s">
        <v>66</v>
      </c>
      <c r="K50" s="18" t="s">
        <v>66</v>
      </c>
      <c r="L50" s="18" t="s">
        <v>66</v>
      </c>
      <c r="M50" s="18" t="s">
        <v>66</v>
      </c>
      <c r="N50" s="18"/>
      <c r="O50" s="18"/>
      <c r="P50" s="18"/>
      <c r="Q50" s="18"/>
      <c r="R50" s="18"/>
      <c r="S50" s="18" t="s">
        <v>3</v>
      </c>
      <c r="T50" s="18" t="s">
        <v>3</v>
      </c>
      <c r="U50" s="18" t="s">
        <v>3</v>
      </c>
      <c r="V50" s="18" t="s">
        <v>3</v>
      </c>
      <c r="W50" s="18" t="s">
        <v>3</v>
      </c>
      <c r="X50" s="18" t="s">
        <v>3</v>
      </c>
      <c r="Y50" s="18" t="s">
        <v>3</v>
      </c>
      <c r="Z50" s="18" t="s">
        <v>3</v>
      </c>
      <c r="AA50" s="18" t="s">
        <v>3</v>
      </c>
      <c r="AB50" s="18" t="s">
        <v>3</v>
      </c>
      <c r="AC50" s="18" t="s">
        <v>3</v>
      </c>
      <c r="AD50" s="18" t="s">
        <v>3</v>
      </c>
      <c r="AE50" s="18" t="s">
        <v>3</v>
      </c>
      <c r="AF50" s="18" t="s">
        <v>3</v>
      </c>
      <c r="AG50" s="18"/>
      <c r="AH50" s="27">
        <f>COUNTA(月11_26[[#This Row],[1]:[ ]])</f>
        <v>23</v>
      </c>
    </row>
    <row r="51" spans="2:34" ht="30" customHeight="1" x14ac:dyDescent="0.25">
      <c r="B51" s="31" t="s">
        <v>117</v>
      </c>
      <c r="C51" s="18"/>
      <c r="D51" s="18"/>
      <c r="E51" s="18" t="s">
        <v>66</v>
      </c>
      <c r="F51" s="18" t="s">
        <v>66</v>
      </c>
      <c r="G51" s="18" t="s">
        <v>66</v>
      </c>
      <c r="H51" s="18" t="s">
        <v>66</v>
      </c>
      <c r="I51" s="18" t="s">
        <v>66</v>
      </c>
      <c r="J51" s="18" t="s">
        <v>66</v>
      </c>
      <c r="K51" s="18" t="s">
        <v>66</v>
      </c>
      <c r="L51" s="18" t="s">
        <v>66</v>
      </c>
      <c r="M51" s="18" t="s">
        <v>66</v>
      </c>
      <c r="N51" s="18"/>
      <c r="O51" s="18"/>
      <c r="P51" s="18"/>
      <c r="Q51" s="18"/>
      <c r="R51" s="18"/>
      <c r="S51" s="18" t="s">
        <v>3</v>
      </c>
      <c r="T51" s="18" t="s">
        <v>3</v>
      </c>
      <c r="U51" s="18" t="s">
        <v>3</v>
      </c>
      <c r="V51" s="18" t="s">
        <v>3</v>
      </c>
      <c r="W51" s="18" t="s">
        <v>3</v>
      </c>
      <c r="X51" s="18" t="s">
        <v>3</v>
      </c>
      <c r="Y51" s="18" t="s">
        <v>3</v>
      </c>
      <c r="Z51" s="18" t="s">
        <v>3</v>
      </c>
      <c r="AA51" s="18" t="s">
        <v>3</v>
      </c>
      <c r="AB51" s="18" t="s">
        <v>3</v>
      </c>
      <c r="AC51" s="18" t="s">
        <v>3</v>
      </c>
      <c r="AD51" s="18" t="s">
        <v>3</v>
      </c>
      <c r="AE51" s="18" t="s">
        <v>3</v>
      </c>
      <c r="AF51" s="18" t="s">
        <v>3</v>
      </c>
      <c r="AG51" s="18"/>
      <c r="AH51" s="27">
        <f>COUNTA(月11_26[[#This Row],[1]:[ ]])</f>
        <v>23</v>
      </c>
    </row>
    <row r="52" spans="2:34" ht="30" customHeight="1" x14ac:dyDescent="0.25">
      <c r="B52" s="31" t="s">
        <v>118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 t="s">
        <v>3</v>
      </c>
      <c r="T52" s="18" t="s">
        <v>3</v>
      </c>
      <c r="U52" s="18" t="s">
        <v>3</v>
      </c>
      <c r="V52" s="18" t="s">
        <v>3</v>
      </c>
      <c r="W52" s="18" t="s">
        <v>3</v>
      </c>
      <c r="X52" s="18" t="s">
        <v>3</v>
      </c>
      <c r="Y52" s="18" t="s">
        <v>3</v>
      </c>
      <c r="Z52" s="18" t="s">
        <v>3</v>
      </c>
      <c r="AA52" s="18" t="s">
        <v>3</v>
      </c>
      <c r="AB52" s="18" t="s">
        <v>3</v>
      </c>
      <c r="AC52" s="18" t="s">
        <v>3</v>
      </c>
      <c r="AD52" s="18" t="s">
        <v>3</v>
      </c>
      <c r="AE52" s="18" t="s">
        <v>3</v>
      </c>
      <c r="AF52" s="18" t="s">
        <v>3</v>
      </c>
      <c r="AG52" s="18"/>
      <c r="AH52" s="27">
        <f>COUNTA(月11_26[[#This Row],[1]:[ ]])</f>
        <v>14</v>
      </c>
    </row>
    <row r="53" spans="2:34" ht="30" customHeight="1" x14ac:dyDescent="0.25">
      <c r="B53" s="31" t="s">
        <v>144</v>
      </c>
      <c r="C53" s="18"/>
      <c r="D53" s="18"/>
      <c r="E53" s="18"/>
      <c r="F53" s="18"/>
      <c r="G53" s="18"/>
      <c r="H53" s="18"/>
      <c r="I53" s="18" t="s">
        <v>3</v>
      </c>
      <c r="J53" s="18" t="s">
        <v>3</v>
      </c>
      <c r="K53" s="18" t="s">
        <v>3</v>
      </c>
      <c r="L53" s="18" t="s">
        <v>3</v>
      </c>
      <c r="M53" s="18" t="s">
        <v>3</v>
      </c>
      <c r="N53" s="18"/>
      <c r="O53" s="18"/>
      <c r="P53" s="18"/>
      <c r="Q53" s="18"/>
      <c r="R53" s="18"/>
      <c r="S53" s="18" t="s">
        <v>3</v>
      </c>
      <c r="T53" s="18" t="s">
        <v>3</v>
      </c>
      <c r="U53" s="18" t="s">
        <v>3</v>
      </c>
      <c r="V53" s="18" t="s">
        <v>3</v>
      </c>
      <c r="W53" s="18" t="s">
        <v>3</v>
      </c>
      <c r="X53" s="18" t="s">
        <v>3</v>
      </c>
      <c r="Y53" s="18" t="s">
        <v>3</v>
      </c>
      <c r="Z53" s="18" t="s">
        <v>3</v>
      </c>
      <c r="AA53" s="18" t="s">
        <v>3</v>
      </c>
      <c r="AB53" s="18" t="s">
        <v>3</v>
      </c>
      <c r="AC53" s="18" t="s">
        <v>3</v>
      </c>
      <c r="AD53" s="18" t="s">
        <v>3</v>
      </c>
      <c r="AE53" s="18" t="s">
        <v>3</v>
      </c>
      <c r="AF53" s="18" t="s">
        <v>3</v>
      </c>
      <c r="AG53" s="18"/>
      <c r="AH53" s="27">
        <f>COUNTA(月11_26[[#This Row],[1]:[ ]])</f>
        <v>19</v>
      </c>
    </row>
    <row r="54" spans="2:34" ht="30" customHeight="1" x14ac:dyDescent="0.25">
      <c r="B54" s="31" t="s">
        <v>145</v>
      </c>
      <c r="C54" s="18"/>
      <c r="D54" s="18"/>
      <c r="E54" s="18"/>
      <c r="F54" s="18"/>
      <c r="G54" s="18"/>
      <c r="H54" s="18"/>
      <c r="I54" s="18" t="s">
        <v>3</v>
      </c>
      <c r="J54" s="18" t="s">
        <v>3</v>
      </c>
      <c r="K54" s="18" t="s">
        <v>3</v>
      </c>
      <c r="L54" s="18" t="s">
        <v>3</v>
      </c>
      <c r="M54" s="18" t="s">
        <v>3</v>
      </c>
      <c r="N54" s="18"/>
      <c r="O54" s="18"/>
      <c r="P54" s="18"/>
      <c r="Q54" s="18"/>
      <c r="R54" s="18"/>
      <c r="S54" s="18" t="s">
        <v>3</v>
      </c>
      <c r="T54" s="18" t="s">
        <v>3</v>
      </c>
      <c r="U54" s="18" t="s">
        <v>3</v>
      </c>
      <c r="V54" s="18" t="s">
        <v>3</v>
      </c>
      <c r="W54" s="18" t="s">
        <v>3</v>
      </c>
      <c r="X54" s="18" t="s">
        <v>3</v>
      </c>
      <c r="Y54" s="18" t="s">
        <v>3</v>
      </c>
      <c r="Z54" s="18" t="s">
        <v>3</v>
      </c>
      <c r="AA54" s="18" t="s">
        <v>3</v>
      </c>
      <c r="AB54" s="18" t="s">
        <v>3</v>
      </c>
      <c r="AC54" s="18" t="s">
        <v>3</v>
      </c>
      <c r="AD54" s="18" t="s">
        <v>3</v>
      </c>
      <c r="AE54" s="18" t="s">
        <v>3</v>
      </c>
      <c r="AF54" s="18" t="s">
        <v>3</v>
      </c>
      <c r="AG54" s="18"/>
      <c r="AH54" s="27">
        <f>COUNTA(月11_26[[#This Row],[1]:[ ]])</f>
        <v>19</v>
      </c>
    </row>
    <row r="55" spans="2:34" ht="30" customHeight="1" x14ac:dyDescent="0.25">
      <c r="B55" s="32" t="s">
        <v>146</v>
      </c>
      <c r="C55" s="18"/>
      <c r="D55" s="18"/>
      <c r="E55" s="18"/>
      <c r="F55" s="18"/>
      <c r="G55" s="18"/>
      <c r="H55" s="18"/>
      <c r="I55" s="18" t="s">
        <v>3</v>
      </c>
      <c r="J55" s="18" t="s">
        <v>3</v>
      </c>
      <c r="K55" s="18" t="s">
        <v>3</v>
      </c>
      <c r="L55" s="18" t="s">
        <v>3</v>
      </c>
      <c r="M55" s="18" t="s">
        <v>3</v>
      </c>
      <c r="N55" s="18"/>
      <c r="O55" s="18"/>
      <c r="P55" s="18"/>
      <c r="Q55" s="18"/>
      <c r="R55" s="18"/>
      <c r="S55" s="18" t="s">
        <v>3</v>
      </c>
      <c r="T55" s="18" t="s">
        <v>3</v>
      </c>
      <c r="U55" s="18" t="s">
        <v>3</v>
      </c>
      <c r="V55" s="18" t="s">
        <v>3</v>
      </c>
      <c r="W55" s="18" t="s">
        <v>3</v>
      </c>
      <c r="X55" s="18" t="s">
        <v>3</v>
      </c>
      <c r="Y55" s="18" t="s">
        <v>3</v>
      </c>
      <c r="Z55" s="18" t="s">
        <v>3</v>
      </c>
      <c r="AA55" s="18" t="s">
        <v>3</v>
      </c>
      <c r="AB55" s="18" t="s">
        <v>3</v>
      </c>
      <c r="AC55" s="18" t="s">
        <v>3</v>
      </c>
      <c r="AD55" s="18" t="s">
        <v>3</v>
      </c>
      <c r="AE55" s="18" t="s">
        <v>3</v>
      </c>
      <c r="AF55" s="18" t="s">
        <v>3</v>
      </c>
      <c r="AG55" s="18"/>
      <c r="AH55" s="27">
        <f>COUNTA(月11_26[[#This Row],[1]:[ ]])</f>
        <v>19</v>
      </c>
    </row>
    <row r="56" spans="2:34" ht="30" customHeight="1" x14ac:dyDescent="0.25">
      <c r="B56" s="32" t="s">
        <v>147</v>
      </c>
      <c r="C56" s="18"/>
      <c r="D56" s="18"/>
      <c r="E56" s="18"/>
      <c r="F56" s="18"/>
      <c r="G56" s="18"/>
      <c r="H56" s="18"/>
      <c r="I56" s="18" t="s">
        <v>3</v>
      </c>
      <c r="J56" s="18" t="s">
        <v>3</v>
      </c>
      <c r="K56" s="18" t="s">
        <v>3</v>
      </c>
      <c r="L56" s="18" t="s">
        <v>3</v>
      </c>
      <c r="M56" s="18" t="s">
        <v>3</v>
      </c>
      <c r="N56" s="18"/>
      <c r="O56" s="18"/>
      <c r="P56" s="18"/>
      <c r="Q56" s="18"/>
      <c r="R56" s="18"/>
      <c r="S56" s="18" t="s">
        <v>3</v>
      </c>
      <c r="T56" s="18" t="s">
        <v>3</v>
      </c>
      <c r="U56" s="18" t="s">
        <v>3</v>
      </c>
      <c r="V56" s="18" t="s">
        <v>3</v>
      </c>
      <c r="W56" s="18" t="s">
        <v>3</v>
      </c>
      <c r="X56" s="18" t="s">
        <v>3</v>
      </c>
      <c r="Y56" s="18" t="s">
        <v>3</v>
      </c>
      <c r="Z56" s="18" t="s">
        <v>3</v>
      </c>
      <c r="AA56" s="18" t="s">
        <v>3</v>
      </c>
      <c r="AB56" s="18" t="s">
        <v>3</v>
      </c>
      <c r="AC56" s="18" t="s">
        <v>3</v>
      </c>
      <c r="AD56" s="18" t="s">
        <v>3</v>
      </c>
      <c r="AE56" s="18" t="s">
        <v>3</v>
      </c>
      <c r="AF56" s="18" t="s">
        <v>3</v>
      </c>
      <c r="AG56" s="18"/>
      <c r="AH56" s="27">
        <f>COUNTA(月11_26[[#This Row],[1]:[ ]])</f>
        <v>19</v>
      </c>
    </row>
    <row r="57" spans="2:34" ht="30" customHeight="1" x14ac:dyDescent="0.25">
      <c r="B57" s="32" t="s">
        <v>148</v>
      </c>
      <c r="C57" s="18"/>
      <c r="D57" s="18"/>
      <c r="E57" s="18"/>
      <c r="F57" s="18" t="s">
        <v>3</v>
      </c>
      <c r="G57" s="18" t="s">
        <v>3</v>
      </c>
      <c r="H57" s="18" t="s">
        <v>3</v>
      </c>
      <c r="I57" s="18" t="s">
        <v>3</v>
      </c>
      <c r="J57" s="18" t="s">
        <v>3</v>
      </c>
      <c r="K57" s="18" t="s">
        <v>3</v>
      </c>
      <c r="L57" s="18" t="s">
        <v>3</v>
      </c>
      <c r="M57" s="18" t="s">
        <v>3</v>
      </c>
      <c r="N57" s="18" t="s">
        <v>3</v>
      </c>
      <c r="O57" s="18" t="s">
        <v>3</v>
      </c>
      <c r="P57" s="18" t="s">
        <v>3</v>
      </c>
      <c r="Q57" s="18" t="s">
        <v>3</v>
      </c>
      <c r="R57" s="18" t="s">
        <v>3</v>
      </c>
      <c r="S57" s="18" t="s">
        <v>3</v>
      </c>
      <c r="T57" s="18" t="s">
        <v>3</v>
      </c>
      <c r="U57" s="18" t="s">
        <v>3</v>
      </c>
      <c r="V57" s="18" t="s">
        <v>3</v>
      </c>
      <c r="W57" s="18" t="s">
        <v>3</v>
      </c>
      <c r="X57" s="18" t="s">
        <v>3</v>
      </c>
      <c r="Y57" s="18" t="s">
        <v>3</v>
      </c>
      <c r="Z57" s="18" t="s">
        <v>3</v>
      </c>
      <c r="AA57" s="18" t="s">
        <v>3</v>
      </c>
      <c r="AB57" s="18" t="s">
        <v>3</v>
      </c>
      <c r="AC57" s="18" t="s">
        <v>3</v>
      </c>
      <c r="AD57" s="18" t="s">
        <v>3</v>
      </c>
      <c r="AE57" s="18" t="s">
        <v>3</v>
      </c>
      <c r="AF57" s="18" t="s">
        <v>3</v>
      </c>
      <c r="AG57" s="18"/>
      <c r="AH57" s="27">
        <f>COUNTA(月11_26[[#This Row],[1]:[ ]])</f>
        <v>27</v>
      </c>
    </row>
    <row r="58" spans="2:34" ht="30" customHeight="1" x14ac:dyDescent="0.25">
      <c r="B58" s="32" t="s">
        <v>149</v>
      </c>
      <c r="C58" s="18"/>
      <c r="D58" s="18"/>
      <c r="E58" s="18"/>
      <c r="F58" s="18" t="s">
        <v>3</v>
      </c>
      <c r="G58" s="18" t="s">
        <v>3</v>
      </c>
      <c r="H58" s="18" t="s">
        <v>3</v>
      </c>
      <c r="I58" s="18" t="s">
        <v>3</v>
      </c>
      <c r="J58" s="18" t="s">
        <v>3</v>
      </c>
      <c r="K58" s="18" t="s">
        <v>3</v>
      </c>
      <c r="L58" s="18" t="s">
        <v>3</v>
      </c>
      <c r="M58" s="18" t="s">
        <v>3</v>
      </c>
      <c r="N58" s="18" t="s">
        <v>3</v>
      </c>
      <c r="O58" s="18" t="s">
        <v>3</v>
      </c>
      <c r="P58" s="18" t="s">
        <v>3</v>
      </c>
      <c r="Q58" s="18" t="s">
        <v>3</v>
      </c>
      <c r="R58" s="18" t="s">
        <v>3</v>
      </c>
      <c r="S58" s="18" t="s">
        <v>3</v>
      </c>
      <c r="T58" s="18" t="s">
        <v>3</v>
      </c>
      <c r="U58" s="18" t="s">
        <v>3</v>
      </c>
      <c r="V58" s="18" t="s">
        <v>3</v>
      </c>
      <c r="W58" s="18" t="s">
        <v>3</v>
      </c>
      <c r="X58" s="18" t="s">
        <v>3</v>
      </c>
      <c r="Y58" s="18" t="s">
        <v>3</v>
      </c>
      <c r="Z58" s="18" t="s">
        <v>3</v>
      </c>
      <c r="AA58" s="18" t="s">
        <v>3</v>
      </c>
      <c r="AB58" s="18" t="s">
        <v>3</v>
      </c>
      <c r="AC58" s="18" t="s">
        <v>3</v>
      </c>
      <c r="AD58" s="18" t="s">
        <v>3</v>
      </c>
      <c r="AE58" s="18" t="s">
        <v>3</v>
      </c>
      <c r="AF58" s="18" t="s">
        <v>3</v>
      </c>
      <c r="AG58" s="18"/>
      <c r="AH58" s="27">
        <f>COUNTA(月11_26[[#This Row],[1]:[ ]])</f>
        <v>27</v>
      </c>
    </row>
    <row r="59" spans="2:34" ht="30" customHeight="1" x14ac:dyDescent="0.25">
      <c r="B59" s="32" t="s">
        <v>150</v>
      </c>
      <c r="C59" s="18"/>
      <c r="D59" s="18"/>
      <c r="E59" s="18"/>
      <c r="F59" s="18" t="s">
        <v>3</v>
      </c>
      <c r="G59" s="18" t="s">
        <v>3</v>
      </c>
      <c r="H59" s="18" t="s">
        <v>3</v>
      </c>
      <c r="I59" s="18" t="s">
        <v>3</v>
      </c>
      <c r="J59" s="18" t="s">
        <v>3</v>
      </c>
      <c r="K59" s="18" t="s">
        <v>3</v>
      </c>
      <c r="L59" s="18" t="s">
        <v>3</v>
      </c>
      <c r="M59" s="18" t="s">
        <v>3</v>
      </c>
      <c r="N59" s="18" t="s">
        <v>3</v>
      </c>
      <c r="O59" s="18" t="s">
        <v>3</v>
      </c>
      <c r="P59" s="18" t="s">
        <v>3</v>
      </c>
      <c r="Q59" s="18" t="s">
        <v>3</v>
      </c>
      <c r="R59" s="18" t="s">
        <v>3</v>
      </c>
      <c r="S59" s="18" t="s">
        <v>3</v>
      </c>
      <c r="T59" s="18" t="s">
        <v>3</v>
      </c>
      <c r="U59" s="18" t="s">
        <v>3</v>
      </c>
      <c r="V59" s="18" t="s">
        <v>3</v>
      </c>
      <c r="W59" s="18" t="s">
        <v>3</v>
      </c>
      <c r="X59" s="18" t="s">
        <v>3</v>
      </c>
      <c r="Y59" s="18" t="s">
        <v>3</v>
      </c>
      <c r="Z59" s="18" t="s">
        <v>3</v>
      </c>
      <c r="AA59" s="18" t="s">
        <v>3</v>
      </c>
      <c r="AB59" s="18" t="s">
        <v>3</v>
      </c>
      <c r="AC59" s="18" t="s">
        <v>3</v>
      </c>
      <c r="AD59" s="18" t="s">
        <v>3</v>
      </c>
      <c r="AE59" s="18" t="s">
        <v>3</v>
      </c>
      <c r="AF59" s="18" t="s">
        <v>3</v>
      </c>
      <c r="AG59" s="18"/>
      <c r="AH59" s="27">
        <f>COUNTA(月11_26[[#This Row],[1]:[ ]])</f>
        <v>27</v>
      </c>
    </row>
    <row r="60" spans="2:34" ht="30" customHeight="1" x14ac:dyDescent="0.25">
      <c r="B60" s="32" t="s">
        <v>151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 t="s">
        <v>3</v>
      </c>
      <c r="T60" s="18" t="s">
        <v>3</v>
      </c>
      <c r="U60" s="18" t="s">
        <v>3</v>
      </c>
      <c r="V60" s="18" t="s">
        <v>3</v>
      </c>
      <c r="W60" s="18" t="s">
        <v>3</v>
      </c>
      <c r="X60" s="18" t="s">
        <v>3</v>
      </c>
      <c r="Y60" s="18" t="s">
        <v>3</v>
      </c>
      <c r="Z60" s="18" t="s">
        <v>3</v>
      </c>
      <c r="AA60" s="18" t="s">
        <v>3</v>
      </c>
      <c r="AB60" s="18" t="s">
        <v>3</v>
      </c>
      <c r="AC60" s="18" t="s">
        <v>3</v>
      </c>
      <c r="AD60" s="18" t="s">
        <v>3</v>
      </c>
      <c r="AE60" s="18" t="s">
        <v>3</v>
      </c>
      <c r="AF60" s="18" t="s">
        <v>3</v>
      </c>
      <c r="AG60" s="18"/>
      <c r="AH60" s="27">
        <f>COUNTA(月11_26[[#This Row],[1]:[ ]])</f>
        <v>14</v>
      </c>
    </row>
    <row r="61" spans="2:34" ht="30" customHeight="1" x14ac:dyDescent="0.25">
      <c r="B61" s="32" t="s">
        <v>152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 t="s">
        <v>3</v>
      </c>
      <c r="T61" s="18" t="s">
        <v>3</v>
      </c>
      <c r="U61" s="18" t="s">
        <v>3</v>
      </c>
      <c r="V61" s="18" t="s">
        <v>3</v>
      </c>
      <c r="W61" s="18" t="s">
        <v>3</v>
      </c>
      <c r="X61" s="18" t="s">
        <v>3</v>
      </c>
      <c r="Y61" s="18" t="s">
        <v>3</v>
      </c>
      <c r="Z61" s="18" t="s">
        <v>3</v>
      </c>
      <c r="AA61" s="18" t="s">
        <v>3</v>
      </c>
      <c r="AB61" s="18" t="s">
        <v>3</v>
      </c>
      <c r="AC61" s="18" t="s">
        <v>3</v>
      </c>
      <c r="AD61" s="18" t="s">
        <v>3</v>
      </c>
      <c r="AE61" s="18" t="s">
        <v>3</v>
      </c>
      <c r="AF61" s="18" t="s">
        <v>3</v>
      </c>
      <c r="AG61" s="18"/>
      <c r="AH61" s="27">
        <f>COUNTA(月11_26[[#This Row],[1]:[ ]])</f>
        <v>14</v>
      </c>
    </row>
    <row r="62" spans="2:34" ht="30" customHeight="1" x14ac:dyDescent="0.25">
      <c r="B62" s="32" t="s">
        <v>153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 t="s">
        <v>3</v>
      </c>
      <c r="T62" s="18" t="s">
        <v>3</v>
      </c>
      <c r="U62" s="18" t="s">
        <v>3</v>
      </c>
      <c r="V62" s="18" t="s">
        <v>3</v>
      </c>
      <c r="W62" s="18" t="s">
        <v>3</v>
      </c>
      <c r="X62" s="18" t="s">
        <v>3</v>
      </c>
      <c r="Y62" s="18" t="s">
        <v>3</v>
      </c>
      <c r="Z62" s="18" t="s">
        <v>3</v>
      </c>
      <c r="AA62" s="18" t="s">
        <v>3</v>
      </c>
      <c r="AB62" s="18" t="s">
        <v>3</v>
      </c>
      <c r="AC62" s="18" t="s">
        <v>3</v>
      </c>
      <c r="AD62" s="18" t="s">
        <v>3</v>
      </c>
      <c r="AE62" s="18" t="s">
        <v>3</v>
      </c>
      <c r="AF62" s="18" t="s">
        <v>3</v>
      </c>
      <c r="AG62" s="18"/>
      <c r="AH62" s="27">
        <f>COUNTA(月11_26[[#This Row],[1]:[ ]])</f>
        <v>14</v>
      </c>
    </row>
    <row r="63" spans="2:34" ht="30" customHeight="1" x14ac:dyDescent="0.25">
      <c r="B63" s="32" t="s">
        <v>154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 t="s">
        <v>3</v>
      </c>
      <c r="T63" s="18" t="s">
        <v>3</v>
      </c>
      <c r="U63" s="18" t="s">
        <v>3</v>
      </c>
      <c r="V63" s="18" t="s">
        <v>3</v>
      </c>
      <c r="W63" s="18" t="s">
        <v>3</v>
      </c>
      <c r="X63" s="18" t="s">
        <v>3</v>
      </c>
      <c r="Y63" s="18" t="s">
        <v>3</v>
      </c>
      <c r="Z63" s="18" t="s">
        <v>3</v>
      </c>
      <c r="AA63" s="18" t="s">
        <v>3</v>
      </c>
      <c r="AB63" s="18" t="s">
        <v>3</v>
      </c>
      <c r="AC63" s="18" t="s">
        <v>3</v>
      </c>
      <c r="AD63" s="18" t="s">
        <v>3</v>
      </c>
      <c r="AE63" s="18" t="s">
        <v>3</v>
      </c>
      <c r="AF63" s="18" t="s">
        <v>3</v>
      </c>
      <c r="AG63" s="18"/>
      <c r="AH63" s="27">
        <f>COUNTA(月11_26[[#This Row],[1]:[ ]])</f>
        <v>14</v>
      </c>
    </row>
    <row r="64" spans="2:34" ht="30" customHeight="1" x14ac:dyDescent="0.25">
      <c r="B64" s="32" t="s">
        <v>155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 t="s">
        <v>3</v>
      </c>
      <c r="Y64" s="18" t="s">
        <v>3</v>
      </c>
      <c r="Z64" s="18" t="s">
        <v>3</v>
      </c>
      <c r="AA64" s="18" t="s">
        <v>3</v>
      </c>
      <c r="AB64" s="18" t="s">
        <v>3</v>
      </c>
      <c r="AC64" s="18" t="s">
        <v>3</v>
      </c>
      <c r="AD64" s="18" t="s">
        <v>3</v>
      </c>
      <c r="AE64" s="18" t="s">
        <v>3</v>
      </c>
      <c r="AF64" s="18" t="s">
        <v>3</v>
      </c>
      <c r="AG64" s="18"/>
      <c r="AH64" s="27">
        <f>COUNTA(月11_26[[#This Row],[1]:[ ]])</f>
        <v>9</v>
      </c>
    </row>
    <row r="65" spans="2:34" ht="30" customHeight="1" x14ac:dyDescent="0.25">
      <c r="B65" s="32" t="s">
        <v>156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 t="s">
        <v>3</v>
      </c>
      <c r="Y65" s="18" t="s">
        <v>3</v>
      </c>
      <c r="Z65" s="18" t="s">
        <v>3</v>
      </c>
      <c r="AA65" s="18" t="s">
        <v>3</v>
      </c>
      <c r="AB65" s="18" t="s">
        <v>3</v>
      </c>
      <c r="AC65" s="18" t="s">
        <v>3</v>
      </c>
      <c r="AD65" s="18" t="s">
        <v>3</v>
      </c>
      <c r="AE65" s="18" t="s">
        <v>3</v>
      </c>
      <c r="AF65" s="18" t="s">
        <v>3</v>
      </c>
      <c r="AG65" s="18"/>
      <c r="AH65" s="27">
        <f>COUNTA(月11_26[[#This Row],[1]:[ ]])</f>
        <v>9</v>
      </c>
    </row>
    <row r="66" spans="2:34" ht="30" customHeight="1" x14ac:dyDescent="0.25">
      <c r="B66" s="21" t="str">
        <f>MonthName&amp;"集計"</f>
        <v>4月集計</v>
      </c>
      <c r="C66" s="22">
        <f>SUBTOTAL(103,月11_26[1])</f>
        <v>10</v>
      </c>
      <c r="D66" s="22">
        <f>SUBTOTAL(103,月11_26[2])</f>
        <v>10</v>
      </c>
      <c r="E66" s="22">
        <f>SUBTOTAL(103,月11_26[3])</f>
        <v>15</v>
      </c>
      <c r="F66" s="22">
        <f>SUBTOTAL(103,月11_26[4])</f>
        <v>21</v>
      </c>
      <c r="G66" s="22">
        <f>SUBTOTAL(103,月11_26[5])</f>
        <v>21</v>
      </c>
      <c r="H66" s="22">
        <f>SUBTOTAL(103,月11_26[6])</f>
        <v>21</v>
      </c>
      <c r="I66" s="22">
        <f>SUBTOTAL(103,月11_26[7])</f>
        <v>29</v>
      </c>
      <c r="J66" s="22">
        <f>SUBTOTAL(103,月11_26[8])</f>
        <v>29</v>
      </c>
      <c r="K66" s="22">
        <f>SUBTOTAL(103,月11_26[9])</f>
        <v>29</v>
      </c>
      <c r="L66" s="22">
        <f>SUBTOTAL(103,月11_26[10])</f>
        <v>29</v>
      </c>
      <c r="M66" s="22">
        <f>SUBTOTAL(103,月11_26[11])</f>
        <v>29</v>
      </c>
      <c r="N66" s="22">
        <f>SUBTOTAL(103,月11_26[12])</f>
        <v>6</v>
      </c>
      <c r="O66" s="22">
        <f>SUBTOTAL(103,月11_26[13])</f>
        <v>6</v>
      </c>
      <c r="P66" s="22">
        <f>SUBTOTAL(103,月11_26[14])</f>
        <v>6</v>
      </c>
      <c r="Q66" s="22">
        <f>SUBTOTAL(103,月11_26[15])</f>
        <v>6</v>
      </c>
      <c r="R66" s="22">
        <f>SUBTOTAL(103,月11_26[16])</f>
        <v>6</v>
      </c>
      <c r="S66" s="22">
        <f>SUBTOTAL(103,月11_26[17])</f>
        <v>45</v>
      </c>
      <c r="T66" s="22">
        <f>SUBTOTAL(103,月11_26[18])</f>
        <v>45</v>
      </c>
      <c r="U66" s="22">
        <f>SUBTOTAL(103,月11_26[19])</f>
        <v>45</v>
      </c>
      <c r="V66" s="22">
        <f>SUBTOTAL(103,月11_26[20])</f>
        <v>45</v>
      </c>
      <c r="W66" s="22">
        <f>SUBTOTAL(103,月11_26[21])</f>
        <v>45</v>
      </c>
      <c r="X66" s="22">
        <f>SUBTOTAL(103,月11_26[22])</f>
        <v>57</v>
      </c>
      <c r="Y66" s="22">
        <f>SUBTOTAL(103,月11_26[23])</f>
        <v>57</v>
      </c>
      <c r="Z66" s="22">
        <f>SUBTOTAL(103,月11_26[24])</f>
        <v>57</v>
      </c>
      <c r="AA66" s="22">
        <f>SUBTOTAL(103,月11_26[25])</f>
        <v>57</v>
      </c>
      <c r="AB66" s="22">
        <f>SUBTOTAL(103,月11_26[26])</f>
        <v>57</v>
      </c>
      <c r="AC66" s="22">
        <f>SUBTOTAL(103,月11_26[27])</f>
        <v>57</v>
      </c>
      <c r="AD66" s="22">
        <f>SUBTOTAL(103,月11_26[28])</f>
        <v>57</v>
      </c>
      <c r="AE66" s="22">
        <f>SUBTOTAL(103,月11_26[29])</f>
        <v>57</v>
      </c>
      <c r="AF66" s="22">
        <f>SUBTOTAL(109,月11_26[30])</f>
        <v>0</v>
      </c>
      <c r="AG66" s="22">
        <f>SUBTOTAL(109,月11_26[[ ]])</f>
        <v>0</v>
      </c>
      <c r="AH66" s="22">
        <f>SUBTOTAL(109,月11_26[合計日数])</f>
        <v>1011</v>
      </c>
    </row>
  </sheetData>
  <mergeCells count="6">
    <mergeCell ref="C6:AG6"/>
    <mergeCell ref="D4:F4"/>
    <mergeCell ref="H4:J4"/>
    <mergeCell ref="L4:M4"/>
    <mergeCell ref="O4:Q4"/>
    <mergeCell ref="S4:U4"/>
  </mergeCells>
  <phoneticPr fontId="10"/>
  <conditionalFormatting sqref="C41:D46">
    <cfRule type="expression" dxfId="379" priority="63" stopIfTrue="1">
      <formula>C41=KeyCustom1</formula>
    </cfRule>
    <cfRule type="expression" dxfId="378" priority="65" stopIfTrue="1">
      <formula>C41=KeyPersonal</formula>
    </cfRule>
    <cfRule type="expression" priority="61" stopIfTrue="1">
      <formula>C41=""</formula>
    </cfRule>
    <cfRule type="expression" dxfId="377" priority="62" stopIfTrue="1">
      <formula>C41=KeyCustom2</formula>
    </cfRule>
    <cfRule type="expression" dxfId="376" priority="64" stopIfTrue="1">
      <formula>C41=KeySick</formula>
    </cfRule>
    <cfRule type="expression" dxfId="375" priority="66" stopIfTrue="1">
      <formula>C41=KeyVacation</formula>
    </cfRule>
  </conditionalFormatting>
  <conditionalFormatting sqref="C9:H12 N9:AG12 C9:D14 X9:AF65 C13:E14 S13:AG30 C15:R30 C31:AG40 E41:AG41 E42:M51 E43:AG46 C47:AG52">
    <cfRule type="expression" dxfId="374" priority="82" stopIfTrue="1">
      <formula>C9=KeyCustom1</formula>
    </cfRule>
    <cfRule type="expression" dxfId="373" priority="83" stopIfTrue="1">
      <formula>C9=KeySick</formula>
    </cfRule>
    <cfRule type="expression" dxfId="372" priority="84" stopIfTrue="1">
      <formula>C9=KeyPersonal</formula>
    </cfRule>
    <cfRule type="expression" dxfId="371" priority="85" stopIfTrue="1">
      <formula>C9=KeyVacation</formula>
    </cfRule>
  </conditionalFormatting>
  <conditionalFormatting sqref="C9:H12 N9:AG12 C9:D14 X9:AF65 C13:E14 S13:AG30 C31:AG40 E41:AG41 E43:AG46 C47:AG52 E42:M51 C15:R30">
    <cfRule type="expression" dxfId="370" priority="81" stopIfTrue="1">
      <formula>C9=KeyCustom2</formula>
    </cfRule>
  </conditionalFormatting>
  <conditionalFormatting sqref="C47:R52 E41:R46 C13:E14 X13:AG30 C15:R19 C20:E20 C21:R30 C31:AG40 X41:AG52">
    <cfRule type="expression" priority="73" stopIfTrue="1">
      <formula>C13=""</formula>
    </cfRule>
  </conditionalFormatting>
  <conditionalFormatting sqref="E47:M47">
    <cfRule type="expression" dxfId="369" priority="44" stopIfTrue="1">
      <formula>E47=KeyCustom2</formula>
    </cfRule>
    <cfRule type="expression" dxfId="368" priority="47" stopIfTrue="1">
      <formula>E47=KeyPersonal</formula>
    </cfRule>
    <cfRule type="expression" dxfId="367" priority="46" stopIfTrue="1">
      <formula>E47=KeySick</formula>
    </cfRule>
    <cfRule type="expression" dxfId="366" priority="45" stopIfTrue="1">
      <formula>E47=KeyCustom1</formula>
    </cfRule>
    <cfRule type="expression" dxfId="365" priority="48" stopIfTrue="1">
      <formula>E47=KeyVacation</formula>
    </cfRule>
  </conditionalFormatting>
  <conditionalFormatting sqref="E42:R42 X42:AG42">
    <cfRule type="expression" dxfId="364" priority="75" stopIfTrue="1">
      <formula>E42=KeyCustom1</formula>
    </cfRule>
    <cfRule type="expression" dxfId="363" priority="74" stopIfTrue="1">
      <formula>E42=KeyCustom2</formula>
    </cfRule>
    <cfRule type="expression" dxfId="362" priority="76" stopIfTrue="1">
      <formula>E42=KeySick</formula>
    </cfRule>
    <cfRule type="expression" dxfId="361" priority="77" stopIfTrue="1">
      <formula>E42=KeyPersonal</formula>
    </cfRule>
    <cfRule type="expression" dxfId="360" priority="78" stopIfTrue="1">
      <formula>E42=KeyVacation</formula>
    </cfRule>
  </conditionalFormatting>
  <conditionalFormatting sqref="F13:R14">
    <cfRule type="expression" dxfId="359" priority="27" stopIfTrue="1">
      <formula>F13=KeyCustom1</formula>
    </cfRule>
    <cfRule type="expression" dxfId="358" priority="28" stopIfTrue="1">
      <formula>F13=KeySick</formula>
    </cfRule>
    <cfRule type="expression" dxfId="357" priority="29" stopIfTrue="1">
      <formula>F13=KeyPersonal</formula>
    </cfRule>
    <cfRule type="expression" dxfId="356" priority="30" stopIfTrue="1">
      <formula>F13=KeyVacation</formula>
    </cfRule>
    <cfRule type="expression" priority="25" stopIfTrue="1">
      <formula>F13=""</formula>
    </cfRule>
    <cfRule type="expression" dxfId="355" priority="26" stopIfTrue="1">
      <formula>F13=KeyCustom2</formula>
    </cfRule>
  </conditionalFormatting>
  <conditionalFormatting sqref="F20:R20">
    <cfRule type="expression" priority="24" stopIfTrue="1">
      <formula>F20=""</formula>
    </cfRule>
  </conditionalFormatting>
  <conditionalFormatting sqref="F41:R41">
    <cfRule type="expression" dxfId="354" priority="13" stopIfTrue="1">
      <formula>F41=KeyCustom2</formula>
    </cfRule>
    <cfRule type="expression" dxfId="353" priority="14" stopIfTrue="1">
      <formula>F41=KeyCustom1</formula>
    </cfRule>
    <cfRule type="expression" dxfId="352" priority="17" stopIfTrue="1">
      <formula>F41=KeyVacation</formula>
    </cfRule>
    <cfRule type="expression" dxfId="351" priority="16" stopIfTrue="1">
      <formula>F41=KeyPersonal</formula>
    </cfRule>
    <cfRule type="expression" dxfId="350" priority="15" stopIfTrue="1">
      <formula>F41=KeySick</formula>
    </cfRule>
  </conditionalFormatting>
  <conditionalFormatting sqref="F57:R59">
    <cfRule type="expression" dxfId="349" priority="4" stopIfTrue="1">
      <formula>F57=KeyPersonal</formula>
    </cfRule>
    <cfRule type="expression" dxfId="348" priority="5" stopIfTrue="1">
      <formula>F57=KeyVacation</formula>
    </cfRule>
    <cfRule type="expression" priority="6" stopIfTrue="1">
      <formula>F57=""</formula>
    </cfRule>
    <cfRule type="expression" dxfId="347" priority="1" stopIfTrue="1">
      <formula>F57=KeyCustom2</formula>
    </cfRule>
    <cfRule type="expression" dxfId="346" priority="2" stopIfTrue="1">
      <formula>F57=KeyCustom1</formula>
    </cfRule>
    <cfRule type="expression" dxfId="345" priority="3" stopIfTrue="1">
      <formula>F57=KeySick</formula>
    </cfRule>
  </conditionalFormatting>
  <conditionalFormatting sqref="I9:M12">
    <cfRule type="expression" dxfId="344" priority="22" stopIfTrue="1">
      <formula>I9=KeyPersonal</formula>
    </cfRule>
    <cfRule type="expression" dxfId="343" priority="21" stopIfTrue="1">
      <formula>I9=KeySick</formula>
    </cfRule>
    <cfRule type="expression" dxfId="342" priority="20" stopIfTrue="1">
      <formula>I9=KeyCustom1</formula>
    </cfRule>
    <cfRule type="expression" dxfId="341" priority="19" stopIfTrue="1">
      <formula>I9=KeyCustom2</formula>
    </cfRule>
    <cfRule type="expression" priority="18" stopIfTrue="1">
      <formula>I9=""</formula>
    </cfRule>
    <cfRule type="expression" dxfId="340" priority="23" stopIfTrue="1">
      <formula>I9=KeyVacation</formula>
    </cfRule>
  </conditionalFormatting>
  <conditionalFormatting sqref="I53:M56">
    <cfRule type="expression" dxfId="339" priority="8" stopIfTrue="1">
      <formula>I53=KeyCustom1</formula>
    </cfRule>
    <cfRule type="expression" priority="12" stopIfTrue="1">
      <formula>I53=""</formula>
    </cfRule>
    <cfRule type="expression" dxfId="338" priority="11" stopIfTrue="1">
      <formula>I53=KeyVacation</formula>
    </cfRule>
    <cfRule type="expression" dxfId="337" priority="10" stopIfTrue="1">
      <formula>I53=KeyPersonal</formula>
    </cfRule>
    <cfRule type="expression" dxfId="336" priority="9" stopIfTrue="1">
      <formula>I53=KeySick</formula>
    </cfRule>
    <cfRule type="expression" dxfId="335" priority="7" stopIfTrue="1">
      <formula>I53=KeyCustom2</formula>
    </cfRule>
  </conditionalFormatting>
  <conditionalFormatting sqref="S13:W30">
    <cfRule type="expression" priority="43" stopIfTrue="1">
      <formula>S13=""</formula>
    </cfRule>
  </conditionalFormatting>
  <conditionalFormatting sqref="S41:W63">
    <cfRule type="expression" priority="42" stopIfTrue="1">
      <formula>S41=""</formula>
    </cfRule>
  </conditionalFormatting>
  <conditionalFormatting sqref="S42:W42 S53:W63">
    <cfRule type="expression" dxfId="334" priority="39" stopIfTrue="1">
      <formula>S42=KeySick</formula>
    </cfRule>
    <cfRule type="expression" dxfId="333" priority="40" stopIfTrue="1">
      <formula>S42=KeyPersonal</formula>
    </cfRule>
    <cfRule type="expression" dxfId="332" priority="41" stopIfTrue="1">
      <formula>S42=KeyVacation</formula>
    </cfRule>
    <cfRule type="expression" dxfId="331" priority="37" stopIfTrue="1">
      <formula>S42=KeyCustom2</formula>
    </cfRule>
    <cfRule type="expression" dxfId="330" priority="38" stopIfTrue="1">
      <formula>S42=KeyCustom1</formula>
    </cfRule>
  </conditionalFormatting>
  <conditionalFormatting sqref="X9:AF65 C9:H12 N9:AG12 C9:D14">
    <cfRule type="expression" priority="80" stopIfTrue="1">
      <formula>C9=""</formula>
    </cfRule>
  </conditionalFormatting>
  <conditionalFormatting sqref="AH9:AH41 AH43:AH52">
    <cfRule type="dataBar" priority="86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{EC73600D-B983-496A-A3C9-C481467859B2}</x14:id>
        </ext>
      </extLst>
    </cfRule>
  </conditionalFormatting>
  <conditionalFormatting sqref="AH42">
    <cfRule type="dataBar" priority="79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{20F9B807-B912-472D-8CE1-C04312F34654}</x14:id>
        </ext>
      </extLst>
    </cfRule>
  </conditionalFormatting>
  <dataValidations count="15">
    <dataValidation allowBlank="1" showInputMessage="1" showErrorMessage="1" prompt="この行の月の日付は、自動的に生成されます。従業員の欠勤と欠勤の種類を月の各日付の各列に入力します。空白は欠勤でないことを示します" sqref="C8" xr:uid="{E1066759-63DA-4D25-B431-F26AA3484EBB}"/>
    <dataValidation allowBlank="1" showInputMessage="1" showErrorMessage="1" prompt="このセルには、この欠勤管理の月の名前が入ります。テーブルの最後のセルには、この月の欠勤日数の合計が表示されます。テーブルの列 B で従業員名を選択します" sqref="B2" xr:uid="{C7D5244B-952F-4335-9EA0-C78A239C2C94}"/>
    <dataValidation allowBlank="1" showInputMessage="1" showErrorMessage="1" prompt="この行には、テーブルで使用するキーが定義されています。セル C4 は休暇、G4 は私用、K4 は病欠です。セル N4 と R4 はカスタマイズ可能です" sqref="B4" xr:uid="{B72E2CD3-D821-463A-8E02-5521F4F5D880}"/>
    <dataValidation allowBlank="1" showInputMessage="1" showErrorMessage="1" prompt="左側にカスタム キーを表すラベルを入力します" sqref="O4:Q4 S4:U4" xr:uid="{1232067F-1A8C-4F9C-AAA9-4619EDD98D54}"/>
    <dataValidation allowBlank="1" showErrorMessage="1" prompt="右側に文字を入力してラベルをカスタマイズし、別のキー項目を追加します" sqref="R4 N4" xr:uid="{70E23980-BAE2-4A5A-BAAE-7155567859E9}"/>
    <dataValidation allowBlank="1" showErrorMessage="1" prompt="文字 &quot;S&quot; は病欠を表します" sqref="K4" xr:uid="{02C9AAC0-8079-4ADC-B82F-F0DAF28802C9}"/>
    <dataValidation allowBlank="1" showErrorMessage="1" prompt="文字 &quot;P&quot; は私用による欠勤を表します" sqref="G4" xr:uid="{7257665A-F92E-4131-BF8F-3146BC050941}"/>
    <dataValidation allowBlank="1" showErrorMessage="1" prompt="文字 &quot;V&quot; は休暇のための欠勤を表します" sqref="C4" xr:uid="{EB2368A6-4ABF-4562-927A-E2DD11A1AF20}"/>
    <dataValidation allowBlank="1" showInputMessage="1" showErrorMessage="1" prompt="自動的に更新されるタイトルが、このセルの内容です。タイトルを変更するには、1 月のワークシートの B1 を更新します" sqref="B2" xr:uid="{0AFE0A3A-B639-4DC1-877C-F9C4EC1710AB}"/>
    <dataValidation errorStyle="warning" allowBlank="1" showInputMessage="1" showErrorMessage="1" error="リストから名前を選択します。[キャンセル] を選択し、Alt キーを押しながら下方向キーを押してから、Enter キーを押して名前を選択します" prompt="従業員名ワークシートに従業員の名前を入力し、この列のリストから名前を選びます。Alt キーを押しながら下矢印キーを押して、Enter キーを押して名前を選択します" sqref="B8" xr:uid="{400295B2-3D56-43DD-A027-8EC8C9B98864}"/>
    <dataValidation allowBlank="1" showInputMessage="1" showErrorMessage="1" prompt="このワークシートでは 11 月の欠勤を管理します" sqref="A1" xr:uid="{D0DDC9C4-CECF-4FF5-B0D1-11408518EE8D}"/>
    <dataValidation allowBlank="1" showInputMessage="1" showErrorMessage="1" prompt="この列で、従業員の今月の欠勤日数の合計を自動的に計算します" sqref="AH8" xr:uid="{BC406B95-5DAD-43A9-AC4B-9B1020C7745D}"/>
    <dataValidation allowBlank="1" showInputMessage="1" showErrorMessage="1" prompt="1 月のワークシートに入力した年に基づいて自動的に更新される年" sqref="AH6" xr:uid="{790974BC-4EB2-4557-8578-A3B4D1F239FC}"/>
    <dataValidation allowBlank="1" showInputMessage="1" showErrorMessage="1" prompt="この行の曜日は、AH4 の年に従い当月に応じて自動的に更新されます。月の各日付は、従業員の欠勤と欠勤の種類を記録するための列です" sqref="C7 F7 I7 L7:M7 V7:W7 P7 Z7 S7 AC7 AF7" xr:uid="{E85971AA-F7CC-4FAA-ABCE-C6DF2DE0A3E1}"/>
    <dataValidation allowBlank="1" showInputMessage="1" showErrorMessage="1" prompt="このセルには、ワークシートのタイトルが入ります。" sqref="B1" xr:uid="{5AEE2898-BD9E-4B8F-90ED-96F8461ED873}"/>
  </dataValidations>
  <pageMargins left="0.7" right="0.7" top="0.75" bottom="0.75" header="0.3" footer="0.3"/>
  <pageSetup paperSize="9" fitToHeight="0" orientation="portrait" verticalDpi="4294967293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73600D-B983-496A-A3C9-C481467859B2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AH9:AH41 AH43:AH52</xm:sqref>
        </x14:conditionalFormatting>
        <x14:conditionalFormatting xmlns:xm="http://schemas.microsoft.com/office/excel/2006/main">
          <x14:cfRule type="dataBar" id="{20F9B807-B912-472D-8CE1-C04312F34654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942502-FD9A-4FFF-85AA-8ADA92788C11}">
          <x14:formula1>
            <xm:f>従業員名!$B$4:$B$60</xm:f>
          </x14:formula1>
          <xm:sqref>B9:B54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9458-2354-4402-AF84-172872E9282F}">
  <sheetPr>
    <tabColor theme="7"/>
  </sheetPr>
  <dimension ref="B1:AH66"/>
  <sheetViews>
    <sheetView showGridLines="0" zoomScale="85" zoomScaleNormal="85" workbookViewId="0">
      <selection activeCell="AF4" sqref="AF4"/>
    </sheetView>
  </sheetViews>
  <sheetFormatPr defaultColWidth="8.77734375" defaultRowHeight="30" customHeight="1" x14ac:dyDescent="0.25"/>
  <cols>
    <col min="1" max="1" width="2.88671875" customWidth="1"/>
    <col min="2" max="2" width="25.77734375" customWidth="1"/>
    <col min="3" max="33" width="4.77734375" customWidth="1"/>
    <col min="34" max="34" width="13.44140625" customWidth="1"/>
    <col min="35" max="35" width="2.88671875" customWidth="1"/>
  </cols>
  <sheetData>
    <row r="1" spans="2:34" ht="26.45" customHeight="1" x14ac:dyDescent="0.35">
      <c r="B1" s="2" t="s">
        <v>0</v>
      </c>
    </row>
    <row r="2" spans="2:34" ht="48.6" customHeight="1" x14ac:dyDescent="0.25">
      <c r="B2" s="28" t="s">
        <v>157</v>
      </c>
    </row>
    <row r="3" spans="2:34" ht="8.4499999999999993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2:34" ht="30" customHeight="1" x14ac:dyDescent="0.25">
      <c r="B4" s="8" t="s">
        <v>2</v>
      </c>
      <c r="C4" s="9" t="s">
        <v>3</v>
      </c>
      <c r="D4" s="37" t="s">
        <v>4</v>
      </c>
      <c r="E4" s="37"/>
      <c r="F4" s="37"/>
      <c r="G4" s="10" t="s">
        <v>5</v>
      </c>
      <c r="H4" s="37" t="s">
        <v>6</v>
      </c>
      <c r="I4" s="37"/>
      <c r="J4" s="37"/>
      <c r="K4" s="11"/>
      <c r="L4" s="37"/>
      <c r="M4" s="37"/>
      <c r="N4" s="12"/>
      <c r="O4" s="37" t="s">
        <v>7</v>
      </c>
      <c r="P4" s="37"/>
      <c r="Q4" s="37"/>
      <c r="R4" s="13"/>
      <c r="S4" s="37" t="s">
        <v>8</v>
      </c>
      <c r="T4" s="37"/>
      <c r="U4" s="37"/>
    </row>
    <row r="5" spans="2:34" ht="8.4499999999999993" customHeight="1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2:34" ht="15" customHeight="1" x14ac:dyDescent="0.25">
      <c r="B6" s="1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15">
        <v>2025</v>
      </c>
    </row>
    <row r="7" spans="2:34" ht="30" customHeight="1" x14ac:dyDescent="0.25">
      <c r="B7" s="15"/>
      <c r="C7" s="16" t="s">
        <v>139</v>
      </c>
      <c r="D7" s="16" t="s">
        <v>140</v>
      </c>
      <c r="E7" s="16" t="s">
        <v>141</v>
      </c>
      <c r="F7" s="16" t="s">
        <v>142</v>
      </c>
      <c r="G7" s="16" t="s">
        <v>143</v>
      </c>
      <c r="H7" s="16" t="s">
        <v>137</v>
      </c>
      <c r="I7" s="16" t="s">
        <v>138</v>
      </c>
      <c r="J7" s="16" t="s">
        <v>139</v>
      </c>
      <c r="K7" s="16" t="s">
        <v>140</v>
      </c>
      <c r="L7" s="16" t="s">
        <v>141</v>
      </c>
      <c r="M7" s="16" t="s">
        <v>142</v>
      </c>
      <c r="N7" s="16" t="s">
        <v>143</v>
      </c>
      <c r="O7" s="16" t="s">
        <v>137</v>
      </c>
      <c r="P7" s="16" t="s">
        <v>138</v>
      </c>
      <c r="Q7" s="16" t="s">
        <v>139</v>
      </c>
      <c r="R7" s="16" t="s">
        <v>140</v>
      </c>
      <c r="S7" s="16" t="s">
        <v>141</v>
      </c>
      <c r="T7" s="16" t="s">
        <v>142</v>
      </c>
      <c r="U7" s="16" t="s">
        <v>143</v>
      </c>
      <c r="V7" s="16" t="s">
        <v>137</v>
      </c>
      <c r="W7" s="16" t="s">
        <v>138</v>
      </c>
      <c r="X7" s="16" t="s">
        <v>139</v>
      </c>
      <c r="Y7" s="16" t="s">
        <v>140</v>
      </c>
      <c r="Z7" s="16" t="s">
        <v>141</v>
      </c>
      <c r="AA7" s="16" t="s">
        <v>142</v>
      </c>
      <c r="AB7" s="16" t="s">
        <v>143</v>
      </c>
      <c r="AC7" s="16" t="s">
        <v>137</v>
      </c>
      <c r="AD7" s="16" t="s">
        <v>138</v>
      </c>
      <c r="AE7" s="16" t="s">
        <v>139</v>
      </c>
      <c r="AF7" s="16" t="s">
        <v>140</v>
      </c>
      <c r="AG7" s="16"/>
      <c r="AH7" s="15"/>
    </row>
    <row r="8" spans="2:34" ht="30" customHeight="1" x14ac:dyDescent="0.25">
      <c r="B8" s="17" t="s">
        <v>9</v>
      </c>
      <c r="C8" s="18" t="s">
        <v>10</v>
      </c>
      <c r="D8" s="18" t="s">
        <v>11</v>
      </c>
      <c r="E8" s="18" t="s">
        <v>12</v>
      </c>
      <c r="F8" s="18" t="s">
        <v>13</v>
      </c>
      <c r="G8" s="18" t="s">
        <v>14</v>
      </c>
      <c r="H8" s="18" t="s">
        <v>15</v>
      </c>
      <c r="I8" s="18" t="s">
        <v>16</v>
      </c>
      <c r="J8" s="18" t="s">
        <v>17</v>
      </c>
      <c r="K8" s="18" t="s">
        <v>18</v>
      </c>
      <c r="L8" s="18" t="s">
        <v>19</v>
      </c>
      <c r="M8" s="18" t="s">
        <v>20</v>
      </c>
      <c r="N8" s="18" t="s">
        <v>21</v>
      </c>
      <c r="O8" s="18" t="s">
        <v>22</v>
      </c>
      <c r="P8" s="18" t="s">
        <v>23</v>
      </c>
      <c r="Q8" s="18" t="s">
        <v>24</v>
      </c>
      <c r="R8" s="18" t="s">
        <v>25</v>
      </c>
      <c r="S8" s="18" t="s">
        <v>26</v>
      </c>
      <c r="T8" s="18" t="s">
        <v>27</v>
      </c>
      <c r="U8" s="18" t="s">
        <v>28</v>
      </c>
      <c r="V8" s="18" t="s">
        <v>29</v>
      </c>
      <c r="W8" s="18" t="s">
        <v>30</v>
      </c>
      <c r="X8" s="18" t="s">
        <v>31</v>
      </c>
      <c r="Y8" s="18" t="s">
        <v>32</v>
      </c>
      <c r="Z8" s="18" t="s">
        <v>33</v>
      </c>
      <c r="AA8" s="18" t="s">
        <v>34</v>
      </c>
      <c r="AB8" s="18" t="s">
        <v>35</v>
      </c>
      <c r="AC8" s="18" t="s">
        <v>36</v>
      </c>
      <c r="AD8" s="18" t="s">
        <v>37</v>
      </c>
      <c r="AE8" s="18" t="s">
        <v>38</v>
      </c>
      <c r="AF8" s="18" t="s">
        <v>39</v>
      </c>
      <c r="AG8" s="18" t="s">
        <v>40</v>
      </c>
      <c r="AH8" s="19" t="s">
        <v>41</v>
      </c>
    </row>
    <row r="9" spans="2:34" ht="30" customHeight="1" x14ac:dyDescent="0.25">
      <c r="B9" s="20" t="s">
        <v>75</v>
      </c>
      <c r="C9" s="18"/>
      <c r="D9" s="18"/>
      <c r="E9" s="18"/>
      <c r="F9" s="18"/>
      <c r="G9" s="18"/>
      <c r="H9" s="18"/>
      <c r="I9" s="18" t="s">
        <v>66</v>
      </c>
      <c r="J9" s="18" t="s">
        <v>66</v>
      </c>
      <c r="K9" s="18" t="s">
        <v>66</v>
      </c>
      <c r="L9" s="18" t="s">
        <v>66</v>
      </c>
      <c r="M9" s="18" t="s">
        <v>66</v>
      </c>
      <c r="N9" s="18" t="s">
        <v>66</v>
      </c>
      <c r="O9" s="18" t="s">
        <v>66</v>
      </c>
      <c r="P9" s="18" t="s">
        <v>66</v>
      </c>
      <c r="Q9" s="18" t="s">
        <v>66</v>
      </c>
      <c r="R9" s="18" t="s">
        <v>66</v>
      </c>
      <c r="S9" s="18" t="s">
        <v>66</v>
      </c>
      <c r="T9" s="18" t="s">
        <v>66</v>
      </c>
      <c r="U9" s="18" t="s">
        <v>66</v>
      </c>
      <c r="V9" s="18" t="s">
        <v>66</v>
      </c>
      <c r="W9" s="18" t="s">
        <v>66</v>
      </c>
      <c r="X9" s="18" t="s">
        <v>66</v>
      </c>
      <c r="Y9" s="18" t="s">
        <v>66</v>
      </c>
      <c r="Z9" s="18" t="s">
        <v>66</v>
      </c>
      <c r="AA9" s="18" t="s">
        <v>66</v>
      </c>
      <c r="AB9" s="18"/>
      <c r="AC9" s="18"/>
      <c r="AD9" s="18" t="s">
        <v>66</v>
      </c>
      <c r="AE9" s="18" t="s">
        <v>66</v>
      </c>
      <c r="AF9" s="18" t="s">
        <v>66</v>
      </c>
      <c r="AG9" s="18"/>
      <c r="AH9" s="27">
        <f>COUNTA('25年5月'!$C9:$AG9)</f>
        <v>22</v>
      </c>
    </row>
    <row r="10" spans="2:34" ht="30" customHeight="1" x14ac:dyDescent="0.25">
      <c r="B10" s="20" t="s">
        <v>76</v>
      </c>
      <c r="C10" s="18"/>
      <c r="D10" s="18"/>
      <c r="E10" s="18"/>
      <c r="F10" s="18"/>
      <c r="G10" s="18"/>
      <c r="H10" s="18"/>
      <c r="I10" s="18" t="s">
        <v>66</v>
      </c>
      <c r="J10" s="18" t="s">
        <v>66</v>
      </c>
      <c r="K10" s="18" t="s">
        <v>66</v>
      </c>
      <c r="L10" s="18" t="s">
        <v>66</v>
      </c>
      <c r="M10" s="18" t="s">
        <v>66</v>
      </c>
      <c r="N10" s="18" t="s">
        <v>66</v>
      </c>
      <c r="O10" s="18" t="s">
        <v>66</v>
      </c>
      <c r="P10" s="18" t="s">
        <v>66</v>
      </c>
      <c r="Q10" s="18" t="s">
        <v>66</v>
      </c>
      <c r="R10" s="18" t="s">
        <v>66</v>
      </c>
      <c r="S10" s="18" t="s">
        <v>66</v>
      </c>
      <c r="T10" s="18" t="s">
        <v>66</v>
      </c>
      <c r="U10" s="18" t="s">
        <v>66</v>
      </c>
      <c r="V10" s="18" t="s">
        <v>66</v>
      </c>
      <c r="W10" s="18" t="s">
        <v>66</v>
      </c>
      <c r="X10" s="18" t="s">
        <v>66</v>
      </c>
      <c r="Y10" s="18" t="s">
        <v>66</v>
      </c>
      <c r="Z10" s="18" t="s">
        <v>66</v>
      </c>
      <c r="AA10" s="18" t="s">
        <v>66</v>
      </c>
      <c r="AB10" s="18"/>
      <c r="AC10" s="18"/>
      <c r="AD10" s="18" t="s">
        <v>66</v>
      </c>
      <c r="AE10" s="18" t="s">
        <v>66</v>
      </c>
      <c r="AF10" s="18" t="s">
        <v>66</v>
      </c>
      <c r="AG10" s="18"/>
      <c r="AH10" s="27">
        <f>COUNTA('25年5月'!$C10:$AG10)</f>
        <v>22</v>
      </c>
    </row>
    <row r="11" spans="2:34" ht="30" customHeight="1" x14ac:dyDescent="0.25">
      <c r="B11" s="20" t="s">
        <v>77</v>
      </c>
      <c r="C11" s="18"/>
      <c r="D11" s="18"/>
      <c r="E11" s="18"/>
      <c r="F11" s="18"/>
      <c r="G11" s="18"/>
      <c r="H11" s="18"/>
      <c r="I11" s="18" t="s">
        <v>66</v>
      </c>
      <c r="J11" s="18" t="s">
        <v>66</v>
      </c>
      <c r="K11" s="18" t="s">
        <v>66</v>
      </c>
      <c r="L11" s="18" t="s">
        <v>66</v>
      </c>
      <c r="M11" s="18" t="s">
        <v>66</v>
      </c>
      <c r="N11" s="18" t="s">
        <v>66</v>
      </c>
      <c r="O11" s="18" t="s">
        <v>66</v>
      </c>
      <c r="P11" s="18" t="s">
        <v>66</v>
      </c>
      <c r="Q11" s="18" t="s">
        <v>66</v>
      </c>
      <c r="R11" s="18" t="s">
        <v>66</v>
      </c>
      <c r="S11" s="18" t="s">
        <v>66</v>
      </c>
      <c r="T11" s="18" t="s">
        <v>66</v>
      </c>
      <c r="U11" s="18" t="s">
        <v>66</v>
      </c>
      <c r="V11" s="18" t="s">
        <v>66</v>
      </c>
      <c r="W11" s="18" t="s">
        <v>66</v>
      </c>
      <c r="X11" s="18" t="s">
        <v>66</v>
      </c>
      <c r="Y11" s="18" t="s">
        <v>66</v>
      </c>
      <c r="Z11" s="18" t="s">
        <v>66</v>
      </c>
      <c r="AA11" s="18" t="s">
        <v>66</v>
      </c>
      <c r="AB11" s="18"/>
      <c r="AC11" s="18"/>
      <c r="AD11" s="18" t="s">
        <v>66</v>
      </c>
      <c r="AE11" s="18" t="s">
        <v>66</v>
      </c>
      <c r="AF11" s="18" t="s">
        <v>66</v>
      </c>
      <c r="AG11" s="18"/>
      <c r="AH11" s="27">
        <f>COUNTA('25年5月'!$C11:$AG11)</f>
        <v>22</v>
      </c>
    </row>
    <row r="12" spans="2:34" ht="30" customHeight="1" x14ac:dyDescent="0.25">
      <c r="B12" s="20" t="s">
        <v>78</v>
      </c>
      <c r="C12" s="18"/>
      <c r="D12" s="18"/>
      <c r="E12" s="18"/>
      <c r="F12" s="18"/>
      <c r="G12" s="18"/>
      <c r="H12" s="18"/>
      <c r="I12" s="18" t="s">
        <v>66</v>
      </c>
      <c r="J12" s="18" t="s">
        <v>66</v>
      </c>
      <c r="K12" s="18" t="s">
        <v>66</v>
      </c>
      <c r="L12" s="18" t="s">
        <v>66</v>
      </c>
      <c r="M12" s="18" t="s">
        <v>66</v>
      </c>
      <c r="N12" s="18" t="s">
        <v>66</v>
      </c>
      <c r="O12" s="18" t="s">
        <v>66</v>
      </c>
      <c r="P12" s="18" t="s">
        <v>66</v>
      </c>
      <c r="Q12" s="18" t="s">
        <v>66</v>
      </c>
      <c r="R12" s="18" t="s">
        <v>66</v>
      </c>
      <c r="S12" s="18" t="s">
        <v>66</v>
      </c>
      <c r="T12" s="18" t="s">
        <v>66</v>
      </c>
      <c r="U12" s="18" t="s">
        <v>66</v>
      </c>
      <c r="V12" s="18" t="s">
        <v>66</v>
      </c>
      <c r="W12" s="18" t="s">
        <v>66</v>
      </c>
      <c r="X12" s="18" t="s">
        <v>66</v>
      </c>
      <c r="Y12" s="18" t="s">
        <v>66</v>
      </c>
      <c r="Z12" s="18" t="s">
        <v>66</v>
      </c>
      <c r="AA12" s="18" t="s">
        <v>66</v>
      </c>
      <c r="AB12" s="18"/>
      <c r="AC12" s="18"/>
      <c r="AD12" s="18" t="s">
        <v>66</v>
      </c>
      <c r="AE12" s="18" t="s">
        <v>66</v>
      </c>
      <c r="AF12" s="18" t="s">
        <v>66</v>
      </c>
      <c r="AG12" s="18"/>
      <c r="AH12" s="27">
        <f>COUNTA('25年5月'!$C12:$AG12)</f>
        <v>22</v>
      </c>
    </row>
    <row r="13" spans="2:34" ht="30" customHeight="1" x14ac:dyDescent="0.25">
      <c r="B13" s="20" t="s">
        <v>79</v>
      </c>
      <c r="C13" s="18"/>
      <c r="D13" s="18"/>
      <c r="E13" s="18"/>
      <c r="F13" s="18"/>
      <c r="G13" s="18"/>
      <c r="H13" s="18"/>
      <c r="I13" s="18" t="s">
        <v>66</v>
      </c>
      <c r="J13" s="18" t="s">
        <v>66</v>
      </c>
      <c r="K13" s="18" t="s">
        <v>66</v>
      </c>
      <c r="L13" s="18" t="s">
        <v>66</v>
      </c>
      <c r="M13" s="18" t="s">
        <v>66</v>
      </c>
      <c r="N13" s="18" t="s">
        <v>66</v>
      </c>
      <c r="O13" s="18" t="s">
        <v>66</v>
      </c>
      <c r="P13" s="18" t="s">
        <v>66</v>
      </c>
      <c r="Q13" s="18" t="s">
        <v>66</v>
      </c>
      <c r="R13" s="18" t="s">
        <v>66</v>
      </c>
      <c r="S13" s="18" t="s">
        <v>66</v>
      </c>
      <c r="T13" s="18" t="s">
        <v>66</v>
      </c>
      <c r="U13" s="18" t="s">
        <v>66</v>
      </c>
      <c r="V13" s="18" t="s">
        <v>66</v>
      </c>
      <c r="W13" s="18" t="s">
        <v>66</v>
      </c>
      <c r="X13" s="18" t="s">
        <v>66</v>
      </c>
      <c r="Y13" s="18" t="s">
        <v>66</v>
      </c>
      <c r="Z13" s="18" t="s">
        <v>66</v>
      </c>
      <c r="AA13" s="18" t="s">
        <v>66</v>
      </c>
      <c r="AB13" s="18"/>
      <c r="AC13" s="18"/>
      <c r="AD13" s="18" t="s">
        <v>66</v>
      </c>
      <c r="AE13" s="18" t="s">
        <v>66</v>
      </c>
      <c r="AF13" s="18" t="s">
        <v>66</v>
      </c>
      <c r="AG13" s="18"/>
      <c r="AH13" s="27">
        <f>COUNTA('25年5月'!$C13:$AG13)</f>
        <v>22</v>
      </c>
    </row>
    <row r="14" spans="2:34" ht="30" customHeight="1" x14ac:dyDescent="0.25">
      <c r="B14" s="20" t="s">
        <v>80</v>
      </c>
      <c r="C14" s="18"/>
      <c r="D14" s="18"/>
      <c r="E14" s="18"/>
      <c r="F14" s="18"/>
      <c r="G14" s="18"/>
      <c r="H14" s="18"/>
      <c r="I14" s="18" t="s">
        <v>66</v>
      </c>
      <c r="J14" s="18" t="s">
        <v>66</v>
      </c>
      <c r="K14" s="18" t="s">
        <v>66</v>
      </c>
      <c r="L14" s="18" t="s">
        <v>66</v>
      </c>
      <c r="M14" s="18" t="s">
        <v>66</v>
      </c>
      <c r="N14" s="18" t="s">
        <v>66</v>
      </c>
      <c r="O14" s="18" t="s">
        <v>66</v>
      </c>
      <c r="P14" s="18" t="s">
        <v>66</v>
      </c>
      <c r="Q14" s="18" t="s">
        <v>66</v>
      </c>
      <c r="R14" s="18" t="s">
        <v>66</v>
      </c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 t="s">
        <v>66</v>
      </c>
      <c r="AE14" s="18" t="s">
        <v>66</v>
      </c>
      <c r="AF14" s="18" t="s">
        <v>66</v>
      </c>
      <c r="AG14" s="18"/>
      <c r="AH14" s="27">
        <f>COUNTA('25年5月'!$C14:$AG14)</f>
        <v>13</v>
      </c>
    </row>
    <row r="15" spans="2:34" ht="30" customHeight="1" x14ac:dyDescent="0.25">
      <c r="B15" s="20" t="s">
        <v>81</v>
      </c>
      <c r="C15" s="18"/>
      <c r="D15" s="18"/>
      <c r="E15" s="18"/>
      <c r="F15" s="18"/>
      <c r="G15" s="18"/>
      <c r="H15" s="18"/>
      <c r="I15" s="18" t="s">
        <v>66</v>
      </c>
      <c r="J15" s="18" t="s">
        <v>66</v>
      </c>
      <c r="K15" s="18" t="s">
        <v>66</v>
      </c>
      <c r="L15" s="18" t="s">
        <v>66</v>
      </c>
      <c r="M15" s="18" t="s">
        <v>66</v>
      </c>
      <c r="N15" s="18" t="s">
        <v>66</v>
      </c>
      <c r="O15" s="18" t="s">
        <v>66</v>
      </c>
      <c r="P15" s="18" t="s">
        <v>66</v>
      </c>
      <c r="Q15" s="18" t="s">
        <v>66</v>
      </c>
      <c r="R15" s="18" t="s">
        <v>66</v>
      </c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 t="s">
        <v>66</v>
      </c>
      <c r="AE15" s="18" t="s">
        <v>66</v>
      </c>
      <c r="AF15" s="18" t="s">
        <v>66</v>
      </c>
      <c r="AG15" s="18"/>
      <c r="AH15" s="27">
        <f>COUNTA('25年5月'!$C15:$AG15)</f>
        <v>13</v>
      </c>
    </row>
    <row r="16" spans="2:34" ht="30" customHeight="1" x14ac:dyDescent="0.25">
      <c r="B16" s="20" t="s">
        <v>82</v>
      </c>
      <c r="C16" s="18"/>
      <c r="D16" s="18"/>
      <c r="E16" s="18"/>
      <c r="F16" s="18"/>
      <c r="G16" s="18"/>
      <c r="H16" s="18"/>
      <c r="I16" s="18" t="s">
        <v>66</v>
      </c>
      <c r="J16" s="18" t="s">
        <v>66</v>
      </c>
      <c r="K16" s="18" t="s">
        <v>66</v>
      </c>
      <c r="L16" s="18" t="s">
        <v>66</v>
      </c>
      <c r="M16" s="18" t="s">
        <v>66</v>
      </c>
      <c r="N16" s="18" t="s">
        <v>66</v>
      </c>
      <c r="O16" s="18" t="s">
        <v>66</v>
      </c>
      <c r="P16" s="18" t="s">
        <v>66</v>
      </c>
      <c r="Q16" s="18" t="s">
        <v>66</v>
      </c>
      <c r="R16" s="18" t="s">
        <v>66</v>
      </c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 t="s">
        <v>66</v>
      </c>
      <c r="AE16" s="18" t="s">
        <v>66</v>
      </c>
      <c r="AF16" s="18" t="s">
        <v>66</v>
      </c>
      <c r="AG16" s="18"/>
      <c r="AH16" s="27">
        <f>COUNTA('25年5月'!$C16:$AG16)</f>
        <v>13</v>
      </c>
    </row>
    <row r="17" spans="2:34" ht="30" customHeight="1" x14ac:dyDescent="0.25">
      <c r="B17" s="20" t="s">
        <v>83</v>
      </c>
      <c r="C17" s="18"/>
      <c r="D17" s="18"/>
      <c r="E17" s="18"/>
      <c r="F17" s="18"/>
      <c r="G17" s="18"/>
      <c r="H17" s="18"/>
      <c r="I17" s="18" t="s">
        <v>66</v>
      </c>
      <c r="J17" s="18" t="s">
        <v>66</v>
      </c>
      <c r="K17" s="18" t="s">
        <v>66</v>
      </c>
      <c r="L17" s="18" t="s">
        <v>66</v>
      </c>
      <c r="M17" s="18" t="s">
        <v>66</v>
      </c>
      <c r="N17" s="18" t="s">
        <v>66</v>
      </c>
      <c r="O17" s="18" t="s">
        <v>66</v>
      </c>
      <c r="P17" s="18" t="s">
        <v>66</v>
      </c>
      <c r="Q17" s="18" t="s">
        <v>66</v>
      </c>
      <c r="R17" s="18" t="s">
        <v>66</v>
      </c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 t="s">
        <v>66</v>
      </c>
      <c r="AE17" s="18" t="s">
        <v>66</v>
      </c>
      <c r="AF17" s="18" t="s">
        <v>66</v>
      </c>
      <c r="AG17" s="18"/>
      <c r="AH17" s="27">
        <f>COUNTA('25年5月'!$C17:$AG17)</f>
        <v>13</v>
      </c>
    </row>
    <row r="18" spans="2:34" ht="30" customHeight="1" x14ac:dyDescent="0.25">
      <c r="B18" s="20" t="s">
        <v>84</v>
      </c>
      <c r="C18" s="18"/>
      <c r="D18" s="18"/>
      <c r="E18" s="18"/>
      <c r="F18" s="18"/>
      <c r="G18" s="18"/>
      <c r="H18" s="18"/>
      <c r="I18" s="18" t="s">
        <v>66</v>
      </c>
      <c r="J18" s="18" t="s">
        <v>66</v>
      </c>
      <c r="K18" s="18" t="s">
        <v>66</v>
      </c>
      <c r="L18" s="18" t="s">
        <v>66</v>
      </c>
      <c r="M18" s="18" t="s">
        <v>66</v>
      </c>
      <c r="N18" s="18" t="s">
        <v>66</v>
      </c>
      <c r="O18" s="18" t="s">
        <v>66</v>
      </c>
      <c r="P18" s="18" t="s">
        <v>66</v>
      </c>
      <c r="Q18" s="18" t="s">
        <v>66</v>
      </c>
      <c r="R18" s="18" t="s">
        <v>66</v>
      </c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 t="s">
        <v>66</v>
      </c>
      <c r="AE18" s="18" t="s">
        <v>66</v>
      </c>
      <c r="AF18" s="18" t="s">
        <v>66</v>
      </c>
      <c r="AG18" s="18"/>
      <c r="AH18" s="27">
        <f>COUNTA('25年5月'!$C18:$AG18)</f>
        <v>13</v>
      </c>
    </row>
    <row r="19" spans="2:34" ht="30" customHeight="1" x14ac:dyDescent="0.25">
      <c r="B19" s="20" t="s">
        <v>85</v>
      </c>
      <c r="C19" s="18"/>
      <c r="D19" s="18"/>
      <c r="E19" s="18"/>
      <c r="F19" s="18"/>
      <c r="G19" s="18"/>
      <c r="H19" s="18"/>
      <c r="I19" s="18" t="s">
        <v>66</v>
      </c>
      <c r="J19" s="18" t="s">
        <v>66</v>
      </c>
      <c r="K19" s="18" t="s">
        <v>66</v>
      </c>
      <c r="L19" s="18" t="s">
        <v>66</v>
      </c>
      <c r="M19" s="18" t="s">
        <v>66</v>
      </c>
      <c r="N19" s="18" t="s">
        <v>66</v>
      </c>
      <c r="O19" s="18" t="s">
        <v>66</v>
      </c>
      <c r="P19" s="18" t="s">
        <v>66</v>
      </c>
      <c r="Q19" s="18" t="s">
        <v>66</v>
      </c>
      <c r="R19" s="18" t="s">
        <v>66</v>
      </c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 t="s">
        <v>66</v>
      </c>
      <c r="AE19" s="18" t="s">
        <v>66</v>
      </c>
      <c r="AF19" s="18" t="s">
        <v>66</v>
      </c>
      <c r="AG19" s="18"/>
      <c r="AH19" s="27">
        <f>COUNTA('25年5月'!$C19:$AG19)</f>
        <v>13</v>
      </c>
    </row>
    <row r="20" spans="2:34" ht="30" customHeight="1" x14ac:dyDescent="0.25">
      <c r="B20" s="31" t="s">
        <v>86</v>
      </c>
      <c r="C20" s="18"/>
      <c r="D20" s="18"/>
      <c r="E20" s="18"/>
      <c r="F20" s="18"/>
      <c r="G20" s="18"/>
      <c r="H20" s="18"/>
      <c r="I20" s="18" t="s">
        <v>66</v>
      </c>
      <c r="J20" s="18" t="s">
        <v>66</v>
      </c>
      <c r="K20" s="18" t="s">
        <v>66</v>
      </c>
      <c r="L20" s="18" t="s">
        <v>66</v>
      </c>
      <c r="M20" s="18" t="s">
        <v>66</v>
      </c>
      <c r="N20" s="18" t="s">
        <v>66</v>
      </c>
      <c r="O20" s="18" t="s">
        <v>66</v>
      </c>
      <c r="P20" s="18" t="s">
        <v>66</v>
      </c>
      <c r="Q20" s="18" t="s">
        <v>66</v>
      </c>
      <c r="R20" s="18" t="s">
        <v>66</v>
      </c>
      <c r="S20" s="18"/>
      <c r="T20" s="18"/>
      <c r="U20" s="18" t="s">
        <v>3</v>
      </c>
      <c r="V20" s="18" t="s">
        <v>3</v>
      </c>
      <c r="W20" s="18" t="s">
        <v>3</v>
      </c>
      <c r="X20" s="18" t="s">
        <v>3</v>
      </c>
      <c r="Y20" s="18" t="s">
        <v>3</v>
      </c>
      <c r="Z20" s="18" t="s">
        <v>3</v>
      </c>
      <c r="AA20" s="18" t="s">
        <v>3</v>
      </c>
      <c r="AB20" s="18" t="s">
        <v>3</v>
      </c>
      <c r="AC20" s="18" t="s">
        <v>3</v>
      </c>
      <c r="AD20" s="18" t="s">
        <v>3</v>
      </c>
      <c r="AE20" s="18" t="s">
        <v>3</v>
      </c>
      <c r="AF20" s="18" t="s">
        <v>3</v>
      </c>
      <c r="AG20" s="18"/>
      <c r="AH20" s="27">
        <f>COUNTA(月11_279[[#This Row],[1]:[ ]])</f>
        <v>22</v>
      </c>
    </row>
    <row r="21" spans="2:34" ht="30" customHeight="1" x14ac:dyDescent="0.25">
      <c r="B21" s="31" t="s">
        <v>87</v>
      </c>
      <c r="C21" s="18"/>
      <c r="D21" s="18"/>
      <c r="E21" s="18"/>
      <c r="F21" s="18"/>
      <c r="G21" s="18"/>
      <c r="H21" s="18"/>
      <c r="I21" s="18" t="s">
        <v>66</v>
      </c>
      <c r="J21" s="18" t="s">
        <v>66</v>
      </c>
      <c r="K21" s="18" t="s">
        <v>66</v>
      </c>
      <c r="L21" s="18" t="s">
        <v>66</v>
      </c>
      <c r="M21" s="18" t="s">
        <v>66</v>
      </c>
      <c r="N21" s="18" t="s">
        <v>66</v>
      </c>
      <c r="O21" s="18" t="s">
        <v>66</v>
      </c>
      <c r="P21" s="18" t="s">
        <v>66</v>
      </c>
      <c r="Q21" s="18" t="s">
        <v>66</v>
      </c>
      <c r="R21" s="18" t="s">
        <v>66</v>
      </c>
      <c r="S21" s="18"/>
      <c r="T21" s="18"/>
      <c r="U21" s="18" t="s">
        <v>3</v>
      </c>
      <c r="V21" s="18" t="s">
        <v>3</v>
      </c>
      <c r="W21" s="18" t="s">
        <v>3</v>
      </c>
      <c r="X21" s="18" t="s">
        <v>3</v>
      </c>
      <c r="Y21" s="18" t="s">
        <v>3</v>
      </c>
      <c r="Z21" s="18" t="s">
        <v>3</v>
      </c>
      <c r="AA21" s="18" t="s">
        <v>3</v>
      </c>
      <c r="AB21" s="18" t="s">
        <v>3</v>
      </c>
      <c r="AC21" s="18" t="s">
        <v>3</v>
      </c>
      <c r="AD21" s="18" t="s">
        <v>3</v>
      </c>
      <c r="AE21" s="18" t="s">
        <v>3</v>
      </c>
      <c r="AF21" s="18" t="s">
        <v>3</v>
      </c>
      <c r="AG21" s="18"/>
      <c r="AH21" s="27">
        <f>COUNTA(月11_279[[#This Row],[1]:[ ]])</f>
        <v>22</v>
      </c>
    </row>
    <row r="22" spans="2:34" ht="30" customHeight="1" x14ac:dyDescent="0.25">
      <c r="B22" s="31" t="s">
        <v>88</v>
      </c>
      <c r="C22" s="18"/>
      <c r="D22" s="18"/>
      <c r="E22" s="18"/>
      <c r="F22" s="18"/>
      <c r="G22" s="18"/>
      <c r="H22" s="18"/>
      <c r="I22" s="18" t="s">
        <v>66</v>
      </c>
      <c r="J22" s="18" t="s">
        <v>66</v>
      </c>
      <c r="K22" s="18" t="s">
        <v>66</v>
      </c>
      <c r="L22" s="18" t="s">
        <v>66</v>
      </c>
      <c r="M22" s="18" t="s">
        <v>66</v>
      </c>
      <c r="N22" s="18" t="s">
        <v>66</v>
      </c>
      <c r="O22" s="18" t="s">
        <v>66</v>
      </c>
      <c r="P22" s="18" t="s">
        <v>66</v>
      </c>
      <c r="Q22" s="18" t="s">
        <v>66</v>
      </c>
      <c r="R22" s="18" t="s">
        <v>66</v>
      </c>
      <c r="S22" s="18"/>
      <c r="T22" s="18"/>
      <c r="U22" s="18" t="s">
        <v>3</v>
      </c>
      <c r="V22" s="18" t="s">
        <v>3</v>
      </c>
      <c r="W22" s="18" t="s">
        <v>3</v>
      </c>
      <c r="X22" s="18" t="s">
        <v>3</v>
      </c>
      <c r="Y22" s="18" t="s">
        <v>3</v>
      </c>
      <c r="Z22" s="18" t="s">
        <v>3</v>
      </c>
      <c r="AA22" s="18" t="s">
        <v>3</v>
      </c>
      <c r="AB22" s="18" t="s">
        <v>3</v>
      </c>
      <c r="AC22" s="18" t="s">
        <v>3</v>
      </c>
      <c r="AD22" s="18" t="s">
        <v>3</v>
      </c>
      <c r="AE22" s="18" t="s">
        <v>3</v>
      </c>
      <c r="AF22" s="18" t="s">
        <v>3</v>
      </c>
      <c r="AG22" s="18"/>
      <c r="AH22" s="27">
        <f>COUNTA(月11_279[[#This Row],[1]:[ ]])</f>
        <v>22</v>
      </c>
    </row>
    <row r="23" spans="2:34" ht="30" customHeight="1" x14ac:dyDescent="0.25">
      <c r="B23" s="31" t="s">
        <v>89</v>
      </c>
      <c r="C23" s="18"/>
      <c r="D23" s="18"/>
      <c r="E23" s="18"/>
      <c r="F23" s="18"/>
      <c r="G23" s="18"/>
      <c r="H23" s="18"/>
      <c r="I23" s="18" t="s">
        <v>66</v>
      </c>
      <c r="J23" s="18" t="s">
        <v>66</v>
      </c>
      <c r="K23" s="18" t="s">
        <v>66</v>
      </c>
      <c r="L23" s="18" t="s">
        <v>66</v>
      </c>
      <c r="M23" s="18" t="s">
        <v>66</v>
      </c>
      <c r="N23" s="18" t="s">
        <v>66</v>
      </c>
      <c r="O23" s="18" t="s">
        <v>66</v>
      </c>
      <c r="P23" s="18" t="s">
        <v>66</v>
      </c>
      <c r="Q23" s="18" t="s">
        <v>66</v>
      </c>
      <c r="R23" s="18" t="s">
        <v>66</v>
      </c>
      <c r="S23" s="18"/>
      <c r="T23" s="18"/>
      <c r="U23" s="18" t="s">
        <v>3</v>
      </c>
      <c r="V23" s="18" t="s">
        <v>3</v>
      </c>
      <c r="W23" s="18" t="s">
        <v>3</v>
      </c>
      <c r="X23" s="18" t="s">
        <v>3</v>
      </c>
      <c r="Y23" s="18" t="s">
        <v>3</v>
      </c>
      <c r="Z23" s="18" t="s">
        <v>3</v>
      </c>
      <c r="AA23" s="18" t="s">
        <v>3</v>
      </c>
      <c r="AB23" s="18" t="s">
        <v>3</v>
      </c>
      <c r="AC23" s="18" t="s">
        <v>3</v>
      </c>
      <c r="AD23" s="18" t="s">
        <v>3</v>
      </c>
      <c r="AE23" s="18" t="s">
        <v>3</v>
      </c>
      <c r="AF23" s="18" t="s">
        <v>3</v>
      </c>
      <c r="AG23" s="18"/>
      <c r="AH23" s="27">
        <f>COUNTA(月11_279[[#This Row],[1]:[ ]])</f>
        <v>22</v>
      </c>
    </row>
    <row r="24" spans="2:34" ht="30" customHeight="1" x14ac:dyDescent="0.25">
      <c r="B24" s="31" t="s">
        <v>90</v>
      </c>
      <c r="C24" s="18"/>
      <c r="D24" s="18"/>
      <c r="E24" s="18"/>
      <c r="F24" s="18"/>
      <c r="G24" s="18"/>
      <c r="H24" s="18"/>
      <c r="I24" s="18" t="s">
        <v>66</v>
      </c>
      <c r="J24" s="18" t="s">
        <v>66</v>
      </c>
      <c r="K24" s="18" t="s">
        <v>66</v>
      </c>
      <c r="L24" s="18" t="s">
        <v>66</v>
      </c>
      <c r="M24" s="18" t="s">
        <v>66</v>
      </c>
      <c r="N24" s="18" t="s">
        <v>66</v>
      </c>
      <c r="O24" s="18" t="s">
        <v>66</v>
      </c>
      <c r="P24" s="18" t="s">
        <v>66</v>
      </c>
      <c r="Q24" s="18" t="s">
        <v>66</v>
      </c>
      <c r="R24" s="18" t="s">
        <v>66</v>
      </c>
      <c r="S24" s="18"/>
      <c r="T24" s="18"/>
      <c r="U24" s="18" t="s">
        <v>3</v>
      </c>
      <c r="V24" s="18" t="s">
        <v>3</v>
      </c>
      <c r="W24" s="18" t="s">
        <v>3</v>
      </c>
      <c r="X24" s="18" t="s">
        <v>3</v>
      </c>
      <c r="Y24" s="18" t="s">
        <v>3</v>
      </c>
      <c r="Z24" s="18" t="s">
        <v>3</v>
      </c>
      <c r="AA24" s="18" t="s">
        <v>3</v>
      </c>
      <c r="AB24" s="18" t="s">
        <v>3</v>
      </c>
      <c r="AC24" s="18" t="s">
        <v>3</v>
      </c>
      <c r="AD24" s="18" t="s">
        <v>3</v>
      </c>
      <c r="AE24" s="18" t="s">
        <v>3</v>
      </c>
      <c r="AF24" s="18" t="s">
        <v>3</v>
      </c>
      <c r="AG24" s="18"/>
      <c r="AH24" s="27">
        <f>COUNTA(月11_279[[#This Row],[1]:[ ]])</f>
        <v>22</v>
      </c>
    </row>
    <row r="25" spans="2:34" ht="30" customHeight="1" x14ac:dyDescent="0.25">
      <c r="B25" s="31" t="s">
        <v>91</v>
      </c>
      <c r="C25" s="18"/>
      <c r="D25" s="18"/>
      <c r="E25" s="18"/>
      <c r="F25" s="18"/>
      <c r="G25" s="18"/>
      <c r="H25" s="18"/>
      <c r="I25" s="18" t="s">
        <v>66</v>
      </c>
      <c r="J25" s="18" t="s">
        <v>66</v>
      </c>
      <c r="K25" s="18" t="s">
        <v>66</v>
      </c>
      <c r="L25" s="18" t="s">
        <v>66</v>
      </c>
      <c r="M25" s="18" t="s">
        <v>66</v>
      </c>
      <c r="N25" s="18" t="s">
        <v>66</v>
      </c>
      <c r="O25" s="18" t="s">
        <v>66</v>
      </c>
      <c r="P25" s="18" t="s">
        <v>66</v>
      </c>
      <c r="Q25" s="18" t="s">
        <v>66</v>
      </c>
      <c r="R25" s="18" t="s">
        <v>66</v>
      </c>
      <c r="S25" s="18"/>
      <c r="T25" s="18"/>
      <c r="U25" s="18" t="s">
        <v>3</v>
      </c>
      <c r="V25" s="18" t="s">
        <v>3</v>
      </c>
      <c r="W25" s="18" t="s">
        <v>3</v>
      </c>
      <c r="X25" s="18" t="s">
        <v>3</v>
      </c>
      <c r="Y25" s="18" t="s">
        <v>3</v>
      </c>
      <c r="Z25" s="18" t="s">
        <v>3</v>
      </c>
      <c r="AA25" s="18" t="s">
        <v>3</v>
      </c>
      <c r="AB25" s="18" t="s">
        <v>3</v>
      </c>
      <c r="AC25" s="18" t="s">
        <v>3</v>
      </c>
      <c r="AD25" s="18" t="s">
        <v>3</v>
      </c>
      <c r="AE25" s="18" t="s">
        <v>3</v>
      </c>
      <c r="AF25" s="18" t="s">
        <v>3</v>
      </c>
      <c r="AG25" s="18"/>
      <c r="AH25" s="27">
        <f>COUNTA(月11_279[[#This Row],[1]:[ ]])</f>
        <v>22</v>
      </c>
    </row>
    <row r="26" spans="2:34" ht="30" customHeight="1" x14ac:dyDescent="0.25">
      <c r="B26" s="31" t="s">
        <v>92</v>
      </c>
      <c r="C26" s="18"/>
      <c r="D26" s="18"/>
      <c r="E26" s="18"/>
      <c r="F26" s="18"/>
      <c r="G26" s="18"/>
      <c r="H26" s="18"/>
      <c r="I26" s="18" t="s">
        <v>66</v>
      </c>
      <c r="J26" s="18" t="s">
        <v>66</v>
      </c>
      <c r="K26" s="18" t="s">
        <v>66</v>
      </c>
      <c r="L26" s="18" t="s">
        <v>66</v>
      </c>
      <c r="M26" s="18" t="s">
        <v>66</v>
      </c>
      <c r="N26" s="18" t="s">
        <v>66</v>
      </c>
      <c r="O26" s="18" t="s">
        <v>66</v>
      </c>
      <c r="P26" s="18" t="s">
        <v>66</v>
      </c>
      <c r="Q26" s="18" t="s">
        <v>66</v>
      </c>
      <c r="R26" s="18" t="s">
        <v>66</v>
      </c>
      <c r="S26" s="18"/>
      <c r="T26" s="18"/>
      <c r="U26" s="18" t="s">
        <v>3</v>
      </c>
      <c r="V26" s="18" t="s">
        <v>3</v>
      </c>
      <c r="W26" s="18" t="s">
        <v>3</v>
      </c>
      <c r="X26" s="18" t="s">
        <v>3</v>
      </c>
      <c r="Y26" s="18" t="s">
        <v>3</v>
      </c>
      <c r="Z26" s="18" t="s">
        <v>3</v>
      </c>
      <c r="AA26" s="18" t="s">
        <v>3</v>
      </c>
      <c r="AB26" s="18" t="s">
        <v>3</v>
      </c>
      <c r="AC26" s="18" t="s">
        <v>3</v>
      </c>
      <c r="AD26" s="18" t="s">
        <v>3</v>
      </c>
      <c r="AE26" s="18" t="s">
        <v>3</v>
      </c>
      <c r="AF26" s="18" t="s">
        <v>3</v>
      </c>
      <c r="AG26" s="18"/>
      <c r="AH26" s="27">
        <f>COUNTA(月11_279[[#This Row],[1]:[ ]])</f>
        <v>22</v>
      </c>
    </row>
    <row r="27" spans="2:34" ht="30" customHeight="1" x14ac:dyDescent="0.25">
      <c r="B27" s="31" t="s">
        <v>93</v>
      </c>
      <c r="C27" s="18"/>
      <c r="D27" s="18"/>
      <c r="E27" s="18"/>
      <c r="F27" s="18"/>
      <c r="G27" s="18"/>
      <c r="H27" s="18"/>
      <c r="I27" s="18" t="s">
        <v>66</v>
      </c>
      <c r="J27" s="18" t="s">
        <v>66</v>
      </c>
      <c r="K27" s="18" t="s">
        <v>66</v>
      </c>
      <c r="L27" s="18" t="s">
        <v>66</v>
      </c>
      <c r="M27" s="18" t="s">
        <v>66</v>
      </c>
      <c r="N27" s="18" t="s">
        <v>66</v>
      </c>
      <c r="O27" s="18" t="s">
        <v>66</v>
      </c>
      <c r="P27" s="18" t="s">
        <v>66</v>
      </c>
      <c r="Q27" s="18" t="s">
        <v>66</v>
      </c>
      <c r="R27" s="18" t="s">
        <v>66</v>
      </c>
      <c r="S27" s="18"/>
      <c r="T27" s="18"/>
      <c r="U27" s="18" t="s">
        <v>3</v>
      </c>
      <c r="V27" s="18" t="s">
        <v>3</v>
      </c>
      <c r="W27" s="18" t="s">
        <v>3</v>
      </c>
      <c r="X27" s="18" t="s">
        <v>3</v>
      </c>
      <c r="Y27" s="18" t="s">
        <v>3</v>
      </c>
      <c r="Z27" s="18" t="s">
        <v>3</v>
      </c>
      <c r="AA27" s="18" t="s">
        <v>3</v>
      </c>
      <c r="AB27" s="18" t="s">
        <v>3</v>
      </c>
      <c r="AC27" s="18" t="s">
        <v>3</v>
      </c>
      <c r="AD27" s="18" t="s">
        <v>3</v>
      </c>
      <c r="AE27" s="18" t="s">
        <v>3</v>
      </c>
      <c r="AF27" s="18" t="s">
        <v>3</v>
      </c>
      <c r="AG27" s="18"/>
      <c r="AH27" s="27">
        <f>COUNTA(月11_279[[#This Row],[1]:[ ]])</f>
        <v>22</v>
      </c>
    </row>
    <row r="28" spans="2:34" ht="30" customHeight="1" x14ac:dyDescent="0.25">
      <c r="B28" s="31" t="s">
        <v>94</v>
      </c>
      <c r="C28" s="18"/>
      <c r="D28" s="18"/>
      <c r="E28" s="18"/>
      <c r="F28" s="18"/>
      <c r="G28" s="18"/>
      <c r="H28" s="18"/>
      <c r="I28" s="18" t="s">
        <v>66</v>
      </c>
      <c r="J28" s="18" t="s">
        <v>66</v>
      </c>
      <c r="K28" s="18" t="s">
        <v>66</v>
      </c>
      <c r="L28" s="18" t="s">
        <v>66</v>
      </c>
      <c r="M28" s="18" t="s">
        <v>66</v>
      </c>
      <c r="N28" s="18" t="s">
        <v>66</v>
      </c>
      <c r="O28" s="18" t="s">
        <v>66</v>
      </c>
      <c r="P28" s="18" t="s">
        <v>66</v>
      </c>
      <c r="Q28" s="18" t="s">
        <v>66</v>
      </c>
      <c r="R28" s="18" t="s">
        <v>66</v>
      </c>
      <c r="S28" s="18"/>
      <c r="T28" s="18"/>
      <c r="U28" s="18" t="s">
        <v>3</v>
      </c>
      <c r="V28" s="18" t="s">
        <v>3</v>
      </c>
      <c r="W28" s="18" t="s">
        <v>3</v>
      </c>
      <c r="X28" s="18" t="s">
        <v>3</v>
      </c>
      <c r="Y28" s="18" t="s">
        <v>3</v>
      </c>
      <c r="Z28" s="18" t="s">
        <v>3</v>
      </c>
      <c r="AA28" s="18" t="s">
        <v>3</v>
      </c>
      <c r="AB28" s="18" t="s">
        <v>3</v>
      </c>
      <c r="AC28" s="18" t="s">
        <v>3</v>
      </c>
      <c r="AD28" s="18" t="s">
        <v>3</v>
      </c>
      <c r="AE28" s="18" t="s">
        <v>3</v>
      </c>
      <c r="AF28" s="18" t="s">
        <v>3</v>
      </c>
      <c r="AG28" s="18"/>
      <c r="AH28" s="27">
        <f>COUNTA(月11_279[[#This Row],[1]:[ ]])</f>
        <v>22</v>
      </c>
    </row>
    <row r="29" spans="2:34" ht="30" customHeight="1" x14ac:dyDescent="0.25">
      <c r="B29" s="31" t="s">
        <v>95</v>
      </c>
      <c r="C29" s="18"/>
      <c r="D29" s="18"/>
      <c r="E29" s="18"/>
      <c r="F29" s="18"/>
      <c r="G29" s="18"/>
      <c r="H29" s="18"/>
      <c r="I29" s="18" t="s">
        <v>66</v>
      </c>
      <c r="J29" s="18" t="s">
        <v>66</v>
      </c>
      <c r="K29" s="18" t="s">
        <v>66</v>
      </c>
      <c r="L29" s="18" t="s">
        <v>66</v>
      </c>
      <c r="M29" s="18" t="s">
        <v>66</v>
      </c>
      <c r="N29" s="18" t="s">
        <v>66</v>
      </c>
      <c r="O29" s="18" t="s">
        <v>66</v>
      </c>
      <c r="P29" s="18" t="s">
        <v>66</v>
      </c>
      <c r="Q29" s="18" t="s">
        <v>66</v>
      </c>
      <c r="R29" s="18" t="s">
        <v>66</v>
      </c>
      <c r="S29" s="18"/>
      <c r="T29" s="18"/>
      <c r="U29" s="18" t="s">
        <v>3</v>
      </c>
      <c r="V29" s="18" t="s">
        <v>3</v>
      </c>
      <c r="W29" s="18" t="s">
        <v>3</v>
      </c>
      <c r="X29" s="18" t="s">
        <v>3</v>
      </c>
      <c r="Y29" s="18" t="s">
        <v>3</v>
      </c>
      <c r="Z29" s="18" t="s">
        <v>3</v>
      </c>
      <c r="AA29" s="18" t="s">
        <v>3</v>
      </c>
      <c r="AB29" s="18" t="s">
        <v>3</v>
      </c>
      <c r="AC29" s="18" t="s">
        <v>3</v>
      </c>
      <c r="AD29" s="18" t="s">
        <v>3</v>
      </c>
      <c r="AE29" s="18" t="s">
        <v>3</v>
      </c>
      <c r="AF29" s="18" t="s">
        <v>3</v>
      </c>
      <c r="AG29" s="18"/>
      <c r="AH29" s="27">
        <f>COUNTA(月11_279[[#This Row],[1]:[ ]])</f>
        <v>22</v>
      </c>
    </row>
    <row r="30" spans="2:34" ht="30" customHeight="1" x14ac:dyDescent="0.25">
      <c r="B30" s="31" t="s">
        <v>96</v>
      </c>
      <c r="C30" s="18"/>
      <c r="D30" s="18"/>
      <c r="E30" s="18"/>
      <c r="F30" s="18"/>
      <c r="G30" s="18"/>
      <c r="H30" s="18"/>
      <c r="I30" s="18" t="s">
        <v>66</v>
      </c>
      <c r="J30" s="18" t="s">
        <v>66</v>
      </c>
      <c r="K30" s="18" t="s">
        <v>66</v>
      </c>
      <c r="L30" s="18" t="s">
        <v>66</v>
      </c>
      <c r="M30" s="18" t="s">
        <v>66</v>
      </c>
      <c r="N30" s="18" t="s">
        <v>66</v>
      </c>
      <c r="O30" s="18" t="s">
        <v>66</v>
      </c>
      <c r="P30" s="18" t="s">
        <v>66</v>
      </c>
      <c r="Q30" s="18" t="s">
        <v>66</v>
      </c>
      <c r="R30" s="18" t="s">
        <v>66</v>
      </c>
      <c r="S30" s="18"/>
      <c r="T30" s="18"/>
      <c r="U30" s="18" t="s">
        <v>3</v>
      </c>
      <c r="V30" s="18" t="s">
        <v>3</v>
      </c>
      <c r="W30" s="18" t="s">
        <v>3</v>
      </c>
      <c r="X30" s="18" t="s">
        <v>3</v>
      </c>
      <c r="Y30" s="18" t="s">
        <v>3</v>
      </c>
      <c r="Z30" s="18" t="s">
        <v>3</v>
      </c>
      <c r="AA30" s="18" t="s">
        <v>3</v>
      </c>
      <c r="AB30" s="18" t="s">
        <v>3</v>
      </c>
      <c r="AC30" s="18" t="s">
        <v>3</v>
      </c>
      <c r="AD30" s="18" t="s">
        <v>3</v>
      </c>
      <c r="AE30" s="18" t="s">
        <v>3</v>
      </c>
      <c r="AF30" s="18" t="s">
        <v>3</v>
      </c>
      <c r="AG30" s="18"/>
      <c r="AH30" s="27">
        <f>COUNTA(月11_279[[#This Row],[1]:[ ]])</f>
        <v>22</v>
      </c>
    </row>
    <row r="31" spans="2:34" ht="30" customHeight="1" x14ac:dyDescent="0.25">
      <c r="B31" s="20" t="s">
        <v>97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7">
        <f>COUNTA('25年5月'!$C31:$AG31)</f>
        <v>0</v>
      </c>
    </row>
    <row r="32" spans="2:34" ht="30" customHeight="1" x14ac:dyDescent="0.25">
      <c r="B32" s="20" t="s">
        <v>98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27">
        <f>COUNTA('25年5月'!$C32:$AG32)</f>
        <v>0</v>
      </c>
    </row>
    <row r="33" spans="2:34" ht="30" customHeight="1" x14ac:dyDescent="0.25">
      <c r="B33" s="20" t="s">
        <v>99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27">
        <f>COUNTA('25年5月'!$C33:$AG33)</f>
        <v>0</v>
      </c>
    </row>
    <row r="34" spans="2:34" ht="30" customHeight="1" x14ac:dyDescent="0.25">
      <c r="B34" s="20" t="s">
        <v>100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7">
        <f>COUNTA('25年5月'!$C34:$AG34)</f>
        <v>0</v>
      </c>
    </row>
    <row r="35" spans="2:34" ht="30" customHeight="1" x14ac:dyDescent="0.25">
      <c r="B35" s="20" t="s">
        <v>101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7">
        <f>COUNTA('25年5月'!$C35:$AG35)</f>
        <v>0</v>
      </c>
    </row>
    <row r="36" spans="2:34" ht="30" customHeight="1" x14ac:dyDescent="0.25">
      <c r="B36" s="20" t="s">
        <v>102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7">
        <f>COUNTA('25年5月'!$C36:$AG36)</f>
        <v>0</v>
      </c>
    </row>
    <row r="37" spans="2:34" ht="30" customHeight="1" x14ac:dyDescent="0.25">
      <c r="B37" s="20" t="s">
        <v>103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27">
        <f>COUNTA('25年5月'!$C37:$AG37)</f>
        <v>0</v>
      </c>
    </row>
    <row r="38" spans="2:34" ht="30" customHeight="1" x14ac:dyDescent="0.25">
      <c r="B38" s="20" t="s">
        <v>104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7">
        <f>COUNTA('25年5月'!$C38:$AG38)</f>
        <v>0</v>
      </c>
    </row>
    <row r="39" spans="2:34" ht="30" customHeight="1" x14ac:dyDescent="0.25">
      <c r="B39" s="20" t="s">
        <v>105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7">
        <f>COUNTA('25年5月'!$C39:$AG39)</f>
        <v>0</v>
      </c>
    </row>
    <row r="40" spans="2:34" ht="30" customHeight="1" x14ac:dyDescent="0.25">
      <c r="B40" s="20" t="s">
        <v>106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27">
        <f>COUNTA('25年5月'!$C40:$AG40)</f>
        <v>0</v>
      </c>
    </row>
    <row r="41" spans="2:34" ht="30" customHeight="1" x14ac:dyDescent="0.25">
      <c r="B41" s="31" t="s">
        <v>107</v>
      </c>
      <c r="C41" s="18" t="s">
        <v>3</v>
      </c>
      <c r="D41" s="18"/>
      <c r="E41" s="18"/>
      <c r="F41" s="18"/>
      <c r="G41" s="18"/>
      <c r="H41" s="18"/>
      <c r="I41" s="18" t="s">
        <v>66</v>
      </c>
      <c r="J41" s="18" t="s">
        <v>66</v>
      </c>
      <c r="K41" s="18" t="s">
        <v>66</v>
      </c>
      <c r="L41" s="18" t="s">
        <v>66</v>
      </c>
      <c r="M41" s="18" t="s">
        <v>66</v>
      </c>
      <c r="N41" s="18" t="s">
        <v>66</v>
      </c>
      <c r="O41" s="18" t="s">
        <v>66</v>
      </c>
      <c r="P41" s="18" t="s">
        <v>66</v>
      </c>
      <c r="Q41" s="18" t="s">
        <v>66</v>
      </c>
      <c r="R41" s="18" t="s">
        <v>66</v>
      </c>
      <c r="S41" s="18"/>
      <c r="T41" s="18"/>
      <c r="U41" s="18" t="s">
        <v>3</v>
      </c>
      <c r="V41" s="18" t="s">
        <v>3</v>
      </c>
      <c r="W41" s="18" t="s">
        <v>3</v>
      </c>
      <c r="X41" s="18" t="s">
        <v>3</v>
      </c>
      <c r="Y41" s="18" t="s">
        <v>3</v>
      </c>
      <c r="Z41" s="18" t="s">
        <v>3</v>
      </c>
      <c r="AA41" s="18" t="s">
        <v>3</v>
      </c>
      <c r="AB41" s="18" t="s">
        <v>3</v>
      </c>
      <c r="AC41" s="18" t="s">
        <v>3</v>
      </c>
      <c r="AD41" s="18" t="s">
        <v>3</v>
      </c>
      <c r="AE41" s="18" t="s">
        <v>3</v>
      </c>
      <c r="AF41" s="18" t="s">
        <v>3</v>
      </c>
      <c r="AG41" s="18" t="s">
        <v>3</v>
      </c>
      <c r="AH41" s="27">
        <f>COUNTA(月11_279[[#This Row],[1]:[ ]])</f>
        <v>24</v>
      </c>
    </row>
    <row r="42" spans="2:34" ht="30" customHeight="1" x14ac:dyDescent="0.25">
      <c r="B42" s="31" t="s">
        <v>158</v>
      </c>
      <c r="C42" s="18" t="s">
        <v>3</v>
      </c>
      <c r="D42" s="18"/>
      <c r="E42" s="18"/>
      <c r="F42" s="18"/>
      <c r="G42" s="18"/>
      <c r="H42" s="18"/>
      <c r="I42" s="18" t="s">
        <v>66</v>
      </c>
      <c r="J42" s="18" t="s">
        <v>66</v>
      </c>
      <c r="K42" s="18" t="s">
        <v>66</v>
      </c>
      <c r="L42" s="18" t="s">
        <v>66</v>
      </c>
      <c r="M42" s="18" t="s">
        <v>66</v>
      </c>
      <c r="N42" s="18" t="s">
        <v>66</v>
      </c>
      <c r="O42" s="18" t="s">
        <v>66</v>
      </c>
      <c r="P42" s="18" t="s">
        <v>66</v>
      </c>
      <c r="Q42" s="18" t="s">
        <v>66</v>
      </c>
      <c r="R42" s="18" t="s">
        <v>66</v>
      </c>
      <c r="S42" s="18"/>
      <c r="T42" s="18"/>
      <c r="U42" s="18" t="s">
        <v>3</v>
      </c>
      <c r="V42" s="18" t="s">
        <v>3</v>
      </c>
      <c r="W42" s="18" t="s">
        <v>3</v>
      </c>
      <c r="X42" s="18" t="s">
        <v>3</v>
      </c>
      <c r="Y42" s="18" t="s">
        <v>3</v>
      </c>
      <c r="Z42" s="18" t="s">
        <v>3</v>
      </c>
      <c r="AA42" s="18" t="s">
        <v>3</v>
      </c>
      <c r="AB42" s="18" t="s">
        <v>3</v>
      </c>
      <c r="AC42" s="18" t="s">
        <v>3</v>
      </c>
      <c r="AD42" s="18" t="s">
        <v>3</v>
      </c>
      <c r="AE42" s="18" t="s">
        <v>3</v>
      </c>
      <c r="AF42" s="18" t="s">
        <v>3</v>
      </c>
      <c r="AG42" s="18" t="s">
        <v>3</v>
      </c>
      <c r="AH42" s="27">
        <f>COUNTA(月11_279[[#This Row],[1]:[ ]])</f>
        <v>24</v>
      </c>
    </row>
    <row r="43" spans="2:34" ht="30" customHeight="1" x14ac:dyDescent="0.25">
      <c r="B43" s="31" t="s">
        <v>109</v>
      </c>
      <c r="C43" s="18" t="s">
        <v>3</v>
      </c>
      <c r="D43" s="18"/>
      <c r="E43" s="18"/>
      <c r="F43" s="18"/>
      <c r="G43" s="18"/>
      <c r="H43" s="18"/>
      <c r="I43" s="18" t="s">
        <v>66</v>
      </c>
      <c r="J43" s="18" t="s">
        <v>66</v>
      </c>
      <c r="K43" s="18" t="s">
        <v>66</v>
      </c>
      <c r="L43" s="18" t="s">
        <v>66</v>
      </c>
      <c r="M43" s="18" t="s">
        <v>66</v>
      </c>
      <c r="N43" s="18" t="s">
        <v>66</v>
      </c>
      <c r="O43" s="18" t="s">
        <v>66</v>
      </c>
      <c r="P43" s="18" t="s">
        <v>66</v>
      </c>
      <c r="Q43" s="18" t="s">
        <v>66</v>
      </c>
      <c r="R43" s="18" t="s">
        <v>66</v>
      </c>
      <c r="S43" s="18"/>
      <c r="T43" s="18"/>
      <c r="U43" s="18" t="s">
        <v>3</v>
      </c>
      <c r="V43" s="18" t="s">
        <v>3</v>
      </c>
      <c r="W43" s="18" t="s">
        <v>3</v>
      </c>
      <c r="X43" s="18" t="s">
        <v>3</v>
      </c>
      <c r="Y43" s="18" t="s">
        <v>3</v>
      </c>
      <c r="Z43" s="18" t="s">
        <v>3</v>
      </c>
      <c r="AA43" s="18" t="s">
        <v>3</v>
      </c>
      <c r="AB43" s="18" t="s">
        <v>3</v>
      </c>
      <c r="AC43" s="18" t="s">
        <v>3</v>
      </c>
      <c r="AD43" s="18" t="s">
        <v>3</v>
      </c>
      <c r="AE43" s="18" t="s">
        <v>3</v>
      </c>
      <c r="AF43" s="18" t="s">
        <v>3</v>
      </c>
      <c r="AG43" s="18" t="s">
        <v>3</v>
      </c>
      <c r="AH43" s="27">
        <f>COUNTA(月11_279[[#This Row],[1]:[ ]])</f>
        <v>24</v>
      </c>
    </row>
    <row r="44" spans="2:34" ht="30" customHeight="1" x14ac:dyDescent="0.25">
      <c r="B44" s="31" t="s">
        <v>110</v>
      </c>
      <c r="C44" s="18" t="s">
        <v>3</v>
      </c>
      <c r="D44" s="18"/>
      <c r="E44" s="18"/>
      <c r="F44" s="18"/>
      <c r="G44" s="18"/>
      <c r="H44" s="18"/>
      <c r="I44" s="18" t="s">
        <v>66</v>
      </c>
      <c r="J44" s="18" t="s">
        <v>66</v>
      </c>
      <c r="K44" s="18" t="s">
        <v>66</v>
      </c>
      <c r="L44" s="18" t="s">
        <v>66</v>
      </c>
      <c r="M44" s="18" t="s">
        <v>66</v>
      </c>
      <c r="N44" s="18" t="s">
        <v>66</v>
      </c>
      <c r="O44" s="18" t="s">
        <v>66</v>
      </c>
      <c r="P44" s="18" t="s">
        <v>66</v>
      </c>
      <c r="Q44" s="18" t="s">
        <v>66</v>
      </c>
      <c r="R44" s="18" t="s">
        <v>66</v>
      </c>
      <c r="S44" s="18"/>
      <c r="T44" s="18"/>
      <c r="U44" s="18" t="s">
        <v>3</v>
      </c>
      <c r="V44" s="18" t="s">
        <v>3</v>
      </c>
      <c r="W44" s="18" t="s">
        <v>3</v>
      </c>
      <c r="X44" s="18" t="s">
        <v>3</v>
      </c>
      <c r="Y44" s="18" t="s">
        <v>3</v>
      </c>
      <c r="Z44" s="18" t="s">
        <v>3</v>
      </c>
      <c r="AA44" s="18" t="s">
        <v>3</v>
      </c>
      <c r="AB44" s="18" t="s">
        <v>3</v>
      </c>
      <c r="AC44" s="18" t="s">
        <v>3</v>
      </c>
      <c r="AD44" s="18" t="s">
        <v>3</v>
      </c>
      <c r="AE44" s="18" t="s">
        <v>3</v>
      </c>
      <c r="AF44" s="18" t="s">
        <v>3</v>
      </c>
      <c r="AG44" s="18" t="s">
        <v>3</v>
      </c>
      <c r="AH44" s="27">
        <f>COUNTA(月11_279[[#This Row],[1]:[ ]])</f>
        <v>24</v>
      </c>
    </row>
    <row r="45" spans="2:34" ht="30" customHeight="1" x14ac:dyDescent="0.25">
      <c r="B45" s="31" t="s">
        <v>111</v>
      </c>
      <c r="C45" s="18" t="s">
        <v>3</v>
      </c>
      <c r="D45" s="18"/>
      <c r="E45" s="18"/>
      <c r="F45" s="18"/>
      <c r="G45" s="18"/>
      <c r="H45" s="18"/>
      <c r="I45" s="18" t="s">
        <v>66</v>
      </c>
      <c r="J45" s="18" t="s">
        <v>66</v>
      </c>
      <c r="K45" s="18" t="s">
        <v>66</v>
      </c>
      <c r="L45" s="18" t="s">
        <v>66</v>
      </c>
      <c r="M45" s="18" t="s">
        <v>66</v>
      </c>
      <c r="N45" s="18" t="s">
        <v>66</v>
      </c>
      <c r="O45" s="18" t="s">
        <v>66</v>
      </c>
      <c r="P45" s="18" t="s">
        <v>66</v>
      </c>
      <c r="Q45" s="18" t="s">
        <v>66</v>
      </c>
      <c r="R45" s="18" t="s">
        <v>66</v>
      </c>
      <c r="S45" s="18"/>
      <c r="T45" s="18"/>
      <c r="U45" s="18" t="s">
        <v>3</v>
      </c>
      <c r="V45" s="18" t="s">
        <v>3</v>
      </c>
      <c r="W45" s="18" t="s">
        <v>3</v>
      </c>
      <c r="X45" s="18" t="s">
        <v>3</v>
      </c>
      <c r="Y45" s="18" t="s">
        <v>3</v>
      </c>
      <c r="Z45" s="18" t="s">
        <v>3</v>
      </c>
      <c r="AA45" s="18" t="s">
        <v>3</v>
      </c>
      <c r="AB45" s="18" t="s">
        <v>3</v>
      </c>
      <c r="AC45" s="18" t="s">
        <v>3</v>
      </c>
      <c r="AD45" s="18" t="s">
        <v>3</v>
      </c>
      <c r="AE45" s="18" t="s">
        <v>3</v>
      </c>
      <c r="AF45" s="18" t="s">
        <v>3</v>
      </c>
      <c r="AG45" s="18" t="s">
        <v>3</v>
      </c>
      <c r="AH45" s="27">
        <f>COUNTA(月11_279[[#This Row],[1]:[ ]])</f>
        <v>24</v>
      </c>
    </row>
    <row r="46" spans="2:34" ht="30" customHeight="1" x14ac:dyDescent="0.25">
      <c r="B46" s="31" t="s">
        <v>112</v>
      </c>
      <c r="C46" s="18" t="s">
        <v>3</v>
      </c>
      <c r="D46" s="18"/>
      <c r="E46" s="18"/>
      <c r="F46" s="18"/>
      <c r="G46" s="18"/>
      <c r="H46" s="18"/>
      <c r="I46" s="18" t="s">
        <v>66</v>
      </c>
      <c r="J46" s="18" t="s">
        <v>66</v>
      </c>
      <c r="K46" s="18" t="s">
        <v>66</v>
      </c>
      <c r="L46" s="18" t="s">
        <v>66</v>
      </c>
      <c r="M46" s="18" t="s">
        <v>66</v>
      </c>
      <c r="N46" s="18" t="s">
        <v>66</v>
      </c>
      <c r="O46" s="18" t="s">
        <v>66</v>
      </c>
      <c r="P46" s="18" t="s">
        <v>66</v>
      </c>
      <c r="Q46" s="18" t="s">
        <v>66</v>
      </c>
      <c r="R46" s="18" t="s">
        <v>66</v>
      </c>
      <c r="S46" s="18"/>
      <c r="T46" s="18"/>
      <c r="U46" s="18" t="s">
        <v>3</v>
      </c>
      <c r="V46" s="18" t="s">
        <v>3</v>
      </c>
      <c r="W46" s="18" t="s">
        <v>3</v>
      </c>
      <c r="X46" s="18" t="s">
        <v>3</v>
      </c>
      <c r="Y46" s="18" t="s">
        <v>3</v>
      </c>
      <c r="Z46" s="18" t="s">
        <v>3</v>
      </c>
      <c r="AA46" s="18" t="s">
        <v>3</v>
      </c>
      <c r="AB46" s="18" t="s">
        <v>3</v>
      </c>
      <c r="AC46" s="18" t="s">
        <v>3</v>
      </c>
      <c r="AD46" s="18" t="s">
        <v>3</v>
      </c>
      <c r="AE46" s="18" t="s">
        <v>3</v>
      </c>
      <c r="AF46" s="18" t="s">
        <v>3</v>
      </c>
      <c r="AG46" s="18" t="s">
        <v>3</v>
      </c>
      <c r="AH46" s="27">
        <f>COUNTA(月11_279[[#This Row],[1]:[ ]])</f>
        <v>24</v>
      </c>
    </row>
    <row r="47" spans="2:34" ht="30" customHeight="1" x14ac:dyDescent="0.25">
      <c r="B47" s="31" t="s">
        <v>113</v>
      </c>
      <c r="C47" s="18" t="s">
        <v>3</v>
      </c>
      <c r="D47" s="18"/>
      <c r="E47" s="18"/>
      <c r="F47" s="18"/>
      <c r="G47" s="18"/>
      <c r="H47" s="18"/>
      <c r="I47" s="18" t="s">
        <v>66</v>
      </c>
      <c r="J47" s="18" t="s">
        <v>66</v>
      </c>
      <c r="K47" s="18" t="s">
        <v>66</v>
      </c>
      <c r="L47" s="18" t="s">
        <v>66</v>
      </c>
      <c r="M47" s="18" t="s">
        <v>66</v>
      </c>
      <c r="N47" s="18" t="s">
        <v>66</v>
      </c>
      <c r="O47" s="18" t="s">
        <v>66</v>
      </c>
      <c r="P47" s="18" t="s">
        <v>66</v>
      </c>
      <c r="Q47" s="18" t="s">
        <v>66</v>
      </c>
      <c r="R47" s="18" t="s">
        <v>66</v>
      </c>
      <c r="S47" s="18"/>
      <c r="T47" s="18"/>
      <c r="U47" s="18" t="s">
        <v>3</v>
      </c>
      <c r="V47" s="18" t="s">
        <v>3</v>
      </c>
      <c r="W47" s="18" t="s">
        <v>3</v>
      </c>
      <c r="X47" s="18" t="s">
        <v>3</v>
      </c>
      <c r="Y47" s="18" t="s">
        <v>3</v>
      </c>
      <c r="Z47" s="18" t="s">
        <v>3</v>
      </c>
      <c r="AA47" s="18" t="s">
        <v>3</v>
      </c>
      <c r="AB47" s="18" t="s">
        <v>3</v>
      </c>
      <c r="AC47" s="18" t="s">
        <v>3</v>
      </c>
      <c r="AD47" s="18" t="s">
        <v>3</v>
      </c>
      <c r="AE47" s="18" t="s">
        <v>3</v>
      </c>
      <c r="AF47" s="18" t="s">
        <v>3</v>
      </c>
      <c r="AG47" s="18" t="s">
        <v>3</v>
      </c>
      <c r="AH47" s="27">
        <f>COUNTA(月11_279[[#This Row],[1]:[ ]])</f>
        <v>24</v>
      </c>
    </row>
    <row r="48" spans="2:34" ht="30" customHeight="1" x14ac:dyDescent="0.25">
      <c r="B48" s="31" t="s">
        <v>114</v>
      </c>
      <c r="C48" s="18" t="s">
        <v>3</v>
      </c>
      <c r="D48" s="18"/>
      <c r="E48" s="18"/>
      <c r="F48" s="18"/>
      <c r="G48" s="18"/>
      <c r="H48" s="18"/>
      <c r="I48" s="18" t="s">
        <v>66</v>
      </c>
      <c r="J48" s="18" t="s">
        <v>66</v>
      </c>
      <c r="K48" s="18" t="s">
        <v>66</v>
      </c>
      <c r="L48" s="18" t="s">
        <v>66</v>
      </c>
      <c r="M48" s="18" t="s">
        <v>66</v>
      </c>
      <c r="N48" s="18" t="s">
        <v>66</v>
      </c>
      <c r="O48" s="18" t="s">
        <v>66</v>
      </c>
      <c r="P48" s="18" t="s">
        <v>66</v>
      </c>
      <c r="Q48" s="18" t="s">
        <v>66</v>
      </c>
      <c r="R48" s="18" t="s">
        <v>66</v>
      </c>
      <c r="S48" s="18"/>
      <c r="T48" s="18"/>
      <c r="U48" s="18" t="s">
        <v>3</v>
      </c>
      <c r="V48" s="18" t="s">
        <v>3</v>
      </c>
      <c r="W48" s="18" t="s">
        <v>3</v>
      </c>
      <c r="X48" s="18" t="s">
        <v>3</v>
      </c>
      <c r="Y48" s="18" t="s">
        <v>3</v>
      </c>
      <c r="Z48" s="18" t="s">
        <v>3</v>
      </c>
      <c r="AA48" s="18" t="s">
        <v>3</v>
      </c>
      <c r="AB48" s="18" t="s">
        <v>3</v>
      </c>
      <c r="AC48" s="18" t="s">
        <v>3</v>
      </c>
      <c r="AD48" s="18" t="s">
        <v>3</v>
      </c>
      <c r="AE48" s="18" t="s">
        <v>3</v>
      </c>
      <c r="AF48" s="18" t="s">
        <v>3</v>
      </c>
      <c r="AG48" s="18" t="s">
        <v>3</v>
      </c>
      <c r="AH48" s="27">
        <f>COUNTA(月11_279[[#This Row],[1]:[ ]])</f>
        <v>24</v>
      </c>
    </row>
    <row r="49" spans="2:34" ht="30" customHeight="1" x14ac:dyDescent="0.25">
      <c r="B49" s="31" t="s">
        <v>115</v>
      </c>
      <c r="C49" s="18" t="s">
        <v>3</v>
      </c>
      <c r="D49" s="18"/>
      <c r="E49" s="18"/>
      <c r="F49" s="18"/>
      <c r="G49" s="18"/>
      <c r="H49" s="18"/>
      <c r="I49" s="18" t="s">
        <v>66</v>
      </c>
      <c r="J49" s="18" t="s">
        <v>66</v>
      </c>
      <c r="K49" s="18" t="s">
        <v>66</v>
      </c>
      <c r="L49" s="18" t="s">
        <v>66</v>
      </c>
      <c r="M49" s="18" t="s">
        <v>66</v>
      </c>
      <c r="N49" s="18" t="s">
        <v>66</v>
      </c>
      <c r="O49" s="18" t="s">
        <v>66</v>
      </c>
      <c r="P49" s="18" t="s">
        <v>66</v>
      </c>
      <c r="Q49" s="18" t="s">
        <v>66</v>
      </c>
      <c r="R49" s="18" t="s">
        <v>66</v>
      </c>
      <c r="S49" s="18"/>
      <c r="T49" s="18"/>
      <c r="U49" s="18" t="s">
        <v>3</v>
      </c>
      <c r="V49" s="18" t="s">
        <v>3</v>
      </c>
      <c r="W49" s="18" t="s">
        <v>3</v>
      </c>
      <c r="X49" s="18" t="s">
        <v>3</v>
      </c>
      <c r="Y49" s="18" t="s">
        <v>3</v>
      </c>
      <c r="Z49" s="18" t="s">
        <v>3</v>
      </c>
      <c r="AA49" s="18" t="s">
        <v>3</v>
      </c>
      <c r="AB49" s="18" t="s">
        <v>3</v>
      </c>
      <c r="AC49" s="18" t="s">
        <v>3</v>
      </c>
      <c r="AD49" s="18" t="s">
        <v>3</v>
      </c>
      <c r="AE49" s="18" t="s">
        <v>3</v>
      </c>
      <c r="AF49" s="18" t="s">
        <v>3</v>
      </c>
      <c r="AG49" s="18" t="s">
        <v>3</v>
      </c>
      <c r="AH49" s="27">
        <f>COUNTA(月11_279[[#This Row],[1]:[ ]])</f>
        <v>24</v>
      </c>
    </row>
    <row r="50" spans="2:34" ht="30" customHeight="1" x14ac:dyDescent="0.25">
      <c r="B50" s="31" t="s">
        <v>116</v>
      </c>
      <c r="C50" s="18" t="s">
        <v>3</v>
      </c>
      <c r="D50" s="18"/>
      <c r="E50" s="18"/>
      <c r="F50" s="18"/>
      <c r="G50" s="18"/>
      <c r="H50" s="18"/>
      <c r="I50" s="18" t="s">
        <v>66</v>
      </c>
      <c r="J50" s="18" t="s">
        <v>66</v>
      </c>
      <c r="K50" s="18" t="s">
        <v>66</v>
      </c>
      <c r="L50" s="18" t="s">
        <v>66</v>
      </c>
      <c r="M50" s="18" t="s">
        <v>66</v>
      </c>
      <c r="N50" s="18" t="s">
        <v>66</v>
      </c>
      <c r="O50" s="18" t="s">
        <v>66</v>
      </c>
      <c r="P50" s="18" t="s">
        <v>66</v>
      </c>
      <c r="Q50" s="18" t="s">
        <v>66</v>
      </c>
      <c r="R50" s="18" t="s">
        <v>66</v>
      </c>
      <c r="S50" s="18"/>
      <c r="T50" s="18"/>
      <c r="U50" s="18" t="s">
        <v>3</v>
      </c>
      <c r="V50" s="18" t="s">
        <v>3</v>
      </c>
      <c r="W50" s="18" t="s">
        <v>3</v>
      </c>
      <c r="X50" s="18" t="s">
        <v>3</v>
      </c>
      <c r="Y50" s="18" t="s">
        <v>3</v>
      </c>
      <c r="Z50" s="18" t="s">
        <v>3</v>
      </c>
      <c r="AA50" s="18" t="s">
        <v>3</v>
      </c>
      <c r="AB50" s="18" t="s">
        <v>3</v>
      </c>
      <c r="AC50" s="18" t="s">
        <v>3</v>
      </c>
      <c r="AD50" s="18" t="s">
        <v>3</v>
      </c>
      <c r="AE50" s="18" t="s">
        <v>3</v>
      </c>
      <c r="AF50" s="18" t="s">
        <v>3</v>
      </c>
      <c r="AG50" s="18" t="s">
        <v>3</v>
      </c>
      <c r="AH50" s="27">
        <f>COUNTA(月11_279[[#This Row],[1]:[ ]])</f>
        <v>24</v>
      </c>
    </row>
    <row r="51" spans="2:34" ht="30" customHeight="1" x14ac:dyDescent="0.25">
      <c r="B51" s="31" t="s">
        <v>117</v>
      </c>
      <c r="C51" s="18" t="s">
        <v>3</v>
      </c>
      <c r="D51" s="18"/>
      <c r="E51" s="18"/>
      <c r="F51" s="18"/>
      <c r="G51" s="18"/>
      <c r="H51" s="18"/>
      <c r="I51" s="18" t="s">
        <v>66</v>
      </c>
      <c r="J51" s="18" t="s">
        <v>66</v>
      </c>
      <c r="K51" s="18" t="s">
        <v>66</v>
      </c>
      <c r="L51" s="18" t="s">
        <v>66</v>
      </c>
      <c r="M51" s="18" t="s">
        <v>66</v>
      </c>
      <c r="N51" s="18" t="s">
        <v>66</v>
      </c>
      <c r="O51" s="18" t="s">
        <v>66</v>
      </c>
      <c r="P51" s="18" t="s">
        <v>66</v>
      </c>
      <c r="Q51" s="18" t="s">
        <v>66</v>
      </c>
      <c r="R51" s="18" t="s">
        <v>66</v>
      </c>
      <c r="S51" s="18"/>
      <c r="T51" s="18"/>
      <c r="U51" s="18" t="s">
        <v>3</v>
      </c>
      <c r="V51" s="18" t="s">
        <v>3</v>
      </c>
      <c r="W51" s="18" t="s">
        <v>3</v>
      </c>
      <c r="X51" s="18" t="s">
        <v>3</v>
      </c>
      <c r="Y51" s="18" t="s">
        <v>3</v>
      </c>
      <c r="Z51" s="18" t="s">
        <v>3</v>
      </c>
      <c r="AA51" s="18" t="s">
        <v>3</v>
      </c>
      <c r="AB51" s="18" t="s">
        <v>3</v>
      </c>
      <c r="AC51" s="18" t="s">
        <v>3</v>
      </c>
      <c r="AD51" s="18" t="s">
        <v>3</v>
      </c>
      <c r="AE51" s="18" t="s">
        <v>3</v>
      </c>
      <c r="AF51" s="18" t="s">
        <v>3</v>
      </c>
      <c r="AG51" s="18" t="s">
        <v>3</v>
      </c>
      <c r="AH51" s="27">
        <f>COUNTA(月11_279[[#This Row],[1]:[ ]])</f>
        <v>24</v>
      </c>
    </row>
    <row r="52" spans="2:34" ht="30" customHeight="1" x14ac:dyDescent="0.25">
      <c r="B52" s="31" t="s">
        <v>118</v>
      </c>
      <c r="C52" s="18" t="s">
        <v>3</v>
      </c>
      <c r="D52" s="18"/>
      <c r="E52" s="18"/>
      <c r="F52" s="18"/>
      <c r="G52" s="18"/>
      <c r="H52" s="18"/>
      <c r="I52" s="18" t="s">
        <v>66</v>
      </c>
      <c r="J52" s="18" t="s">
        <v>66</v>
      </c>
      <c r="K52" s="18" t="s">
        <v>66</v>
      </c>
      <c r="L52" s="18" t="s">
        <v>66</v>
      </c>
      <c r="M52" s="18" t="s">
        <v>66</v>
      </c>
      <c r="N52" s="18" t="s">
        <v>66</v>
      </c>
      <c r="O52" s="18" t="s">
        <v>66</v>
      </c>
      <c r="P52" s="18" t="s">
        <v>66</v>
      </c>
      <c r="Q52" s="18" t="s">
        <v>66</v>
      </c>
      <c r="R52" s="18" t="s">
        <v>66</v>
      </c>
      <c r="S52" s="18"/>
      <c r="T52" s="18"/>
      <c r="U52" s="18" t="s">
        <v>3</v>
      </c>
      <c r="V52" s="18" t="s">
        <v>3</v>
      </c>
      <c r="W52" s="18" t="s">
        <v>3</v>
      </c>
      <c r="X52" s="18" t="s">
        <v>3</v>
      </c>
      <c r="Y52" s="18" t="s">
        <v>3</v>
      </c>
      <c r="Z52" s="18" t="s">
        <v>3</v>
      </c>
      <c r="AA52" s="18" t="s">
        <v>3</v>
      </c>
      <c r="AB52" s="18" t="s">
        <v>3</v>
      </c>
      <c r="AC52" s="18" t="s">
        <v>3</v>
      </c>
      <c r="AD52" s="18" t="s">
        <v>3</v>
      </c>
      <c r="AE52" s="18" t="s">
        <v>3</v>
      </c>
      <c r="AF52" s="18" t="s">
        <v>3</v>
      </c>
      <c r="AG52" s="18" t="s">
        <v>3</v>
      </c>
      <c r="AH52" s="27">
        <f>COUNTA(月11_279[[#This Row],[1]:[ ]])</f>
        <v>24</v>
      </c>
    </row>
    <row r="53" spans="2:34" ht="30" customHeight="1" x14ac:dyDescent="0.25">
      <c r="B53" s="31" t="s">
        <v>144</v>
      </c>
      <c r="C53" s="18" t="s">
        <v>3</v>
      </c>
      <c r="D53" s="18"/>
      <c r="E53" s="18"/>
      <c r="F53" s="18"/>
      <c r="G53" s="18"/>
      <c r="H53" s="18"/>
      <c r="I53" s="18" t="s">
        <v>66</v>
      </c>
      <c r="J53" s="18" t="s">
        <v>66</v>
      </c>
      <c r="K53" s="18" t="s">
        <v>66</v>
      </c>
      <c r="L53" s="18" t="s">
        <v>66</v>
      </c>
      <c r="M53" s="18" t="s">
        <v>66</v>
      </c>
      <c r="N53" s="18" t="s">
        <v>66</v>
      </c>
      <c r="O53" s="18" t="s">
        <v>66</v>
      </c>
      <c r="P53" s="18" t="s">
        <v>66</v>
      </c>
      <c r="Q53" s="18" t="s">
        <v>66</v>
      </c>
      <c r="R53" s="18" t="s">
        <v>66</v>
      </c>
      <c r="S53" s="18" t="s">
        <v>66</v>
      </c>
      <c r="T53" s="18" t="s">
        <v>66</v>
      </c>
      <c r="U53" s="18" t="s">
        <v>66</v>
      </c>
      <c r="V53" s="18" t="s">
        <v>66</v>
      </c>
      <c r="W53" s="18" t="s">
        <v>66</v>
      </c>
      <c r="X53" s="18" t="s">
        <v>66</v>
      </c>
      <c r="Y53" s="18" t="s">
        <v>66</v>
      </c>
      <c r="Z53" s="18" t="s">
        <v>66</v>
      </c>
      <c r="AA53" s="18" t="s">
        <v>66</v>
      </c>
      <c r="AB53" s="18"/>
      <c r="AC53" s="18" t="s">
        <v>5</v>
      </c>
      <c r="AD53" s="18" t="s">
        <v>5</v>
      </c>
      <c r="AE53" s="18" t="s">
        <v>5</v>
      </c>
      <c r="AF53" s="18" t="s">
        <v>5</v>
      </c>
      <c r="AG53" s="18"/>
      <c r="AH53" s="27">
        <f>COUNTA(月11_279[[#This Row],[1]:[ ]])</f>
        <v>24</v>
      </c>
    </row>
    <row r="54" spans="2:34" ht="30" customHeight="1" x14ac:dyDescent="0.25">
      <c r="B54" s="31" t="s">
        <v>145</v>
      </c>
      <c r="C54" s="18" t="s">
        <v>3</v>
      </c>
      <c r="D54" s="18"/>
      <c r="E54" s="18"/>
      <c r="F54" s="18"/>
      <c r="G54" s="18"/>
      <c r="H54" s="18"/>
      <c r="I54" s="18" t="s">
        <v>66</v>
      </c>
      <c r="J54" s="18" t="s">
        <v>66</v>
      </c>
      <c r="K54" s="18" t="s">
        <v>66</v>
      </c>
      <c r="L54" s="18" t="s">
        <v>66</v>
      </c>
      <c r="M54" s="18" t="s">
        <v>66</v>
      </c>
      <c r="N54" s="18" t="s">
        <v>66</v>
      </c>
      <c r="O54" s="18" t="s">
        <v>66</v>
      </c>
      <c r="P54" s="18" t="s">
        <v>66</v>
      </c>
      <c r="Q54" s="18" t="s">
        <v>66</v>
      </c>
      <c r="R54" s="18" t="s">
        <v>66</v>
      </c>
      <c r="S54" s="18" t="s">
        <v>66</v>
      </c>
      <c r="T54" s="18" t="s">
        <v>66</v>
      </c>
      <c r="U54" s="18" t="s">
        <v>66</v>
      </c>
      <c r="V54" s="18" t="s">
        <v>66</v>
      </c>
      <c r="W54" s="18" t="s">
        <v>66</v>
      </c>
      <c r="X54" s="18" t="s">
        <v>66</v>
      </c>
      <c r="Y54" s="18" t="s">
        <v>66</v>
      </c>
      <c r="Z54" s="18" t="s">
        <v>66</v>
      </c>
      <c r="AA54" s="18" t="s">
        <v>66</v>
      </c>
      <c r="AB54" s="18"/>
      <c r="AC54" s="18" t="s">
        <v>5</v>
      </c>
      <c r="AD54" s="18" t="s">
        <v>5</v>
      </c>
      <c r="AE54" s="18" t="s">
        <v>5</v>
      </c>
      <c r="AF54" s="18" t="s">
        <v>5</v>
      </c>
      <c r="AG54" s="18"/>
      <c r="AH54" s="27">
        <f>COUNTA(月11_279[[#This Row],[1]:[ ]])</f>
        <v>24</v>
      </c>
    </row>
    <row r="55" spans="2:34" ht="30" customHeight="1" x14ac:dyDescent="0.25">
      <c r="B55" s="32" t="s">
        <v>146</v>
      </c>
      <c r="C55" s="18" t="s">
        <v>3</v>
      </c>
      <c r="D55" s="18"/>
      <c r="E55" s="18"/>
      <c r="F55" s="18"/>
      <c r="G55" s="18"/>
      <c r="H55" s="18"/>
      <c r="I55" s="18" t="s">
        <v>66</v>
      </c>
      <c r="J55" s="18" t="s">
        <v>66</v>
      </c>
      <c r="K55" s="18" t="s">
        <v>66</v>
      </c>
      <c r="L55" s="18" t="s">
        <v>66</v>
      </c>
      <c r="M55" s="18" t="s">
        <v>66</v>
      </c>
      <c r="N55" s="18" t="s">
        <v>66</v>
      </c>
      <c r="O55" s="18" t="s">
        <v>66</v>
      </c>
      <c r="P55" s="18" t="s">
        <v>66</v>
      </c>
      <c r="Q55" s="18" t="s">
        <v>66</v>
      </c>
      <c r="R55" s="18" t="s">
        <v>66</v>
      </c>
      <c r="S55" s="18" t="s">
        <v>66</v>
      </c>
      <c r="T55" s="18" t="s">
        <v>66</v>
      </c>
      <c r="U55" s="18" t="s">
        <v>66</v>
      </c>
      <c r="V55" s="18" t="s">
        <v>66</v>
      </c>
      <c r="W55" s="18" t="s">
        <v>66</v>
      </c>
      <c r="X55" s="18" t="s">
        <v>66</v>
      </c>
      <c r="Y55" s="18" t="s">
        <v>66</v>
      </c>
      <c r="Z55" s="18" t="s">
        <v>66</v>
      </c>
      <c r="AA55" s="18" t="s">
        <v>66</v>
      </c>
      <c r="AB55" s="18"/>
      <c r="AC55" s="18" t="s">
        <v>5</v>
      </c>
      <c r="AD55" s="18" t="s">
        <v>5</v>
      </c>
      <c r="AE55" s="18" t="s">
        <v>5</v>
      </c>
      <c r="AF55" s="18" t="s">
        <v>5</v>
      </c>
      <c r="AG55" s="18"/>
      <c r="AH55" s="27">
        <f>COUNTA(月11_279[[#This Row],[1]:[ ]])</f>
        <v>24</v>
      </c>
    </row>
    <row r="56" spans="2:34" ht="30" customHeight="1" x14ac:dyDescent="0.25">
      <c r="B56" s="32" t="s">
        <v>147</v>
      </c>
      <c r="C56" s="18" t="s">
        <v>3</v>
      </c>
      <c r="D56" s="18"/>
      <c r="E56" s="18"/>
      <c r="F56" s="18"/>
      <c r="G56" s="18"/>
      <c r="H56" s="18"/>
      <c r="I56" s="18" t="s">
        <v>66</v>
      </c>
      <c r="J56" s="18" t="s">
        <v>66</v>
      </c>
      <c r="K56" s="18" t="s">
        <v>66</v>
      </c>
      <c r="L56" s="18" t="s">
        <v>66</v>
      </c>
      <c r="M56" s="18" t="s">
        <v>66</v>
      </c>
      <c r="N56" s="18" t="s">
        <v>66</v>
      </c>
      <c r="O56" s="18" t="s">
        <v>66</v>
      </c>
      <c r="P56" s="18" t="s">
        <v>66</v>
      </c>
      <c r="Q56" s="18" t="s">
        <v>66</v>
      </c>
      <c r="R56" s="18" t="s">
        <v>66</v>
      </c>
      <c r="S56" s="18" t="s">
        <v>66</v>
      </c>
      <c r="T56" s="18" t="s">
        <v>66</v>
      </c>
      <c r="U56" s="18" t="s">
        <v>66</v>
      </c>
      <c r="V56" s="18" t="s">
        <v>66</v>
      </c>
      <c r="W56" s="18" t="s">
        <v>66</v>
      </c>
      <c r="X56" s="18" t="s">
        <v>66</v>
      </c>
      <c r="Y56" s="18" t="s">
        <v>66</v>
      </c>
      <c r="Z56" s="18" t="s">
        <v>66</v>
      </c>
      <c r="AA56" s="18" t="s">
        <v>66</v>
      </c>
      <c r="AB56" s="18"/>
      <c r="AC56" s="18" t="s">
        <v>5</v>
      </c>
      <c r="AD56" s="18" t="s">
        <v>5</v>
      </c>
      <c r="AE56" s="18" t="s">
        <v>5</v>
      </c>
      <c r="AF56" s="18" t="s">
        <v>5</v>
      </c>
      <c r="AG56" s="18"/>
      <c r="AH56" s="27">
        <f>COUNTA(月11_279[[#This Row],[1]:[ ]])</f>
        <v>24</v>
      </c>
    </row>
    <row r="57" spans="2:34" ht="30" customHeight="1" x14ac:dyDescent="0.25">
      <c r="B57" s="32" t="s">
        <v>148</v>
      </c>
      <c r="C57" s="18" t="s">
        <v>3</v>
      </c>
      <c r="D57" s="18"/>
      <c r="E57" s="18"/>
      <c r="F57" s="18"/>
      <c r="G57" s="18"/>
      <c r="H57" s="18"/>
      <c r="I57" s="18" t="s">
        <v>66</v>
      </c>
      <c r="J57" s="18" t="s">
        <v>66</v>
      </c>
      <c r="K57" s="18" t="s">
        <v>66</v>
      </c>
      <c r="L57" s="18" t="s">
        <v>66</v>
      </c>
      <c r="M57" s="18" t="s">
        <v>66</v>
      </c>
      <c r="N57" s="18" t="s">
        <v>66</v>
      </c>
      <c r="O57" s="18" t="s">
        <v>66</v>
      </c>
      <c r="P57" s="18" t="s">
        <v>66</v>
      </c>
      <c r="Q57" s="18" t="s">
        <v>66</v>
      </c>
      <c r="R57" s="18" t="s">
        <v>66</v>
      </c>
      <c r="S57" s="18" t="s">
        <v>66</v>
      </c>
      <c r="T57" s="18" t="s">
        <v>66</v>
      </c>
      <c r="U57" s="18" t="s">
        <v>66</v>
      </c>
      <c r="V57" s="18" t="s">
        <v>66</v>
      </c>
      <c r="W57" s="18" t="s">
        <v>66</v>
      </c>
      <c r="X57" s="18" t="s">
        <v>66</v>
      </c>
      <c r="Y57" s="18" t="s">
        <v>66</v>
      </c>
      <c r="Z57" s="18" t="s">
        <v>66</v>
      </c>
      <c r="AA57" s="18" t="s">
        <v>66</v>
      </c>
      <c r="AB57" s="18"/>
      <c r="AC57" s="18" t="s">
        <v>5</v>
      </c>
      <c r="AD57" s="18" t="s">
        <v>5</v>
      </c>
      <c r="AE57" s="18" t="s">
        <v>5</v>
      </c>
      <c r="AF57" s="18" t="s">
        <v>5</v>
      </c>
      <c r="AG57" s="18"/>
      <c r="AH57" s="27">
        <f>COUNTA(月11_279[[#This Row],[1]:[ ]])</f>
        <v>24</v>
      </c>
    </row>
    <row r="58" spans="2:34" ht="30" customHeight="1" x14ac:dyDescent="0.25">
      <c r="B58" s="32" t="s">
        <v>149</v>
      </c>
      <c r="C58" s="18" t="s">
        <v>3</v>
      </c>
      <c r="D58" s="18"/>
      <c r="E58" s="18"/>
      <c r="F58" s="18"/>
      <c r="G58" s="18"/>
      <c r="H58" s="18"/>
      <c r="I58" s="18" t="s">
        <v>66</v>
      </c>
      <c r="J58" s="18" t="s">
        <v>66</v>
      </c>
      <c r="K58" s="18" t="s">
        <v>66</v>
      </c>
      <c r="L58" s="18" t="s">
        <v>66</v>
      </c>
      <c r="M58" s="18" t="s">
        <v>66</v>
      </c>
      <c r="N58" s="18" t="s">
        <v>66</v>
      </c>
      <c r="O58" s="18" t="s">
        <v>66</v>
      </c>
      <c r="P58" s="18" t="s">
        <v>66</v>
      </c>
      <c r="Q58" s="18" t="s">
        <v>66</v>
      </c>
      <c r="R58" s="18" t="s">
        <v>66</v>
      </c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 t="s">
        <v>5</v>
      </c>
      <c r="AD58" s="18" t="s">
        <v>5</v>
      </c>
      <c r="AE58" s="18" t="s">
        <v>5</v>
      </c>
      <c r="AF58" s="18" t="s">
        <v>5</v>
      </c>
      <c r="AG58" s="18"/>
      <c r="AH58" s="27">
        <f>COUNTA(月11_279[[#This Row],[1]:[ ]])</f>
        <v>15</v>
      </c>
    </row>
    <row r="59" spans="2:34" ht="30" customHeight="1" x14ac:dyDescent="0.25">
      <c r="B59" s="32" t="s">
        <v>150</v>
      </c>
      <c r="C59" s="18" t="s">
        <v>3</v>
      </c>
      <c r="D59" s="18"/>
      <c r="E59" s="18"/>
      <c r="F59" s="18"/>
      <c r="G59" s="18"/>
      <c r="H59" s="18"/>
      <c r="I59" s="18" t="s">
        <v>66</v>
      </c>
      <c r="J59" s="18" t="s">
        <v>66</v>
      </c>
      <c r="K59" s="18" t="s">
        <v>66</v>
      </c>
      <c r="L59" s="18" t="s">
        <v>66</v>
      </c>
      <c r="M59" s="18" t="s">
        <v>66</v>
      </c>
      <c r="N59" s="18" t="s">
        <v>66</v>
      </c>
      <c r="O59" s="18" t="s">
        <v>66</v>
      </c>
      <c r="P59" s="18" t="s">
        <v>66</v>
      </c>
      <c r="Q59" s="18" t="s">
        <v>66</v>
      </c>
      <c r="R59" s="18" t="s">
        <v>66</v>
      </c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 t="s">
        <v>5</v>
      </c>
      <c r="AD59" s="18" t="s">
        <v>5</v>
      </c>
      <c r="AE59" s="18" t="s">
        <v>5</v>
      </c>
      <c r="AF59" s="18" t="s">
        <v>5</v>
      </c>
      <c r="AG59" s="18"/>
      <c r="AH59" s="27">
        <f>COUNTA(月11_279[[#This Row],[1]:[ ]])</f>
        <v>15</v>
      </c>
    </row>
    <row r="60" spans="2:34" ht="30" customHeight="1" x14ac:dyDescent="0.25">
      <c r="B60" s="32" t="s">
        <v>151</v>
      </c>
      <c r="C60" s="18" t="s">
        <v>3</v>
      </c>
      <c r="D60" s="18"/>
      <c r="E60" s="18"/>
      <c r="F60" s="18"/>
      <c r="G60" s="18"/>
      <c r="H60" s="18"/>
      <c r="I60" s="18" t="s">
        <v>66</v>
      </c>
      <c r="J60" s="18" t="s">
        <v>66</v>
      </c>
      <c r="K60" s="18" t="s">
        <v>66</v>
      </c>
      <c r="L60" s="18" t="s">
        <v>66</v>
      </c>
      <c r="M60" s="18" t="s">
        <v>66</v>
      </c>
      <c r="N60" s="18" t="s">
        <v>66</v>
      </c>
      <c r="O60" s="18" t="s">
        <v>66</v>
      </c>
      <c r="P60" s="18" t="s">
        <v>66</v>
      </c>
      <c r="Q60" s="18" t="s">
        <v>66</v>
      </c>
      <c r="R60" s="18" t="s">
        <v>66</v>
      </c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 t="s">
        <v>5</v>
      </c>
      <c r="AD60" s="18" t="s">
        <v>5</v>
      </c>
      <c r="AE60" s="18" t="s">
        <v>5</v>
      </c>
      <c r="AF60" s="18" t="s">
        <v>5</v>
      </c>
      <c r="AG60" s="18"/>
      <c r="AH60" s="27">
        <f>COUNTA(月11_279[[#This Row],[1]:[ ]])</f>
        <v>15</v>
      </c>
    </row>
    <row r="61" spans="2:34" ht="30" customHeight="1" x14ac:dyDescent="0.25">
      <c r="B61" s="32" t="s">
        <v>152</v>
      </c>
      <c r="C61" s="18" t="s">
        <v>3</v>
      </c>
      <c r="D61" s="18"/>
      <c r="E61" s="18"/>
      <c r="F61" s="18"/>
      <c r="G61" s="18"/>
      <c r="H61" s="18"/>
      <c r="I61" s="18" t="s">
        <v>66</v>
      </c>
      <c r="J61" s="18" t="s">
        <v>66</v>
      </c>
      <c r="K61" s="18" t="s">
        <v>66</v>
      </c>
      <c r="L61" s="18" t="s">
        <v>66</v>
      </c>
      <c r="M61" s="18" t="s">
        <v>66</v>
      </c>
      <c r="N61" s="18" t="s">
        <v>66</v>
      </c>
      <c r="O61" s="18" t="s">
        <v>66</v>
      </c>
      <c r="P61" s="18" t="s">
        <v>66</v>
      </c>
      <c r="Q61" s="18" t="s">
        <v>66</v>
      </c>
      <c r="R61" s="18" t="s">
        <v>66</v>
      </c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 t="s">
        <v>5</v>
      </c>
      <c r="AD61" s="18" t="s">
        <v>5</v>
      </c>
      <c r="AE61" s="18" t="s">
        <v>5</v>
      </c>
      <c r="AF61" s="18" t="s">
        <v>5</v>
      </c>
      <c r="AG61" s="18"/>
      <c r="AH61" s="27">
        <f>COUNTA(月11_279[[#This Row],[1]:[ ]])</f>
        <v>15</v>
      </c>
    </row>
    <row r="62" spans="2:34" ht="30" customHeight="1" x14ac:dyDescent="0.25">
      <c r="B62" s="32" t="s">
        <v>153</v>
      </c>
      <c r="C62" s="18" t="s">
        <v>3</v>
      </c>
      <c r="D62" s="18"/>
      <c r="E62" s="18"/>
      <c r="F62" s="18"/>
      <c r="G62" s="18"/>
      <c r="H62" s="18"/>
      <c r="I62" s="18" t="s">
        <v>66</v>
      </c>
      <c r="J62" s="18" t="s">
        <v>66</v>
      </c>
      <c r="K62" s="18" t="s">
        <v>66</v>
      </c>
      <c r="L62" s="18" t="s">
        <v>66</v>
      </c>
      <c r="M62" s="18" t="s">
        <v>66</v>
      </c>
      <c r="N62" s="18" t="s">
        <v>66</v>
      </c>
      <c r="O62" s="18" t="s">
        <v>66</v>
      </c>
      <c r="P62" s="18" t="s">
        <v>66</v>
      </c>
      <c r="Q62" s="18" t="s">
        <v>66</v>
      </c>
      <c r="R62" s="18" t="s">
        <v>66</v>
      </c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 t="s">
        <v>5</v>
      </c>
      <c r="AD62" s="18" t="s">
        <v>5</v>
      </c>
      <c r="AE62" s="18" t="s">
        <v>5</v>
      </c>
      <c r="AF62" s="18" t="s">
        <v>5</v>
      </c>
      <c r="AG62" s="18"/>
      <c r="AH62" s="27">
        <f>COUNTA(月11_279[[#This Row],[1]:[ ]])</f>
        <v>15</v>
      </c>
    </row>
    <row r="63" spans="2:34" ht="30" customHeight="1" x14ac:dyDescent="0.25">
      <c r="B63" s="32" t="s">
        <v>154</v>
      </c>
      <c r="C63" s="18" t="s">
        <v>3</v>
      </c>
      <c r="D63" s="18"/>
      <c r="E63" s="18"/>
      <c r="F63" s="18"/>
      <c r="G63" s="18"/>
      <c r="H63" s="18"/>
      <c r="I63" s="18" t="s">
        <v>66</v>
      </c>
      <c r="J63" s="18" t="s">
        <v>66</v>
      </c>
      <c r="K63" s="18" t="s">
        <v>66</v>
      </c>
      <c r="L63" s="18" t="s">
        <v>66</v>
      </c>
      <c r="M63" s="18" t="s">
        <v>66</v>
      </c>
      <c r="N63" s="18" t="s">
        <v>66</v>
      </c>
      <c r="O63" s="18" t="s">
        <v>66</v>
      </c>
      <c r="P63" s="18" t="s">
        <v>66</v>
      </c>
      <c r="Q63" s="18" t="s">
        <v>66</v>
      </c>
      <c r="R63" s="18" t="s">
        <v>66</v>
      </c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 t="s">
        <v>5</v>
      </c>
      <c r="AD63" s="18" t="s">
        <v>5</v>
      </c>
      <c r="AE63" s="18" t="s">
        <v>5</v>
      </c>
      <c r="AF63" s="18" t="s">
        <v>5</v>
      </c>
      <c r="AG63" s="18"/>
      <c r="AH63" s="27">
        <f>COUNTA(月11_279[[#This Row],[1]:[ ]])</f>
        <v>15</v>
      </c>
    </row>
    <row r="64" spans="2:34" ht="30" customHeight="1" x14ac:dyDescent="0.25">
      <c r="B64" s="32" t="s">
        <v>155</v>
      </c>
      <c r="C64" s="18" t="s">
        <v>3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27">
        <f>COUNTA(月11_279[[#This Row],[1]:[ ]])</f>
        <v>1</v>
      </c>
    </row>
    <row r="65" spans="2:34" ht="30" customHeight="1" x14ac:dyDescent="0.25">
      <c r="B65" s="32" t="s">
        <v>156</v>
      </c>
      <c r="C65" s="18" t="s">
        <v>3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27">
        <f>COUNTA(月11_279[[#This Row],[1]:[ ]])</f>
        <v>1</v>
      </c>
    </row>
    <row r="66" spans="2:34" ht="30" customHeight="1" x14ac:dyDescent="0.25">
      <c r="B66" s="21" t="str">
        <f>MonthName&amp;"集計"</f>
        <v>5月集計</v>
      </c>
      <c r="C66" s="22">
        <f>SUBTOTAL(103,月11_279[1])</f>
        <v>25</v>
      </c>
      <c r="D66" s="22">
        <f>SUBTOTAL(103,月11_279[2])</f>
        <v>0</v>
      </c>
      <c r="E66" s="22">
        <f>SUBTOTAL(103,月11_279[3])</f>
        <v>0</v>
      </c>
      <c r="F66" s="22">
        <f>SUBTOTAL(103,月11_279[4])</f>
        <v>0</v>
      </c>
      <c r="G66" s="22">
        <f>SUBTOTAL(103,月11_279[5])</f>
        <v>0</v>
      </c>
      <c r="H66" s="22">
        <f>SUBTOTAL(103,月11_279[6])</f>
        <v>0</v>
      </c>
      <c r="I66" s="22">
        <f>SUBTOTAL(103,月11_279[7])</f>
        <v>45</v>
      </c>
      <c r="J66" s="22">
        <f>SUBTOTAL(103,月11_279[8])</f>
        <v>45</v>
      </c>
      <c r="K66" s="22">
        <f>SUBTOTAL(103,月11_279[9])</f>
        <v>45</v>
      </c>
      <c r="L66" s="22">
        <f>SUBTOTAL(103,月11_279[10])</f>
        <v>45</v>
      </c>
      <c r="M66" s="22">
        <f>SUBTOTAL(103,月11_279[11])</f>
        <v>45</v>
      </c>
      <c r="N66" s="22">
        <f>SUBTOTAL(103,月11_279[12])</f>
        <v>45</v>
      </c>
      <c r="O66" s="22">
        <f>SUBTOTAL(103,月11_279[13])</f>
        <v>45</v>
      </c>
      <c r="P66" s="22">
        <f>SUBTOTAL(103,月11_279[14])</f>
        <v>45</v>
      </c>
      <c r="Q66" s="22">
        <f>SUBTOTAL(103,月11_279[15])</f>
        <v>45</v>
      </c>
      <c r="R66" s="22">
        <f>SUBTOTAL(103,月11_279[16])</f>
        <v>45</v>
      </c>
      <c r="S66" s="22">
        <f>SUBTOTAL(103,月11_279[17])</f>
        <v>10</v>
      </c>
      <c r="T66" s="22">
        <f>SUBTOTAL(103,月11_279[18])</f>
        <v>10</v>
      </c>
      <c r="U66" s="22">
        <f>SUBTOTAL(103,月11_279[19])</f>
        <v>33</v>
      </c>
      <c r="V66" s="22">
        <f>SUBTOTAL(103,月11_279[20])</f>
        <v>33</v>
      </c>
      <c r="W66" s="22">
        <f>SUBTOTAL(103,月11_279[21])</f>
        <v>33</v>
      </c>
      <c r="X66" s="22">
        <f>SUBTOTAL(103,月11_279[22])</f>
        <v>33</v>
      </c>
      <c r="Y66" s="22">
        <f>SUBTOTAL(103,月11_279[23])</f>
        <v>33</v>
      </c>
      <c r="Z66" s="22">
        <f>SUBTOTAL(103,月11_279[24])</f>
        <v>33</v>
      </c>
      <c r="AA66" s="22">
        <f>SUBTOTAL(103,月11_279[25])</f>
        <v>33</v>
      </c>
      <c r="AB66" s="22">
        <f>SUBTOTAL(103,月11_279[26])</f>
        <v>23</v>
      </c>
      <c r="AC66" s="22">
        <f>SUBTOTAL(103,月11_279[27])</f>
        <v>34</v>
      </c>
      <c r="AD66" s="22">
        <f>SUBTOTAL(103,月11_279[28])</f>
        <v>45</v>
      </c>
      <c r="AE66" s="22">
        <f>SUBTOTAL(103,月11_279[29])</f>
        <v>45</v>
      </c>
      <c r="AF66" s="22">
        <f>SUBTOTAL(109,月11_279[30])</f>
        <v>0</v>
      </c>
      <c r="AG66" s="22">
        <f>SUBTOTAL(109,月11_279[[ ]])</f>
        <v>0</v>
      </c>
      <c r="AH66" s="22">
        <f>SUBTOTAL(109,月11_279[合計日数])</f>
        <v>930</v>
      </c>
    </row>
  </sheetData>
  <mergeCells count="6">
    <mergeCell ref="C6:AG6"/>
    <mergeCell ref="D4:F4"/>
    <mergeCell ref="H4:J4"/>
    <mergeCell ref="L4:M4"/>
    <mergeCell ref="O4:Q4"/>
    <mergeCell ref="S4:U4"/>
  </mergeCells>
  <phoneticPr fontId="10"/>
  <conditionalFormatting sqref="C9:AG40 C41:R41 AD41:AG52 D42:H52 I42:R63 C42:C65 L64:P65">
    <cfRule type="expression" dxfId="329" priority="84" stopIfTrue="1">
      <formula>C9=KeyVacation</formula>
    </cfRule>
    <cfRule type="expression" dxfId="328" priority="83" stopIfTrue="1">
      <formula>C9=KeyPersonal</formula>
    </cfRule>
    <cfRule type="expression" dxfId="327" priority="82" stopIfTrue="1">
      <formula>C9=KeySick</formula>
    </cfRule>
    <cfRule type="expression" dxfId="326" priority="80" stopIfTrue="1">
      <formula>C9=KeyCustom2</formula>
    </cfRule>
    <cfRule type="expression" dxfId="325" priority="81" stopIfTrue="1">
      <formula>C9=KeyCustom1</formula>
    </cfRule>
  </conditionalFormatting>
  <conditionalFormatting sqref="S41:T63">
    <cfRule type="expression" dxfId="324" priority="23" stopIfTrue="1">
      <formula>S41=KeyPersonal</formula>
    </cfRule>
    <cfRule type="expression" priority="19" stopIfTrue="1">
      <formula>S41=""</formula>
    </cfRule>
    <cfRule type="expression" dxfId="323" priority="20" stopIfTrue="1">
      <formula>S41=KeyCustom2</formula>
    </cfRule>
    <cfRule type="expression" dxfId="322" priority="21" stopIfTrue="1">
      <formula>S41=KeyCustom1</formula>
    </cfRule>
    <cfRule type="expression" dxfId="321" priority="22" stopIfTrue="1">
      <formula>S41=KeySick</formula>
    </cfRule>
    <cfRule type="expression" dxfId="320" priority="24" stopIfTrue="1">
      <formula>S41=KeyVacation</formula>
    </cfRule>
  </conditionalFormatting>
  <conditionalFormatting sqref="U58:AB63 U64:AF64">
    <cfRule type="expression" dxfId="319" priority="18" stopIfTrue="1">
      <formula>U58=KeyVacation</formula>
    </cfRule>
    <cfRule type="expression" priority="13" stopIfTrue="1">
      <formula>U58=""</formula>
    </cfRule>
    <cfRule type="expression" dxfId="318" priority="14" stopIfTrue="1">
      <formula>U58=KeyCustom2</formula>
    </cfRule>
    <cfRule type="expression" dxfId="317" priority="15" stopIfTrue="1">
      <formula>U58=KeyCustom1</formula>
    </cfRule>
    <cfRule type="expression" dxfId="316" priority="16" stopIfTrue="1">
      <formula>U58=KeySick</formula>
    </cfRule>
    <cfRule type="expression" dxfId="315" priority="17" stopIfTrue="1">
      <formula>U58=KeyPersonal</formula>
    </cfRule>
  </conditionalFormatting>
  <conditionalFormatting sqref="U41:AG52 U41:AA57">
    <cfRule type="expression" priority="73" stopIfTrue="1">
      <formula>U41=""</formula>
    </cfRule>
    <cfRule type="expression" dxfId="314" priority="74" stopIfTrue="1">
      <formula>U41=KeyCustom2</formula>
    </cfRule>
    <cfRule type="expression" dxfId="313" priority="75" stopIfTrue="1">
      <formula>U41=KeyCustom1</formula>
    </cfRule>
    <cfRule type="expression" dxfId="312" priority="77" stopIfTrue="1">
      <formula>U41=KeyPersonal</formula>
    </cfRule>
    <cfRule type="expression" dxfId="311" priority="78" stopIfTrue="1">
      <formula>U41=KeyVacation</formula>
    </cfRule>
    <cfRule type="expression" dxfId="310" priority="76" stopIfTrue="1">
      <formula>U41=KeySick</formula>
    </cfRule>
  </conditionalFormatting>
  <conditionalFormatting sqref="AB41:AC52">
    <cfRule type="expression" dxfId="309" priority="71" stopIfTrue="1">
      <formula>AB41=KeyPersonal</formula>
    </cfRule>
    <cfRule type="expression" dxfId="308" priority="72" stopIfTrue="1">
      <formula>AB41=KeyVacation</formula>
    </cfRule>
    <cfRule type="expression" priority="67" stopIfTrue="1">
      <formula>AB41=""</formula>
    </cfRule>
    <cfRule type="expression" dxfId="307" priority="68" stopIfTrue="1">
      <formula>AB41=KeyCustom2</formula>
    </cfRule>
    <cfRule type="expression" dxfId="306" priority="69" stopIfTrue="1">
      <formula>AB41=KeyCustom1</formula>
    </cfRule>
    <cfRule type="expression" dxfId="305" priority="70" stopIfTrue="1">
      <formula>AB41=KeySick</formula>
    </cfRule>
  </conditionalFormatting>
  <conditionalFormatting sqref="AC53:AF63">
    <cfRule type="expression" priority="1" stopIfTrue="1">
      <formula>AC53=""</formula>
    </cfRule>
    <cfRule type="expression" dxfId="304" priority="2" stopIfTrue="1">
      <formula>AC53=KeyCustom2</formula>
    </cfRule>
    <cfRule type="expression" dxfId="303" priority="3" stopIfTrue="1">
      <formula>AC53=KeyCustom1</formula>
    </cfRule>
    <cfRule type="expression" dxfId="302" priority="4" stopIfTrue="1">
      <formula>AC53=KeySick</formula>
    </cfRule>
    <cfRule type="expression" dxfId="301" priority="5" stopIfTrue="1">
      <formula>AC53=KeyPersonal</formula>
    </cfRule>
    <cfRule type="expression" dxfId="300" priority="6" stopIfTrue="1">
      <formula>AC53=KeyVacation</formula>
    </cfRule>
  </conditionalFormatting>
  <conditionalFormatting sqref="AD41:AG52 C9:AG40 C41:R41 D42:H52 I42:R63 C42:C65 L64:P65">
    <cfRule type="expression" priority="79" stopIfTrue="1">
      <formula>C9=""</formula>
    </cfRule>
  </conditionalFormatting>
  <conditionalFormatting sqref="AG58:AG64">
    <cfRule type="expression" dxfId="299" priority="12" stopIfTrue="1">
      <formula>AG58=KeyVacation</formula>
    </cfRule>
    <cfRule type="expression" dxfId="298" priority="11" stopIfTrue="1">
      <formula>AG58=KeyPersonal</formula>
    </cfRule>
    <cfRule type="expression" dxfId="297" priority="10" stopIfTrue="1">
      <formula>AG58=KeySick</formula>
    </cfRule>
    <cfRule type="expression" dxfId="296" priority="9" stopIfTrue="1">
      <formula>AG58=KeyCustom1</formula>
    </cfRule>
    <cfRule type="expression" dxfId="295" priority="8" stopIfTrue="1">
      <formula>AG58=KeyCustom2</formula>
    </cfRule>
    <cfRule type="expression" priority="7" stopIfTrue="1">
      <formula>AG58=""</formula>
    </cfRule>
  </conditionalFormatting>
  <conditionalFormatting sqref="AH9:AH41 AH43:AH52">
    <cfRule type="dataBar" priority="92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{859B1E06-5C61-4850-8FBC-FD684B5BE368}</x14:id>
        </ext>
      </extLst>
    </cfRule>
  </conditionalFormatting>
  <conditionalFormatting sqref="AH42">
    <cfRule type="dataBar" priority="85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{FEE4F8D2-253C-472D-B6B1-F2DDD687A764}</x14:id>
        </ext>
      </extLst>
    </cfRule>
  </conditionalFormatting>
  <dataValidations count="15">
    <dataValidation allowBlank="1" showInputMessage="1" showErrorMessage="1" prompt="このセルには、ワークシートのタイトルが入ります。" sqref="B1" xr:uid="{A9DE674D-93F2-42D0-ABD4-0C37BA8608CD}"/>
    <dataValidation allowBlank="1" showInputMessage="1" showErrorMessage="1" prompt="この行の曜日は、AH4 の年に従い当月に応じて自動的に更新されます。月の各日付は、従業員の欠勤と欠勤の種類を記録するための列です" sqref="C7 G7 K7 O7 S7 W7 AA7 AE7" xr:uid="{818D590E-13D4-4FFE-8432-0BEC965FCD28}"/>
    <dataValidation allowBlank="1" showInputMessage="1" showErrorMessage="1" prompt="1 月のワークシートに入力した年に基づいて自動的に更新される年" sqref="AH6" xr:uid="{1DD84DF2-3C16-4848-A8CE-395936B01AE7}"/>
    <dataValidation allowBlank="1" showInputMessage="1" showErrorMessage="1" prompt="この列で、従業員の今月の欠勤日数の合計を自動的に計算します" sqref="AH8" xr:uid="{E5CD96A5-DF52-4F00-8420-710C02D4BF83}"/>
    <dataValidation allowBlank="1" showInputMessage="1" showErrorMessage="1" prompt="このワークシートでは 11 月の欠勤を管理します" sqref="A1" xr:uid="{A8717F8B-3F3E-4A8D-8501-44E05CD7B7D2}"/>
    <dataValidation errorStyle="warning" allowBlank="1" showInputMessage="1" showErrorMessage="1" error="リストから名前を選択します。[キャンセル] を選択し、Alt キーを押しながら下方向キーを押してから、Enter キーを押して名前を選択します" prompt="従業員名ワークシートに従業員の名前を入力し、この列のリストから名前を選びます。Alt キーを押しながら下矢印キーを押して、Enter キーを押して名前を選択します" sqref="B8" xr:uid="{41162514-D6DB-4B33-B886-0B69487B8495}"/>
    <dataValidation allowBlank="1" showInputMessage="1" showErrorMessage="1" prompt="自動的に更新されるタイトルが、このセルの内容です。タイトルを変更するには、1 月のワークシートの B1 を更新します" sqref="B2" xr:uid="{200179BA-F4F3-4F0B-B513-A993F1B798B2}"/>
    <dataValidation allowBlank="1" showErrorMessage="1" prompt="文字 &quot;V&quot; は休暇のための欠勤を表します" sqref="C4" xr:uid="{CADC8017-23C1-4C48-85B2-BAF82C0FA670}"/>
    <dataValidation allowBlank="1" showErrorMessage="1" prompt="文字 &quot;P&quot; は私用による欠勤を表します" sqref="G4" xr:uid="{F536F7A7-40C4-4F93-B4A3-E7A2E6D920B1}"/>
    <dataValidation allowBlank="1" showErrorMessage="1" prompt="文字 &quot;S&quot; は病欠を表します" sqref="K4" xr:uid="{92B553F0-0F2A-417E-8EB9-5F88E0D6D0D2}"/>
    <dataValidation allowBlank="1" showErrorMessage="1" prompt="右側に文字を入力してラベルをカスタマイズし、別のキー項目を追加します" sqref="R4 N4" xr:uid="{3398A1B5-88FF-414E-855C-06B57F67B385}"/>
    <dataValidation allowBlank="1" showInputMessage="1" showErrorMessage="1" prompt="左側にカスタム キーを表すラベルを入力します" sqref="O4:Q4 S4:U4" xr:uid="{D847C02D-A916-47B8-9BFE-E225063C867F}"/>
    <dataValidation allowBlank="1" showInputMessage="1" showErrorMessage="1" prompt="この行には、テーブルで使用するキーが定義されています。セル C4 は休暇、G4 は私用、K4 は病欠です。セル N4 と R4 はカスタマイズ可能です" sqref="B4" xr:uid="{6925BCC0-EB0D-4BB3-9A6D-164A9A7A6FE5}"/>
    <dataValidation allowBlank="1" showInputMessage="1" showErrorMessage="1" prompt="このセルには、この欠勤管理の月の名前が入ります。テーブルの最後のセルには、この月の欠勤日数の合計が表示されます。テーブルの列 B で従業員名を選択します" sqref="B2" xr:uid="{FFCC4A77-A443-4BE4-94F9-81CE1B6B3BE9}"/>
    <dataValidation allowBlank="1" showInputMessage="1" showErrorMessage="1" prompt="この行の月の日付は、自動的に生成されます。従業員の欠勤と欠勤の種類を月の各日付の各列に入力します。空白は欠勤でないことを示します" sqref="C8" xr:uid="{CE8B6D73-863D-410B-8B51-4E216D0AD740}"/>
  </dataValidations>
  <pageMargins left="0.7" right="0.7" top="0.75" bottom="0.75" header="0.3" footer="0.3"/>
  <pageSetup paperSize="9" fitToHeight="0" orientation="portrait" verticalDpi="4294967293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9B1E06-5C61-4850-8FBC-FD684B5BE368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AH9:AH41 AH43:AH52</xm:sqref>
        </x14:conditionalFormatting>
        <x14:conditionalFormatting xmlns:xm="http://schemas.microsoft.com/office/excel/2006/main">
          <x14:cfRule type="dataBar" id="{FEE4F8D2-253C-472D-B6B1-F2DDD687A764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93E682-CAF9-4476-8AC8-8A7E89D33238}">
          <x14:formula1>
            <xm:f>従業員名!$B$4:$B$60</xm:f>
          </x14:formula1>
          <xm:sqref>B9:B54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F7CD-461F-456D-9216-95055D6E33FE}">
  <sheetPr>
    <tabColor theme="7"/>
  </sheetPr>
  <dimension ref="B1:AH66"/>
  <sheetViews>
    <sheetView showGridLines="0" topLeftCell="A23" zoomScale="85" zoomScaleNormal="85" workbookViewId="0">
      <selection activeCell="AJ35" sqref="AJ35"/>
    </sheetView>
  </sheetViews>
  <sheetFormatPr defaultColWidth="8.77734375" defaultRowHeight="30" customHeight="1" x14ac:dyDescent="0.25"/>
  <cols>
    <col min="1" max="1" width="2.88671875" customWidth="1"/>
    <col min="2" max="2" width="25.77734375" customWidth="1"/>
    <col min="3" max="33" width="4.77734375" customWidth="1"/>
    <col min="34" max="34" width="13.44140625" customWidth="1"/>
    <col min="35" max="35" width="2.88671875" customWidth="1"/>
  </cols>
  <sheetData>
    <row r="1" spans="2:34" ht="26.45" customHeight="1" x14ac:dyDescent="0.35">
      <c r="B1" s="2" t="s">
        <v>0</v>
      </c>
    </row>
    <row r="2" spans="2:34" ht="48.6" customHeight="1" x14ac:dyDescent="0.25">
      <c r="B2" s="28" t="s">
        <v>159</v>
      </c>
    </row>
    <row r="3" spans="2:34" ht="8.4499999999999993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2:34" ht="30" customHeight="1" x14ac:dyDescent="0.25">
      <c r="B4" s="8" t="s">
        <v>2</v>
      </c>
      <c r="C4" s="9" t="s">
        <v>3</v>
      </c>
      <c r="D4" s="37" t="s">
        <v>4</v>
      </c>
      <c r="E4" s="37"/>
      <c r="F4" s="37"/>
      <c r="G4" s="10" t="s">
        <v>5</v>
      </c>
      <c r="H4" s="37" t="s">
        <v>6</v>
      </c>
      <c r="I4" s="37"/>
      <c r="J4" s="37"/>
      <c r="K4" s="11"/>
      <c r="L4" s="37"/>
      <c r="M4" s="37"/>
      <c r="N4" s="12"/>
      <c r="O4" s="37" t="s">
        <v>7</v>
      </c>
      <c r="P4" s="37"/>
      <c r="Q4" s="37"/>
      <c r="R4" s="13"/>
      <c r="S4" s="37" t="s">
        <v>8</v>
      </c>
      <c r="T4" s="37"/>
      <c r="U4" s="37"/>
    </row>
    <row r="5" spans="2:34" ht="8.4499999999999993" customHeight="1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2:34" ht="15" customHeight="1" x14ac:dyDescent="0.25">
      <c r="B6" s="1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15">
        <v>2025</v>
      </c>
    </row>
    <row r="7" spans="2:34" ht="30" customHeight="1" x14ac:dyDescent="0.25">
      <c r="B7" s="15"/>
      <c r="C7" s="16" t="s">
        <v>142</v>
      </c>
      <c r="D7" s="16" t="s">
        <v>143</v>
      </c>
      <c r="E7" s="16" t="s">
        <v>137</v>
      </c>
      <c r="F7" s="16" t="s">
        <v>138</v>
      </c>
      <c r="G7" s="16" t="s">
        <v>139</v>
      </c>
      <c r="H7" s="16" t="s">
        <v>140</v>
      </c>
      <c r="I7" s="16" t="s">
        <v>141</v>
      </c>
      <c r="J7" s="16" t="s">
        <v>142</v>
      </c>
      <c r="K7" s="16" t="s">
        <v>143</v>
      </c>
      <c r="L7" s="16" t="s">
        <v>137</v>
      </c>
      <c r="M7" s="16" t="s">
        <v>138</v>
      </c>
      <c r="N7" s="16" t="s">
        <v>139</v>
      </c>
      <c r="O7" s="16" t="s">
        <v>140</v>
      </c>
      <c r="P7" s="16" t="s">
        <v>141</v>
      </c>
      <c r="Q7" s="16" t="s">
        <v>142</v>
      </c>
      <c r="R7" s="16" t="s">
        <v>143</v>
      </c>
      <c r="S7" s="16" t="s">
        <v>137</v>
      </c>
      <c r="T7" s="16" t="s">
        <v>138</v>
      </c>
      <c r="U7" s="16" t="s">
        <v>139</v>
      </c>
      <c r="V7" s="16" t="s">
        <v>140</v>
      </c>
      <c r="W7" s="16" t="s">
        <v>141</v>
      </c>
      <c r="X7" s="16" t="s">
        <v>142</v>
      </c>
      <c r="Y7" s="16" t="s">
        <v>143</v>
      </c>
      <c r="Z7" s="16" t="s">
        <v>137</v>
      </c>
      <c r="AA7" s="16" t="s">
        <v>138</v>
      </c>
      <c r="AB7" s="16" t="s">
        <v>139</v>
      </c>
      <c r="AC7" s="16" t="s">
        <v>140</v>
      </c>
      <c r="AD7" s="16" t="s">
        <v>141</v>
      </c>
      <c r="AE7" s="16" t="s">
        <v>142</v>
      </c>
      <c r="AF7" s="16" t="s">
        <v>143</v>
      </c>
      <c r="AG7" s="16"/>
      <c r="AH7" s="15"/>
    </row>
    <row r="8" spans="2:34" ht="30" customHeight="1" x14ac:dyDescent="0.25">
      <c r="B8" s="17" t="s">
        <v>9</v>
      </c>
      <c r="C8" s="18" t="s">
        <v>10</v>
      </c>
      <c r="D8" s="18" t="s">
        <v>11</v>
      </c>
      <c r="E8" s="18" t="s">
        <v>12</v>
      </c>
      <c r="F8" s="18" t="s">
        <v>13</v>
      </c>
      <c r="G8" s="18" t="s">
        <v>14</v>
      </c>
      <c r="H8" s="18" t="s">
        <v>15</v>
      </c>
      <c r="I8" s="18" t="s">
        <v>16</v>
      </c>
      <c r="J8" s="18" t="s">
        <v>17</v>
      </c>
      <c r="K8" s="18" t="s">
        <v>18</v>
      </c>
      <c r="L8" s="18" t="s">
        <v>19</v>
      </c>
      <c r="M8" s="18" t="s">
        <v>20</v>
      </c>
      <c r="N8" s="18" t="s">
        <v>21</v>
      </c>
      <c r="O8" s="18" t="s">
        <v>22</v>
      </c>
      <c r="P8" s="18" t="s">
        <v>23</v>
      </c>
      <c r="Q8" s="18" t="s">
        <v>24</v>
      </c>
      <c r="R8" s="18" t="s">
        <v>25</v>
      </c>
      <c r="S8" s="18" t="s">
        <v>26</v>
      </c>
      <c r="T8" s="18" t="s">
        <v>27</v>
      </c>
      <c r="U8" s="18" t="s">
        <v>28</v>
      </c>
      <c r="V8" s="18" t="s">
        <v>29</v>
      </c>
      <c r="W8" s="18" t="s">
        <v>30</v>
      </c>
      <c r="X8" s="18" t="s">
        <v>31</v>
      </c>
      <c r="Y8" s="18" t="s">
        <v>32</v>
      </c>
      <c r="Z8" s="18" t="s">
        <v>33</v>
      </c>
      <c r="AA8" s="18" t="s">
        <v>34</v>
      </c>
      <c r="AB8" s="18" t="s">
        <v>35</v>
      </c>
      <c r="AC8" s="18" t="s">
        <v>36</v>
      </c>
      <c r="AD8" s="18" t="s">
        <v>37</v>
      </c>
      <c r="AE8" s="18" t="s">
        <v>38</v>
      </c>
      <c r="AF8" s="18" t="s">
        <v>39</v>
      </c>
      <c r="AG8" s="18" t="s">
        <v>64</v>
      </c>
      <c r="AH8" s="19" t="s">
        <v>41</v>
      </c>
    </row>
    <row r="9" spans="2:34" ht="30" customHeight="1" x14ac:dyDescent="0.25">
      <c r="B9" s="20" t="s">
        <v>75</v>
      </c>
      <c r="C9" s="18"/>
      <c r="D9" s="18" t="s">
        <v>5</v>
      </c>
      <c r="E9" s="18" t="s">
        <v>5</v>
      </c>
      <c r="F9" s="18" t="s">
        <v>5</v>
      </c>
      <c r="G9" s="18" t="s">
        <v>5</v>
      </c>
      <c r="H9" s="18" t="s">
        <v>5</v>
      </c>
      <c r="I9" s="18" t="s">
        <v>5</v>
      </c>
      <c r="J9" s="18" t="s">
        <v>5</v>
      </c>
      <c r="K9" s="18"/>
      <c r="L9" s="18" t="s">
        <v>66</v>
      </c>
      <c r="M9" s="18" t="s">
        <v>66</v>
      </c>
      <c r="N9" s="18" t="s">
        <v>66</v>
      </c>
      <c r="O9" s="18" t="s">
        <v>66</v>
      </c>
      <c r="P9" s="18"/>
      <c r="Q9" s="18"/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  <c r="Y9" s="9" t="s">
        <v>3</v>
      </c>
      <c r="Z9" s="18" t="s">
        <v>160</v>
      </c>
      <c r="AA9" s="18" t="s">
        <v>160</v>
      </c>
      <c r="AB9" s="18" t="s">
        <v>160</v>
      </c>
      <c r="AC9" s="18" t="s">
        <v>160</v>
      </c>
      <c r="AD9" s="18" t="s">
        <v>160</v>
      </c>
      <c r="AE9" s="18" t="s">
        <v>160</v>
      </c>
      <c r="AF9" s="18" t="s">
        <v>160</v>
      </c>
      <c r="AG9" s="18"/>
      <c r="AH9" s="27">
        <f>COUNTA('25年6月'!$C9:$AG9)</f>
        <v>26</v>
      </c>
    </row>
    <row r="10" spans="2:34" ht="30" customHeight="1" x14ac:dyDescent="0.25">
      <c r="B10" s="20" t="s">
        <v>76</v>
      </c>
      <c r="C10" s="18"/>
      <c r="D10" s="18" t="s">
        <v>5</v>
      </c>
      <c r="E10" s="18" t="s">
        <v>5</v>
      </c>
      <c r="F10" s="18" t="s">
        <v>5</v>
      </c>
      <c r="G10" s="18" t="s">
        <v>5</v>
      </c>
      <c r="H10" s="18" t="s">
        <v>5</v>
      </c>
      <c r="I10" s="18" t="s">
        <v>5</v>
      </c>
      <c r="J10" s="18" t="s">
        <v>5</v>
      </c>
      <c r="K10" s="18"/>
      <c r="L10" s="18" t="s">
        <v>66</v>
      </c>
      <c r="M10" s="18" t="s">
        <v>66</v>
      </c>
      <c r="N10" s="18" t="s">
        <v>66</v>
      </c>
      <c r="O10" s="18" t="s">
        <v>66</v>
      </c>
      <c r="P10" s="18"/>
      <c r="Q10" s="18"/>
      <c r="R10" s="9" t="s">
        <v>3</v>
      </c>
      <c r="S10" s="9" t="s">
        <v>3</v>
      </c>
      <c r="T10" s="9" t="s">
        <v>3</v>
      </c>
      <c r="U10" s="9" t="s">
        <v>3</v>
      </c>
      <c r="V10" s="9" t="s">
        <v>3</v>
      </c>
      <c r="W10" s="9" t="s">
        <v>3</v>
      </c>
      <c r="X10" s="9" t="s">
        <v>3</v>
      </c>
      <c r="Y10" s="9" t="s">
        <v>3</v>
      </c>
      <c r="Z10" s="18" t="s">
        <v>160</v>
      </c>
      <c r="AA10" s="18" t="s">
        <v>160</v>
      </c>
      <c r="AB10" s="18" t="s">
        <v>160</v>
      </c>
      <c r="AC10" s="18" t="s">
        <v>160</v>
      </c>
      <c r="AD10" s="18" t="s">
        <v>160</v>
      </c>
      <c r="AE10" s="18" t="s">
        <v>160</v>
      </c>
      <c r="AF10" s="18" t="s">
        <v>160</v>
      </c>
      <c r="AG10" s="18"/>
      <c r="AH10" s="27">
        <f>COUNTA('25年6月'!$C10:$AG10)</f>
        <v>26</v>
      </c>
    </row>
    <row r="11" spans="2:34" ht="30" customHeight="1" x14ac:dyDescent="0.25">
      <c r="B11" s="20" t="s">
        <v>77</v>
      </c>
      <c r="C11" s="18"/>
      <c r="D11" s="18" t="s">
        <v>5</v>
      </c>
      <c r="E11" s="18" t="s">
        <v>5</v>
      </c>
      <c r="F11" s="18" t="s">
        <v>5</v>
      </c>
      <c r="G11" s="18" t="s">
        <v>5</v>
      </c>
      <c r="H11" s="18" t="s">
        <v>5</v>
      </c>
      <c r="I11" s="18" t="s">
        <v>5</v>
      </c>
      <c r="J11" s="18" t="s">
        <v>5</v>
      </c>
      <c r="K11" s="18"/>
      <c r="L11" s="18" t="s">
        <v>66</v>
      </c>
      <c r="M11" s="18" t="s">
        <v>66</v>
      </c>
      <c r="N11" s="18" t="s">
        <v>66</v>
      </c>
      <c r="O11" s="18" t="s">
        <v>66</v>
      </c>
      <c r="P11" s="18"/>
      <c r="Q11" s="18"/>
      <c r="R11" s="9" t="s">
        <v>3</v>
      </c>
      <c r="S11" s="9" t="s">
        <v>3</v>
      </c>
      <c r="T11" s="9" t="s">
        <v>3</v>
      </c>
      <c r="U11" s="9" t="s">
        <v>3</v>
      </c>
      <c r="V11" s="9" t="s">
        <v>3</v>
      </c>
      <c r="W11" s="9" t="s">
        <v>3</v>
      </c>
      <c r="X11" s="9" t="s">
        <v>3</v>
      </c>
      <c r="Y11" s="9" t="s">
        <v>3</v>
      </c>
      <c r="Z11" s="18" t="s">
        <v>160</v>
      </c>
      <c r="AA11" s="18" t="s">
        <v>160</v>
      </c>
      <c r="AB11" s="18" t="s">
        <v>160</v>
      </c>
      <c r="AC11" s="18" t="s">
        <v>160</v>
      </c>
      <c r="AD11" s="18" t="s">
        <v>160</v>
      </c>
      <c r="AE11" s="18" t="s">
        <v>160</v>
      </c>
      <c r="AF11" s="18" t="s">
        <v>160</v>
      </c>
      <c r="AG11" s="18"/>
      <c r="AH11" s="27">
        <f>COUNTA('25年6月'!$C11:$AG11)</f>
        <v>26</v>
      </c>
    </row>
    <row r="12" spans="2:34" ht="30" customHeight="1" x14ac:dyDescent="0.25">
      <c r="B12" s="20" t="s">
        <v>78</v>
      </c>
      <c r="C12" s="18"/>
      <c r="D12" s="18" t="s">
        <v>5</v>
      </c>
      <c r="E12" s="18" t="s">
        <v>5</v>
      </c>
      <c r="F12" s="18" t="s">
        <v>5</v>
      </c>
      <c r="G12" s="18" t="s">
        <v>5</v>
      </c>
      <c r="H12" s="18" t="s">
        <v>5</v>
      </c>
      <c r="I12" s="18" t="s">
        <v>5</v>
      </c>
      <c r="J12" s="18" t="s">
        <v>5</v>
      </c>
      <c r="K12" s="18"/>
      <c r="L12" s="18" t="s">
        <v>66</v>
      </c>
      <c r="M12" s="18" t="s">
        <v>66</v>
      </c>
      <c r="N12" s="18" t="s">
        <v>66</v>
      </c>
      <c r="O12" s="18" t="s">
        <v>66</v>
      </c>
      <c r="P12" s="18"/>
      <c r="Q12" s="18"/>
      <c r="R12" s="9" t="s">
        <v>3</v>
      </c>
      <c r="S12" s="9" t="s">
        <v>3</v>
      </c>
      <c r="T12" s="9" t="s">
        <v>3</v>
      </c>
      <c r="U12" s="9" t="s">
        <v>3</v>
      </c>
      <c r="V12" s="9" t="s">
        <v>3</v>
      </c>
      <c r="W12" s="9" t="s">
        <v>3</v>
      </c>
      <c r="X12" s="9" t="s">
        <v>3</v>
      </c>
      <c r="Y12" s="9" t="s">
        <v>3</v>
      </c>
      <c r="Z12" s="18" t="s">
        <v>160</v>
      </c>
      <c r="AA12" s="18" t="s">
        <v>160</v>
      </c>
      <c r="AB12" s="18" t="s">
        <v>160</v>
      </c>
      <c r="AC12" s="18" t="s">
        <v>160</v>
      </c>
      <c r="AD12" s="18" t="s">
        <v>160</v>
      </c>
      <c r="AE12" s="18" t="s">
        <v>160</v>
      </c>
      <c r="AF12" s="18" t="s">
        <v>160</v>
      </c>
      <c r="AG12" s="18"/>
      <c r="AH12" s="27">
        <f>COUNTA('25年6月'!$C12:$AG12)</f>
        <v>26</v>
      </c>
    </row>
    <row r="13" spans="2:34" ht="30" customHeight="1" x14ac:dyDescent="0.25">
      <c r="B13" s="20" t="s">
        <v>79</v>
      </c>
      <c r="C13" s="18"/>
      <c r="D13" s="18" t="s">
        <v>5</v>
      </c>
      <c r="E13" s="18" t="s">
        <v>5</v>
      </c>
      <c r="F13" s="18" t="s">
        <v>5</v>
      </c>
      <c r="G13" s="18" t="s">
        <v>5</v>
      </c>
      <c r="H13" s="18" t="s">
        <v>5</v>
      </c>
      <c r="I13" s="18" t="s">
        <v>5</v>
      </c>
      <c r="J13" s="18" t="s">
        <v>5</v>
      </c>
      <c r="K13" s="18"/>
      <c r="L13" s="18" t="s">
        <v>66</v>
      </c>
      <c r="M13" s="18" t="s">
        <v>66</v>
      </c>
      <c r="N13" s="18" t="s">
        <v>66</v>
      </c>
      <c r="O13" s="18" t="s">
        <v>66</v>
      </c>
      <c r="P13" s="18"/>
      <c r="Q13" s="18"/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  <c r="Y13" s="9" t="s">
        <v>3</v>
      </c>
      <c r="Z13" s="18" t="s">
        <v>160</v>
      </c>
      <c r="AA13" s="18" t="s">
        <v>160</v>
      </c>
      <c r="AB13" s="18" t="s">
        <v>160</v>
      </c>
      <c r="AC13" s="18" t="s">
        <v>160</v>
      </c>
      <c r="AD13" s="18" t="s">
        <v>160</v>
      </c>
      <c r="AE13" s="18" t="s">
        <v>160</v>
      </c>
      <c r="AF13" s="18" t="s">
        <v>160</v>
      </c>
      <c r="AG13" s="18"/>
      <c r="AH13" s="27">
        <f>COUNTA('25年6月'!$C13:$AG13)</f>
        <v>26</v>
      </c>
    </row>
    <row r="14" spans="2:34" ht="30" customHeight="1" x14ac:dyDescent="0.25">
      <c r="B14" s="20" t="s">
        <v>80</v>
      </c>
      <c r="C14" s="18"/>
      <c r="D14" s="18" t="s">
        <v>5</v>
      </c>
      <c r="E14" s="18" t="s">
        <v>5</v>
      </c>
      <c r="F14" s="18" t="s">
        <v>5</v>
      </c>
      <c r="G14" s="18" t="s">
        <v>5</v>
      </c>
      <c r="H14" s="18" t="s">
        <v>5</v>
      </c>
      <c r="I14" s="18" t="s">
        <v>5</v>
      </c>
      <c r="J14" s="18" t="s">
        <v>5</v>
      </c>
      <c r="K14" s="18"/>
      <c r="L14" s="18" t="s">
        <v>66</v>
      </c>
      <c r="M14" s="18" t="s">
        <v>66</v>
      </c>
      <c r="N14" s="18" t="s">
        <v>66</v>
      </c>
      <c r="O14" s="18" t="s">
        <v>66</v>
      </c>
      <c r="P14" s="18"/>
      <c r="Q14" s="18"/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  <c r="Y14" s="9" t="s">
        <v>3</v>
      </c>
      <c r="Z14" s="18" t="s">
        <v>160</v>
      </c>
      <c r="AA14" s="18" t="s">
        <v>160</v>
      </c>
      <c r="AB14" s="18" t="s">
        <v>160</v>
      </c>
      <c r="AC14" s="18" t="s">
        <v>160</v>
      </c>
      <c r="AD14" s="18" t="s">
        <v>160</v>
      </c>
      <c r="AE14" s="18" t="s">
        <v>160</v>
      </c>
      <c r="AF14" s="18" t="s">
        <v>160</v>
      </c>
      <c r="AG14" s="18"/>
      <c r="AH14" s="27">
        <f>COUNTA('25年6月'!$C14:$AG14)</f>
        <v>26</v>
      </c>
    </row>
    <row r="15" spans="2:34" ht="30" customHeight="1" x14ac:dyDescent="0.25">
      <c r="B15" s="20" t="s">
        <v>81</v>
      </c>
      <c r="C15" s="18"/>
      <c r="D15" s="18" t="s">
        <v>5</v>
      </c>
      <c r="E15" s="18" t="s">
        <v>5</v>
      </c>
      <c r="F15" s="18" t="s">
        <v>5</v>
      </c>
      <c r="G15" s="18" t="s">
        <v>5</v>
      </c>
      <c r="H15" s="18" t="s">
        <v>5</v>
      </c>
      <c r="I15" s="18" t="s">
        <v>5</v>
      </c>
      <c r="J15" s="18" t="s">
        <v>5</v>
      </c>
      <c r="K15" s="18"/>
      <c r="L15" s="18" t="s">
        <v>66</v>
      </c>
      <c r="M15" s="18" t="s">
        <v>66</v>
      </c>
      <c r="N15" s="18" t="s">
        <v>66</v>
      </c>
      <c r="O15" s="18" t="s">
        <v>66</v>
      </c>
      <c r="P15" s="18"/>
      <c r="Q15" s="18"/>
      <c r="R15" s="9" t="s">
        <v>3</v>
      </c>
      <c r="S15" s="9" t="s">
        <v>3</v>
      </c>
      <c r="T15" s="9" t="s">
        <v>3</v>
      </c>
      <c r="U15" s="9" t="s">
        <v>3</v>
      </c>
      <c r="V15" s="9" t="s">
        <v>3</v>
      </c>
      <c r="W15" s="9" t="s">
        <v>3</v>
      </c>
      <c r="X15" s="9" t="s">
        <v>3</v>
      </c>
      <c r="Y15" s="9" t="s">
        <v>3</v>
      </c>
      <c r="Z15" s="18" t="s">
        <v>160</v>
      </c>
      <c r="AA15" s="18" t="s">
        <v>160</v>
      </c>
      <c r="AB15" s="18" t="s">
        <v>160</v>
      </c>
      <c r="AC15" s="18" t="s">
        <v>160</v>
      </c>
      <c r="AD15" s="18" t="s">
        <v>160</v>
      </c>
      <c r="AE15" s="18" t="s">
        <v>160</v>
      </c>
      <c r="AF15" s="18" t="s">
        <v>160</v>
      </c>
      <c r="AG15" s="18"/>
      <c r="AH15" s="27">
        <f>COUNTA('25年6月'!$C15:$AG15)</f>
        <v>26</v>
      </c>
    </row>
    <row r="16" spans="2:34" ht="30" customHeight="1" x14ac:dyDescent="0.25">
      <c r="B16" s="20" t="s">
        <v>82</v>
      </c>
      <c r="C16" s="18"/>
      <c r="D16" s="18" t="s">
        <v>5</v>
      </c>
      <c r="E16" s="18" t="s">
        <v>5</v>
      </c>
      <c r="F16" s="18" t="s">
        <v>5</v>
      </c>
      <c r="G16" s="18" t="s">
        <v>5</v>
      </c>
      <c r="H16" s="18" t="s">
        <v>5</v>
      </c>
      <c r="I16" s="18" t="s">
        <v>5</v>
      </c>
      <c r="J16" s="18" t="s">
        <v>5</v>
      </c>
      <c r="K16" s="18"/>
      <c r="L16" s="18" t="s">
        <v>66</v>
      </c>
      <c r="M16" s="18" t="s">
        <v>66</v>
      </c>
      <c r="N16" s="18" t="s">
        <v>66</v>
      </c>
      <c r="O16" s="18" t="s">
        <v>66</v>
      </c>
      <c r="P16" s="18"/>
      <c r="Q16" s="18"/>
      <c r="R16" s="9" t="s">
        <v>3</v>
      </c>
      <c r="S16" s="9" t="s">
        <v>3</v>
      </c>
      <c r="T16" s="9" t="s">
        <v>3</v>
      </c>
      <c r="U16" s="9" t="s">
        <v>3</v>
      </c>
      <c r="V16" s="9" t="s">
        <v>3</v>
      </c>
      <c r="W16" s="9" t="s">
        <v>3</v>
      </c>
      <c r="X16" s="9" t="s">
        <v>3</v>
      </c>
      <c r="Y16" s="9" t="s">
        <v>3</v>
      </c>
      <c r="Z16" s="18" t="s">
        <v>160</v>
      </c>
      <c r="AA16" s="18" t="s">
        <v>160</v>
      </c>
      <c r="AB16" s="18" t="s">
        <v>160</v>
      </c>
      <c r="AC16" s="18" t="s">
        <v>160</v>
      </c>
      <c r="AD16" s="18" t="s">
        <v>160</v>
      </c>
      <c r="AE16" s="18" t="s">
        <v>160</v>
      </c>
      <c r="AF16" s="18" t="s">
        <v>160</v>
      </c>
      <c r="AG16" s="18"/>
      <c r="AH16" s="27">
        <f>COUNTA('25年6月'!$C16:$AG16)</f>
        <v>26</v>
      </c>
    </row>
    <row r="17" spans="2:34" ht="30" customHeight="1" x14ac:dyDescent="0.25">
      <c r="B17" s="20" t="s">
        <v>83</v>
      </c>
      <c r="C17" s="18"/>
      <c r="D17" s="18" t="s">
        <v>5</v>
      </c>
      <c r="E17" s="18" t="s">
        <v>5</v>
      </c>
      <c r="F17" s="18" t="s">
        <v>5</v>
      </c>
      <c r="G17" s="18" t="s">
        <v>5</v>
      </c>
      <c r="H17" s="18" t="s">
        <v>5</v>
      </c>
      <c r="I17" s="18" t="s">
        <v>5</v>
      </c>
      <c r="J17" s="18" t="s">
        <v>5</v>
      </c>
      <c r="K17" s="18"/>
      <c r="L17" s="18" t="s">
        <v>66</v>
      </c>
      <c r="M17" s="18" t="s">
        <v>66</v>
      </c>
      <c r="N17" s="18" t="s">
        <v>66</v>
      </c>
      <c r="O17" s="18" t="s">
        <v>66</v>
      </c>
      <c r="P17" s="18"/>
      <c r="Q17" s="18"/>
      <c r="R17" s="9" t="s">
        <v>3</v>
      </c>
      <c r="S17" s="9" t="s">
        <v>3</v>
      </c>
      <c r="T17" s="9" t="s">
        <v>3</v>
      </c>
      <c r="U17" s="9" t="s">
        <v>3</v>
      </c>
      <c r="V17" s="9" t="s">
        <v>3</v>
      </c>
      <c r="W17" s="9" t="s">
        <v>3</v>
      </c>
      <c r="X17" s="9" t="s">
        <v>3</v>
      </c>
      <c r="Y17" s="9" t="s">
        <v>3</v>
      </c>
      <c r="Z17" s="18" t="s">
        <v>160</v>
      </c>
      <c r="AA17" s="18" t="s">
        <v>160</v>
      </c>
      <c r="AB17" s="18" t="s">
        <v>160</v>
      </c>
      <c r="AC17" s="18" t="s">
        <v>160</v>
      </c>
      <c r="AD17" s="18" t="s">
        <v>160</v>
      </c>
      <c r="AE17" s="18" t="s">
        <v>160</v>
      </c>
      <c r="AF17" s="18" t="s">
        <v>160</v>
      </c>
      <c r="AG17" s="18"/>
      <c r="AH17" s="27">
        <f>COUNTA('25年6月'!$C17:$AG17)</f>
        <v>26</v>
      </c>
    </row>
    <row r="18" spans="2:34" ht="30" customHeight="1" x14ac:dyDescent="0.25">
      <c r="B18" s="20" t="s">
        <v>84</v>
      </c>
      <c r="C18" s="18"/>
      <c r="D18" s="18" t="s">
        <v>5</v>
      </c>
      <c r="E18" s="18" t="s">
        <v>5</v>
      </c>
      <c r="F18" s="18" t="s">
        <v>5</v>
      </c>
      <c r="G18" s="18" t="s">
        <v>5</v>
      </c>
      <c r="H18" s="18" t="s">
        <v>5</v>
      </c>
      <c r="I18" s="18" t="s">
        <v>5</v>
      </c>
      <c r="J18" s="18" t="s">
        <v>5</v>
      </c>
      <c r="K18" s="18"/>
      <c r="L18" s="18" t="s">
        <v>66</v>
      </c>
      <c r="M18" s="18" t="s">
        <v>66</v>
      </c>
      <c r="N18" s="18" t="s">
        <v>66</v>
      </c>
      <c r="O18" s="18" t="s">
        <v>66</v>
      </c>
      <c r="P18" s="18"/>
      <c r="Q18" s="18"/>
      <c r="R18" s="9" t="s">
        <v>3</v>
      </c>
      <c r="S18" s="9" t="s">
        <v>3</v>
      </c>
      <c r="T18" s="9" t="s">
        <v>3</v>
      </c>
      <c r="U18" s="9" t="s">
        <v>3</v>
      </c>
      <c r="V18" s="9" t="s">
        <v>3</v>
      </c>
      <c r="W18" s="9" t="s">
        <v>3</v>
      </c>
      <c r="X18" s="9" t="s">
        <v>3</v>
      </c>
      <c r="Y18" s="9" t="s">
        <v>3</v>
      </c>
      <c r="Z18" s="18" t="s">
        <v>160</v>
      </c>
      <c r="AA18" s="18" t="s">
        <v>160</v>
      </c>
      <c r="AB18" s="18" t="s">
        <v>160</v>
      </c>
      <c r="AC18" s="18" t="s">
        <v>160</v>
      </c>
      <c r="AD18" s="18" t="s">
        <v>160</v>
      </c>
      <c r="AE18" s="18" t="s">
        <v>160</v>
      </c>
      <c r="AF18" s="18" t="s">
        <v>160</v>
      </c>
      <c r="AG18" s="18"/>
      <c r="AH18" s="27">
        <f>COUNTA('25年6月'!$C18:$AG18)</f>
        <v>26</v>
      </c>
    </row>
    <row r="19" spans="2:34" ht="30" customHeight="1" x14ac:dyDescent="0.25">
      <c r="B19" s="20" t="s">
        <v>85</v>
      </c>
      <c r="C19" s="18"/>
      <c r="D19" s="18" t="s">
        <v>5</v>
      </c>
      <c r="E19" s="18" t="s">
        <v>5</v>
      </c>
      <c r="F19" s="18" t="s">
        <v>5</v>
      </c>
      <c r="G19" s="18" t="s">
        <v>5</v>
      </c>
      <c r="H19" s="18" t="s">
        <v>5</v>
      </c>
      <c r="I19" s="18" t="s">
        <v>5</v>
      </c>
      <c r="J19" s="18" t="s">
        <v>5</v>
      </c>
      <c r="K19" s="18"/>
      <c r="L19" s="18" t="s">
        <v>66</v>
      </c>
      <c r="M19" s="18" t="s">
        <v>66</v>
      </c>
      <c r="N19" s="18" t="s">
        <v>66</v>
      </c>
      <c r="O19" s="18" t="s">
        <v>66</v>
      </c>
      <c r="P19" s="18"/>
      <c r="Q19" s="18"/>
      <c r="R19" s="9" t="s">
        <v>3</v>
      </c>
      <c r="S19" s="9" t="s">
        <v>3</v>
      </c>
      <c r="T19" s="9" t="s">
        <v>3</v>
      </c>
      <c r="U19" s="9" t="s">
        <v>3</v>
      </c>
      <c r="V19" s="9" t="s">
        <v>3</v>
      </c>
      <c r="W19" s="9" t="s">
        <v>3</v>
      </c>
      <c r="X19" s="9" t="s">
        <v>3</v>
      </c>
      <c r="Y19" s="9" t="s">
        <v>3</v>
      </c>
      <c r="Z19" s="18" t="s">
        <v>160</v>
      </c>
      <c r="AA19" s="18" t="s">
        <v>160</v>
      </c>
      <c r="AB19" s="18" t="s">
        <v>160</v>
      </c>
      <c r="AC19" s="18" t="s">
        <v>160</v>
      </c>
      <c r="AD19" s="18" t="s">
        <v>160</v>
      </c>
      <c r="AE19" s="18" t="s">
        <v>160</v>
      </c>
      <c r="AF19" s="18" t="s">
        <v>160</v>
      </c>
      <c r="AG19" s="18"/>
      <c r="AH19" s="27">
        <f>COUNTA('25年6月'!$C19:$AG19)</f>
        <v>26</v>
      </c>
    </row>
    <row r="20" spans="2:34" ht="30" customHeight="1" x14ac:dyDescent="0.25">
      <c r="B20" s="31" t="s">
        <v>86</v>
      </c>
      <c r="C20" s="18"/>
      <c r="D20" s="18" t="s">
        <v>5</v>
      </c>
      <c r="E20" s="18" t="s">
        <v>5</v>
      </c>
      <c r="F20" s="18" t="s">
        <v>5</v>
      </c>
      <c r="G20" s="18" t="s">
        <v>5</v>
      </c>
      <c r="H20" s="18" t="s">
        <v>5</v>
      </c>
      <c r="I20" s="18" t="s">
        <v>5</v>
      </c>
      <c r="J20" s="18" t="s">
        <v>5</v>
      </c>
      <c r="K20" s="18" t="s">
        <v>66</v>
      </c>
      <c r="L20" s="18" t="s">
        <v>66</v>
      </c>
      <c r="M20" s="18" t="s">
        <v>66</v>
      </c>
      <c r="N20" s="18" t="s">
        <v>66</v>
      </c>
      <c r="O20" s="18" t="s">
        <v>66</v>
      </c>
      <c r="P20" s="18"/>
      <c r="Q20" s="18"/>
      <c r="R20" s="18" t="s">
        <v>66</v>
      </c>
      <c r="S20" s="18" t="s">
        <v>66</v>
      </c>
      <c r="T20" s="18" t="s">
        <v>66</v>
      </c>
      <c r="U20" s="18" t="s">
        <v>66</v>
      </c>
      <c r="V20" s="18" t="s">
        <v>160</v>
      </c>
      <c r="W20" s="18" t="s">
        <v>160</v>
      </c>
      <c r="X20" s="18" t="s">
        <v>160</v>
      </c>
      <c r="Y20" s="18" t="s">
        <v>160</v>
      </c>
      <c r="Z20" s="18" t="s">
        <v>160</v>
      </c>
      <c r="AA20" s="18" t="s">
        <v>160</v>
      </c>
      <c r="AB20" s="18" t="s">
        <v>160</v>
      </c>
      <c r="AC20" s="18" t="s">
        <v>160</v>
      </c>
      <c r="AD20" s="18" t="s">
        <v>160</v>
      </c>
      <c r="AE20" s="18" t="s">
        <v>160</v>
      </c>
      <c r="AF20" s="18" t="s">
        <v>160</v>
      </c>
      <c r="AG20" s="18"/>
      <c r="AH20" s="27">
        <f>COUNTA(月11_27[[#This Row],[1]:[31]])</f>
        <v>27</v>
      </c>
    </row>
    <row r="21" spans="2:34" ht="30" customHeight="1" x14ac:dyDescent="0.25">
      <c r="B21" s="31" t="s">
        <v>87</v>
      </c>
      <c r="C21" s="18"/>
      <c r="D21" s="18" t="s">
        <v>5</v>
      </c>
      <c r="E21" s="18" t="s">
        <v>5</v>
      </c>
      <c r="F21" s="18" t="s">
        <v>5</v>
      </c>
      <c r="G21" s="18" t="s">
        <v>5</v>
      </c>
      <c r="H21" s="18" t="s">
        <v>5</v>
      </c>
      <c r="I21" s="18" t="s">
        <v>5</v>
      </c>
      <c r="J21" s="18" t="s">
        <v>5</v>
      </c>
      <c r="K21" s="18" t="s">
        <v>66</v>
      </c>
      <c r="L21" s="18" t="s">
        <v>66</v>
      </c>
      <c r="M21" s="18" t="s">
        <v>66</v>
      </c>
      <c r="N21" s="18" t="s">
        <v>66</v>
      </c>
      <c r="O21" s="18" t="s">
        <v>66</v>
      </c>
      <c r="P21" s="18"/>
      <c r="Q21" s="18"/>
      <c r="R21" s="18" t="s">
        <v>66</v>
      </c>
      <c r="S21" s="18" t="s">
        <v>66</v>
      </c>
      <c r="T21" s="18" t="s">
        <v>66</v>
      </c>
      <c r="U21" s="18" t="s">
        <v>66</v>
      </c>
      <c r="V21" s="18" t="s">
        <v>160</v>
      </c>
      <c r="W21" s="18" t="s">
        <v>160</v>
      </c>
      <c r="X21" s="18" t="s">
        <v>160</v>
      </c>
      <c r="Y21" s="18" t="s">
        <v>160</v>
      </c>
      <c r="Z21" s="18" t="s">
        <v>160</v>
      </c>
      <c r="AA21" s="18" t="s">
        <v>160</v>
      </c>
      <c r="AB21" s="18" t="s">
        <v>160</v>
      </c>
      <c r="AC21" s="18" t="s">
        <v>160</v>
      </c>
      <c r="AD21" s="18" t="s">
        <v>160</v>
      </c>
      <c r="AE21" s="18" t="s">
        <v>160</v>
      </c>
      <c r="AF21" s="18" t="s">
        <v>160</v>
      </c>
      <c r="AG21" s="18"/>
      <c r="AH21" s="27">
        <f>COUNTA(月11_27[[#This Row],[1]:[31]])</f>
        <v>27</v>
      </c>
    </row>
    <row r="22" spans="2:34" ht="30" customHeight="1" x14ac:dyDescent="0.25">
      <c r="B22" s="31" t="s">
        <v>88</v>
      </c>
      <c r="C22" s="18"/>
      <c r="D22" s="18" t="s">
        <v>5</v>
      </c>
      <c r="E22" s="18" t="s">
        <v>5</v>
      </c>
      <c r="F22" s="18" t="s">
        <v>5</v>
      </c>
      <c r="G22" s="18" t="s">
        <v>5</v>
      </c>
      <c r="H22" s="18" t="s">
        <v>5</v>
      </c>
      <c r="I22" s="18" t="s">
        <v>5</v>
      </c>
      <c r="J22" s="18" t="s">
        <v>5</v>
      </c>
      <c r="K22" s="18" t="s">
        <v>66</v>
      </c>
      <c r="L22" s="18" t="s">
        <v>66</v>
      </c>
      <c r="M22" s="18" t="s">
        <v>66</v>
      </c>
      <c r="N22" s="18" t="s">
        <v>66</v>
      </c>
      <c r="O22" s="18" t="s">
        <v>66</v>
      </c>
      <c r="P22" s="18"/>
      <c r="Q22" s="18"/>
      <c r="R22" s="18" t="s">
        <v>66</v>
      </c>
      <c r="S22" s="18" t="s">
        <v>66</v>
      </c>
      <c r="T22" s="18" t="s">
        <v>66</v>
      </c>
      <c r="U22" s="18" t="s">
        <v>66</v>
      </c>
      <c r="V22" s="18" t="s">
        <v>160</v>
      </c>
      <c r="W22" s="18" t="s">
        <v>160</v>
      </c>
      <c r="X22" s="18" t="s">
        <v>160</v>
      </c>
      <c r="Y22" s="18" t="s">
        <v>160</v>
      </c>
      <c r="Z22" s="18" t="s">
        <v>160</v>
      </c>
      <c r="AA22" s="18" t="s">
        <v>160</v>
      </c>
      <c r="AB22" s="18" t="s">
        <v>160</v>
      </c>
      <c r="AC22" s="18" t="s">
        <v>160</v>
      </c>
      <c r="AD22" s="18" t="s">
        <v>160</v>
      </c>
      <c r="AE22" s="18" t="s">
        <v>160</v>
      </c>
      <c r="AF22" s="18" t="s">
        <v>160</v>
      </c>
      <c r="AG22" s="18"/>
      <c r="AH22" s="27">
        <f>COUNTA(月11_27[[#This Row],[1]:[31]])</f>
        <v>27</v>
      </c>
    </row>
    <row r="23" spans="2:34" ht="30" customHeight="1" x14ac:dyDescent="0.25">
      <c r="B23" s="31" t="s">
        <v>89</v>
      </c>
      <c r="C23" s="18"/>
      <c r="D23" s="18" t="s">
        <v>5</v>
      </c>
      <c r="E23" s="18" t="s">
        <v>5</v>
      </c>
      <c r="F23" s="18" t="s">
        <v>5</v>
      </c>
      <c r="G23" s="18" t="s">
        <v>5</v>
      </c>
      <c r="H23" s="18" t="s">
        <v>5</v>
      </c>
      <c r="I23" s="18" t="s">
        <v>5</v>
      </c>
      <c r="J23" s="18" t="s">
        <v>5</v>
      </c>
      <c r="K23" s="18" t="s">
        <v>66</v>
      </c>
      <c r="L23" s="18" t="s">
        <v>66</v>
      </c>
      <c r="M23" s="18" t="s">
        <v>66</v>
      </c>
      <c r="N23" s="18" t="s">
        <v>66</v>
      </c>
      <c r="O23" s="18" t="s">
        <v>66</v>
      </c>
      <c r="P23" s="18"/>
      <c r="Q23" s="18"/>
      <c r="R23" s="18" t="s">
        <v>66</v>
      </c>
      <c r="S23" s="18" t="s">
        <v>66</v>
      </c>
      <c r="T23" s="18" t="s">
        <v>66</v>
      </c>
      <c r="U23" s="18" t="s">
        <v>66</v>
      </c>
      <c r="V23" s="18" t="s">
        <v>160</v>
      </c>
      <c r="W23" s="18" t="s">
        <v>160</v>
      </c>
      <c r="X23" s="18" t="s">
        <v>160</v>
      </c>
      <c r="Y23" s="18" t="s">
        <v>160</v>
      </c>
      <c r="Z23" s="18" t="s">
        <v>160</v>
      </c>
      <c r="AA23" s="18" t="s">
        <v>160</v>
      </c>
      <c r="AB23" s="18" t="s">
        <v>160</v>
      </c>
      <c r="AC23" s="18" t="s">
        <v>160</v>
      </c>
      <c r="AD23" s="18" t="s">
        <v>160</v>
      </c>
      <c r="AE23" s="18" t="s">
        <v>160</v>
      </c>
      <c r="AF23" s="18" t="s">
        <v>160</v>
      </c>
      <c r="AG23" s="18"/>
      <c r="AH23" s="27">
        <f>COUNTA(月11_27[[#This Row],[1]:[31]])</f>
        <v>27</v>
      </c>
    </row>
    <row r="24" spans="2:34" ht="30" customHeight="1" x14ac:dyDescent="0.25">
      <c r="B24" s="31" t="s">
        <v>90</v>
      </c>
      <c r="C24" s="18"/>
      <c r="D24" s="18" t="s">
        <v>5</v>
      </c>
      <c r="E24" s="18" t="s">
        <v>5</v>
      </c>
      <c r="F24" s="18" t="s">
        <v>5</v>
      </c>
      <c r="G24" s="18" t="s">
        <v>5</v>
      </c>
      <c r="H24" s="18" t="s">
        <v>5</v>
      </c>
      <c r="I24" s="18" t="s">
        <v>5</v>
      </c>
      <c r="J24" s="18" t="s">
        <v>5</v>
      </c>
      <c r="K24" s="18" t="s">
        <v>66</v>
      </c>
      <c r="L24" s="18" t="s">
        <v>66</v>
      </c>
      <c r="M24" s="18" t="s">
        <v>66</v>
      </c>
      <c r="N24" s="18" t="s">
        <v>66</v>
      </c>
      <c r="O24" s="18" t="s">
        <v>66</v>
      </c>
      <c r="P24" s="18"/>
      <c r="Q24" s="18"/>
      <c r="R24" s="18" t="s">
        <v>66</v>
      </c>
      <c r="S24" s="18" t="s">
        <v>66</v>
      </c>
      <c r="T24" s="18" t="s">
        <v>66</v>
      </c>
      <c r="U24" s="18" t="s">
        <v>66</v>
      </c>
      <c r="V24" s="18" t="s">
        <v>160</v>
      </c>
      <c r="W24" s="18" t="s">
        <v>160</v>
      </c>
      <c r="X24" s="18" t="s">
        <v>160</v>
      </c>
      <c r="Y24" s="18" t="s">
        <v>160</v>
      </c>
      <c r="Z24" s="18" t="s">
        <v>160</v>
      </c>
      <c r="AA24" s="18" t="s">
        <v>160</v>
      </c>
      <c r="AB24" s="18" t="s">
        <v>160</v>
      </c>
      <c r="AC24" s="18" t="s">
        <v>160</v>
      </c>
      <c r="AD24" s="18" t="s">
        <v>160</v>
      </c>
      <c r="AE24" s="18" t="s">
        <v>160</v>
      </c>
      <c r="AF24" s="18" t="s">
        <v>160</v>
      </c>
      <c r="AG24" s="18"/>
      <c r="AH24" s="27">
        <f>COUNTA(月11_27[[#This Row],[1]:[31]])</f>
        <v>27</v>
      </c>
    </row>
    <row r="25" spans="2:34" ht="30" customHeight="1" x14ac:dyDescent="0.25">
      <c r="B25" s="31" t="s">
        <v>91</v>
      </c>
      <c r="C25" s="18"/>
      <c r="D25" s="18" t="s">
        <v>5</v>
      </c>
      <c r="E25" s="18" t="s">
        <v>5</v>
      </c>
      <c r="F25" s="18" t="s">
        <v>5</v>
      </c>
      <c r="G25" s="18" t="s">
        <v>5</v>
      </c>
      <c r="H25" s="18" t="s">
        <v>5</v>
      </c>
      <c r="I25" s="18" t="s">
        <v>5</v>
      </c>
      <c r="J25" s="18" t="s">
        <v>5</v>
      </c>
      <c r="K25" s="18" t="s">
        <v>66</v>
      </c>
      <c r="L25" s="18" t="s">
        <v>66</v>
      </c>
      <c r="M25" s="18" t="s">
        <v>66</v>
      </c>
      <c r="N25" s="18" t="s">
        <v>66</v>
      </c>
      <c r="O25" s="18" t="s">
        <v>66</v>
      </c>
      <c r="P25" s="18"/>
      <c r="Q25" s="18"/>
      <c r="R25" s="18" t="s">
        <v>66</v>
      </c>
      <c r="S25" s="18" t="s">
        <v>66</v>
      </c>
      <c r="T25" s="18" t="s">
        <v>66</v>
      </c>
      <c r="U25" s="18" t="s">
        <v>66</v>
      </c>
      <c r="V25" s="18" t="s">
        <v>160</v>
      </c>
      <c r="W25" s="18" t="s">
        <v>160</v>
      </c>
      <c r="X25" s="18" t="s">
        <v>160</v>
      </c>
      <c r="Y25" s="18" t="s">
        <v>160</v>
      </c>
      <c r="Z25" s="18" t="s">
        <v>160</v>
      </c>
      <c r="AA25" s="18" t="s">
        <v>160</v>
      </c>
      <c r="AB25" s="18" t="s">
        <v>160</v>
      </c>
      <c r="AC25" s="18" t="s">
        <v>160</v>
      </c>
      <c r="AD25" s="18" t="s">
        <v>160</v>
      </c>
      <c r="AE25" s="18" t="s">
        <v>160</v>
      </c>
      <c r="AF25" s="18" t="s">
        <v>160</v>
      </c>
      <c r="AG25" s="18"/>
      <c r="AH25" s="27">
        <f>COUNTA(月11_27[[#This Row],[1]:[31]])</f>
        <v>27</v>
      </c>
    </row>
    <row r="26" spans="2:34" ht="30" customHeight="1" x14ac:dyDescent="0.25">
      <c r="B26" s="31" t="s">
        <v>92</v>
      </c>
      <c r="C26" s="18"/>
      <c r="D26" s="18" t="s">
        <v>5</v>
      </c>
      <c r="E26" s="18" t="s">
        <v>5</v>
      </c>
      <c r="F26" s="18" t="s">
        <v>5</v>
      </c>
      <c r="G26" s="18" t="s">
        <v>5</v>
      </c>
      <c r="H26" s="18" t="s">
        <v>5</v>
      </c>
      <c r="I26" s="18" t="s">
        <v>5</v>
      </c>
      <c r="J26" s="18" t="s">
        <v>5</v>
      </c>
      <c r="K26" s="18" t="s">
        <v>66</v>
      </c>
      <c r="L26" s="18" t="s">
        <v>66</v>
      </c>
      <c r="M26" s="18" t="s">
        <v>66</v>
      </c>
      <c r="N26" s="18" t="s">
        <v>66</v>
      </c>
      <c r="O26" s="18" t="s">
        <v>66</v>
      </c>
      <c r="P26" s="18"/>
      <c r="Q26" s="18"/>
      <c r="R26" s="18" t="s">
        <v>66</v>
      </c>
      <c r="S26" s="18" t="s">
        <v>66</v>
      </c>
      <c r="T26" s="18" t="s">
        <v>66</v>
      </c>
      <c r="U26" s="18" t="s">
        <v>66</v>
      </c>
      <c r="V26" s="18" t="s">
        <v>160</v>
      </c>
      <c r="W26" s="18" t="s">
        <v>160</v>
      </c>
      <c r="X26" s="18" t="s">
        <v>160</v>
      </c>
      <c r="Y26" s="18" t="s">
        <v>160</v>
      </c>
      <c r="Z26" s="18" t="s">
        <v>160</v>
      </c>
      <c r="AA26" s="18" t="s">
        <v>160</v>
      </c>
      <c r="AB26" s="18" t="s">
        <v>160</v>
      </c>
      <c r="AC26" s="18" t="s">
        <v>160</v>
      </c>
      <c r="AD26" s="18" t="s">
        <v>160</v>
      </c>
      <c r="AE26" s="18" t="s">
        <v>160</v>
      </c>
      <c r="AF26" s="18" t="s">
        <v>160</v>
      </c>
      <c r="AG26" s="18"/>
      <c r="AH26" s="27">
        <f>COUNTA(月11_27[[#This Row],[1]:[31]])</f>
        <v>27</v>
      </c>
    </row>
    <row r="27" spans="2:34" ht="30" customHeight="1" x14ac:dyDescent="0.25">
      <c r="B27" s="31" t="s">
        <v>93</v>
      </c>
      <c r="C27" s="18"/>
      <c r="D27" s="18" t="s">
        <v>5</v>
      </c>
      <c r="E27" s="18" t="s">
        <v>5</v>
      </c>
      <c r="F27" s="18" t="s">
        <v>5</v>
      </c>
      <c r="G27" s="18" t="s">
        <v>5</v>
      </c>
      <c r="H27" s="18" t="s">
        <v>5</v>
      </c>
      <c r="I27" s="18" t="s">
        <v>5</v>
      </c>
      <c r="J27" s="18" t="s">
        <v>5</v>
      </c>
      <c r="K27" s="18" t="s">
        <v>66</v>
      </c>
      <c r="L27" s="18" t="s">
        <v>66</v>
      </c>
      <c r="M27" s="18" t="s">
        <v>66</v>
      </c>
      <c r="N27" s="18" t="s">
        <v>66</v>
      </c>
      <c r="O27" s="18" t="s">
        <v>66</v>
      </c>
      <c r="P27" s="18"/>
      <c r="Q27" s="18"/>
      <c r="R27" s="18" t="s">
        <v>66</v>
      </c>
      <c r="S27" s="18" t="s">
        <v>66</v>
      </c>
      <c r="T27" s="18" t="s">
        <v>66</v>
      </c>
      <c r="U27" s="18" t="s">
        <v>66</v>
      </c>
      <c r="V27" s="18" t="s">
        <v>160</v>
      </c>
      <c r="W27" s="18" t="s">
        <v>160</v>
      </c>
      <c r="X27" s="18" t="s">
        <v>160</v>
      </c>
      <c r="Y27" s="18" t="s">
        <v>160</v>
      </c>
      <c r="Z27" s="18" t="s">
        <v>160</v>
      </c>
      <c r="AA27" s="18" t="s">
        <v>160</v>
      </c>
      <c r="AB27" s="18" t="s">
        <v>160</v>
      </c>
      <c r="AC27" s="18" t="s">
        <v>160</v>
      </c>
      <c r="AD27" s="18" t="s">
        <v>160</v>
      </c>
      <c r="AE27" s="18" t="s">
        <v>160</v>
      </c>
      <c r="AF27" s="18" t="s">
        <v>160</v>
      </c>
      <c r="AG27" s="18"/>
      <c r="AH27" s="27">
        <f>COUNTA(月11_27[[#This Row],[1]:[31]])</f>
        <v>27</v>
      </c>
    </row>
    <row r="28" spans="2:34" ht="30" customHeight="1" x14ac:dyDescent="0.25">
      <c r="B28" s="31" t="s">
        <v>94</v>
      </c>
      <c r="C28" s="18"/>
      <c r="D28" s="18" t="s">
        <v>5</v>
      </c>
      <c r="E28" s="18" t="s">
        <v>5</v>
      </c>
      <c r="F28" s="18" t="s">
        <v>5</v>
      </c>
      <c r="G28" s="18" t="s">
        <v>5</v>
      </c>
      <c r="H28" s="18" t="s">
        <v>5</v>
      </c>
      <c r="I28" s="18" t="s">
        <v>5</v>
      </c>
      <c r="J28" s="18" t="s">
        <v>5</v>
      </c>
      <c r="K28" s="18" t="s">
        <v>66</v>
      </c>
      <c r="L28" s="18" t="s">
        <v>66</v>
      </c>
      <c r="M28" s="18" t="s">
        <v>66</v>
      </c>
      <c r="N28" s="18" t="s">
        <v>66</v>
      </c>
      <c r="O28" s="18" t="s">
        <v>66</v>
      </c>
      <c r="P28" s="18"/>
      <c r="Q28" s="18"/>
      <c r="R28" s="18" t="s">
        <v>66</v>
      </c>
      <c r="S28" s="18" t="s">
        <v>66</v>
      </c>
      <c r="T28" s="18" t="s">
        <v>66</v>
      </c>
      <c r="U28" s="18" t="s">
        <v>66</v>
      </c>
      <c r="V28" s="18" t="s">
        <v>160</v>
      </c>
      <c r="W28" s="18" t="s">
        <v>160</v>
      </c>
      <c r="X28" s="18" t="s">
        <v>160</v>
      </c>
      <c r="Y28" s="18" t="s">
        <v>160</v>
      </c>
      <c r="Z28" s="18" t="s">
        <v>160</v>
      </c>
      <c r="AA28" s="18" t="s">
        <v>160</v>
      </c>
      <c r="AB28" s="18" t="s">
        <v>160</v>
      </c>
      <c r="AC28" s="18" t="s">
        <v>160</v>
      </c>
      <c r="AD28" s="18" t="s">
        <v>160</v>
      </c>
      <c r="AE28" s="18" t="s">
        <v>160</v>
      </c>
      <c r="AF28" s="18" t="s">
        <v>160</v>
      </c>
      <c r="AG28" s="18"/>
      <c r="AH28" s="27">
        <f>COUNTA(月11_27[[#This Row],[1]:[31]])</f>
        <v>27</v>
      </c>
    </row>
    <row r="29" spans="2:34" ht="30" customHeight="1" x14ac:dyDescent="0.25">
      <c r="B29" s="31" t="s">
        <v>95</v>
      </c>
      <c r="C29" s="18"/>
      <c r="D29" s="18" t="s">
        <v>5</v>
      </c>
      <c r="E29" s="18" t="s">
        <v>5</v>
      </c>
      <c r="F29" s="18" t="s">
        <v>5</v>
      </c>
      <c r="G29" s="18" t="s">
        <v>5</v>
      </c>
      <c r="H29" s="18" t="s">
        <v>5</v>
      </c>
      <c r="I29" s="18" t="s">
        <v>5</v>
      </c>
      <c r="J29" s="18" t="s">
        <v>5</v>
      </c>
      <c r="K29" s="18" t="s">
        <v>66</v>
      </c>
      <c r="L29" s="18" t="s">
        <v>66</v>
      </c>
      <c r="M29" s="18" t="s">
        <v>66</v>
      </c>
      <c r="N29" s="18" t="s">
        <v>66</v>
      </c>
      <c r="O29" s="18" t="s">
        <v>66</v>
      </c>
      <c r="P29" s="18"/>
      <c r="Q29" s="18"/>
      <c r="R29" s="18" t="s">
        <v>66</v>
      </c>
      <c r="S29" s="18" t="s">
        <v>66</v>
      </c>
      <c r="T29" s="18" t="s">
        <v>66</v>
      </c>
      <c r="U29" s="18" t="s">
        <v>66</v>
      </c>
      <c r="V29" s="18" t="s">
        <v>160</v>
      </c>
      <c r="W29" s="18" t="s">
        <v>160</v>
      </c>
      <c r="X29" s="18" t="s">
        <v>160</v>
      </c>
      <c r="Y29" s="18" t="s">
        <v>160</v>
      </c>
      <c r="Z29" s="18" t="s">
        <v>160</v>
      </c>
      <c r="AA29" s="18" t="s">
        <v>160</v>
      </c>
      <c r="AB29" s="18" t="s">
        <v>160</v>
      </c>
      <c r="AC29" s="18" t="s">
        <v>160</v>
      </c>
      <c r="AD29" s="18" t="s">
        <v>160</v>
      </c>
      <c r="AE29" s="18" t="s">
        <v>160</v>
      </c>
      <c r="AF29" s="18" t="s">
        <v>160</v>
      </c>
      <c r="AG29" s="18"/>
      <c r="AH29" s="27">
        <f>COUNTA(月11_27[[#This Row],[1]:[31]])</f>
        <v>27</v>
      </c>
    </row>
    <row r="30" spans="2:34" ht="30" customHeight="1" x14ac:dyDescent="0.25">
      <c r="B30" s="31" t="s">
        <v>96</v>
      </c>
      <c r="C30" s="18"/>
      <c r="D30" s="18" t="s">
        <v>5</v>
      </c>
      <c r="E30" s="18" t="s">
        <v>5</v>
      </c>
      <c r="F30" s="18" t="s">
        <v>5</v>
      </c>
      <c r="G30" s="18" t="s">
        <v>5</v>
      </c>
      <c r="H30" s="18" t="s">
        <v>5</v>
      </c>
      <c r="I30" s="18" t="s">
        <v>5</v>
      </c>
      <c r="J30" s="18" t="s">
        <v>5</v>
      </c>
      <c r="K30" s="18" t="s">
        <v>66</v>
      </c>
      <c r="L30" s="18" t="s">
        <v>66</v>
      </c>
      <c r="M30" s="18" t="s">
        <v>66</v>
      </c>
      <c r="N30" s="18" t="s">
        <v>66</v>
      </c>
      <c r="O30" s="18" t="s">
        <v>66</v>
      </c>
      <c r="P30" s="18"/>
      <c r="Q30" s="18"/>
      <c r="R30" s="18" t="s">
        <v>66</v>
      </c>
      <c r="S30" s="18" t="s">
        <v>66</v>
      </c>
      <c r="T30" s="18" t="s">
        <v>66</v>
      </c>
      <c r="U30" s="18" t="s">
        <v>66</v>
      </c>
      <c r="V30" s="18" t="s">
        <v>160</v>
      </c>
      <c r="W30" s="18" t="s">
        <v>160</v>
      </c>
      <c r="X30" s="18" t="s">
        <v>160</v>
      </c>
      <c r="Y30" s="18" t="s">
        <v>160</v>
      </c>
      <c r="Z30" s="18" t="s">
        <v>160</v>
      </c>
      <c r="AA30" s="18" t="s">
        <v>160</v>
      </c>
      <c r="AB30" s="18" t="s">
        <v>160</v>
      </c>
      <c r="AC30" s="18" t="s">
        <v>160</v>
      </c>
      <c r="AD30" s="18" t="s">
        <v>160</v>
      </c>
      <c r="AE30" s="18" t="s">
        <v>160</v>
      </c>
      <c r="AF30" s="18" t="s">
        <v>160</v>
      </c>
      <c r="AG30" s="18"/>
      <c r="AH30" s="27">
        <f>COUNTA(月11_27[[#This Row],[1]:[31]])</f>
        <v>27</v>
      </c>
    </row>
    <row r="31" spans="2:34" ht="30" customHeight="1" x14ac:dyDescent="0.25">
      <c r="B31" s="20" t="s">
        <v>97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9" t="s">
        <v>3</v>
      </c>
      <c r="S31" s="9" t="s">
        <v>3</v>
      </c>
      <c r="T31" s="9" t="s">
        <v>3</v>
      </c>
      <c r="U31" s="9" t="s">
        <v>3</v>
      </c>
      <c r="V31" s="9" t="s">
        <v>3</v>
      </c>
      <c r="W31" s="9" t="s">
        <v>3</v>
      </c>
      <c r="X31" s="9" t="s">
        <v>3</v>
      </c>
      <c r="Y31" s="9" t="s">
        <v>3</v>
      </c>
      <c r="Z31" s="18" t="s">
        <v>68</v>
      </c>
      <c r="AA31" s="18" t="s">
        <v>68</v>
      </c>
      <c r="AB31" s="18" t="s">
        <v>68</v>
      </c>
      <c r="AC31" s="18" t="s">
        <v>68</v>
      </c>
      <c r="AD31" s="18" t="s">
        <v>68</v>
      </c>
      <c r="AE31" s="18" t="s">
        <v>68</v>
      </c>
      <c r="AF31" s="18" t="s">
        <v>68</v>
      </c>
      <c r="AG31" s="18"/>
      <c r="AH31" s="27">
        <f>COUNTA('25年6月'!$C31:$AG31)</f>
        <v>15</v>
      </c>
    </row>
    <row r="32" spans="2:34" ht="30" customHeight="1" x14ac:dyDescent="0.25">
      <c r="B32" s="20" t="s">
        <v>98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9" t="s">
        <v>3</v>
      </c>
      <c r="S32" s="9" t="s">
        <v>3</v>
      </c>
      <c r="T32" s="9" t="s">
        <v>3</v>
      </c>
      <c r="U32" s="9" t="s">
        <v>3</v>
      </c>
      <c r="V32" s="9" t="s">
        <v>3</v>
      </c>
      <c r="W32" s="9" t="s">
        <v>3</v>
      </c>
      <c r="X32" s="9" t="s">
        <v>3</v>
      </c>
      <c r="Y32" s="9" t="s">
        <v>3</v>
      </c>
      <c r="Z32" s="18" t="s">
        <v>68</v>
      </c>
      <c r="AA32" s="18" t="s">
        <v>68</v>
      </c>
      <c r="AB32" s="18" t="s">
        <v>68</v>
      </c>
      <c r="AC32" s="18" t="s">
        <v>68</v>
      </c>
      <c r="AD32" s="18" t="s">
        <v>68</v>
      </c>
      <c r="AE32" s="18" t="s">
        <v>68</v>
      </c>
      <c r="AF32" s="18" t="s">
        <v>68</v>
      </c>
      <c r="AG32" s="18"/>
      <c r="AH32" s="27">
        <f>COUNTA('25年6月'!$C32:$AG32)</f>
        <v>15</v>
      </c>
    </row>
    <row r="33" spans="2:34" ht="30" customHeight="1" x14ac:dyDescent="0.25">
      <c r="B33" s="20" t="s">
        <v>99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9" t="s">
        <v>3</v>
      </c>
      <c r="S33" s="9" t="s">
        <v>3</v>
      </c>
      <c r="T33" s="9" t="s">
        <v>3</v>
      </c>
      <c r="U33" s="9" t="s">
        <v>3</v>
      </c>
      <c r="V33" s="9" t="s">
        <v>3</v>
      </c>
      <c r="W33" s="9" t="s">
        <v>3</v>
      </c>
      <c r="X33" s="9" t="s">
        <v>3</v>
      </c>
      <c r="Y33" s="9" t="s">
        <v>3</v>
      </c>
      <c r="Z33" s="18" t="s">
        <v>68</v>
      </c>
      <c r="AA33" s="18" t="s">
        <v>68</v>
      </c>
      <c r="AB33" s="18" t="s">
        <v>68</v>
      </c>
      <c r="AC33" s="18" t="s">
        <v>68</v>
      </c>
      <c r="AD33" s="18" t="s">
        <v>68</v>
      </c>
      <c r="AE33" s="18" t="s">
        <v>68</v>
      </c>
      <c r="AF33" s="18" t="s">
        <v>68</v>
      </c>
      <c r="AG33" s="18"/>
      <c r="AH33" s="27">
        <f>COUNTA('25年6月'!$C33:$AG33)</f>
        <v>15</v>
      </c>
    </row>
    <row r="34" spans="2:34" ht="30" customHeight="1" x14ac:dyDescent="0.25">
      <c r="B34" s="20" t="s">
        <v>100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9" t="s">
        <v>3</v>
      </c>
      <c r="S34" s="9" t="s">
        <v>3</v>
      </c>
      <c r="T34" s="9" t="s">
        <v>3</v>
      </c>
      <c r="U34" s="9" t="s">
        <v>3</v>
      </c>
      <c r="V34" s="9" t="s">
        <v>3</v>
      </c>
      <c r="W34" s="9" t="s">
        <v>3</v>
      </c>
      <c r="X34" s="9" t="s">
        <v>3</v>
      </c>
      <c r="Y34" s="9" t="s">
        <v>3</v>
      </c>
      <c r="Z34" s="18" t="s">
        <v>68</v>
      </c>
      <c r="AA34" s="18" t="s">
        <v>68</v>
      </c>
      <c r="AB34" s="18" t="s">
        <v>68</v>
      </c>
      <c r="AC34" s="18" t="s">
        <v>68</v>
      </c>
      <c r="AD34" s="18" t="s">
        <v>68</v>
      </c>
      <c r="AE34" s="18" t="s">
        <v>68</v>
      </c>
      <c r="AF34" s="18" t="s">
        <v>68</v>
      </c>
      <c r="AG34" s="18"/>
      <c r="AH34" s="27">
        <f>COUNTA('25年6月'!$C34:$AG34)</f>
        <v>15</v>
      </c>
    </row>
    <row r="35" spans="2:34" ht="30" customHeight="1" x14ac:dyDescent="0.25">
      <c r="B35" s="20" t="s">
        <v>101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9" t="s">
        <v>3</v>
      </c>
      <c r="S35" s="9" t="s">
        <v>3</v>
      </c>
      <c r="T35" s="9" t="s">
        <v>3</v>
      </c>
      <c r="U35" s="9" t="s">
        <v>3</v>
      </c>
      <c r="V35" s="9" t="s">
        <v>3</v>
      </c>
      <c r="W35" s="9" t="s">
        <v>3</v>
      </c>
      <c r="X35" s="9" t="s">
        <v>3</v>
      </c>
      <c r="Y35" s="9" t="s">
        <v>3</v>
      </c>
      <c r="Z35" s="18" t="s">
        <v>68</v>
      </c>
      <c r="AA35" s="18" t="s">
        <v>68</v>
      </c>
      <c r="AB35" s="18" t="s">
        <v>68</v>
      </c>
      <c r="AC35" s="18" t="s">
        <v>68</v>
      </c>
      <c r="AD35" s="18" t="s">
        <v>68</v>
      </c>
      <c r="AE35" s="18" t="s">
        <v>68</v>
      </c>
      <c r="AF35" s="18" t="s">
        <v>68</v>
      </c>
      <c r="AG35" s="18"/>
      <c r="AH35" s="27">
        <f>COUNTA('25年6月'!$C35:$AG35)</f>
        <v>15</v>
      </c>
    </row>
    <row r="36" spans="2:34" ht="30" customHeight="1" x14ac:dyDescent="0.25">
      <c r="B36" s="20" t="s">
        <v>102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9" t="s">
        <v>3</v>
      </c>
      <c r="S36" s="9" t="s">
        <v>3</v>
      </c>
      <c r="T36" s="9" t="s">
        <v>3</v>
      </c>
      <c r="U36" s="9" t="s">
        <v>3</v>
      </c>
      <c r="V36" s="9" t="s">
        <v>3</v>
      </c>
      <c r="W36" s="9" t="s">
        <v>3</v>
      </c>
      <c r="X36" s="9" t="s">
        <v>3</v>
      </c>
      <c r="Y36" s="9" t="s">
        <v>3</v>
      </c>
      <c r="Z36" s="18" t="s">
        <v>68</v>
      </c>
      <c r="AA36" s="18" t="s">
        <v>68</v>
      </c>
      <c r="AB36" s="18" t="s">
        <v>68</v>
      </c>
      <c r="AC36" s="18" t="s">
        <v>68</v>
      </c>
      <c r="AD36" s="18" t="s">
        <v>68</v>
      </c>
      <c r="AE36" s="18" t="s">
        <v>68</v>
      </c>
      <c r="AF36" s="18" t="s">
        <v>68</v>
      </c>
      <c r="AG36" s="18"/>
      <c r="AH36" s="27">
        <f>COUNTA('25年6月'!$C36:$AG36)</f>
        <v>15</v>
      </c>
    </row>
    <row r="37" spans="2:34" ht="30" customHeight="1" x14ac:dyDescent="0.25">
      <c r="B37" s="20" t="s">
        <v>103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9" t="s">
        <v>3</v>
      </c>
      <c r="S37" s="9" t="s">
        <v>3</v>
      </c>
      <c r="T37" s="9" t="s">
        <v>3</v>
      </c>
      <c r="U37" s="9" t="s">
        <v>3</v>
      </c>
      <c r="V37" s="9" t="s">
        <v>3</v>
      </c>
      <c r="W37" s="9" t="s">
        <v>3</v>
      </c>
      <c r="X37" s="9" t="s">
        <v>3</v>
      </c>
      <c r="Y37" s="9" t="s">
        <v>3</v>
      </c>
      <c r="Z37" s="18" t="s">
        <v>68</v>
      </c>
      <c r="AA37" s="18" t="s">
        <v>68</v>
      </c>
      <c r="AB37" s="18" t="s">
        <v>68</v>
      </c>
      <c r="AC37" s="18" t="s">
        <v>68</v>
      </c>
      <c r="AD37" s="18" t="s">
        <v>68</v>
      </c>
      <c r="AE37" s="18" t="s">
        <v>68</v>
      </c>
      <c r="AF37" s="18" t="s">
        <v>68</v>
      </c>
      <c r="AG37" s="18"/>
      <c r="AH37" s="27">
        <f>COUNTA('25年6月'!$C37:$AG37)</f>
        <v>15</v>
      </c>
    </row>
    <row r="38" spans="2:34" ht="30" customHeight="1" x14ac:dyDescent="0.25">
      <c r="B38" s="20" t="s">
        <v>104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9" t="s">
        <v>3</v>
      </c>
      <c r="S38" s="9" t="s">
        <v>3</v>
      </c>
      <c r="T38" s="9" t="s">
        <v>3</v>
      </c>
      <c r="U38" s="9" t="s">
        <v>3</v>
      </c>
      <c r="V38" s="9" t="s">
        <v>3</v>
      </c>
      <c r="W38" s="9" t="s">
        <v>3</v>
      </c>
      <c r="X38" s="9" t="s">
        <v>3</v>
      </c>
      <c r="Y38" s="9" t="s">
        <v>3</v>
      </c>
      <c r="Z38" s="18" t="s">
        <v>68</v>
      </c>
      <c r="AA38" s="18" t="s">
        <v>68</v>
      </c>
      <c r="AB38" s="18" t="s">
        <v>68</v>
      </c>
      <c r="AC38" s="18" t="s">
        <v>68</v>
      </c>
      <c r="AD38" s="18" t="s">
        <v>68</v>
      </c>
      <c r="AE38" s="18" t="s">
        <v>68</v>
      </c>
      <c r="AF38" s="18" t="s">
        <v>68</v>
      </c>
      <c r="AG38" s="18"/>
      <c r="AH38" s="27">
        <f>COUNTA('25年6月'!$C38:$AG38)</f>
        <v>15</v>
      </c>
    </row>
    <row r="39" spans="2:34" ht="30" customHeight="1" x14ac:dyDescent="0.25">
      <c r="B39" s="20" t="s">
        <v>105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9" t="s">
        <v>3</v>
      </c>
      <c r="S39" s="9" t="s">
        <v>3</v>
      </c>
      <c r="T39" s="9" t="s">
        <v>3</v>
      </c>
      <c r="U39" s="9" t="s">
        <v>3</v>
      </c>
      <c r="V39" s="9" t="s">
        <v>3</v>
      </c>
      <c r="W39" s="9" t="s">
        <v>3</v>
      </c>
      <c r="X39" s="9" t="s">
        <v>3</v>
      </c>
      <c r="Y39" s="9" t="s">
        <v>3</v>
      </c>
      <c r="Z39" s="18" t="s">
        <v>68</v>
      </c>
      <c r="AA39" s="18" t="s">
        <v>68</v>
      </c>
      <c r="AB39" s="18" t="s">
        <v>68</v>
      </c>
      <c r="AC39" s="18" t="s">
        <v>68</v>
      </c>
      <c r="AD39" s="18" t="s">
        <v>68</v>
      </c>
      <c r="AE39" s="18" t="s">
        <v>68</v>
      </c>
      <c r="AF39" s="18" t="s">
        <v>68</v>
      </c>
      <c r="AG39" s="18"/>
      <c r="AH39" s="27">
        <f>COUNTA('25年6月'!$C39:$AG39)</f>
        <v>15</v>
      </c>
    </row>
    <row r="40" spans="2:34" ht="30" customHeight="1" x14ac:dyDescent="0.25">
      <c r="B40" s="20" t="s">
        <v>106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9" t="s">
        <v>3</v>
      </c>
      <c r="S40" s="9" t="s">
        <v>3</v>
      </c>
      <c r="T40" s="9" t="s">
        <v>3</v>
      </c>
      <c r="U40" s="9" t="s">
        <v>3</v>
      </c>
      <c r="V40" s="9" t="s">
        <v>3</v>
      </c>
      <c r="W40" s="9" t="s">
        <v>3</v>
      </c>
      <c r="X40" s="9" t="s">
        <v>3</v>
      </c>
      <c r="Y40" s="9" t="s">
        <v>3</v>
      </c>
      <c r="Z40" s="18" t="s">
        <v>68</v>
      </c>
      <c r="AA40" s="18" t="s">
        <v>68</v>
      </c>
      <c r="AB40" s="18" t="s">
        <v>68</v>
      </c>
      <c r="AC40" s="18" t="s">
        <v>68</v>
      </c>
      <c r="AD40" s="18" t="s">
        <v>68</v>
      </c>
      <c r="AE40" s="18" t="s">
        <v>68</v>
      </c>
      <c r="AF40" s="18" t="s">
        <v>68</v>
      </c>
      <c r="AG40" s="18"/>
      <c r="AH40" s="27">
        <f>COUNTA('25年6月'!$C40:$AG40)</f>
        <v>15</v>
      </c>
    </row>
    <row r="41" spans="2:34" ht="30" customHeight="1" x14ac:dyDescent="0.25">
      <c r="B41" s="31" t="s">
        <v>107</v>
      </c>
      <c r="C41" s="18"/>
      <c r="D41" s="18" t="s">
        <v>5</v>
      </c>
      <c r="E41" s="18" t="s">
        <v>5</v>
      </c>
      <c r="F41" s="18" t="s">
        <v>5</v>
      </c>
      <c r="G41" s="18" t="s">
        <v>5</v>
      </c>
      <c r="H41" s="18" t="s">
        <v>5</v>
      </c>
      <c r="I41" s="18" t="s">
        <v>5</v>
      </c>
      <c r="J41" s="18" t="s">
        <v>5</v>
      </c>
      <c r="K41" s="18" t="s">
        <v>5</v>
      </c>
      <c r="L41" s="18" t="s">
        <v>66</v>
      </c>
      <c r="M41" s="18" t="s">
        <v>66</v>
      </c>
      <c r="N41" s="18" t="s">
        <v>66</v>
      </c>
      <c r="O41" s="18" t="s">
        <v>66</v>
      </c>
      <c r="P41" s="18"/>
      <c r="Q41" s="18"/>
      <c r="R41" s="9" t="s">
        <v>3</v>
      </c>
      <c r="S41" s="9" t="s">
        <v>3</v>
      </c>
      <c r="T41" s="9" t="s">
        <v>3</v>
      </c>
      <c r="U41" s="9" t="s">
        <v>3</v>
      </c>
      <c r="V41" s="9" t="s">
        <v>3</v>
      </c>
      <c r="W41" s="9" t="s">
        <v>3</v>
      </c>
      <c r="X41" s="9" t="s">
        <v>3</v>
      </c>
      <c r="Y41" s="9" t="s">
        <v>3</v>
      </c>
      <c r="Z41" s="18" t="s">
        <v>160</v>
      </c>
      <c r="AA41" s="18" t="s">
        <v>160</v>
      </c>
      <c r="AB41" s="18" t="s">
        <v>160</v>
      </c>
      <c r="AC41" s="18" t="s">
        <v>160</v>
      </c>
      <c r="AD41" s="18" t="s">
        <v>160</v>
      </c>
      <c r="AE41" s="18" t="s">
        <v>160</v>
      </c>
      <c r="AF41" s="18" t="s">
        <v>160</v>
      </c>
      <c r="AG41" s="18"/>
      <c r="AH41" s="27">
        <f>COUNTA(月11_27[[#This Row],[1]:[31]])</f>
        <v>27</v>
      </c>
    </row>
    <row r="42" spans="2:34" ht="30" customHeight="1" x14ac:dyDescent="0.25">
      <c r="B42" s="31" t="s">
        <v>158</v>
      </c>
      <c r="C42" s="18"/>
      <c r="D42" s="18" t="s">
        <v>5</v>
      </c>
      <c r="E42" s="18" t="s">
        <v>5</v>
      </c>
      <c r="F42" s="18" t="s">
        <v>5</v>
      </c>
      <c r="G42" s="18" t="s">
        <v>5</v>
      </c>
      <c r="H42" s="18" t="s">
        <v>5</v>
      </c>
      <c r="I42" s="18" t="s">
        <v>5</v>
      </c>
      <c r="J42" s="18" t="s">
        <v>5</v>
      </c>
      <c r="K42" s="18" t="s">
        <v>5</v>
      </c>
      <c r="L42" s="18" t="s">
        <v>66</v>
      </c>
      <c r="M42" s="18" t="s">
        <v>66</v>
      </c>
      <c r="N42" s="18" t="s">
        <v>66</v>
      </c>
      <c r="O42" s="18" t="s">
        <v>66</v>
      </c>
      <c r="P42" s="18"/>
      <c r="Q42" s="18"/>
      <c r="R42" s="9" t="s">
        <v>3</v>
      </c>
      <c r="S42" s="9" t="s">
        <v>3</v>
      </c>
      <c r="T42" s="9" t="s">
        <v>3</v>
      </c>
      <c r="U42" s="9" t="s">
        <v>3</v>
      </c>
      <c r="V42" s="9" t="s">
        <v>3</v>
      </c>
      <c r="W42" s="9" t="s">
        <v>3</v>
      </c>
      <c r="X42" s="9" t="s">
        <v>3</v>
      </c>
      <c r="Y42" s="9" t="s">
        <v>3</v>
      </c>
      <c r="Z42" s="18" t="s">
        <v>160</v>
      </c>
      <c r="AA42" s="18" t="s">
        <v>160</v>
      </c>
      <c r="AB42" s="18" t="s">
        <v>160</v>
      </c>
      <c r="AC42" s="18" t="s">
        <v>160</v>
      </c>
      <c r="AD42" s="18" t="s">
        <v>160</v>
      </c>
      <c r="AE42" s="18" t="s">
        <v>160</v>
      </c>
      <c r="AF42" s="18" t="s">
        <v>160</v>
      </c>
      <c r="AG42" s="18"/>
      <c r="AH42" s="27">
        <f>COUNTA(月11_27[[#This Row],[1]:[31]])</f>
        <v>27</v>
      </c>
    </row>
    <row r="43" spans="2:34" ht="30" customHeight="1" x14ac:dyDescent="0.25">
      <c r="B43" s="31" t="s">
        <v>109</v>
      </c>
      <c r="C43" s="18"/>
      <c r="D43" s="18" t="s">
        <v>5</v>
      </c>
      <c r="E43" s="18" t="s">
        <v>5</v>
      </c>
      <c r="F43" s="18" t="s">
        <v>5</v>
      </c>
      <c r="G43" s="18" t="s">
        <v>5</v>
      </c>
      <c r="H43" s="18" t="s">
        <v>5</v>
      </c>
      <c r="I43" s="18" t="s">
        <v>5</v>
      </c>
      <c r="J43" s="18" t="s">
        <v>5</v>
      </c>
      <c r="K43" s="18" t="s">
        <v>5</v>
      </c>
      <c r="L43" s="18" t="s">
        <v>66</v>
      </c>
      <c r="M43" s="18" t="s">
        <v>66</v>
      </c>
      <c r="N43" s="18" t="s">
        <v>66</v>
      </c>
      <c r="O43" s="18" t="s">
        <v>66</v>
      </c>
      <c r="P43" s="18"/>
      <c r="Q43" s="18"/>
      <c r="R43" s="9" t="s">
        <v>3</v>
      </c>
      <c r="S43" s="9" t="s">
        <v>3</v>
      </c>
      <c r="T43" s="9" t="s">
        <v>3</v>
      </c>
      <c r="U43" s="9" t="s">
        <v>3</v>
      </c>
      <c r="V43" s="9" t="s">
        <v>3</v>
      </c>
      <c r="W43" s="9" t="s">
        <v>3</v>
      </c>
      <c r="X43" s="9" t="s">
        <v>3</v>
      </c>
      <c r="Y43" s="9" t="s">
        <v>3</v>
      </c>
      <c r="Z43" s="18" t="s">
        <v>160</v>
      </c>
      <c r="AA43" s="18" t="s">
        <v>160</v>
      </c>
      <c r="AB43" s="18" t="s">
        <v>160</v>
      </c>
      <c r="AC43" s="18" t="s">
        <v>160</v>
      </c>
      <c r="AD43" s="18" t="s">
        <v>160</v>
      </c>
      <c r="AE43" s="18" t="s">
        <v>160</v>
      </c>
      <c r="AF43" s="18" t="s">
        <v>160</v>
      </c>
      <c r="AG43" s="18"/>
      <c r="AH43" s="27">
        <f>COUNTA(月11_27[[#This Row],[1]:[31]])</f>
        <v>27</v>
      </c>
    </row>
    <row r="44" spans="2:34" ht="30" customHeight="1" x14ac:dyDescent="0.25">
      <c r="B44" s="31" t="s">
        <v>110</v>
      </c>
      <c r="C44" s="18"/>
      <c r="D44" s="18" t="s">
        <v>5</v>
      </c>
      <c r="E44" s="18" t="s">
        <v>5</v>
      </c>
      <c r="F44" s="18" t="s">
        <v>5</v>
      </c>
      <c r="G44" s="18" t="s">
        <v>5</v>
      </c>
      <c r="H44" s="18" t="s">
        <v>5</v>
      </c>
      <c r="I44" s="18" t="s">
        <v>5</v>
      </c>
      <c r="J44" s="18" t="s">
        <v>5</v>
      </c>
      <c r="K44" s="18" t="s">
        <v>5</v>
      </c>
      <c r="L44" s="18" t="s">
        <v>66</v>
      </c>
      <c r="M44" s="18" t="s">
        <v>66</v>
      </c>
      <c r="N44" s="18" t="s">
        <v>66</v>
      </c>
      <c r="O44" s="18" t="s">
        <v>66</v>
      </c>
      <c r="P44" s="18"/>
      <c r="Q44" s="18"/>
      <c r="R44" s="9" t="s">
        <v>3</v>
      </c>
      <c r="S44" s="9" t="s">
        <v>3</v>
      </c>
      <c r="T44" s="9" t="s">
        <v>3</v>
      </c>
      <c r="U44" s="9" t="s">
        <v>3</v>
      </c>
      <c r="V44" s="9" t="s">
        <v>3</v>
      </c>
      <c r="W44" s="9" t="s">
        <v>3</v>
      </c>
      <c r="X44" s="9" t="s">
        <v>3</v>
      </c>
      <c r="Y44" s="9" t="s">
        <v>3</v>
      </c>
      <c r="Z44" s="18" t="s">
        <v>160</v>
      </c>
      <c r="AA44" s="18" t="s">
        <v>160</v>
      </c>
      <c r="AB44" s="18" t="s">
        <v>160</v>
      </c>
      <c r="AC44" s="18" t="s">
        <v>160</v>
      </c>
      <c r="AD44" s="18" t="s">
        <v>160</v>
      </c>
      <c r="AE44" s="18" t="s">
        <v>160</v>
      </c>
      <c r="AF44" s="18" t="s">
        <v>160</v>
      </c>
      <c r="AG44" s="18"/>
      <c r="AH44" s="27">
        <f>COUNTA(月11_27[[#This Row],[1]:[31]])</f>
        <v>27</v>
      </c>
    </row>
    <row r="45" spans="2:34" ht="30" customHeight="1" x14ac:dyDescent="0.25">
      <c r="B45" s="31" t="s">
        <v>111</v>
      </c>
      <c r="C45" s="18"/>
      <c r="D45" s="18" t="s">
        <v>5</v>
      </c>
      <c r="E45" s="18" t="s">
        <v>5</v>
      </c>
      <c r="F45" s="18" t="s">
        <v>5</v>
      </c>
      <c r="G45" s="18" t="s">
        <v>5</v>
      </c>
      <c r="H45" s="18" t="s">
        <v>5</v>
      </c>
      <c r="I45" s="18" t="s">
        <v>5</v>
      </c>
      <c r="J45" s="18" t="s">
        <v>5</v>
      </c>
      <c r="K45" s="18" t="s">
        <v>5</v>
      </c>
      <c r="L45" s="18" t="s">
        <v>66</v>
      </c>
      <c r="M45" s="18" t="s">
        <v>66</v>
      </c>
      <c r="N45" s="18" t="s">
        <v>66</v>
      </c>
      <c r="O45" s="18" t="s">
        <v>66</v>
      </c>
      <c r="P45" s="18"/>
      <c r="Q45" s="18"/>
      <c r="R45" s="9" t="s">
        <v>3</v>
      </c>
      <c r="S45" s="9" t="s">
        <v>3</v>
      </c>
      <c r="T45" s="9" t="s">
        <v>3</v>
      </c>
      <c r="U45" s="9" t="s">
        <v>3</v>
      </c>
      <c r="V45" s="9" t="s">
        <v>3</v>
      </c>
      <c r="W45" s="9" t="s">
        <v>3</v>
      </c>
      <c r="X45" s="9" t="s">
        <v>3</v>
      </c>
      <c r="Y45" s="9" t="s">
        <v>3</v>
      </c>
      <c r="Z45" s="18" t="s">
        <v>160</v>
      </c>
      <c r="AA45" s="18" t="s">
        <v>160</v>
      </c>
      <c r="AB45" s="18" t="s">
        <v>160</v>
      </c>
      <c r="AC45" s="18" t="s">
        <v>160</v>
      </c>
      <c r="AD45" s="18" t="s">
        <v>160</v>
      </c>
      <c r="AE45" s="18" t="s">
        <v>160</v>
      </c>
      <c r="AF45" s="18" t="s">
        <v>160</v>
      </c>
      <c r="AG45" s="18"/>
      <c r="AH45" s="27">
        <f>COUNTA(月11_27[[#This Row],[1]:[31]])</f>
        <v>27</v>
      </c>
    </row>
    <row r="46" spans="2:34" ht="30" customHeight="1" x14ac:dyDescent="0.25">
      <c r="B46" s="31" t="s">
        <v>112</v>
      </c>
      <c r="C46" s="18"/>
      <c r="D46" s="18" t="s">
        <v>5</v>
      </c>
      <c r="E46" s="18" t="s">
        <v>5</v>
      </c>
      <c r="F46" s="18" t="s">
        <v>5</v>
      </c>
      <c r="G46" s="18" t="s">
        <v>5</v>
      </c>
      <c r="H46" s="18" t="s">
        <v>5</v>
      </c>
      <c r="I46" s="18" t="s">
        <v>5</v>
      </c>
      <c r="J46" s="18" t="s">
        <v>5</v>
      </c>
      <c r="K46" s="18" t="s">
        <v>5</v>
      </c>
      <c r="L46" s="18" t="s">
        <v>66</v>
      </c>
      <c r="M46" s="18" t="s">
        <v>66</v>
      </c>
      <c r="N46" s="18" t="s">
        <v>66</v>
      </c>
      <c r="O46" s="18" t="s">
        <v>66</v>
      </c>
      <c r="P46" s="18"/>
      <c r="Q46" s="18"/>
      <c r="R46" s="9" t="s">
        <v>3</v>
      </c>
      <c r="S46" s="9" t="s">
        <v>3</v>
      </c>
      <c r="T46" s="9" t="s">
        <v>3</v>
      </c>
      <c r="U46" s="9" t="s">
        <v>3</v>
      </c>
      <c r="V46" s="9" t="s">
        <v>3</v>
      </c>
      <c r="W46" s="9" t="s">
        <v>3</v>
      </c>
      <c r="X46" s="9" t="s">
        <v>3</v>
      </c>
      <c r="Y46" s="9" t="s">
        <v>3</v>
      </c>
      <c r="Z46" s="18" t="s">
        <v>160</v>
      </c>
      <c r="AA46" s="18" t="s">
        <v>160</v>
      </c>
      <c r="AB46" s="18" t="s">
        <v>160</v>
      </c>
      <c r="AC46" s="18" t="s">
        <v>160</v>
      </c>
      <c r="AD46" s="18" t="s">
        <v>160</v>
      </c>
      <c r="AE46" s="18" t="s">
        <v>160</v>
      </c>
      <c r="AF46" s="18" t="s">
        <v>160</v>
      </c>
      <c r="AG46" s="18"/>
      <c r="AH46" s="27">
        <f>COUNTA(月11_27[[#This Row],[1]:[31]])</f>
        <v>27</v>
      </c>
    </row>
    <row r="47" spans="2:34" ht="30" customHeight="1" x14ac:dyDescent="0.25">
      <c r="B47" s="31" t="s">
        <v>113</v>
      </c>
      <c r="C47" s="18"/>
      <c r="D47" s="18" t="s">
        <v>5</v>
      </c>
      <c r="E47" s="18" t="s">
        <v>5</v>
      </c>
      <c r="F47" s="18" t="s">
        <v>5</v>
      </c>
      <c r="G47" s="18" t="s">
        <v>5</v>
      </c>
      <c r="H47" s="18" t="s">
        <v>5</v>
      </c>
      <c r="I47" s="18" t="s">
        <v>5</v>
      </c>
      <c r="J47" s="18" t="s">
        <v>5</v>
      </c>
      <c r="K47" s="18" t="s">
        <v>5</v>
      </c>
      <c r="L47" s="18" t="s">
        <v>66</v>
      </c>
      <c r="M47" s="18" t="s">
        <v>66</v>
      </c>
      <c r="N47" s="18" t="s">
        <v>66</v>
      </c>
      <c r="O47" s="18" t="s">
        <v>66</v>
      </c>
      <c r="P47" s="18"/>
      <c r="Q47" s="18"/>
      <c r="R47" s="9" t="s">
        <v>3</v>
      </c>
      <c r="S47" s="9" t="s">
        <v>3</v>
      </c>
      <c r="T47" s="9" t="s">
        <v>3</v>
      </c>
      <c r="U47" s="9" t="s">
        <v>3</v>
      </c>
      <c r="V47" s="9" t="s">
        <v>3</v>
      </c>
      <c r="W47" s="9" t="s">
        <v>3</v>
      </c>
      <c r="X47" s="9" t="s">
        <v>3</v>
      </c>
      <c r="Y47" s="9" t="s">
        <v>3</v>
      </c>
      <c r="Z47" s="18" t="s">
        <v>160</v>
      </c>
      <c r="AA47" s="18" t="s">
        <v>160</v>
      </c>
      <c r="AB47" s="18" t="s">
        <v>160</v>
      </c>
      <c r="AC47" s="18" t="s">
        <v>160</v>
      </c>
      <c r="AD47" s="18" t="s">
        <v>160</v>
      </c>
      <c r="AE47" s="18" t="s">
        <v>160</v>
      </c>
      <c r="AF47" s="18" t="s">
        <v>160</v>
      </c>
      <c r="AG47" s="18"/>
      <c r="AH47" s="27">
        <f>COUNTA(月11_27[[#This Row],[1]:[31]])</f>
        <v>27</v>
      </c>
    </row>
    <row r="48" spans="2:34" ht="30" customHeight="1" x14ac:dyDescent="0.25">
      <c r="B48" s="31" t="s">
        <v>114</v>
      </c>
      <c r="C48" s="18"/>
      <c r="D48" s="18" t="s">
        <v>5</v>
      </c>
      <c r="E48" s="18" t="s">
        <v>5</v>
      </c>
      <c r="F48" s="18" t="s">
        <v>5</v>
      </c>
      <c r="G48" s="18" t="s">
        <v>5</v>
      </c>
      <c r="H48" s="18" t="s">
        <v>5</v>
      </c>
      <c r="I48" s="18" t="s">
        <v>5</v>
      </c>
      <c r="J48" s="18" t="s">
        <v>5</v>
      </c>
      <c r="K48" s="18" t="s">
        <v>5</v>
      </c>
      <c r="L48" s="18" t="s">
        <v>66</v>
      </c>
      <c r="M48" s="18" t="s">
        <v>66</v>
      </c>
      <c r="N48" s="18" t="s">
        <v>66</v>
      </c>
      <c r="O48" s="18" t="s">
        <v>66</v>
      </c>
      <c r="P48" s="18"/>
      <c r="Q48" s="18"/>
      <c r="R48" s="9" t="s">
        <v>3</v>
      </c>
      <c r="S48" s="9" t="s">
        <v>3</v>
      </c>
      <c r="T48" s="9" t="s">
        <v>3</v>
      </c>
      <c r="U48" s="9" t="s">
        <v>3</v>
      </c>
      <c r="V48" s="9" t="s">
        <v>3</v>
      </c>
      <c r="W48" s="9" t="s">
        <v>3</v>
      </c>
      <c r="X48" s="9" t="s">
        <v>3</v>
      </c>
      <c r="Y48" s="9" t="s">
        <v>3</v>
      </c>
      <c r="Z48" s="18" t="s">
        <v>160</v>
      </c>
      <c r="AA48" s="18" t="s">
        <v>160</v>
      </c>
      <c r="AB48" s="18" t="s">
        <v>160</v>
      </c>
      <c r="AC48" s="18" t="s">
        <v>160</v>
      </c>
      <c r="AD48" s="18" t="s">
        <v>160</v>
      </c>
      <c r="AE48" s="18" t="s">
        <v>160</v>
      </c>
      <c r="AF48" s="18" t="s">
        <v>160</v>
      </c>
      <c r="AG48" s="18"/>
      <c r="AH48" s="27">
        <f>COUNTA(月11_27[[#This Row],[1]:[31]])</f>
        <v>27</v>
      </c>
    </row>
    <row r="49" spans="2:34" ht="30" customHeight="1" x14ac:dyDescent="0.25">
      <c r="B49" s="31" t="s">
        <v>115</v>
      </c>
      <c r="C49" s="18"/>
      <c r="D49" s="18" t="s">
        <v>5</v>
      </c>
      <c r="E49" s="18" t="s">
        <v>5</v>
      </c>
      <c r="F49" s="18" t="s">
        <v>5</v>
      </c>
      <c r="G49" s="18" t="s">
        <v>5</v>
      </c>
      <c r="H49" s="18" t="s">
        <v>5</v>
      </c>
      <c r="I49" s="18" t="s">
        <v>5</v>
      </c>
      <c r="J49" s="18" t="s">
        <v>5</v>
      </c>
      <c r="K49" s="18" t="s">
        <v>5</v>
      </c>
      <c r="L49" s="18" t="s">
        <v>66</v>
      </c>
      <c r="M49" s="18" t="s">
        <v>66</v>
      </c>
      <c r="N49" s="18" t="s">
        <v>66</v>
      </c>
      <c r="O49" s="18" t="s">
        <v>66</v>
      </c>
      <c r="P49" s="18"/>
      <c r="Q49" s="18"/>
      <c r="R49" s="9" t="s">
        <v>3</v>
      </c>
      <c r="S49" s="9" t="s">
        <v>3</v>
      </c>
      <c r="T49" s="9" t="s">
        <v>3</v>
      </c>
      <c r="U49" s="9" t="s">
        <v>3</v>
      </c>
      <c r="V49" s="9" t="s">
        <v>3</v>
      </c>
      <c r="W49" s="9" t="s">
        <v>3</v>
      </c>
      <c r="X49" s="9" t="s">
        <v>3</v>
      </c>
      <c r="Y49" s="9" t="s">
        <v>3</v>
      </c>
      <c r="Z49" s="18" t="s">
        <v>160</v>
      </c>
      <c r="AA49" s="18" t="s">
        <v>160</v>
      </c>
      <c r="AB49" s="18" t="s">
        <v>160</v>
      </c>
      <c r="AC49" s="18" t="s">
        <v>160</v>
      </c>
      <c r="AD49" s="18" t="s">
        <v>160</v>
      </c>
      <c r="AE49" s="18" t="s">
        <v>160</v>
      </c>
      <c r="AF49" s="18" t="s">
        <v>160</v>
      </c>
      <c r="AG49" s="18"/>
      <c r="AH49" s="27">
        <f>COUNTA(月11_27[[#This Row],[1]:[31]])</f>
        <v>27</v>
      </c>
    </row>
    <row r="50" spans="2:34" ht="30" customHeight="1" x14ac:dyDescent="0.25">
      <c r="B50" s="31" t="s">
        <v>116</v>
      </c>
      <c r="C50" s="18"/>
      <c r="D50" s="18" t="s">
        <v>5</v>
      </c>
      <c r="E50" s="18" t="s">
        <v>5</v>
      </c>
      <c r="F50" s="18" t="s">
        <v>5</v>
      </c>
      <c r="G50" s="18" t="s">
        <v>5</v>
      </c>
      <c r="H50" s="18" t="s">
        <v>5</v>
      </c>
      <c r="I50" s="18" t="s">
        <v>5</v>
      </c>
      <c r="J50" s="18" t="s">
        <v>5</v>
      </c>
      <c r="K50" s="18" t="s">
        <v>5</v>
      </c>
      <c r="L50" s="18" t="s">
        <v>66</v>
      </c>
      <c r="M50" s="18" t="s">
        <v>66</v>
      </c>
      <c r="N50" s="18" t="s">
        <v>66</v>
      </c>
      <c r="O50" s="18" t="s">
        <v>66</v>
      </c>
      <c r="P50" s="18"/>
      <c r="Q50" s="18"/>
      <c r="R50" s="9" t="s">
        <v>3</v>
      </c>
      <c r="S50" s="9" t="s">
        <v>3</v>
      </c>
      <c r="T50" s="9" t="s">
        <v>3</v>
      </c>
      <c r="U50" s="9" t="s">
        <v>3</v>
      </c>
      <c r="V50" s="9" t="s">
        <v>3</v>
      </c>
      <c r="W50" s="9" t="s">
        <v>3</v>
      </c>
      <c r="X50" s="9" t="s">
        <v>3</v>
      </c>
      <c r="Y50" s="9" t="s">
        <v>3</v>
      </c>
      <c r="Z50" s="18" t="s">
        <v>160</v>
      </c>
      <c r="AA50" s="18" t="s">
        <v>160</v>
      </c>
      <c r="AB50" s="18" t="s">
        <v>160</v>
      </c>
      <c r="AC50" s="18" t="s">
        <v>160</v>
      </c>
      <c r="AD50" s="18" t="s">
        <v>160</v>
      </c>
      <c r="AE50" s="18" t="s">
        <v>160</v>
      </c>
      <c r="AF50" s="18" t="s">
        <v>160</v>
      </c>
      <c r="AG50" s="18"/>
      <c r="AH50" s="27">
        <f>COUNTA(月11_27[[#This Row],[1]:[31]])</f>
        <v>27</v>
      </c>
    </row>
    <row r="51" spans="2:34" ht="30" customHeight="1" x14ac:dyDescent="0.25">
      <c r="B51" s="31" t="s">
        <v>117</v>
      </c>
      <c r="C51" s="18"/>
      <c r="D51" s="18" t="s">
        <v>5</v>
      </c>
      <c r="E51" s="18" t="s">
        <v>5</v>
      </c>
      <c r="F51" s="18" t="s">
        <v>5</v>
      </c>
      <c r="G51" s="18" t="s">
        <v>5</v>
      </c>
      <c r="H51" s="18" t="s">
        <v>5</v>
      </c>
      <c r="I51" s="18" t="s">
        <v>5</v>
      </c>
      <c r="J51" s="18" t="s">
        <v>5</v>
      </c>
      <c r="K51" s="18" t="s">
        <v>5</v>
      </c>
      <c r="L51" s="18" t="s">
        <v>66</v>
      </c>
      <c r="M51" s="18" t="s">
        <v>66</v>
      </c>
      <c r="N51" s="18" t="s">
        <v>66</v>
      </c>
      <c r="O51" s="18" t="s">
        <v>66</v>
      </c>
      <c r="P51" s="18"/>
      <c r="Q51" s="18"/>
      <c r="R51" s="9" t="s">
        <v>3</v>
      </c>
      <c r="S51" s="9" t="s">
        <v>3</v>
      </c>
      <c r="T51" s="9" t="s">
        <v>3</v>
      </c>
      <c r="U51" s="9" t="s">
        <v>3</v>
      </c>
      <c r="V51" s="9" t="s">
        <v>3</v>
      </c>
      <c r="W51" s="9" t="s">
        <v>3</v>
      </c>
      <c r="X51" s="9" t="s">
        <v>3</v>
      </c>
      <c r="Y51" s="9" t="s">
        <v>3</v>
      </c>
      <c r="Z51" s="18" t="s">
        <v>160</v>
      </c>
      <c r="AA51" s="18" t="s">
        <v>160</v>
      </c>
      <c r="AB51" s="18" t="s">
        <v>160</v>
      </c>
      <c r="AC51" s="18" t="s">
        <v>160</v>
      </c>
      <c r="AD51" s="18" t="s">
        <v>160</v>
      </c>
      <c r="AE51" s="18" t="s">
        <v>160</v>
      </c>
      <c r="AF51" s="18" t="s">
        <v>160</v>
      </c>
      <c r="AG51" s="18"/>
      <c r="AH51" s="27">
        <f>COUNTA(月11_27[[#This Row],[1]:[31]])</f>
        <v>27</v>
      </c>
    </row>
    <row r="52" spans="2:34" ht="30" customHeight="1" x14ac:dyDescent="0.25">
      <c r="B52" s="31" t="s">
        <v>118</v>
      </c>
      <c r="C52" s="18"/>
      <c r="D52" s="18" t="s">
        <v>5</v>
      </c>
      <c r="E52" s="18" t="s">
        <v>5</v>
      </c>
      <c r="F52" s="18" t="s">
        <v>5</v>
      </c>
      <c r="G52" s="18" t="s">
        <v>5</v>
      </c>
      <c r="H52" s="18" t="s">
        <v>5</v>
      </c>
      <c r="I52" s="18" t="s">
        <v>5</v>
      </c>
      <c r="J52" s="18" t="s">
        <v>5</v>
      </c>
      <c r="K52" s="18" t="s">
        <v>5</v>
      </c>
      <c r="L52" s="18" t="s">
        <v>66</v>
      </c>
      <c r="M52" s="18" t="s">
        <v>66</v>
      </c>
      <c r="N52" s="18" t="s">
        <v>66</v>
      </c>
      <c r="O52" s="18" t="s">
        <v>66</v>
      </c>
      <c r="P52" s="18" t="s">
        <v>66</v>
      </c>
      <c r="Q52" s="18" t="s">
        <v>66</v>
      </c>
      <c r="R52" s="9" t="s">
        <v>3</v>
      </c>
      <c r="S52" s="9" t="s">
        <v>3</v>
      </c>
      <c r="T52" s="9" t="s">
        <v>3</v>
      </c>
      <c r="U52" s="9" t="s">
        <v>3</v>
      </c>
      <c r="V52" s="9" t="s">
        <v>3</v>
      </c>
      <c r="W52" s="9" t="s">
        <v>3</v>
      </c>
      <c r="X52" s="9" t="s">
        <v>3</v>
      </c>
      <c r="Y52" s="9" t="s">
        <v>3</v>
      </c>
      <c r="Z52" s="18" t="s">
        <v>160</v>
      </c>
      <c r="AA52" s="18" t="s">
        <v>160</v>
      </c>
      <c r="AB52" s="18" t="s">
        <v>160</v>
      </c>
      <c r="AC52" s="18" t="s">
        <v>160</v>
      </c>
      <c r="AD52" s="18" t="s">
        <v>160</v>
      </c>
      <c r="AE52" s="18" t="s">
        <v>160</v>
      </c>
      <c r="AF52" s="18" t="s">
        <v>160</v>
      </c>
      <c r="AG52" s="18"/>
      <c r="AH52" s="27">
        <f>COUNTA(月11_27[[#This Row],[1]:[31]])</f>
        <v>29</v>
      </c>
    </row>
    <row r="53" spans="2:34" ht="30" customHeight="1" x14ac:dyDescent="0.25">
      <c r="B53" s="31" t="s">
        <v>144</v>
      </c>
      <c r="C53" s="18"/>
      <c r="D53" s="18" t="s">
        <v>5</v>
      </c>
      <c r="E53" s="18" t="s">
        <v>5</v>
      </c>
      <c r="F53" s="18" t="s">
        <v>5</v>
      </c>
      <c r="G53" s="18" t="s">
        <v>5</v>
      </c>
      <c r="H53" s="18" t="s">
        <v>5</v>
      </c>
      <c r="I53" s="18" t="s">
        <v>5</v>
      </c>
      <c r="J53" s="18" t="s">
        <v>5</v>
      </c>
      <c r="K53" s="18" t="s">
        <v>5</v>
      </c>
      <c r="L53" s="18" t="s">
        <v>66</v>
      </c>
      <c r="M53" s="18" t="s">
        <v>66</v>
      </c>
      <c r="N53" s="18" t="s">
        <v>66</v>
      </c>
      <c r="O53" s="18" t="s">
        <v>66</v>
      </c>
      <c r="P53" s="18" t="s">
        <v>66</v>
      </c>
      <c r="Q53" s="18" t="s">
        <v>66</v>
      </c>
      <c r="R53" s="9" t="s">
        <v>3</v>
      </c>
      <c r="S53" s="9" t="s">
        <v>3</v>
      </c>
      <c r="T53" s="9" t="s">
        <v>3</v>
      </c>
      <c r="U53" s="9" t="s">
        <v>3</v>
      </c>
      <c r="V53" s="9" t="s">
        <v>3</v>
      </c>
      <c r="W53" s="9" t="s">
        <v>3</v>
      </c>
      <c r="X53" s="9" t="s">
        <v>3</v>
      </c>
      <c r="Y53" s="9" t="s">
        <v>3</v>
      </c>
      <c r="Z53" s="18" t="s">
        <v>160</v>
      </c>
      <c r="AA53" s="18" t="s">
        <v>160</v>
      </c>
      <c r="AB53" s="18" t="s">
        <v>160</v>
      </c>
      <c r="AC53" s="18" t="s">
        <v>160</v>
      </c>
      <c r="AD53" s="18" t="s">
        <v>160</v>
      </c>
      <c r="AE53" s="18" t="s">
        <v>160</v>
      </c>
      <c r="AF53" s="18" t="s">
        <v>160</v>
      </c>
      <c r="AG53" s="18"/>
      <c r="AH53" s="27">
        <f>COUNTA(月11_27[[#This Row],[1]:[31]])</f>
        <v>29</v>
      </c>
    </row>
    <row r="54" spans="2:34" ht="30" customHeight="1" x14ac:dyDescent="0.25">
      <c r="B54" s="31" t="s">
        <v>145</v>
      </c>
      <c r="C54" s="18"/>
      <c r="D54" s="18" t="s">
        <v>5</v>
      </c>
      <c r="E54" s="18" t="s">
        <v>5</v>
      </c>
      <c r="F54" s="18" t="s">
        <v>5</v>
      </c>
      <c r="G54" s="18" t="s">
        <v>5</v>
      </c>
      <c r="H54" s="18" t="s">
        <v>5</v>
      </c>
      <c r="I54" s="18" t="s">
        <v>5</v>
      </c>
      <c r="J54" s="18" t="s">
        <v>5</v>
      </c>
      <c r="K54" s="18" t="s">
        <v>5</v>
      </c>
      <c r="L54" s="18" t="s">
        <v>66</v>
      </c>
      <c r="M54" s="18" t="s">
        <v>66</v>
      </c>
      <c r="N54" s="18" t="s">
        <v>66</v>
      </c>
      <c r="O54" s="18" t="s">
        <v>66</v>
      </c>
      <c r="P54" s="18" t="s">
        <v>66</v>
      </c>
      <c r="Q54" s="18" t="s">
        <v>66</v>
      </c>
      <c r="R54" s="9" t="s">
        <v>3</v>
      </c>
      <c r="S54" s="9" t="s">
        <v>3</v>
      </c>
      <c r="T54" s="9" t="s">
        <v>3</v>
      </c>
      <c r="U54" s="9" t="s">
        <v>3</v>
      </c>
      <c r="V54" s="9" t="s">
        <v>3</v>
      </c>
      <c r="W54" s="9" t="s">
        <v>3</v>
      </c>
      <c r="X54" s="9" t="s">
        <v>3</v>
      </c>
      <c r="Y54" s="9" t="s">
        <v>3</v>
      </c>
      <c r="Z54" s="18" t="s">
        <v>160</v>
      </c>
      <c r="AA54" s="18" t="s">
        <v>160</v>
      </c>
      <c r="AB54" s="18" t="s">
        <v>160</v>
      </c>
      <c r="AC54" s="18" t="s">
        <v>160</v>
      </c>
      <c r="AD54" s="18" t="s">
        <v>160</v>
      </c>
      <c r="AE54" s="18" t="s">
        <v>160</v>
      </c>
      <c r="AF54" s="18" t="s">
        <v>160</v>
      </c>
      <c r="AG54" s="18"/>
      <c r="AH54" s="27">
        <f>COUNTA(月11_27[[#This Row],[1]:[31]])</f>
        <v>29</v>
      </c>
    </row>
    <row r="55" spans="2:34" ht="30" customHeight="1" x14ac:dyDescent="0.25">
      <c r="B55" s="32" t="s">
        <v>146</v>
      </c>
      <c r="C55" s="18"/>
      <c r="D55" s="18" t="s">
        <v>5</v>
      </c>
      <c r="E55" s="18" t="s">
        <v>5</v>
      </c>
      <c r="F55" s="18" t="s">
        <v>5</v>
      </c>
      <c r="G55" s="18" t="s">
        <v>5</v>
      </c>
      <c r="H55" s="18" t="s">
        <v>5</v>
      </c>
      <c r="I55" s="18" t="s">
        <v>5</v>
      </c>
      <c r="J55" s="18" t="s">
        <v>5</v>
      </c>
      <c r="K55" s="18" t="s">
        <v>5</v>
      </c>
      <c r="L55" s="18" t="s">
        <v>66</v>
      </c>
      <c r="M55" s="18" t="s">
        <v>66</v>
      </c>
      <c r="N55" s="18" t="s">
        <v>66</v>
      </c>
      <c r="O55" s="18" t="s">
        <v>66</v>
      </c>
      <c r="P55" s="18" t="s">
        <v>66</v>
      </c>
      <c r="Q55" s="18" t="s">
        <v>66</v>
      </c>
      <c r="R55" s="9" t="s">
        <v>3</v>
      </c>
      <c r="S55" s="9" t="s">
        <v>3</v>
      </c>
      <c r="T55" s="9" t="s">
        <v>3</v>
      </c>
      <c r="U55" s="9" t="s">
        <v>3</v>
      </c>
      <c r="V55" s="9" t="s">
        <v>3</v>
      </c>
      <c r="W55" s="9" t="s">
        <v>3</v>
      </c>
      <c r="X55" s="9" t="s">
        <v>3</v>
      </c>
      <c r="Y55" s="9" t="s">
        <v>3</v>
      </c>
      <c r="Z55" s="18" t="s">
        <v>160</v>
      </c>
      <c r="AA55" s="18" t="s">
        <v>160</v>
      </c>
      <c r="AB55" s="18" t="s">
        <v>160</v>
      </c>
      <c r="AC55" s="18" t="s">
        <v>160</v>
      </c>
      <c r="AD55" s="18" t="s">
        <v>160</v>
      </c>
      <c r="AE55" s="18" t="s">
        <v>160</v>
      </c>
      <c r="AF55" s="18" t="s">
        <v>160</v>
      </c>
      <c r="AG55" s="18"/>
      <c r="AH55" s="27">
        <f>COUNTA(月11_27[[#This Row],[1]:[31]])</f>
        <v>29</v>
      </c>
    </row>
    <row r="56" spans="2:34" ht="30" customHeight="1" x14ac:dyDescent="0.25">
      <c r="B56" s="32" t="s">
        <v>147</v>
      </c>
      <c r="C56" s="18"/>
      <c r="D56" s="18" t="s">
        <v>5</v>
      </c>
      <c r="E56" s="18" t="s">
        <v>5</v>
      </c>
      <c r="F56" s="18" t="s">
        <v>5</v>
      </c>
      <c r="G56" s="18" t="s">
        <v>5</v>
      </c>
      <c r="H56" s="18" t="s">
        <v>5</v>
      </c>
      <c r="I56" s="18" t="s">
        <v>5</v>
      </c>
      <c r="J56" s="18" t="s">
        <v>5</v>
      </c>
      <c r="K56" s="18" t="s">
        <v>5</v>
      </c>
      <c r="L56" s="18" t="s">
        <v>66</v>
      </c>
      <c r="M56" s="18" t="s">
        <v>66</v>
      </c>
      <c r="N56" s="18" t="s">
        <v>66</v>
      </c>
      <c r="O56" s="18" t="s">
        <v>66</v>
      </c>
      <c r="P56" s="18" t="s">
        <v>66</v>
      </c>
      <c r="Q56" s="18" t="s">
        <v>66</v>
      </c>
      <c r="R56" s="9" t="s">
        <v>3</v>
      </c>
      <c r="S56" s="9" t="s">
        <v>3</v>
      </c>
      <c r="T56" s="9" t="s">
        <v>3</v>
      </c>
      <c r="U56" s="9" t="s">
        <v>3</v>
      </c>
      <c r="V56" s="9" t="s">
        <v>3</v>
      </c>
      <c r="W56" s="9" t="s">
        <v>3</v>
      </c>
      <c r="X56" s="9" t="s">
        <v>3</v>
      </c>
      <c r="Y56" s="9" t="s">
        <v>3</v>
      </c>
      <c r="Z56" s="18" t="s">
        <v>160</v>
      </c>
      <c r="AA56" s="18" t="s">
        <v>160</v>
      </c>
      <c r="AB56" s="18" t="s">
        <v>160</v>
      </c>
      <c r="AC56" s="18" t="s">
        <v>160</v>
      </c>
      <c r="AD56" s="18" t="s">
        <v>160</v>
      </c>
      <c r="AE56" s="18" t="s">
        <v>160</v>
      </c>
      <c r="AF56" s="18" t="s">
        <v>160</v>
      </c>
      <c r="AG56" s="18"/>
      <c r="AH56" s="27">
        <f>COUNTA(月11_27[[#This Row],[1]:[31]])</f>
        <v>29</v>
      </c>
    </row>
    <row r="57" spans="2:34" ht="30" customHeight="1" x14ac:dyDescent="0.25">
      <c r="B57" s="32" t="s">
        <v>148</v>
      </c>
      <c r="C57" s="18"/>
      <c r="D57" s="18" t="s">
        <v>5</v>
      </c>
      <c r="E57" s="18" t="s">
        <v>5</v>
      </c>
      <c r="F57" s="18" t="s">
        <v>5</v>
      </c>
      <c r="G57" s="18" t="s">
        <v>5</v>
      </c>
      <c r="H57" s="18" t="s">
        <v>5</v>
      </c>
      <c r="I57" s="18" t="s">
        <v>5</v>
      </c>
      <c r="J57" s="18" t="s">
        <v>5</v>
      </c>
      <c r="K57" s="18" t="s">
        <v>5</v>
      </c>
      <c r="L57" s="18" t="s">
        <v>66</v>
      </c>
      <c r="M57" s="18" t="s">
        <v>66</v>
      </c>
      <c r="N57" s="18" t="s">
        <v>66</v>
      </c>
      <c r="O57" s="18" t="s">
        <v>66</v>
      </c>
      <c r="P57" s="18" t="s">
        <v>66</v>
      </c>
      <c r="Q57" s="18" t="s">
        <v>66</v>
      </c>
      <c r="R57" s="9" t="s">
        <v>3</v>
      </c>
      <c r="S57" s="9" t="s">
        <v>3</v>
      </c>
      <c r="T57" s="9" t="s">
        <v>3</v>
      </c>
      <c r="U57" s="9" t="s">
        <v>3</v>
      </c>
      <c r="V57" s="9" t="s">
        <v>3</v>
      </c>
      <c r="W57" s="9" t="s">
        <v>3</v>
      </c>
      <c r="X57" s="9" t="s">
        <v>3</v>
      </c>
      <c r="Y57" s="9" t="s">
        <v>3</v>
      </c>
      <c r="Z57" s="18" t="s">
        <v>160</v>
      </c>
      <c r="AA57" s="18" t="s">
        <v>160</v>
      </c>
      <c r="AB57" s="18" t="s">
        <v>160</v>
      </c>
      <c r="AC57" s="18" t="s">
        <v>160</v>
      </c>
      <c r="AD57" s="18" t="s">
        <v>160</v>
      </c>
      <c r="AE57" s="18" t="s">
        <v>160</v>
      </c>
      <c r="AF57" s="18" t="s">
        <v>160</v>
      </c>
      <c r="AG57" s="18"/>
      <c r="AH57" s="27">
        <f>COUNTA(月11_27[[#This Row],[1]:[31]])</f>
        <v>29</v>
      </c>
    </row>
    <row r="58" spans="2:34" ht="30" customHeight="1" x14ac:dyDescent="0.25">
      <c r="B58" s="32" t="s">
        <v>149</v>
      </c>
      <c r="C58" s="18"/>
      <c r="D58" s="18" t="s">
        <v>5</v>
      </c>
      <c r="E58" s="18" t="s">
        <v>5</v>
      </c>
      <c r="F58" s="18" t="s">
        <v>5</v>
      </c>
      <c r="G58" s="18" t="s">
        <v>5</v>
      </c>
      <c r="H58" s="18" t="s">
        <v>5</v>
      </c>
      <c r="I58" s="18" t="s">
        <v>5</v>
      </c>
      <c r="J58" s="18" t="s">
        <v>5</v>
      </c>
      <c r="K58" s="18" t="s">
        <v>5</v>
      </c>
      <c r="L58" s="18" t="s">
        <v>66</v>
      </c>
      <c r="M58" s="18" t="s">
        <v>66</v>
      </c>
      <c r="N58" s="18" t="s">
        <v>66</v>
      </c>
      <c r="O58" s="18" t="s">
        <v>66</v>
      </c>
      <c r="P58" s="18" t="s">
        <v>66</v>
      </c>
      <c r="Q58" s="18" t="s">
        <v>66</v>
      </c>
      <c r="R58" s="9" t="s">
        <v>3</v>
      </c>
      <c r="S58" s="9" t="s">
        <v>3</v>
      </c>
      <c r="T58" s="9" t="s">
        <v>3</v>
      </c>
      <c r="U58" s="9" t="s">
        <v>3</v>
      </c>
      <c r="V58" s="9" t="s">
        <v>3</v>
      </c>
      <c r="W58" s="9" t="s">
        <v>3</v>
      </c>
      <c r="X58" s="9" t="s">
        <v>3</v>
      </c>
      <c r="Y58" s="9" t="s">
        <v>3</v>
      </c>
      <c r="Z58" s="18" t="s">
        <v>160</v>
      </c>
      <c r="AA58" s="18" t="s">
        <v>160</v>
      </c>
      <c r="AB58" s="18" t="s">
        <v>160</v>
      </c>
      <c r="AC58" s="18" t="s">
        <v>160</v>
      </c>
      <c r="AD58" s="18" t="s">
        <v>160</v>
      </c>
      <c r="AE58" s="18" t="s">
        <v>160</v>
      </c>
      <c r="AF58" s="18" t="s">
        <v>160</v>
      </c>
      <c r="AG58" s="18"/>
      <c r="AH58" s="27">
        <f>COUNTA(月11_27[[#This Row],[1]:[31]])</f>
        <v>29</v>
      </c>
    </row>
    <row r="59" spans="2:34" ht="30" customHeight="1" x14ac:dyDescent="0.25">
      <c r="B59" s="32" t="s">
        <v>150</v>
      </c>
      <c r="C59" s="18"/>
      <c r="D59" s="18" t="s">
        <v>5</v>
      </c>
      <c r="E59" s="18" t="s">
        <v>5</v>
      </c>
      <c r="F59" s="18" t="s">
        <v>5</v>
      </c>
      <c r="G59" s="18" t="s">
        <v>5</v>
      </c>
      <c r="H59" s="18" t="s">
        <v>5</v>
      </c>
      <c r="I59" s="18" t="s">
        <v>5</v>
      </c>
      <c r="J59" s="18" t="s">
        <v>5</v>
      </c>
      <c r="K59" s="18" t="s">
        <v>5</v>
      </c>
      <c r="L59" s="18" t="s">
        <v>66</v>
      </c>
      <c r="M59" s="18" t="s">
        <v>66</v>
      </c>
      <c r="N59" s="18" t="s">
        <v>66</v>
      </c>
      <c r="O59" s="18" t="s">
        <v>66</v>
      </c>
      <c r="P59" s="18" t="s">
        <v>66</v>
      </c>
      <c r="Q59" s="18" t="s">
        <v>66</v>
      </c>
      <c r="R59" s="9" t="s">
        <v>3</v>
      </c>
      <c r="S59" s="9" t="s">
        <v>3</v>
      </c>
      <c r="T59" s="9" t="s">
        <v>3</v>
      </c>
      <c r="U59" s="9" t="s">
        <v>3</v>
      </c>
      <c r="V59" s="9" t="s">
        <v>3</v>
      </c>
      <c r="W59" s="9" t="s">
        <v>3</v>
      </c>
      <c r="X59" s="9" t="s">
        <v>3</v>
      </c>
      <c r="Y59" s="9" t="s">
        <v>3</v>
      </c>
      <c r="Z59" s="18" t="s">
        <v>160</v>
      </c>
      <c r="AA59" s="18" t="s">
        <v>160</v>
      </c>
      <c r="AB59" s="18" t="s">
        <v>160</v>
      </c>
      <c r="AC59" s="18" t="s">
        <v>160</v>
      </c>
      <c r="AD59" s="18" t="s">
        <v>160</v>
      </c>
      <c r="AE59" s="18" t="s">
        <v>160</v>
      </c>
      <c r="AF59" s="18" t="s">
        <v>160</v>
      </c>
      <c r="AG59" s="18"/>
      <c r="AH59" s="27">
        <f>COUNTA(月11_27[[#This Row],[1]:[31]])</f>
        <v>29</v>
      </c>
    </row>
    <row r="60" spans="2:34" ht="30" customHeight="1" x14ac:dyDescent="0.25">
      <c r="B60" s="32" t="s">
        <v>151</v>
      </c>
      <c r="C60" s="18"/>
      <c r="D60" s="18" t="s">
        <v>5</v>
      </c>
      <c r="E60" s="18" t="s">
        <v>5</v>
      </c>
      <c r="F60" s="18" t="s">
        <v>5</v>
      </c>
      <c r="G60" s="18" t="s">
        <v>5</v>
      </c>
      <c r="H60" s="18" t="s">
        <v>5</v>
      </c>
      <c r="I60" s="18" t="s">
        <v>5</v>
      </c>
      <c r="J60" s="18" t="s">
        <v>5</v>
      </c>
      <c r="K60" s="18" t="s">
        <v>5</v>
      </c>
      <c r="L60" s="18" t="s">
        <v>66</v>
      </c>
      <c r="M60" s="18" t="s">
        <v>66</v>
      </c>
      <c r="N60" s="18" t="s">
        <v>66</v>
      </c>
      <c r="O60" s="18" t="s">
        <v>66</v>
      </c>
      <c r="P60" s="18" t="s">
        <v>66</v>
      </c>
      <c r="Q60" s="18" t="s">
        <v>66</v>
      </c>
      <c r="R60" s="9" t="s">
        <v>3</v>
      </c>
      <c r="S60" s="9" t="s">
        <v>3</v>
      </c>
      <c r="T60" s="9" t="s">
        <v>3</v>
      </c>
      <c r="U60" s="9" t="s">
        <v>3</v>
      </c>
      <c r="V60" s="9" t="s">
        <v>3</v>
      </c>
      <c r="W60" s="9" t="s">
        <v>3</v>
      </c>
      <c r="X60" s="9" t="s">
        <v>3</v>
      </c>
      <c r="Y60" s="9" t="s">
        <v>3</v>
      </c>
      <c r="Z60" s="18" t="s">
        <v>160</v>
      </c>
      <c r="AA60" s="18" t="s">
        <v>160</v>
      </c>
      <c r="AB60" s="18" t="s">
        <v>160</v>
      </c>
      <c r="AC60" s="18" t="s">
        <v>160</v>
      </c>
      <c r="AD60" s="18" t="s">
        <v>160</v>
      </c>
      <c r="AE60" s="18" t="s">
        <v>160</v>
      </c>
      <c r="AF60" s="18" t="s">
        <v>160</v>
      </c>
      <c r="AG60" s="18"/>
      <c r="AH60" s="27">
        <f>COUNTA(月11_27[[#This Row],[1]:[31]])</f>
        <v>29</v>
      </c>
    </row>
    <row r="61" spans="2:34" ht="30" customHeight="1" x14ac:dyDescent="0.25">
      <c r="B61" s="32" t="s">
        <v>152</v>
      </c>
      <c r="C61" s="18"/>
      <c r="D61" s="18" t="s">
        <v>5</v>
      </c>
      <c r="E61" s="18" t="s">
        <v>5</v>
      </c>
      <c r="F61" s="18" t="s">
        <v>5</v>
      </c>
      <c r="G61" s="18" t="s">
        <v>5</v>
      </c>
      <c r="H61" s="18" t="s">
        <v>5</v>
      </c>
      <c r="I61" s="18" t="s">
        <v>5</v>
      </c>
      <c r="J61" s="18" t="s">
        <v>5</v>
      </c>
      <c r="K61" s="18" t="s">
        <v>5</v>
      </c>
      <c r="L61" s="18" t="s">
        <v>66</v>
      </c>
      <c r="M61" s="18" t="s">
        <v>66</v>
      </c>
      <c r="N61" s="18" t="s">
        <v>66</v>
      </c>
      <c r="O61" s="18" t="s">
        <v>66</v>
      </c>
      <c r="P61" s="18" t="s">
        <v>66</v>
      </c>
      <c r="Q61" s="18" t="s">
        <v>66</v>
      </c>
      <c r="R61" s="9" t="s">
        <v>3</v>
      </c>
      <c r="S61" s="9" t="s">
        <v>3</v>
      </c>
      <c r="T61" s="9" t="s">
        <v>3</v>
      </c>
      <c r="U61" s="9" t="s">
        <v>3</v>
      </c>
      <c r="V61" s="9" t="s">
        <v>3</v>
      </c>
      <c r="W61" s="9" t="s">
        <v>3</v>
      </c>
      <c r="X61" s="9" t="s">
        <v>3</v>
      </c>
      <c r="Y61" s="9" t="s">
        <v>3</v>
      </c>
      <c r="Z61" s="18" t="s">
        <v>160</v>
      </c>
      <c r="AA61" s="18" t="s">
        <v>160</v>
      </c>
      <c r="AB61" s="18" t="s">
        <v>160</v>
      </c>
      <c r="AC61" s="18" t="s">
        <v>160</v>
      </c>
      <c r="AD61" s="18" t="s">
        <v>160</v>
      </c>
      <c r="AE61" s="18" t="s">
        <v>160</v>
      </c>
      <c r="AF61" s="18" t="s">
        <v>160</v>
      </c>
      <c r="AG61" s="18"/>
      <c r="AH61" s="27">
        <f>COUNTA(月11_27[[#This Row],[1]:[31]])</f>
        <v>29</v>
      </c>
    </row>
    <row r="62" spans="2:34" ht="30" customHeight="1" x14ac:dyDescent="0.25">
      <c r="B62" s="32" t="s">
        <v>153</v>
      </c>
      <c r="C62" s="18"/>
      <c r="D62" s="18" t="s">
        <v>5</v>
      </c>
      <c r="E62" s="18" t="s">
        <v>5</v>
      </c>
      <c r="F62" s="18" t="s">
        <v>5</v>
      </c>
      <c r="G62" s="18" t="s">
        <v>5</v>
      </c>
      <c r="H62" s="18" t="s">
        <v>5</v>
      </c>
      <c r="I62" s="18" t="s">
        <v>5</v>
      </c>
      <c r="J62" s="18" t="s">
        <v>5</v>
      </c>
      <c r="K62" s="18" t="s">
        <v>5</v>
      </c>
      <c r="L62" s="18" t="s">
        <v>66</v>
      </c>
      <c r="M62" s="18" t="s">
        <v>66</v>
      </c>
      <c r="N62" s="18" t="s">
        <v>66</v>
      </c>
      <c r="O62" s="18" t="s">
        <v>66</v>
      </c>
      <c r="P62" s="18" t="s">
        <v>66</v>
      </c>
      <c r="Q62" s="18" t="s">
        <v>66</v>
      </c>
      <c r="R62" s="9" t="s">
        <v>3</v>
      </c>
      <c r="S62" s="9" t="s">
        <v>3</v>
      </c>
      <c r="T62" s="9" t="s">
        <v>3</v>
      </c>
      <c r="U62" s="9" t="s">
        <v>3</v>
      </c>
      <c r="V62" s="9" t="s">
        <v>3</v>
      </c>
      <c r="W62" s="9" t="s">
        <v>3</v>
      </c>
      <c r="X62" s="9" t="s">
        <v>3</v>
      </c>
      <c r="Y62" s="9" t="s">
        <v>3</v>
      </c>
      <c r="Z62" s="18" t="s">
        <v>160</v>
      </c>
      <c r="AA62" s="18" t="s">
        <v>160</v>
      </c>
      <c r="AB62" s="18" t="s">
        <v>160</v>
      </c>
      <c r="AC62" s="18" t="s">
        <v>160</v>
      </c>
      <c r="AD62" s="18" t="s">
        <v>160</v>
      </c>
      <c r="AE62" s="18" t="s">
        <v>160</v>
      </c>
      <c r="AF62" s="18" t="s">
        <v>160</v>
      </c>
      <c r="AG62" s="18"/>
      <c r="AH62" s="27">
        <f>COUNTA(月11_27[[#This Row],[1]:[31]])</f>
        <v>29</v>
      </c>
    </row>
    <row r="63" spans="2:34" ht="30" customHeight="1" x14ac:dyDescent="0.25">
      <c r="B63" s="32" t="s">
        <v>154</v>
      </c>
      <c r="C63" s="18"/>
      <c r="D63" s="18" t="s">
        <v>5</v>
      </c>
      <c r="E63" s="18" t="s">
        <v>5</v>
      </c>
      <c r="F63" s="18" t="s">
        <v>5</v>
      </c>
      <c r="G63" s="18" t="s">
        <v>5</v>
      </c>
      <c r="H63" s="18" t="s">
        <v>5</v>
      </c>
      <c r="I63" s="18" t="s">
        <v>5</v>
      </c>
      <c r="J63" s="18" t="s">
        <v>5</v>
      </c>
      <c r="K63" s="18" t="s">
        <v>5</v>
      </c>
      <c r="L63" s="18" t="s">
        <v>66</v>
      </c>
      <c r="M63" s="18" t="s">
        <v>66</v>
      </c>
      <c r="N63" s="18" t="s">
        <v>66</v>
      </c>
      <c r="O63" s="18" t="s">
        <v>66</v>
      </c>
      <c r="P63" s="18" t="s">
        <v>66</v>
      </c>
      <c r="Q63" s="18" t="s">
        <v>66</v>
      </c>
      <c r="R63" s="9" t="s">
        <v>3</v>
      </c>
      <c r="S63" s="9" t="s">
        <v>3</v>
      </c>
      <c r="T63" s="9" t="s">
        <v>3</v>
      </c>
      <c r="U63" s="9" t="s">
        <v>3</v>
      </c>
      <c r="V63" s="9" t="s">
        <v>3</v>
      </c>
      <c r="W63" s="9" t="s">
        <v>3</v>
      </c>
      <c r="X63" s="9" t="s">
        <v>3</v>
      </c>
      <c r="Y63" s="9" t="s">
        <v>3</v>
      </c>
      <c r="Z63" s="18" t="s">
        <v>160</v>
      </c>
      <c r="AA63" s="18" t="s">
        <v>160</v>
      </c>
      <c r="AB63" s="18" t="s">
        <v>160</v>
      </c>
      <c r="AC63" s="18" t="s">
        <v>160</v>
      </c>
      <c r="AD63" s="18" t="s">
        <v>160</v>
      </c>
      <c r="AE63" s="18" t="s">
        <v>160</v>
      </c>
      <c r="AF63" s="18" t="s">
        <v>160</v>
      </c>
      <c r="AG63" s="18"/>
      <c r="AH63" s="27">
        <f>COUNTA(月11_27[[#This Row],[1]:[31]])</f>
        <v>29</v>
      </c>
    </row>
    <row r="64" spans="2:34" ht="30" customHeight="1" x14ac:dyDescent="0.25">
      <c r="B64" s="32" t="s">
        <v>155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9" t="s">
        <v>3</v>
      </c>
      <c r="S64" s="9" t="s">
        <v>3</v>
      </c>
      <c r="T64" s="9" t="s">
        <v>3</v>
      </c>
      <c r="U64" s="9" t="s">
        <v>3</v>
      </c>
      <c r="V64" s="9" t="s">
        <v>3</v>
      </c>
      <c r="W64" s="9" t="s">
        <v>3</v>
      </c>
      <c r="X64" s="9" t="s">
        <v>3</v>
      </c>
      <c r="Y64" s="9" t="s">
        <v>3</v>
      </c>
      <c r="Z64" s="18"/>
      <c r="AA64" s="18"/>
      <c r="AB64" s="18"/>
      <c r="AC64" s="18"/>
      <c r="AD64" s="18"/>
      <c r="AE64" s="18"/>
      <c r="AF64" s="18"/>
      <c r="AG64" s="18"/>
      <c r="AH64" s="27">
        <f>COUNTA(月11_27[[#This Row],[1]:[31]])</f>
        <v>8</v>
      </c>
    </row>
    <row r="65" spans="2:34" ht="30" customHeight="1" x14ac:dyDescent="0.25">
      <c r="B65" s="32" t="s">
        <v>156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9" t="s">
        <v>3</v>
      </c>
      <c r="S65" s="9" t="s">
        <v>3</v>
      </c>
      <c r="T65" s="9" t="s">
        <v>3</v>
      </c>
      <c r="U65" s="9" t="s">
        <v>3</v>
      </c>
      <c r="V65" s="9" t="s">
        <v>3</v>
      </c>
      <c r="W65" s="9" t="s">
        <v>3</v>
      </c>
      <c r="X65" s="9" t="s">
        <v>3</v>
      </c>
      <c r="Y65" s="9" t="s">
        <v>3</v>
      </c>
      <c r="Z65" s="18"/>
      <c r="AA65" s="18"/>
      <c r="AB65" s="18"/>
      <c r="AC65" s="18"/>
      <c r="AD65" s="18"/>
      <c r="AE65" s="18"/>
      <c r="AF65" s="18"/>
      <c r="AG65" s="18"/>
      <c r="AH65" s="27">
        <f>COUNTA(月11_27[[#This Row],[1]:[31]])</f>
        <v>8</v>
      </c>
    </row>
    <row r="66" spans="2:34" ht="30" customHeight="1" x14ac:dyDescent="0.25">
      <c r="B66" s="21" t="str">
        <f>MonthName&amp;"集計"</f>
        <v>6月集計</v>
      </c>
      <c r="C66" s="22">
        <f>SUBTOTAL(103,月11_27[1])</f>
        <v>0</v>
      </c>
      <c r="D66" s="22">
        <f>SUBTOTAL(103,月11_27[2])</f>
        <v>45</v>
      </c>
      <c r="E66" s="22">
        <f>SUBTOTAL(103,月11_27[3])</f>
        <v>45</v>
      </c>
      <c r="F66" s="22">
        <f>SUBTOTAL(103,月11_27[4])</f>
        <v>45</v>
      </c>
      <c r="G66" s="22">
        <f>SUBTOTAL(103,月11_27[5])</f>
        <v>45</v>
      </c>
      <c r="H66" s="22">
        <f>SUBTOTAL(103,月11_27[6])</f>
        <v>45</v>
      </c>
      <c r="I66" s="22">
        <f>SUBTOTAL(103,月11_27[7])</f>
        <v>45</v>
      </c>
      <c r="J66" s="22">
        <f>SUBTOTAL(103,月11_27[8])</f>
        <v>45</v>
      </c>
      <c r="K66" s="22">
        <f>SUBTOTAL(103,月11_27[9])</f>
        <v>34</v>
      </c>
      <c r="L66" s="22">
        <f>SUBTOTAL(103,月11_27[10])</f>
        <v>45</v>
      </c>
      <c r="M66" s="22">
        <f>SUBTOTAL(103,月11_27[11])</f>
        <v>45</v>
      </c>
      <c r="N66" s="22">
        <f>SUBTOTAL(103,月11_27[12])</f>
        <v>45</v>
      </c>
      <c r="O66" s="22">
        <f>SUBTOTAL(103,月11_27[13])</f>
        <v>45</v>
      </c>
      <c r="P66" s="22">
        <f>SUBTOTAL(103,月11_27[14])</f>
        <v>12</v>
      </c>
      <c r="Q66" s="22">
        <f>SUBTOTAL(103,月11_27[15])</f>
        <v>12</v>
      </c>
      <c r="R66" s="22">
        <f>SUBTOTAL(103,月11_27[16])</f>
        <v>57</v>
      </c>
      <c r="S66" s="22">
        <f>SUBTOTAL(103,月11_27[17])</f>
        <v>57</v>
      </c>
      <c r="T66" s="22">
        <f>SUBTOTAL(103,月11_27[18])</f>
        <v>57</v>
      </c>
      <c r="U66" s="22">
        <f>SUBTOTAL(103,月11_27[19])</f>
        <v>57</v>
      </c>
      <c r="V66" s="22">
        <f>SUBTOTAL(103,月11_27[20])</f>
        <v>57</v>
      </c>
      <c r="W66" s="22">
        <f>SUBTOTAL(103,月11_27[21])</f>
        <v>57</v>
      </c>
      <c r="X66" s="22">
        <f>SUBTOTAL(103,月11_27[22])</f>
        <v>57</v>
      </c>
      <c r="Y66" s="22">
        <f>SUBTOTAL(103,月11_27[23])</f>
        <v>57</v>
      </c>
      <c r="Z66" s="22">
        <f>SUBTOTAL(103,月11_27[24])</f>
        <v>55</v>
      </c>
      <c r="AA66" s="22">
        <f>SUBTOTAL(103,月11_27[25])</f>
        <v>55</v>
      </c>
      <c r="AB66" s="22">
        <f>SUBTOTAL(103,月11_27[26])</f>
        <v>55</v>
      </c>
      <c r="AC66" s="22">
        <f>SUBTOTAL(103,月11_27[27])</f>
        <v>55</v>
      </c>
      <c r="AD66" s="22">
        <f>SUBTOTAL(103,月11_27[28])</f>
        <v>55</v>
      </c>
      <c r="AE66" s="22">
        <f>SUBTOTAL(103,月11_27[29])</f>
        <v>55</v>
      </c>
      <c r="AF66" s="22">
        <f>SUBTOTAL(109,月11_27[30])</f>
        <v>0</v>
      </c>
      <c r="AG66" s="22">
        <f>SUBTOTAL(109,月11_27[31])</f>
        <v>0</v>
      </c>
      <c r="AH66" s="22">
        <f>SUBTOTAL(109,月11_27[合計日数])</f>
        <v>1394</v>
      </c>
    </row>
  </sheetData>
  <mergeCells count="6">
    <mergeCell ref="C6:AG6"/>
    <mergeCell ref="D4:F4"/>
    <mergeCell ref="H4:J4"/>
    <mergeCell ref="L4:M4"/>
    <mergeCell ref="O4:Q4"/>
    <mergeCell ref="S4:U4"/>
  </mergeCells>
  <phoneticPr fontId="10"/>
  <conditionalFormatting sqref="C31:Q40 AG31:AG52 P41:Q51 C41:C52">
    <cfRule type="expression" priority="49" stopIfTrue="1">
      <formula>C31=""</formula>
    </cfRule>
    <cfRule type="expression" dxfId="294" priority="50" stopIfTrue="1">
      <formula>C31=KeyCustom2</formula>
    </cfRule>
    <cfRule type="expression" dxfId="293" priority="51" stopIfTrue="1">
      <formula>C31=KeyCustom1</formula>
    </cfRule>
    <cfRule type="expression" dxfId="292" priority="52" stopIfTrue="1">
      <formula>C31=KeySick</formula>
    </cfRule>
    <cfRule type="expression" dxfId="291" priority="53" stopIfTrue="1">
      <formula>C31=KeyPersonal</formula>
    </cfRule>
    <cfRule type="expression" dxfId="290" priority="54" stopIfTrue="1">
      <formula>C31=KeyVacation</formula>
    </cfRule>
  </conditionalFormatting>
  <conditionalFormatting sqref="D41:D63">
    <cfRule type="expression" dxfId="289" priority="35" stopIfTrue="1">
      <formula>D41=KeyPersonal</formula>
    </cfRule>
    <cfRule type="expression" priority="31" stopIfTrue="1">
      <formula>D41=""</formula>
    </cfRule>
    <cfRule type="expression" dxfId="288" priority="32" stopIfTrue="1">
      <formula>D41=KeyCustom2</formula>
    </cfRule>
    <cfRule type="expression" dxfId="287" priority="33" stopIfTrue="1">
      <formula>D41=KeyCustom1</formula>
    </cfRule>
    <cfRule type="expression" dxfId="286" priority="34" stopIfTrue="1">
      <formula>D41=KeySick</formula>
    </cfRule>
    <cfRule type="expression" dxfId="285" priority="36" stopIfTrue="1">
      <formula>D41=KeyVacation</formula>
    </cfRule>
  </conditionalFormatting>
  <conditionalFormatting sqref="E41:K63">
    <cfRule type="expression" dxfId="284" priority="46" stopIfTrue="1">
      <formula>E41=KeySick</formula>
    </cfRule>
    <cfRule type="expression" dxfId="283" priority="47" stopIfTrue="1">
      <formula>E41=KeyPersonal</formula>
    </cfRule>
    <cfRule type="expression" dxfId="282" priority="45" stopIfTrue="1">
      <formula>E41=KeyCustom1</formula>
    </cfRule>
    <cfRule type="expression" dxfId="281" priority="44" stopIfTrue="1">
      <formula>E41=KeyCustom2</formula>
    </cfRule>
    <cfRule type="expression" priority="43" stopIfTrue="1">
      <formula>E41=""</formula>
    </cfRule>
    <cfRule type="expression" dxfId="280" priority="48" stopIfTrue="1">
      <formula>E41=KeyVacation</formula>
    </cfRule>
  </conditionalFormatting>
  <conditionalFormatting sqref="L41:O51">
    <cfRule type="expression" dxfId="279" priority="30" stopIfTrue="1">
      <formula>L41=KeyVacation</formula>
    </cfRule>
    <cfRule type="expression" priority="25" stopIfTrue="1">
      <formula>L41=""</formula>
    </cfRule>
    <cfRule type="expression" dxfId="278" priority="26" stopIfTrue="1">
      <formula>L41=KeyCustom2</formula>
    </cfRule>
    <cfRule type="expression" dxfId="277" priority="27" stopIfTrue="1">
      <formula>L41=KeyCustom1</formula>
    </cfRule>
    <cfRule type="expression" dxfId="276" priority="28" stopIfTrue="1">
      <formula>L41=KeySick</formula>
    </cfRule>
    <cfRule type="expression" dxfId="275" priority="29" stopIfTrue="1">
      <formula>L41=KeyPersonal</formula>
    </cfRule>
  </conditionalFormatting>
  <conditionalFormatting sqref="L52:Q63">
    <cfRule type="expression" dxfId="274" priority="2" stopIfTrue="1">
      <formula>L52=KeyCustom2</formula>
    </cfRule>
    <cfRule type="expression" dxfId="273" priority="3" stopIfTrue="1">
      <formula>L52=KeyCustom1</formula>
    </cfRule>
    <cfRule type="expression" dxfId="272" priority="4" stopIfTrue="1">
      <formula>L52=KeySick</formula>
    </cfRule>
    <cfRule type="expression" dxfId="271" priority="5" stopIfTrue="1">
      <formula>L52=KeyPersonal</formula>
    </cfRule>
    <cfRule type="expression" dxfId="270" priority="6" stopIfTrue="1">
      <formula>L52=KeyVacation</formula>
    </cfRule>
    <cfRule type="expression" priority="1" stopIfTrue="1">
      <formula>L52=""</formula>
    </cfRule>
  </conditionalFormatting>
  <conditionalFormatting sqref="N9:Q19 L9:M20 C9:K30 Z9:AG30 K20:Y30">
    <cfRule type="expression" priority="56" stopIfTrue="1">
      <formula>C9=""</formula>
    </cfRule>
    <cfRule type="expression" dxfId="269" priority="57" stopIfTrue="1">
      <formula>C9=KeyCustom2</formula>
    </cfRule>
    <cfRule type="expression" dxfId="268" priority="58" stopIfTrue="1">
      <formula>C9=KeyCustom1</formula>
    </cfRule>
    <cfRule type="expression" dxfId="267" priority="59" stopIfTrue="1">
      <formula>C9=KeySick</formula>
    </cfRule>
    <cfRule type="expression" dxfId="266" priority="60" stopIfTrue="1">
      <formula>C9=KeyPersonal</formula>
    </cfRule>
    <cfRule type="expression" dxfId="265" priority="61" stopIfTrue="1">
      <formula>C9=KeyVacation</formula>
    </cfRule>
  </conditionalFormatting>
  <conditionalFormatting sqref="Z31:AF63">
    <cfRule type="expression" dxfId="264" priority="11" stopIfTrue="1">
      <formula>Z31=KeyPersonal</formula>
    </cfRule>
    <cfRule type="expression" dxfId="263" priority="10" stopIfTrue="1">
      <formula>Z31=KeySick</formula>
    </cfRule>
    <cfRule type="expression" dxfId="262" priority="9" stopIfTrue="1">
      <formula>Z31=KeyCustom1</formula>
    </cfRule>
    <cfRule type="expression" dxfId="261" priority="8" stopIfTrue="1">
      <formula>Z31=KeyCustom2</formula>
    </cfRule>
    <cfRule type="expression" priority="7" stopIfTrue="1">
      <formula>Z31=""</formula>
    </cfRule>
    <cfRule type="expression" dxfId="260" priority="12" stopIfTrue="1">
      <formula>Z31=KeyVacation</formula>
    </cfRule>
  </conditionalFormatting>
  <conditionalFormatting sqref="AH9:AH41 AH43:AH52">
    <cfRule type="dataBar" priority="62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{0BC11D97-8850-41A4-9648-487E96430FEF}</x14:id>
        </ext>
      </extLst>
    </cfRule>
  </conditionalFormatting>
  <conditionalFormatting sqref="AH42">
    <cfRule type="dataBar" priority="55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{90E03DE0-1E55-450C-B8D7-77DB99B88ED4}</x14:id>
        </ext>
      </extLst>
    </cfRule>
  </conditionalFormatting>
  <dataValidations count="15">
    <dataValidation allowBlank="1" showInputMessage="1" showErrorMessage="1" prompt="この行の月の日付は、自動的に生成されます。従業員の欠勤と欠勤の種類を月の各日付の各列に入力します。空白は欠勤でないことを示します" sqref="C8" xr:uid="{D0669987-4A2E-42EB-AA7D-CEEE075D707A}"/>
    <dataValidation allowBlank="1" showInputMessage="1" showErrorMessage="1" prompt="このセルには、この欠勤管理の月の名前が入ります。テーブルの最後のセルには、この月の欠勤日数の合計が表示されます。テーブルの列 B で従業員名を選択します" sqref="B2" xr:uid="{FD32B41E-FC91-4060-82F9-4DFA607EA761}"/>
    <dataValidation allowBlank="1" showInputMessage="1" showErrorMessage="1" prompt="この行には、テーブルで使用するキーが定義されています。セル C4 は休暇、G4 は私用、K4 は病欠です。セル N4 と R4 はカスタマイズ可能です" sqref="B4" xr:uid="{BDD35867-F5D6-43E0-A6F0-A6011F8000D5}"/>
    <dataValidation allowBlank="1" showInputMessage="1" showErrorMessage="1" prompt="左側にカスタム キーを表すラベルを入力します" sqref="O4:Q4 S4:U4" xr:uid="{7B3E089D-4702-4ABD-97D2-55DA6EB02F18}"/>
    <dataValidation allowBlank="1" showErrorMessage="1" prompt="右側に文字を入力してラベルをカスタマイズし、別のキー項目を追加します" sqref="R4 N4" xr:uid="{BD0339AE-7192-43EE-9343-3DAF3777D80A}"/>
    <dataValidation allowBlank="1" showErrorMessage="1" prompt="文字 &quot;S&quot; は病欠を表します" sqref="K4" xr:uid="{55873504-681C-4924-834E-B9718C2568E3}"/>
    <dataValidation allowBlank="1" showErrorMessage="1" prompt="文字 &quot;P&quot; は私用による欠勤を表します" sqref="G4" xr:uid="{9B7941F5-393B-4A5D-90DD-731D32722E84}"/>
    <dataValidation allowBlank="1" showErrorMessage="1" prompt="文字 &quot;V&quot; は休暇のための欠勤を表します" sqref="C4 R9:Y19 R31:Y65" xr:uid="{85D43844-63CC-4ABC-A24C-ADC59D4AF391}"/>
    <dataValidation allowBlank="1" showInputMessage="1" showErrorMessage="1" prompt="自動的に更新されるタイトルが、このセルの内容です。タイトルを変更するには、1 月のワークシートの B1 を更新します" sqref="B2" xr:uid="{E1BE9B53-E601-41CF-8121-9AE45938A20F}"/>
    <dataValidation errorStyle="warning" allowBlank="1" showInputMessage="1" showErrorMessage="1" error="リストから名前を選択します。[キャンセル] を選択し、Alt キーを押しながら下方向キーを押してから、Enter キーを押して名前を選択します" prompt="従業員名ワークシートに従業員の名前を入力し、この列のリストから名前を選びます。Alt キーを押しながら下矢印キーを押して、Enter キーを押して名前を選択します" sqref="B8" xr:uid="{37168759-19B7-400A-87C2-C16CD02AB6E0}"/>
    <dataValidation allowBlank="1" showInputMessage="1" showErrorMessage="1" prompt="このワークシートでは 11 月の欠勤を管理します" sqref="A1" xr:uid="{20636841-B149-4538-BDB4-3B8EEDB4CE07}"/>
    <dataValidation allowBlank="1" showInputMessage="1" showErrorMessage="1" prompt="この列で、従業員の今月の欠勤日数の合計を自動的に計算します" sqref="AH8" xr:uid="{311BFFFF-E91A-4D26-83DC-86773532547A}"/>
    <dataValidation allowBlank="1" showInputMessage="1" showErrorMessage="1" prompt="1 月のワークシートに入力した年に基づいて自動的に更新される年" sqref="AH6" xr:uid="{374BA7E7-BAB1-4933-B10B-8132ACCF56F1}"/>
    <dataValidation allowBlank="1" showInputMessage="1" showErrorMessage="1" prompt="この行の曜日は、AH4 の年に従い当月に応じて自動的に更新されます。月の各日付は、従業員の欠勤と欠勤の種類を記録するための列です" sqref="C7 F7 I7 L7 O7 R7 U7 X7 AA7 AD7 AG7" xr:uid="{D3CA551A-0D4F-4D9B-AAA9-D2982EEA36DC}"/>
    <dataValidation allowBlank="1" showInputMessage="1" showErrorMessage="1" prompt="このセルには、ワークシートのタイトルが入ります。" sqref="B1" xr:uid="{C2DDA834-4742-41CE-92ED-D4E8F9A7440A}"/>
  </dataValidations>
  <pageMargins left="0.7" right="0.7" top="0.75" bottom="0.75" header="0.3" footer="0.3"/>
  <pageSetup paperSize="9" fitToHeight="0" orientation="portrait" verticalDpi="4294967293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C11D97-8850-41A4-9648-487E96430FEF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AH9:AH41 AH43:AH52</xm:sqref>
        </x14:conditionalFormatting>
        <x14:conditionalFormatting xmlns:xm="http://schemas.microsoft.com/office/excel/2006/main">
          <x14:cfRule type="dataBar" id="{90E03DE0-1E55-450C-B8D7-77DB99B88ED4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93E938-55D2-4000-AE41-FC090485A741}">
          <x14:formula1>
            <xm:f>従業員名!$B$4:$B$60</xm:f>
          </x14:formula1>
          <xm:sqref>B9:B54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931D9-6D39-4490-9274-B70358D4DB24}">
  <sheetPr>
    <tabColor theme="7"/>
  </sheetPr>
  <dimension ref="B1:AH66"/>
  <sheetViews>
    <sheetView showGridLines="0" topLeftCell="A10" zoomScale="85" zoomScaleNormal="85" workbookViewId="0">
      <selection activeCell="AD55" sqref="AD55"/>
    </sheetView>
  </sheetViews>
  <sheetFormatPr defaultColWidth="8.77734375" defaultRowHeight="30" customHeight="1" x14ac:dyDescent="0.25"/>
  <cols>
    <col min="1" max="1" width="2.88671875" customWidth="1"/>
    <col min="2" max="2" width="25.77734375" customWidth="1"/>
    <col min="3" max="33" width="4.77734375" customWidth="1"/>
    <col min="34" max="34" width="13.44140625" customWidth="1"/>
    <col min="35" max="35" width="2.88671875" customWidth="1"/>
  </cols>
  <sheetData>
    <row r="1" spans="2:34" ht="26.45" customHeight="1" x14ac:dyDescent="0.35">
      <c r="B1" s="2" t="s">
        <v>0</v>
      </c>
    </row>
    <row r="2" spans="2:34" ht="48.6" customHeight="1" x14ac:dyDescent="0.25">
      <c r="B2" s="28" t="s">
        <v>161</v>
      </c>
    </row>
    <row r="3" spans="2:34" ht="8.4499999999999993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2:34" ht="30" customHeight="1" x14ac:dyDescent="0.25">
      <c r="B4" s="8" t="s">
        <v>2</v>
      </c>
      <c r="C4" s="9" t="s">
        <v>3</v>
      </c>
      <c r="D4" s="37" t="s">
        <v>4</v>
      </c>
      <c r="E4" s="37"/>
      <c r="F4" s="37"/>
      <c r="G4" s="10" t="s">
        <v>5</v>
      </c>
      <c r="H4" s="37" t="s">
        <v>6</v>
      </c>
      <c r="I4" s="37"/>
      <c r="J4" s="37"/>
      <c r="K4" s="11"/>
      <c r="L4" s="37"/>
      <c r="M4" s="37"/>
      <c r="N4" s="12"/>
      <c r="O4" s="37" t="s">
        <v>7</v>
      </c>
      <c r="P4" s="37"/>
      <c r="Q4" s="37"/>
      <c r="R4" s="13"/>
      <c r="S4" s="37" t="s">
        <v>8</v>
      </c>
      <c r="T4" s="37"/>
      <c r="U4" s="37"/>
    </row>
    <row r="5" spans="2:34" ht="8.4499999999999993" customHeight="1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2:34" ht="15" customHeight="1" x14ac:dyDescent="0.25">
      <c r="B6" s="1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15">
        <v>2025</v>
      </c>
    </row>
    <row r="7" spans="2:34" ht="30" customHeight="1" x14ac:dyDescent="0.25">
      <c r="B7" s="15"/>
      <c r="C7" s="16" t="str">
        <f>TEXT(WEEKDAY(DATE($AH$6,7,1),1),"aaa")</f>
        <v>火</v>
      </c>
      <c r="D7" s="16" t="str">
        <f>TEXT(WEEKDAY(DATE($AH$6,7,2),1),"aaa")</f>
        <v>水</v>
      </c>
      <c r="E7" s="16" t="str">
        <f>TEXT(WEEKDAY(DATE($AH$6,7,3),1),"aaa")</f>
        <v>木</v>
      </c>
      <c r="F7" s="16" t="str">
        <f>TEXT(WEEKDAY(DATE($AH$6,7,4),1),"aaa")</f>
        <v>金</v>
      </c>
      <c r="G7" s="16" t="str">
        <f>TEXT(WEEKDAY(DATE($AH$6,7,5),1),"aaa")</f>
        <v>土</v>
      </c>
      <c r="H7" s="16" t="str">
        <f>TEXT(WEEKDAY(DATE($AH$6,7,6),1),"aaa")</f>
        <v>日</v>
      </c>
      <c r="I7" s="16" t="str">
        <f>TEXT(WEEKDAY(DATE($AH$6,7,7),1),"aaa")</f>
        <v>月</v>
      </c>
      <c r="J7" s="16" t="str">
        <f>TEXT(WEEKDAY(DATE($AH$6,7,8),1),"aaa")</f>
        <v>火</v>
      </c>
      <c r="K7" s="16" t="str">
        <f>TEXT(WEEKDAY(DATE($AH$6,7,9),1),"aaa")</f>
        <v>水</v>
      </c>
      <c r="L7" s="16" t="str">
        <f>TEXT(WEEKDAY(DATE($AH$6,7,10),1),"aaa")</f>
        <v>木</v>
      </c>
      <c r="M7" s="16" t="str">
        <f>TEXT(WEEKDAY(DATE($AH$6,7,11),1),"aaa")</f>
        <v>金</v>
      </c>
      <c r="N7" s="16" t="str">
        <f>TEXT(WEEKDAY(DATE($AH$6,7,12),1),"aaa")</f>
        <v>土</v>
      </c>
      <c r="O7" s="16" t="str">
        <f>TEXT(WEEKDAY(DATE($AH$6,7,13),1),"aaa")</f>
        <v>日</v>
      </c>
      <c r="P7" s="16" t="str">
        <f>TEXT(WEEKDAY(DATE($AH$6,7,14),1),"aaa")</f>
        <v>月</v>
      </c>
      <c r="Q7" s="16" t="str">
        <f>TEXT(WEEKDAY(DATE($AH$6,7,15),1),"aaa")</f>
        <v>火</v>
      </c>
      <c r="R7" s="16" t="str">
        <f>TEXT(WEEKDAY(DATE($AH$6,7,16),1),"aaa")</f>
        <v>水</v>
      </c>
      <c r="S7" s="16" t="str">
        <f>TEXT(WEEKDAY(DATE($AH$6,7,17),1),"aaa")</f>
        <v>木</v>
      </c>
      <c r="T7" s="16" t="str">
        <f>TEXT(WEEKDAY(DATE($AH$6,7,18),1),"aaa")</f>
        <v>金</v>
      </c>
      <c r="U7" s="16" t="str">
        <f>TEXT(WEEKDAY(DATE($AH$6,7,19),1),"aaa")</f>
        <v>土</v>
      </c>
      <c r="V7" s="16" t="str">
        <f>TEXT(WEEKDAY(DATE($AH$6,7,20),1),"aaa")</f>
        <v>日</v>
      </c>
      <c r="W7" s="16" t="str">
        <f>TEXT(WEEKDAY(DATE($AH$6,7,21),1),"aaa")</f>
        <v>月</v>
      </c>
      <c r="X7" s="16" t="str">
        <f>TEXT(WEEKDAY(DATE($AH$6,7,22),1),"aaa")</f>
        <v>火</v>
      </c>
      <c r="Y7" s="16" t="str">
        <f>TEXT(WEEKDAY(DATE($AH$6,7,23),1),"aaa")</f>
        <v>水</v>
      </c>
      <c r="Z7" s="16" t="str">
        <f>TEXT(WEEKDAY(DATE($AH$6,7,24),1),"aaa")</f>
        <v>木</v>
      </c>
      <c r="AA7" s="16" t="str">
        <f>TEXT(WEEKDAY(DATE($AH$6,7,25),1),"aaa")</f>
        <v>金</v>
      </c>
      <c r="AB7" s="16" t="str">
        <f>TEXT(WEEKDAY(DATE($AH$6,7,26),1),"aaa")</f>
        <v>土</v>
      </c>
      <c r="AC7" s="16" t="str">
        <f>TEXT(WEEKDAY(DATE($AH$6,7,27),1),"aaa")</f>
        <v>日</v>
      </c>
      <c r="AD7" s="16" t="str">
        <f>TEXT(WEEKDAY(DATE($AH$6,7,28),1),"aaa")</f>
        <v>月</v>
      </c>
      <c r="AE7" s="16" t="str">
        <f>TEXT(WEEKDAY(DATE($AH$6,7,29),1),"aaa")</f>
        <v>火</v>
      </c>
      <c r="AF7" s="16" t="str">
        <f>TEXT(WEEKDAY(DATE($AH$6,7,30),1),"aaa")</f>
        <v>水</v>
      </c>
      <c r="AG7" s="16" t="str">
        <f>TEXT(WEEKDAY(DATE($AH$6,7,31),1),"aaa")</f>
        <v>木</v>
      </c>
      <c r="AH7" s="15"/>
    </row>
    <row r="8" spans="2:34" ht="30" customHeight="1" x14ac:dyDescent="0.25">
      <c r="B8" s="17" t="s">
        <v>9</v>
      </c>
      <c r="C8" s="18" t="s">
        <v>10</v>
      </c>
      <c r="D8" s="18" t="s">
        <v>11</v>
      </c>
      <c r="E8" s="18" t="s">
        <v>12</v>
      </c>
      <c r="F8" s="18" t="s">
        <v>13</v>
      </c>
      <c r="G8" s="18" t="s">
        <v>14</v>
      </c>
      <c r="H8" s="18" t="s">
        <v>15</v>
      </c>
      <c r="I8" s="18" t="s">
        <v>16</v>
      </c>
      <c r="J8" s="18" t="s">
        <v>17</v>
      </c>
      <c r="K8" s="18" t="s">
        <v>18</v>
      </c>
      <c r="L8" s="18" t="s">
        <v>19</v>
      </c>
      <c r="M8" s="18" t="s">
        <v>20</v>
      </c>
      <c r="N8" s="18" t="s">
        <v>21</v>
      </c>
      <c r="O8" s="18" t="s">
        <v>22</v>
      </c>
      <c r="P8" s="18" t="s">
        <v>23</v>
      </c>
      <c r="Q8" s="18" t="s">
        <v>24</v>
      </c>
      <c r="R8" s="18" t="s">
        <v>25</v>
      </c>
      <c r="S8" s="18" t="s">
        <v>26</v>
      </c>
      <c r="T8" s="18" t="s">
        <v>27</v>
      </c>
      <c r="U8" s="18" t="s">
        <v>28</v>
      </c>
      <c r="V8" s="18" t="s">
        <v>29</v>
      </c>
      <c r="W8" s="18" t="s">
        <v>30</v>
      </c>
      <c r="X8" s="18" t="s">
        <v>31</v>
      </c>
      <c r="Y8" s="18" t="s">
        <v>32</v>
      </c>
      <c r="Z8" s="18" t="s">
        <v>33</v>
      </c>
      <c r="AA8" s="18" t="s">
        <v>34</v>
      </c>
      <c r="AB8" s="18" t="s">
        <v>35</v>
      </c>
      <c r="AC8" s="18" t="s">
        <v>36</v>
      </c>
      <c r="AD8" s="18" t="s">
        <v>37</v>
      </c>
      <c r="AE8" s="18" t="s">
        <v>38</v>
      </c>
      <c r="AF8" s="18" t="s">
        <v>39</v>
      </c>
      <c r="AG8" s="18" t="s">
        <v>64</v>
      </c>
      <c r="AH8" s="19" t="s">
        <v>41</v>
      </c>
    </row>
    <row r="9" spans="2:34" ht="30" customHeight="1" x14ac:dyDescent="0.25">
      <c r="B9" s="20" t="s">
        <v>75</v>
      </c>
      <c r="C9" s="18" t="s">
        <v>66</v>
      </c>
      <c r="D9" s="18" t="s">
        <v>66</v>
      </c>
      <c r="E9" s="18" t="s">
        <v>66</v>
      </c>
      <c r="F9" s="18" t="s">
        <v>66</v>
      </c>
      <c r="G9" s="18" t="s">
        <v>66</v>
      </c>
      <c r="H9" s="18" t="s">
        <v>66</v>
      </c>
      <c r="I9" s="18" t="s">
        <v>66</v>
      </c>
      <c r="J9" s="18" t="s">
        <v>66</v>
      </c>
      <c r="K9" s="18" t="s">
        <v>66</v>
      </c>
      <c r="L9" s="18" t="s">
        <v>66</v>
      </c>
      <c r="M9" s="18" t="s">
        <v>66</v>
      </c>
      <c r="N9" s="18" t="s">
        <v>66</v>
      </c>
      <c r="O9" s="18" t="s">
        <v>66</v>
      </c>
      <c r="P9" s="18" t="s">
        <v>66</v>
      </c>
      <c r="Q9" s="18" t="s">
        <v>66</v>
      </c>
      <c r="R9" s="18" t="s">
        <v>66</v>
      </c>
      <c r="S9" s="18" t="s">
        <v>66</v>
      </c>
      <c r="T9" s="18" t="s">
        <v>66</v>
      </c>
      <c r="U9" s="18" t="s">
        <v>66</v>
      </c>
      <c r="V9" s="18" t="s">
        <v>66</v>
      </c>
      <c r="W9" s="18" t="s">
        <v>66</v>
      </c>
      <c r="X9" s="18" t="s">
        <v>66</v>
      </c>
      <c r="Y9" s="18" t="s">
        <v>66</v>
      </c>
      <c r="Z9" s="18" t="s">
        <v>66</v>
      </c>
      <c r="AA9" s="18" t="s">
        <v>66</v>
      </c>
      <c r="AB9" s="18" t="s">
        <v>66</v>
      </c>
      <c r="AC9" s="18" t="s">
        <v>66</v>
      </c>
      <c r="AD9" s="18" t="s">
        <v>66</v>
      </c>
      <c r="AE9" s="18" t="s">
        <v>66</v>
      </c>
      <c r="AF9" s="18" t="s">
        <v>66</v>
      </c>
      <c r="AG9" s="18"/>
      <c r="AH9" s="27">
        <f>COUNTA('25年7月'!$C9:$AG9)</f>
        <v>30</v>
      </c>
    </row>
    <row r="10" spans="2:34" ht="30" customHeight="1" x14ac:dyDescent="0.25">
      <c r="B10" s="20" t="s">
        <v>76</v>
      </c>
      <c r="C10" s="18" t="s">
        <v>66</v>
      </c>
      <c r="D10" s="18" t="s">
        <v>66</v>
      </c>
      <c r="E10" s="18" t="s">
        <v>66</v>
      </c>
      <c r="F10" s="18" t="s">
        <v>66</v>
      </c>
      <c r="G10" s="18" t="s">
        <v>66</v>
      </c>
      <c r="H10" s="18" t="s">
        <v>66</v>
      </c>
      <c r="I10" s="18" t="s">
        <v>66</v>
      </c>
      <c r="J10" s="18" t="s">
        <v>66</v>
      </c>
      <c r="K10" s="18" t="s">
        <v>66</v>
      </c>
      <c r="L10" s="18" t="s">
        <v>66</v>
      </c>
      <c r="M10" s="18" t="s">
        <v>66</v>
      </c>
      <c r="N10" s="18" t="s">
        <v>66</v>
      </c>
      <c r="O10" s="18" t="s">
        <v>66</v>
      </c>
      <c r="P10" s="18" t="s">
        <v>66</v>
      </c>
      <c r="Q10" s="18" t="s">
        <v>66</v>
      </c>
      <c r="R10" s="18" t="s">
        <v>66</v>
      </c>
      <c r="S10" s="18" t="s">
        <v>66</v>
      </c>
      <c r="T10" s="18" t="s">
        <v>66</v>
      </c>
      <c r="U10" s="18" t="s">
        <v>66</v>
      </c>
      <c r="V10" s="18" t="s">
        <v>66</v>
      </c>
      <c r="W10" s="18" t="s">
        <v>66</v>
      </c>
      <c r="X10" s="18" t="s">
        <v>66</v>
      </c>
      <c r="Y10" s="18" t="s">
        <v>66</v>
      </c>
      <c r="Z10" s="18" t="s">
        <v>66</v>
      </c>
      <c r="AA10" s="18" t="s">
        <v>66</v>
      </c>
      <c r="AB10" s="18" t="s">
        <v>66</v>
      </c>
      <c r="AC10" s="18" t="s">
        <v>66</v>
      </c>
      <c r="AD10" s="18" t="s">
        <v>66</v>
      </c>
      <c r="AE10" s="18" t="s">
        <v>66</v>
      </c>
      <c r="AF10" s="18" t="s">
        <v>66</v>
      </c>
      <c r="AG10" s="18"/>
      <c r="AH10" s="27">
        <f>COUNTA('25年7月'!$C10:$AG10)</f>
        <v>30</v>
      </c>
    </row>
    <row r="11" spans="2:34" ht="30" customHeight="1" x14ac:dyDescent="0.25">
      <c r="B11" s="20" t="s">
        <v>77</v>
      </c>
      <c r="C11" s="18" t="s">
        <v>66</v>
      </c>
      <c r="D11" s="18" t="s">
        <v>66</v>
      </c>
      <c r="E11" s="18" t="s">
        <v>66</v>
      </c>
      <c r="F11" s="18" t="s">
        <v>66</v>
      </c>
      <c r="G11" s="18" t="s">
        <v>66</v>
      </c>
      <c r="H11" s="18" t="s">
        <v>66</v>
      </c>
      <c r="I11" s="18" t="s">
        <v>66</v>
      </c>
      <c r="J11" s="18" t="s">
        <v>66</v>
      </c>
      <c r="K11" s="18" t="s">
        <v>66</v>
      </c>
      <c r="L11" s="18" t="s">
        <v>66</v>
      </c>
      <c r="M11" s="18" t="s">
        <v>66</v>
      </c>
      <c r="N11" s="18" t="s">
        <v>66</v>
      </c>
      <c r="O11" s="18" t="s">
        <v>66</v>
      </c>
      <c r="P11" s="18" t="s">
        <v>66</v>
      </c>
      <c r="Q11" s="18" t="s">
        <v>66</v>
      </c>
      <c r="R11" s="18" t="s">
        <v>66</v>
      </c>
      <c r="S11" s="18" t="s">
        <v>66</v>
      </c>
      <c r="T11" s="18" t="s">
        <v>66</v>
      </c>
      <c r="U11" s="18" t="s">
        <v>66</v>
      </c>
      <c r="V11" s="18" t="s">
        <v>66</v>
      </c>
      <c r="W11" s="18" t="s">
        <v>66</v>
      </c>
      <c r="X11" s="18" t="s">
        <v>66</v>
      </c>
      <c r="Y11" s="18" t="s">
        <v>66</v>
      </c>
      <c r="Z11" s="18" t="s">
        <v>66</v>
      </c>
      <c r="AA11" s="18" t="s">
        <v>66</v>
      </c>
      <c r="AB11" s="18" t="s">
        <v>66</v>
      </c>
      <c r="AC11" s="18" t="s">
        <v>66</v>
      </c>
      <c r="AD11" s="18" t="s">
        <v>66</v>
      </c>
      <c r="AE11" s="18" t="s">
        <v>66</v>
      </c>
      <c r="AF11" s="18" t="s">
        <v>66</v>
      </c>
      <c r="AG11" s="18"/>
      <c r="AH11" s="27">
        <f>COUNTA('25年7月'!$C11:$AG11)</f>
        <v>30</v>
      </c>
    </row>
    <row r="12" spans="2:34" ht="30" customHeight="1" x14ac:dyDescent="0.25">
      <c r="B12" s="20" t="s">
        <v>78</v>
      </c>
      <c r="C12" s="18" t="s">
        <v>66</v>
      </c>
      <c r="D12" s="18" t="s">
        <v>66</v>
      </c>
      <c r="E12" s="18" t="s">
        <v>66</v>
      </c>
      <c r="F12" s="18" t="s">
        <v>66</v>
      </c>
      <c r="G12" s="18" t="s">
        <v>66</v>
      </c>
      <c r="H12" s="18" t="s">
        <v>66</v>
      </c>
      <c r="I12" s="18" t="s">
        <v>66</v>
      </c>
      <c r="J12" s="18" t="s">
        <v>66</v>
      </c>
      <c r="K12" s="18" t="s">
        <v>66</v>
      </c>
      <c r="L12" s="18" t="s">
        <v>66</v>
      </c>
      <c r="M12" s="18" t="s">
        <v>66</v>
      </c>
      <c r="N12" s="18" t="s">
        <v>66</v>
      </c>
      <c r="O12" s="18" t="s">
        <v>66</v>
      </c>
      <c r="P12" s="18" t="s">
        <v>66</v>
      </c>
      <c r="Q12" s="18" t="s">
        <v>66</v>
      </c>
      <c r="R12" s="18" t="s">
        <v>66</v>
      </c>
      <c r="S12" s="18" t="s">
        <v>66</v>
      </c>
      <c r="T12" s="18" t="s">
        <v>66</v>
      </c>
      <c r="U12" s="18" t="s">
        <v>66</v>
      </c>
      <c r="V12" s="18" t="s">
        <v>66</v>
      </c>
      <c r="W12" s="18" t="s">
        <v>66</v>
      </c>
      <c r="X12" s="18" t="s">
        <v>66</v>
      </c>
      <c r="Y12" s="18" t="s">
        <v>66</v>
      </c>
      <c r="Z12" s="18" t="s">
        <v>66</v>
      </c>
      <c r="AA12" s="18" t="s">
        <v>66</v>
      </c>
      <c r="AB12" s="18" t="s">
        <v>66</v>
      </c>
      <c r="AC12" s="18" t="s">
        <v>66</v>
      </c>
      <c r="AD12" s="18" t="s">
        <v>66</v>
      </c>
      <c r="AE12" s="18" t="s">
        <v>66</v>
      </c>
      <c r="AF12" s="18" t="s">
        <v>66</v>
      </c>
      <c r="AG12" s="18"/>
      <c r="AH12" s="27">
        <f>COUNTA('25年7月'!$C12:$AG12)</f>
        <v>30</v>
      </c>
    </row>
    <row r="13" spans="2:34" ht="30" customHeight="1" x14ac:dyDescent="0.25">
      <c r="B13" s="20" t="s">
        <v>79</v>
      </c>
      <c r="C13" s="18" t="s">
        <v>66</v>
      </c>
      <c r="D13" s="18" t="s">
        <v>66</v>
      </c>
      <c r="E13" s="18" t="s">
        <v>66</v>
      </c>
      <c r="F13" s="18" t="s">
        <v>66</v>
      </c>
      <c r="G13" s="18" t="s">
        <v>66</v>
      </c>
      <c r="H13" s="18" t="s">
        <v>66</v>
      </c>
      <c r="I13" s="18" t="s">
        <v>66</v>
      </c>
      <c r="J13" s="18" t="s">
        <v>66</v>
      </c>
      <c r="K13" s="18" t="s">
        <v>66</v>
      </c>
      <c r="L13" s="18" t="s">
        <v>66</v>
      </c>
      <c r="M13" s="18" t="s">
        <v>66</v>
      </c>
      <c r="N13" s="18" t="s">
        <v>66</v>
      </c>
      <c r="O13" s="18" t="s">
        <v>66</v>
      </c>
      <c r="P13" s="18" t="s">
        <v>66</v>
      </c>
      <c r="Q13" s="18" t="s">
        <v>66</v>
      </c>
      <c r="R13" s="18" t="s">
        <v>66</v>
      </c>
      <c r="S13" s="18" t="s">
        <v>66</v>
      </c>
      <c r="T13" s="18" t="s">
        <v>66</v>
      </c>
      <c r="U13" s="18" t="s">
        <v>66</v>
      </c>
      <c r="V13" s="18" t="s">
        <v>66</v>
      </c>
      <c r="W13" s="18" t="s">
        <v>66</v>
      </c>
      <c r="X13" s="18" t="s">
        <v>66</v>
      </c>
      <c r="Y13" s="18" t="s">
        <v>66</v>
      </c>
      <c r="Z13" s="18" t="s">
        <v>66</v>
      </c>
      <c r="AA13" s="18" t="s">
        <v>66</v>
      </c>
      <c r="AB13" s="18" t="s">
        <v>66</v>
      </c>
      <c r="AC13" s="18" t="s">
        <v>66</v>
      </c>
      <c r="AD13" s="18" t="s">
        <v>66</v>
      </c>
      <c r="AE13" s="18" t="s">
        <v>66</v>
      </c>
      <c r="AF13" s="18" t="s">
        <v>66</v>
      </c>
      <c r="AG13" s="18"/>
      <c r="AH13" s="27">
        <f>COUNTA('25年7月'!$C13:$AG13)</f>
        <v>30</v>
      </c>
    </row>
    <row r="14" spans="2:34" ht="30" customHeight="1" x14ac:dyDescent="0.25">
      <c r="B14" s="20" t="s">
        <v>80</v>
      </c>
      <c r="C14" s="18" t="s">
        <v>66</v>
      </c>
      <c r="D14" s="18" t="s">
        <v>66</v>
      </c>
      <c r="E14" s="18" t="s">
        <v>66</v>
      </c>
      <c r="F14" s="18" t="s">
        <v>66</v>
      </c>
      <c r="G14" s="18" t="s">
        <v>66</v>
      </c>
      <c r="H14" s="18" t="s">
        <v>66</v>
      </c>
      <c r="I14" s="18" t="s">
        <v>66</v>
      </c>
      <c r="J14" s="18" t="s">
        <v>66</v>
      </c>
      <c r="K14" s="18" t="s">
        <v>66</v>
      </c>
      <c r="L14" s="18" t="s">
        <v>66</v>
      </c>
      <c r="M14" s="18" t="s">
        <v>66</v>
      </c>
      <c r="N14" s="18" t="s">
        <v>66</v>
      </c>
      <c r="O14" s="18" t="s">
        <v>66</v>
      </c>
      <c r="P14" s="18" t="s">
        <v>66</v>
      </c>
      <c r="Q14" s="18" t="s">
        <v>66</v>
      </c>
      <c r="R14" s="18" t="s">
        <v>66</v>
      </c>
      <c r="S14" s="18" t="s">
        <v>66</v>
      </c>
      <c r="T14" s="18" t="s">
        <v>66</v>
      </c>
      <c r="U14" s="18" t="s">
        <v>66</v>
      </c>
      <c r="V14" s="18" t="s">
        <v>66</v>
      </c>
      <c r="W14" s="18" t="s">
        <v>66</v>
      </c>
      <c r="X14" s="18" t="s">
        <v>66</v>
      </c>
      <c r="Y14" s="18" t="s">
        <v>66</v>
      </c>
      <c r="Z14" s="18" t="s">
        <v>66</v>
      </c>
      <c r="AA14" s="18" t="s">
        <v>66</v>
      </c>
      <c r="AB14" s="18" t="s">
        <v>66</v>
      </c>
      <c r="AC14" s="18" t="s">
        <v>66</v>
      </c>
      <c r="AD14" s="18" t="s">
        <v>66</v>
      </c>
      <c r="AE14" s="18" t="s">
        <v>66</v>
      </c>
      <c r="AF14" s="18" t="s">
        <v>66</v>
      </c>
      <c r="AG14" s="18"/>
      <c r="AH14" s="27">
        <f>COUNTA('25年7月'!$C14:$AG14)</f>
        <v>30</v>
      </c>
    </row>
    <row r="15" spans="2:34" ht="30" customHeight="1" x14ac:dyDescent="0.25">
      <c r="B15" s="20" t="s">
        <v>81</v>
      </c>
      <c r="C15" s="18" t="s">
        <v>66</v>
      </c>
      <c r="D15" s="18" t="s">
        <v>66</v>
      </c>
      <c r="E15" s="18" t="s">
        <v>66</v>
      </c>
      <c r="F15" s="18" t="s">
        <v>66</v>
      </c>
      <c r="G15" s="18" t="s">
        <v>66</v>
      </c>
      <c r="H15" s="18" t="s">
        <v>66</v>
      </c>
      <c r="I15" s="18" t="s">
        <v>66</v>
      </c>
      <c r="J15" s="18" t="s">
        <v>66</v>
      </c>
      <c r="K15" s="18" t="s">
        <v>66</v>
      </c>
      <c r="L15" s="18" t="s">
        <v>66</v>
      </c>
      <c r="M15" s="18" t="s">
        <v>66</v>
      </c>
      <c r="N15" s="18" t="s">
        <v>66</v>
      </c>
      <c r="O15" s="18" t="s">
        <v>66</v>
      </c>
      <c r="P15" s="18" t="s">
        <v>66</v>
      </c>
      <c r="Q15" s="18" t="s">
        <v>66</v>
      </c>
      <c r="R15" s="18" t="s">
        <v>66</v>
      </c>
      <c r="S15" s="18" t="s">
        <v>66</v>
      </c>
      <c r="T15" s="18" t="s">
        <v>66</v>
      </c>
      <c r="U15" s="18" t="s">
        <v>66</v>
      </c>
      <c r="V15" s="18" t="s">
        <v>66</v>
      </c>
      <c r="W15" s="18" t="s">
        <v>66</v>
      </c>
      <c r="X15" s="18" t="s">
        <v>66</v>
      </c>
      <c r="Y15" s="18" t="s">
        <v>66</v>
      </c>
      <c r="Z15" s="18" t="s">
        <v>66</v>
      </c>
      <c r="AA15" s="18" t="s">
        <v>66</v>
      </c>
      <c r="AB15" s="18" t="s">
        <v>66</v>
      </c>
      <c r="AC15" s="18"/>
      <c r="AD15" s="18"/>
      <c r="AE15" s="18"/>
      <c r="AF15" s="18"/>
      <c r="AG15" s="18"/>
      <c r="AH15" s="27">
        <f>COUNTA('25年7月'!$C15:$AG15)</f>
        <v>26</v>
      </c>
    </row>
    <row r="16" spans="2:34" ht="30" customHeight="1" x14ac:dyDescent="0.25">
      <c r="B16" s="20" t="s">
        <v>82</v>
      </c>
      <c r="C16" s="18" t="s">
        <v>66</v>
      </c>
      <c r="D16" s="18" t="s">
        <v>66</v>
      </c>
      <c r="E16" s="18" t="s">
        <v>66</v>
      </c>
      <c r="F16" s="18" t="s">
        <v>66</v>
      </c>
      <c r="G16" s="18" t="s">
        <v>66</v>
      </c>
      <c r="H16" s="18" t="s">
        <v>66</v>
      </c>
      <c r="I16" s="18" t="s">
        <v>66</v>
      </c>
      <c r="J16" s="18" t="s">
        <v>66</v>
      </c>
      <c r="K16" s="18" t="s">
        <v>66</v>
      </c>
      <c r="L16" s="18" t="s">
        <v>66</v>
      </c>
      <c r="M16" s="18" t="s">
        <v>66</v>
      </c>
      <c r="N16" s="18" t="s">
        <v>66</v>
      </c>
      <c r="O16" s="18" t="s">
        <v>66</v>
      </c>
      <c r="P16" s="18" t="s">
        <v>66</v>
      </c>
      <c r="Q16" s="18" t="s">
        <v>66</v>
      </c>
      <c r="R16" s="18" t="s">
        <v>66</v>
      </c>
      <c r="S16" s="18" t="s">
        <v>66</v>
      </c>
      <c r="T16" s="18" t="s">
        <v>66</v>
      </c>
      <c r="U16" s="18" t="s">
        <v>66</v>
      </c>
      <c r="V16" s="18" t="s">
        <v>66</v>
      </c>
      <c r="W16" s="18" t="s">
        <v>66</v>
      </c>
      <c r="X16" s="18" t="s">
        <v>66</v>
      </c>
      <c r="Y16" s="18" t="s">
        <v>66</v>
      </c>
      <c r="Z16" s="18" t="s">
        <v>66</v>
      </c>
      <c r="AA16" s="18" t="s">
        <v>66</v>
      </c>
      <c r="AB16" s="18" t="s">
        <v>66</v>
      </c>
      <c r="AC16" s="18"/>
      <c r="AD16" s="18"/>
      <c r="AE16" s="18"/>
      <c r="AF16" s="18"/>
      <c r="AG16" s="18"/>
      <c r="AH16" s="27">
        <f>COUNTA('25年7月'!$C16:$AG16)</f>
        <v>26</v>
      </c>
    </row>
    <row r="17" spans="2:34" ht="30" customHeight="1" x14ac:dyDescent="0.25">
      <c r="B17" s="20" t="s">
        <v>83</v>
      </c>
      <c r="C17" s="18" t="s">
        <v>66</v>
      </c>
      <c r="D17" s="18" t="s">
        <v>66</v>
      </c>
      <c r="E17" s="18" t="s">
        <v>66</v>
      </c>
      <c r="F17" s="18" t="s">
        <v>66</v>
      </c>
      <c r="G17" s="18" t="s">
        <v>66</v>
      </c>
      <c r="H17" s="18" t="s">
        <v>66</v>
      </c>
      <c r="I17" s="18" t="s">
        <v>66</v>
      </c>
      <c r="J17" s="18" t="s">
        <v>66</v>
      </c>
      <c r="K17" s="18" t="s">
        <v>66</v>
      </c>
      <c r="L17" s="18" t="s">
        <v>66</v>
      </c>
      <c r="M17" s="18" t="s">
        <v>66</v>
      </c>
      <c r="N17" s="18" t="s">
        <v>66</v>
      </c>
      <c r="O17" s="18" t="s">
        <v>66</v>
      </c>
      <c r="P17" s="18" t="s">
        <v>66</v>
      </c>
      <c r="Q17" s="18" t="s">
        <v>66</v>
      </c>
      <c r="R17" s="18" t="s">
        <v>66</v>
      </c>
      <c r="S17" s="18" t="s">
        <v>66</v>
      </c>
      <c r="T17" s="18" t="s">
        <v>66</v>
      </c>
      <c r="U17" s="18" t="s">
        <v>66</v>
      </c>
      <c r="V17" s="18" t="s">
        <v>66</v>
      </c>
      <c r="W17" s="18" t="s">
        <v>66</v>
      </c>
      <c r="X17" s="18" t="s">
        <v>66</v>
      </c>
      <c r="Y17" s="18" t="s">
        <v>66</v>
      </c>
      <c r="Z17" s="18" t="s">
        <v>66</v>
      </c>
      <c r="AA17" s="18" t="s">
        <v>66</v>
      </c>
      <c r="AB17" s="18" t="s">
        <v>66</v>
      </c>
      <c r="AC17" s="18"/>
      <c r="AD17" s="18"/>
      <c r="AE17" s="18"/>
      <c r="AF17" s="18"/>
      <c r="AG17" s="18"/>
      <c r="AH17" s="27">
        <f>COUNTA('25年7月'!$C17:$AG17)</f>
        <v>26</v>
      </c>
    </row>
    <row r="18" spans="2:34" ht="30" customHeight="1" x14ac:dyDescent="0.25">
      <c r="B18" s="20" t="s">
        <v>84</v>
      </c>
      <c r="C18" s="18" t="s">
        <v>66</v>
      </c>
      <c r="D18" s="18" t="s">
        <v>66</v>
      </c>
      <c r="E18" s="18" t="s">
        <v>66</v>
      </c>
      <c r="F18" s="18" t="s">
        <v>66</v>
      </c>
      <c r="G18" s="18" t="s">
        <v>66</v>
      </c>
      <c r="H18" s="18" t="s">
        <v>66</v>
      </c>
      <c r="I18" s="18" t="s">
        <v>66</v>
      </c>
      <c r="J18" s="18" t="s">
        <v>66</v>
      </c>
      <c r="K18" s="18" t="s">
        <v>66</v>
      </c>
      <c r="L18" s="18" t="s">
        <v>66</v>
      </c>
      <c r="M18" s="18" t="s">
        <v>66</v>
      </c>
      <c r="N18" s="18" t="s">
        <v>66</v>
      </c>
      <c r="O18" s="18" t="s">
        <v>66</v>
      </c>
      <c r="P18" s="18" t="s">
        <v>66</v>
      </c>
      <c r="Q18" s="18" t="s">
        <v>66</v>
      </c>
      <c r="R18" s="18" t="s">
        <v>66</v>
      </c>
      <c r="S18" s="18" t="s">
        <v>66</v>
      </c>
      <c r="T18" s="18" t="s">
        <v>66</v>
      </c>
      <c r="U18" s="18" t="s">
        <v>66</v>
      </c>
      <c r="V18" s="18" t="s">
        <v>66</v>
      </c>
      <c r="W18" s="18" t="s">
        <v>66</v>
      </c>
      <c r="X18" s="18" t="s">
        <v>66</v>
      </c>
      <c r="Y18" s="18" t="s">
        <v>66</v>
      </c>
      <c r="Z18" s="18" t="s">
        <v>66</v>
      </c>
      <c r="AA18" s="18" t="s">
        <v>66</v>
      </c>
      <c r="AB18" s="18" t="s">
        <v>66</v>
      </c>
      <c r="AC18" s="18"/>
      <c r="AD18" s="18"/>
      <c r="AE18" s="18"/>
      <c r="AF18" s="18"/>
      <c r="AG18" s="18"/>
      <c r="AH18" s="27">
        <f>COUNTA('25年7月'!$C18:$AG18)</f>
        <v>26</v>
      </c>
    </row>
    <row r="19" spans="2:34" ht="30" customHeight="1" x14ac:dyDescent="0.25">
      <c r="B19" s="20" t="s">
        <v>85</v>
      </c>
      <c r="C19" s="18" t="s">
        <v>66</v>
      </c>
      <c r="D19" s="18" t="s">
        <v>66</v>
      </c>
      <c r="E19" s="18" t="s">
        <v>66</v>
      </c>
      <c r="F19" s="18" t="s">
        <v>66</v>
      </c>
      <c r="G19" s="18" t="s">
        <v>66</v>
      </c>
      <c r="H19" s="18" t="s">
        <v>66</v>
      </c>
      <c r="I19" s="18" t="s">
        <v>66</v>
      </c>
      <c r="J19" s="18" t="s">
        <v>66</v>
      </c>
      <c r="K19" s="18" t="s">
        <v>66</v>
      </c>
      <c r="L19" s="18" t="s">
        <v>66</v>
      </c>
      <c r="M19" s="18" t="s">
        <v>66</v>
      </c>
      <c r="N19" s="18" t="s">
        <v>66</v>
      </c>
      <c r="O19" s="18" t="s">
        <v>66</v>
      </c>
      <c r="P19" s="18" t="s">
        <v>66</v>
      </c>
      <c r="Q19" s="18" t="s">
        <v>66</v>
      </c>
      <c r="R19" s="18" t="s">
        <v>66</v>
      </c>
      <c r="S19" s="18" t="s">
        <v>66</v>
      </c>
      <c r="T19" s="18" t="s">
        <v>66</v>
      </c>
      <c r="U19" s="18" t="s">
        <v>66</v>
      </c>
      <c r="V19" s="18" t="s">
        <v>66</v>
      </c>
      <c r="W19" s="18" t="s">
        <v>66</v>
      </c>
      <c r="X19" s="18" t="s">
        <v>66</v>
      </c>
      <c r="Y19" s="18" t="s">
        <v>66</v>
      </c>
      <c r="Z19" s="18" t="s">
        <v>66</v>
      </c>
      <c r="AA19" s="18" t="s">
        <v>66</v>
      </c>
      <c r="AB19" s="18" t="s">
        <v>66</v>
      </c>
      <c r="AC19" s="18"/>
      <c r="AD19" s="18"/>
      <c r="AE19" s="18"/>
      <c r="AF19" s="18"/>
      <c r="AG19" s="18"/>
      <c r="AH19" s="27">
        <f>COUNTA('25年7月'!$C19:$AG19)</f>
        <v>26</v>
      </c>
    </row>
    <row r="20" spans="2:34" ht="30" customHeight="1" x14ac:dyDescent="0.25">
      <c r="B20" s="31" t="s">
        <v>86</v>
      </c>
      <c r="C20" s="18" t="s">
        <v>66</v>
      </c>
      <c r="D20" s="18" t="s">
        <v>66</v>
      </c>
      <c r="E20" s="18" t="s">
        <v>66</v>
      </c>
      <c r="F20" s="18" t="s">
        <v>66</v>
      </c>
      <c r="G20" s="18" t="s">
        <v>66</v>
      </c>
      <c r="H20" s="18" t="s">
        <v>66</v>
      </c>
      <c r="I20" s="18" t="s">
        <v>66</v>
      </c>
      <c r="J20" s="18" t="s">
        <v>66</v>
      </c>
      <c r="K20" s="18" t="s">
        <v>66</v>
      </c>
      <c r="L20" s="18" t="s">
        <v>66</v>
      </c>
      <c r="M20" s="18" t="s">
        <v>66</v>
      </c>
      <c r="N20" s="18" t="s">
        <v>66</v>
      </c>
      <c r="O20" s="18" t="s">
        <v>66</v>
      </c>
      <c r="P20" s="18" t="s">
        <v>66</v>
      </c>
      <c r="Q20" s="18" t="s">
        <v>66</v>
      </c>
      <c r="R20" s="18" t="s">
        <v>66</v>
      </c>
      <c r="S20" s="18"/>
      <c r="T20" s="18"/>
      <c r="U20" s="18"/>
      <c r="V20" s="18"/>
      <c r="W20" s="18"/>
      <c r="X20" s="18" t="s">
        <v>66</v>
      </c>
      <c r="Y20" s="18" t="s">
        <v>66</v>
      </c>
      <c r="Z20" s="18" t="s">
        <v>66</v>
      </c>
      <c r="AA20" s="18" t="s">
        <v>66</v>
      </c>
      <c r="AB20" s="18" t="s">
        <v>66</v>
      </c>
      <c r="AC20" s="18" t="s">
        <v>66</v>
      </c>
      <c r="AD20" s="18" t="s">
        <v>66</v>
      </c>
      <c r="AE20" s="18" t="s">
        <v>66</v>
      </c>
      <c r="AF20" s="18" t="s">
        <v>66</v>
      </c>
      <c r="AG20" s="18"/>
      <c r="AH20" s="27">
        <f>COUNTA(月11_210[[#This Row],[1]:[31]])</f>
        <v>25</v>
      </c>
    </row>
    <row r="21" spans="2:34" ht="30" customHeight="1" x14ac:dyDescent="0.25">
      <c r="B21" s="31" t="s">
        <v>87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 t="s">
        <v>66</v>
      </c>
      <c r="O21" s="18" t="s">
        <v>66</v>
      </c>
      <c r="P21" s="18" t="s">
        <v>66</v>
      </c>
      <c r="Q21" s="18" t="s">
        <v>66</v>
      </c>
      <c r="R21" s="18" t="s">
        <v>66</v>
      </c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 t="s">
        <v>66</v>
      </c>
      <c r="AE21" s="18" t="s">
        <v>66</v>
      </c>
      <c r="AF21" s="18" t="s">
        <v>66</v>
      </c>
      <c r="AG21" s="18" t="s">
        <v>66</v>
      </c>
      <c r="AH21" s="27">
        <f>COUNTA(月11_210[[#This Row],[1]:[31]])</f>
        <v>9</v>
      </c>
    </row>
    <row r="22" spans="2:34" ht="30" customHeight="1" x14ac:dyDescent="0.25">
      <c r="B22" s="31" t="s">
        <v>88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 t="s">
        <v>66</v>
      </c>
      <c r="O22" s="18" t="s">
        <v>66</v>
      </c>
      <c r="P22" s="18" t="s">
        <v>66</v>
      </c>
      <c r="Q22" s="18" t="s">
        <v>66</v>
      </c>
      <c r="R22" s="18" t="s">
        <v>66</v>
      </c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 t="s">
        <v>66</v>
      </c>
      <c r="AE22" s="18" t="s">
        <v>66</v>
      </c>
      <c r="AF22" s="18" t="s">
        <v>66</v>
      </c>
      <c r="AG22" s="18" t="s">
        <v>66</v>
      </c>
      <c r="AH22" s="27">
        <f>COUNTA(月11_210[[#This Row],[1]:[31]])</f>
        <v>9</v>
      </c>
    </row>
    <row r="23" spans="2:34" ht="30" customHeight="1" x14ac:dyDescent="0.25">
      <c r="B23" s="31" t="s">
        <v>89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 t="s">
        <v>66</v>
      </c>
      <c r="O23" s="18" t="s">
        <v>66</v>
      </c>
      <c r="P23" s="18" t="s">
        <v>66</v>
      </c>
      <c r="Q23" s="18" t="s">
        <v>66</v>
      </c>
      <c r="R23" s="18" t="s">
        <v>66</v>
      </c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7">
        <f>COUNTA(月11_210[[#This Row],[1]:[31]])</f>
        <v>5</v>
      </c>
    </row>
    <row r="24" spans="2:34" ht="30" customHeight="1" x14ac:dyDescent="0.25">
      <c r="B24" s="31" t="s">
        <v>90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 t="s">
        <v>66</v>
      </c>
      <c r="O24" s="18" t="s">
        <v>66</v>
      </c>
      <c r="P24" s="18" t="s">
        <v>66</v>
      </c>
      <c r="Q24" s="18" t="s">
        <v>66</v>
      </c>
      <c r="R24" s="18" t="s">
        <v>66</v>
      </c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7">
        <f>COUNTA(月11_210[[#This Row],[1]:[31]])</f>
        <v>5</v>
      </c>
    </row>
    <row r="25" spans="2:34" ht="30" customHeight="1" x14ac:dyDescent="0.25">
      <c r="B25" s="31" t="s">
        <v>91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 t="s">
        <v>66</v>
      </c>
      <c r="O25" s="18" t="s">
        <v>66</v>
      </c>
      <c r="P25" s="18" t="s">
        <v>66</v>
      </c>
      <c r="Q25" s="18" t="s">
        <v>66</v>
      </c>
      <c r="R25" s="18" t="s">
        <v>66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7">
        <f>COUNTA(月11_210[[#This Row],[1]:[31]])</f>
        <v>5</v>
      </c>
    </row>
    <row r="26" spans="2:34" ht="30" customHeight="1" x14ac:dyDescent="0.25">
      <c r="B26" s="31" t="s">
        <v>92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 t="s">
        <v>66</v>
      </c>
      <c r="O26" s="18" t="s">
        <v>66</v>
      </c>
      <c r="P26" s="18" t="s">
        <v>66</v>
      </c>
      <c r="Q26" s="18" t="s">
        <v>66</v>
      </c>
      <c r="R26" s="18" t="s">
        <v>66</v>
      </c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27">
        <f>COUNTA(月11_210[[#This Row],[1]:[31]])</f>
        <v>5</v>
      </c>
    </row>
    <row r="27" spans="2:34" ht="30" customHeight="1" x14ac:dyDescent="0.25">
      <c r="B27" s="31" t="s">
        <v>93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 t="s">
        <v>66</v>
      </c>
      <c r="O27" s="18" t="s">
        <v>66</v>
      </c>
      <c r="P27" s="18" t="s">
        <v>66</v>
      </c>
      <c r="Q27" s="18" t="s">
        <v>66</v>
      </c>
      <c r="R27" s="18" t="s">
        <v>66</v>
      </c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7">
        <f>COUNTA(月11_210[[#This Row],[1]:[31]])</f>
        <v>5</v>
      </c>
    </row>
    <row r="28" spans="2:34" ht="30" customHeight="1" x14ac:dyDescent="0.25">
      <c r="B28" s="31" t="s">
        <v>94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 t="s">
        <v>66</v>
      </c>
      <c r="O28" s="18" t="s">
        <v>66</v>
      </c>
      <c r="P28" s="18" t="s">
        <v>66</v>
      </c>
      <c r="Q28" s="18" t="s">
        <v>66</v>
      </c>
      <c r="R28" s="18" t="s">
        <v>66</v>
      </c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27">
        <f>COUNTA(月11_210[[#This Row],[1]:[31]])</f>
        <v>5</v>
      </c>
    </row>
    <row r="29" spans="2:34" ht="30" customHeight="1" x14ac:dyDescent="0.25">
      <c r="B29" s="31" t="s">
        <v>95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 t="s">
        <v>66</v>
      </c>
      <c r="O29" s="18" t="s">
        <v>66</v>
      </c>
      <c r="P29" s="18" t="s">
        <v>66</v>
      </c>
      <c r="Q29" s="18" t="s">
        <v>66</v>
      </c>
      <c r="R29" s="18" t="s">
        <v>66</v>
      </c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7">
        <f>COUNTA(月11_210[[#This Row],[1]:[31]])</f>
        <v>5</v>
      </c>
    </row>
    <row r="30" spans="2:34" ht="30" customHeight="1" x14ac:dyDescent="0.25">
      <c r="B30" s="31" t="s">
        <v>96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 t="s">
        <v>66</v>
      </c>
      <c r="O30" s="18" t="s">
        <v>66</v>
      </c>
      <c r="P30" s="18" t="s">
        <v>66</v>
      </c>
      <c r="Q30" s="18" t="s">
        <v>66</v>
      </c>
      <c r="R30" s="18" t="s">
        <v>66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27">
        <f>COUNTA(月11_210[[#This Row],[1]:[31]])</f>
        <v>5</v>
      </c>
    </row>
    <row r="31" spans="2:34" ht="30" customHeight="1" x14ac:dyDescent="0.25">
      <c r="B31" s="20" t="s">
        <v>97</v>
      </c>
      <c r="C31" s="18"/>
      <c r="D31" s="18"/>
      <c r="E31" s="18"/>
      <c r="F31" s="18"/>
      <c r="G31" s="18"/>
      <c r="H31" s="18"/>
      <c r="I31" s="18"/>
      <c r="J31" s="18" t="s">
        <v>66</v>
      </c>
      <c r="K31" s="18" t="s">
        <v>66</v>
      </c>
      <c r="L31" s="18" t="s">
        <v>66</v>
      </c>
      <c r="M31" s="18" t="s">
        <v>66</v>
      </c>
      <c r="N31" s="18" t="s">
        <v>66</v>
      </c>
      <c r="O31" s="18" t="s">
        <v>66</v>
      </c>
      <c r="P31" s="18" t="s">
        <v>66</v>
      </c>
      <c r="Q31" s="18" t="s">
        <v>66</v>
      </c>
      <c r="R31" s="18" t="s">
        <v>66</v>
      </c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7">
        <f>COUNTA('25年7月'!$C31:$AG31)</f>
        <v>9</v>
      </c>
    </row>
    <row r="32" spans="2:34" ht="30" customHeight="1" x14ac:dyDescent="0.25">
      <c r="B32" s="20" t="s">
        <v>98</v>
      </c>
      <c r="C32" s="18"/>
      <c r="D32" s="18"/>
      <c r="E32" s="18"/>
      <c r="F32" s="18"/>
      <c r="G32" s="18"/>
      <c r="H32" s="18"/>
      <c r="I32" s="18"/>
      <c r="J32" s="18" t="s">
        <v>66</v>
      </c>
      <c r="K32" s="18" t="s">
        <v>66</v>
      </c>
      <c r="L32" s="18" t="s">
        <v>66</v>
      </c>
      <c r="M32" s="18" t="s">
        <v>66</v>
      </c>
      <c r="N32" s="18" t="s">
        <v>66</v>
      </c>
      <c r="O32" s="18" t="s">
        <v>66</v>
      </c>
      <c r="P32" s="18" t="s">
        <v>66</v>
      </c>
      <c r="Q32" s="18" t="s">
        <v>66</v>
      </c>
      <c r="R32" s="18" t="s">
        <v>66</v>
      </c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27">
        <f>COUNTA('25年7月'!$C32:$AG32)</f>
        <v>9</v>
      </c>
    </row>
    <row r="33" spans="2:34" ht="30" customHeight="1" x14ac:dyDescent="0.25">
      <c r="B33" s="20" t="s">
        <v>99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27">
        <f>COUNTA('25年7月'!$C33:$AG33)</f>
        <v>0</v>
      </c>
    </row>
    <row r="34" spans="2:34" ht="30" customHeight="1" x14ac:dyDescent="0.25">
      <c r="B34" s="20" t="s">
        <v>100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7">
        <f>COUNTA('25年7月'!$C34:$AG34)</f>
        <v>0</v>
      </c>
    </row>
    <row r="35" spans="2:34" ht="30" customHeight="1" x14ac:dyDescent="0.25">
      <c r="B35" s="20" t="s">
        <v>101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7">
        <f>COUNTA('25年7月'!$C35:$AG35)</f>
        <v>0</v>
      </c>
    </row>
    <row r="36" spans="2:34" ht="30" customHeight="1" x14ac:dyDescent="0.25">
      <c r="B36" s="20" t="s">
        <v>102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7">
        <f>COUNTA('25年7月'!$C36:$AG36)</f>
        <v>0</v>
      </c>
    </row>
    <row r="37" spans="2:34" ht="30" customHeight="1" x14ac:dyDescent="0.25">
      <c r="B37" s="20" t="s">
        <v>103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27">
        <f>COUNTA('25年7月'!$C37:$AG37)</f>
        <v>0</v>
      </c>
    </row>
    <row r="38" spans="2:34" ht="30" customHeight="1" x14ac:dyDescent="0.25">
      <c r="B38" s="20" t="s">
        <v>104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7">
        <f>COUNTA('25年7月'!$C38:$AG38)</f>
        <v>0</v>
      </c>
    </row>
    <row r="39" spans="2:34" ht="30" customHeight="1" x14ac:dyDescent="0.25">
      <c r="B39" s="20" t="s">
        <v>105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7">
        <f>COUNTA('25年7月'!$C39:$AG39)</f>
        <v>0</v>
      </c>
    </row>
    <row r="40" spans="2:34" ht="30" customHeight="1" x14ac:dyDescent="0.25">
      <c r="B40" s="20" t="s">
        <v>106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27">
        <f>COUNTA('25年7月'!$C40:$AG40)</f>
        <v>0</v>
      </c>
    </row>
    <row r="41" spans="2:34" ht="30" customHeight="1" x14ac:dyDescent="0.25">
      <c r="B41" s="31" t="s">
        <v>107</v>
      </c>
      <c r="C41" s="18" t="s">
        <v>66</v>
      </c>
      <c r="D41" s="18" t="s">
        <v>66</v>
      </c>
      <c r="E41" s="18" t="s">
        <v>66</v>
      </c>
      <c r="F41" s="18" t="s">
        <v>66</v>
      </c>
      <c r="G41" s="18" t="s">
        <v>66</v>
      </c>
      <c r="H41" s="18" t="s">
        <v>66</v>
      </c>
      <c r="I41" s="18" t="s">
        <v>66</v>
      </c>
      <c r="J41" s="18" t="s">
        <v>66</v>
      </c>
      <c r="K41" s="18" t="s">
        <v>66</v>
      </c>
      <c r="L41" s="18" t="s">
        <v>66</v>
      </c>
      <c r="M41" s="18" t="s">
        <v>66</v>
      </c>
      <c r="N41" s="18" t="s">
        <v>66</v>
      </c>
      <c r="O41" s="18" t="s">
        <v>66</v>
      </c>
      <c r="P41" s="18" t="s">
        <v>66</v>
      </c>
      <c r="Q41" s="18" t="s">
        <v>66</v>
      </c>
      <c r="R41" s="18" t="s">
        <v>66</v>
      </c>
      <c r="S41" s="18" t="s">
        <v>66</v>
      </c>
      <c r="T41" s="18" t="s">
        <v>66</v>
      </c>
      <c r="U41" s="18" t="s">
        <v>66</v>
      </c>
      <c r="V41" s="18" t="s">
        <v>66</v>
      </c>
      <c r="W41" s="18" t="s">
        <v>66</v>
      </c>
      <c r="X41" s="18" t="s">
        <v>66</v>
      </c>
      <c r="Y41" s="18" t="s">
        <v>66</v>
      </c>
      <c r="Z41" s="18" t="s">
        <v>66</v>
      </c>
      <c r="AA41" s="18" t="s">
        <v>66</v>
      </c>
      <c r="AB41" s="18" t="s">
        <v>66</v>
      </c>
      <c r="AC41" s="18" t="s">
        <v>66</v>
      </c>
      <c r="AD41" s="18" t="s">
        <v>66</v>
      </c>
      <c r="AE41" s="18" t="s">
        <v>66</v>
      </c>
      <c r="AF41" s="18" t="s">
        <v>66</v>
      </c>
      <c r="AG41" s="18"/>
      <c r="AH41" s="27">
        <f>COUNTA(月11_210[[#This Row],[1]:[31]])</f>
        <v>30</v>
      </c>
    </row>
    <row r="42" spans="2:34" ht="30" customHeight="1" x14ac:dyDescent="0.25">
      <c r="B42" s="31" t="s">
        <v>158</v>
      </c>
      <c r="C42" s="18" t="s">
        <v>66</v>
      </c>
      <c r="D42" s="18" t="s">
        <v>66</v>
      </c>
      <c r="E42" s="18" t="s">
        <v>66</v>
      </c>
      <c r="F42" s="18" t="s">
        <v>66</v>
      </c>
      <c r="G42" s="18" t="s">
        <v>66</v>
      </c>
      <c r="H42" s="18" t="s">
        <v>66</v>
      </c>
      <c r="I42" s="18" t="s">
        <v>66</v>
      </c>
      <c r="J42" s="18" t="s">
        <v>66</v>
      </c>
      <c r="K42" s="18" t="s">
        <v>66</v>
      </c>
      <c r="L42" s="18" t="s">
        <v>66</v>
      </c>
      <c r="M42" s="18" t="s">
        <v>66</v>
      </c>
      <c r="N42" s="18" t="s">
        <v>66</v>
      </c>
      <c r="O42" s="18" t="s">
        <v>66</v>
      </c>
      <c r="P42" s="18" t="s">
        <v>66</v>
      </c>
      <c r="Q42" s="18" t="s">
        <v>66</v>
      </c>
      <c r="R42" s="18" t="s">
        <v>66</v>
      </c>
      <c r="S42" s="18" t="s">
        <v>66</v>
      </c>
      <c r="T42" s="18" t="s">
        <v>66</v>
      </c>
      <c r="U42" s="18" t="s">
        <v>66</v>
      </c>
      <c r="V42" s="18" t="s">
        <v>66</v>
      </c>
      <c r="W42" s="18" t="s">
        <v>66</v>
      </c>
      <c r="X42" s="18" t="s">
        <v>66</v>
      </c>
      <c r="Y42" s="18" t="s">
        <v>66</v>
      </c>
      <c r="Z42" s="18" t="s">
        <v>66</v>
      </c>
      <c r="AA42" s="18" t="s">
        <v>66</v>
      </c>
      <c r="AB42" s="18" t="s">
        <v>66</v>
      </c>
      <c r="AC42" s="18" t="s">
        <v>66</v>
      </c>
      <c r="AD42" s="18" t="s">
        <v>66</v>
      </c>
      <c r="AE42" s="18" t="s">
        <v>66</v>
      </c>
      <c r="AF42" s="18" t="s">
        <v>66</v>
      </c>
      <c r="AG42" s="18"/>
      <c r="AH42" s="27">
        <f>COUNTA(月11_210[[#This Row],[1]:[31]])</f>
        <v>30</v>
      </c>
    </row>
    <row r="43" spans="2:34" ht="30" customHeight="1" x14ac:dyDescent="0.25">
      <c r="B43" s="31" t="s">
        <v>109</v>
      </c>
      <c r="C43" s="18" t="s">
        <v>66</v>
      </c>
      <c r="D43" s="18" t="s">
        <v>66</v>
      </c>
      <c r="E43" s="18" t="s">
        <v>66</v>
      </c>
      <c r="F43" s="18" t="s">
        <v>66</v>
      </c>
      <c r="G43" s="18" t="s">
        <v>66</v>
      </c>
      <c r="H43" s="18" t="s">
        <v>66</v>
      </c>
      <c r="I43" s="18" t="s">
        <v>66</v>
      </c>
      <c r="J43" s="18" t="s">
        <v>66</v>
      </c>
      <c r="K43" s="18" t="s">
        <v>66</v>
      </c>
      <c r="L43" s="18" t="s">
        <v>66</v>
      </c>
      <c r="M43" s="18" t="s">
        <v>66</v>
      </c>
      <c r="N43" s="18" t="s">
        <v>66</v>
      </c>
      <c r="O43" s="18" t="s">
        <v>66</v>
      </c>
      <c r="P43" s="18" t="s">
        <v>66</v>
      </c>
      <c r="Q43" s="18" t="s">
        <v>66</v>
      </c>
      <c r="R43" s="18" t="s">
        <v>66</v>
      </c>
      <c r="S43" s="18" t="s">
        <v>66</v>
      </c>
      <c r="T43" s="18" t="s">
        <v>66</v>
      </c>
      <c r="U43" s="18" t="s">
        <v>66</v>
      </c>
      <c r="V43" s="18" t="s">
        <v>66</v>
      </c>
      <c r="W43" s="18" t="s">
        <v>66</v>
      </c>
      <c r="X43" s="18" t="s">
        <v>66</v>
      </c>
      <c r="Y43" s="18" t="s">
        <v>66</v>
      </c>
      <c r="Z43" s="18" t="s">
        <v>66</v>
      </c>
      <c r="AA43" s="18" t="s">
        <v>66</v>
      </c>
      <c r="AB43" s="18" t="s">
        <v>66</v>
      </c>
      <c r="AC43" s="18" t="s">
        <v>66</v>
      </c>
      <c r="AD43" s="18" t="s">
        <v>66</v>
      </c>
      <c r="AE43" s="18" t="s">
        <v>66</v>
      </c>
      <c r="AF43" s="18" t="s">
        <v>66</v>
      </c>
      <c r="AG43" s="18"/>
      <c r="AH43" s="27">
        <f>COUNTA(月11_210[[#This Row],[1]:[31]])</f>
        <v>30</v>
      </c>
    </row>
    <row r="44" spans="2:34" ht="30" customHeight="1" x14ac:dyDescent="0.25">
      <c r="B44" s="31" t="s">
        <v>110</v>
      </c>
      <c r="C44" s="18" t="s">
        <v>66</v>
      </c>
      <c r="D44" s="18" t="s">
        <v>66</v>
      </c>
      <c r="E44" s="18" t="s">
        <v>66</v>
      </c>
      <c r="F44" s="18" t="s">
        <v>66</v>
      </c>
      <c r="G44" s="18" t="s">
        <v>66</v>
      </c>
      <c r="H44" s="18" t="s">
        <v>66</v>
      </c>
      <c r="I44" s="18" t="s">
        <v>66</v>
      </c>
      <c r="J44" s="18" t="s">
        <v>66</v>
      </c>
      <c r="K44" s="18" t="s">
        <v>66</v>
      </c>
      <c r="L44" s="18" t="s">
        <v>66</v>
      </c>
      <c r="M44" s="18" t="s">
        <v>66</v>
      </c>
      <c r="N44" s="18" t="s">
        <v>66</v>
      </c>
      <c r="O44" s="18" t="s">
        <v>66</v>
      </c>
      <c r="P44" s="18" t="s">
        <v>66</v>
      </c>
      <c r="Q44" s="18" t="s">
        <v>66</v>
      </c>
      <c r="R44" s="18" t="s">
        <v>66</v>
      </c>
      <c r="S44" s="18" t="s">
        <v>66</v>
      </c>
      <c r="T44" s="18" t="s">
        <v>66</v>
      </c>
      <c r="U44" s="18" t="s">
        <v>66</v>
      </c>
      <c r="V44" s="18" t="s">
        <v>66</v>
      </c>
      <c r="W44" s="18" t="s">
        <v>66</v>
      </c>
      <c r="X44" s="18" t="s">
        <v>66</v>
      </c>
      <c r="Y44" s="18" t="s">
        <v>66</v>
      </c>
      <c r="Z44" s="18" t="s">
        <v>66</v>
      </c>
      <c r="AA44" s="18" t="s">
        <v>66</v>
      </c>
      <c r="AB44" s="18" t="s">
        <v>66</v>
      </c>
      <c r="AC44" s="18" t="s">
        <v>66</v>
      </c>
      <c r="AD44" s="18" t="s">
        <v>66</v>
      </c>
      <c r="AE44" s="18" t="s">
        <v>66</v>
      </c>
      <c r="AF44" s="18" t="s">
        <v>66</v>
      </c>
      <c r="AG44" s="18"/>
      <c r="AH44" s="27">
        <f>COUNTA(月11_210[[#This Row],[1]:[31]])</f>
        <v>30</v>
      </c>
    </row>
    <row r="45" spans="2:34" ht="30" customHeight="1" x14ac:dyDescent="0.25">
      <c r="B45" s="31" t="s">
        <v>111</v>
      </c>
      <c r="C45" s="18" t="s">
        <v>66</v>
      </c>
      <c r="D45" s="18" t="s">
        <v>66</v>
      </c>
      <c r="E45" s="18" t="s">
        <v>66</v>
      </c>
      <c r="F45" s="18" t="s">
        <v>66</v>
      </c>
      <c r="G45" s="18" t="s">
        <v>66</v>
      </c>
      <c r="H45" s="18" t="s">
        <v>66</v>
      </c>
      <c r="I45" s="18" t="s">
        <v>66</v>
      </c>
      <c r="J45" s="18" t="s">
        <v>66</v>
      </c>
      <c r="K45" s="18" t="s">
        <v>66</v>
      </c>
      <c r="L45" s="18" t="s">
        <v>66</v>
      </c>
      <c r="M45" s="18" t="s">
        <v>66</v>
      </c>
      <c r="N45" s="18" t="s">
        <v>66</v>
      </c>
      <c r="O45" s="18" t="s">
        <v>66</v>
      </c>
      <c r="P45" s="18" t="s">
        <v>66</v>
      </c>
      <c r="Q45" s="18" t="s">
        <v>66</v>
      </c>
      <c r="R45" s="18" t="s">
        <v>66</v>
      </c>
      <c r="S45" s="18" t="s">
        <v>66</v>
      </c>
      <c r="T45" s="18" t="s">
        <v>66</v>
      </c>
      <c r="U45" s="18" t="s">
        <v>66</v>
      </c>
      <c r="V45" s="18" t="s">
        <v>66</v>
      </c>
      <c r="W45" s="18" t="s">
        <v>66</v>
      </c>
      <c r="X45" s="18" t="s">
        <v>66</v>
      </c>
      <c r="Y45" s="18" t="s">
        <v>66</v>
      </c>
      <c r="Z45" s="18" t="s">
        <v>66</v>
      </c>
      <c r="AA45" s="18" t="s">
        <v>66</v>
      </c>
      <c r="AB45" s="18" t="s">
        <v>66</v>
      </c>
      <c r="AC45" s="18" t="s">
        <v>66</v>
      </c>
      <c r="AD45" s="18" t="s">
        <v>66</v>
      </c>
      <c r="AE45" s="18" t="s">
        <v>66</v>
      </c>
      <c r="AF45" s="18" t="s">
        <v>66</v>
      </c>
      <c r="AG45" s="18"/>
      <c r="AH45" s="27">
        <f>COUNTA(月11_210[[#This Row],[1]:[31]])</f>
        <v>30</v>
      </c>
    </row>
    <row r="46" spans="2:34" ht="30" customHeight="1" x14ac:dyDescent="0.25">
      <c r="B46" s="31" t="s">
        <v>112</v>
      </c>
      <c r="C46" s="18" t="s">
        <v>66</v>
      </c>
      <c r="D46" s="18" t="s">
        <v>66</v>
      </c>
      <c r="E46" s="18" t="s">
        <v>66</v>
      </c>
      <c r="F46" s="18" t="s">
        <v>66</v>
      </c>
      <c r="G46" s="18" t="s">
        <v>66</v>
      </c>
      <c r="H46" s="18" t="s">
        <v>66</v>
      </c>
      <c r="I46" s="18" t="s">
        <v>66</v>
      </c>
      <c r="J46" s="18" t="s">
        <v>66</v>
      </c>
      <c r="K46" s="18" t="s">
        <v>66</v>
      </c>
      <c r="L46" s="18" t="s">
        <v>66</v>
      </c>
      <c r="M46" s="18" t="s">
        <v>66</v>
      </c>
      <c r="N46" s="18" t="s">
        <v>66</v>
      </c>
      <c r="O46" s="18" t="s">
        <v>66</v>
      </c>
      <c r="P46" s="18" t="s">
        <v>66</v>
      </c>
      <c r="Q46" s="18" t="s">
        <v>66</v>
      </c>
      <c r="R46" s="18" t="s">
        <v>66</v>
      </c>
      <c r="S46" s="18" t="s">
        <v>66</v>
      </c>
      <c r="T46" s="18" t="s">
        <v>66</v>
      </c>
      <c r="U46" s="18" t="s">
        <v>66</v>
      </c>
      <c r="V46" s="18" t="s">
        <v>66</v>
      </c>
      <c r="W46" s="18" t="s">
        <v>66</v>
      </c>
      <c r="X46" s="18" t="s">
        <v>66</v>
      </c>
      <c r="Y46" s="18" t="s">
        <v>66</v>
      </c>
      <c r="Z46" s="18" t="s">
        <v>66</v>
      </c>
      <c r="AA46" s="18" t="s">
        <v>66</v>
      </c>
      <c r="AB46" s="18" t="s">
        <v>66</v>
      </c>
      <c r="AC46" s="18" t="s">
        <v>66</v>
      </c>
      <c r="AD46" s="18" t="s">
        <v>66</v>
      </c>
      <c r="AE46" s="18" t="s">
        <v>66</v>
      </c>
      <c r="AF46" s="18" t="s">
        <v>66</v>
      </c>
      <c r="AG46" s="18"/>
      <c r="AH46" s="27">
        <f>COUNTA(月11_210[[#This Row],[1]:[31]])</f>
        <v>30</v>
      </c>
    </row>
    <row r="47" spans="2:34" ht="30" customHeight="1" x14ac:dyDescent="0.25">
      <c r="B47" s="31" t="s">
        <v>113</v>
      </c>
      <c r="C47" s="18" t="s">
        <v>66</v>
      </c>
      <c r="D47" s="18" t="s">
        <v>66</v>
      </c>
      <c r="E47" s="18" t="s">
        <v>66</v>
      </c>
      <c r="F47" s="18" t="s">
        <v>66</v>
      </c>
      <c r="G47" s="18" t="s">
        <v>66</v>
      </c>
      <c r="H47" s="18" t="s">
        <v>66</v>
      </c>
      <c r="I47" s="18" t="s">
        <v>66</v>
      </c>
      <c r="J47" s="18" t="s">
        <v>66</v>
      </c>
      <c r="K47" s="18" t="s">
        <v>66</v>
      </c>
      <c r="L47" s="18" t="s">
        <v>66</v>
      </c>
      <c r="M47" s="18" t="s">
        <v>66</v>
      </c>
      <c r="N47" s="18" t="s">
        <v>66</v>
      </c>
      <c r="O47" s="18" t="s">
        <v>66</v>
      </c>
      <c r="P47" s="18" t="s">
        <v>66</v>
      </c>
      <c r="Q47" s="18" t="s">
        <v>66</v>
      </c>
      <c r="R47" s="18" t="s">
        <v>66</v>
      </c>
      <c r="S47" s="18" t="s">
        <v>66</v>
      </c>
      <c r="T47" s="18" t="s">
        <v>66</v>
      </c>
      <c r="U47" s="18" t="s">
        <v>66</v>
      </c>
      <c r="V47" s="18" t="s">
        <v>66</v>
      </c>
      <c r="W47" s="18" t="s">
        <v>66</v>
      </c>
      <c r="X47" s="18" t="s">
        <v>66</v>
      </c>
      <c r="Y47" s="18" t="s">
        <v>66</v>
      </c>
      <c r="Z47" s="18" t="s">
        <v>66</v>
      </c>
      <c r="AA47" s="18" t="s">
        <v>66</v>
      </c>
      <c r="AB47" s="18" t="s">
        <v>66</v>
      </c>
      <c r="AC47" s="18"/>
      <c r="AD47" s="18"/>
      <c r="AE47" s="18"/>
      <c r="AF47" s="18"/>
      <c r="AG47" s="18"/>
      <c r="AH47" s="27">
        <f>COUNTA(月11_210[[#This Row],[1]:[31]])</f>
        <v>26</v>
      </c>
    </row>
    <row r="48" spans="2:34" ht="30" customHeight="1" x14ac:dyDescent="0.25">
      <c r="B48" s="31" t="s">
        <v>114</v>
      </c>
      <c r="C48" s="18" t="s">
        <v>66</v>
      </c>
      <c r="D48" s="18" t="s">
        <v>66</v>
      </c>
      <c r="E48" s="18" t="s">
        <v>66</v>
      </c>
      <c r="F48" s="18" t="s">
        <v>66</v>
      </c>
      <c r="G48" s="18" t="s">
        <v>66</v>
      </c>
      <c r="H48" s="18" t="s">
        <v>66</v>
      </c>
      <c r="I48" s="18" t="s">
        <v>66</v>
      </c>
      <c r="J48" s="18" t="s">
        <v>66</v>
      </c>
      <c r="K48" s="18" t="s">
        <v>66</v>
      </c>
      <c r="L48" s="18" t="s">
        <v>66</v>
      </c>
      <c r="M48" s="18" t="s">
        <v>66</v>
      </c>
      <c r="N48" s="18" t="s">
        <v>66</v>
      </c>
      <c r="O48" s="18" t="s">
        <v>66</v>
      </c>
      <c r="P48" s="18" t="s">
        <v>66</v>
      </c>
      <c r="Q48" s="18" t="s">
        <v>66</v>
      </c>
      <c r="R48" s="18" t="s">
        <v>66</v>
      </c>
      <c r="S48" s="18" t="s">
        <v>66</v>
      </c>
      <c r="T48" s="18" t="s">
        <v>66</v>
      </c>
      <c r="U48" s="18" t="s">
        <v>66</v>
      </c>
      <c r="V48" s="18" t="s">
        <v>66</v>
      </c>
      <c r="W48" s="18" t="s">
        <v>66</v>
      </c>
      <c r="X48" s="18" t="s">
        <v>66</v>
      </c>
      <c r="Y48" s="18" t="s">
        <v>66</v>
      </c>
      <c r="Z48" s="18" t="s">
        <v>66</v>
      </c>
      <c r="AA48" s="18" t="s">
        <v>66</v>
      </c>
      <c r="AB48" s="18" t="s">
        <v>66</v>
      </c>
      <c r="AC48" s="18"/>
      <c r="AD48" s="18"/>
      <c r="AE48" s="18"/>
      <c r="AF48" s="18"/>
      <c r="AG48" s="18"/>
      <c r="AH48" s="27">
        <f>COUNTA(月11_210[[#This Row],[1]:[31]])</f>
        <v>26</v>
      </c>
    </row>
    <row r="49" spans="2:34" ht="30" customHeight="1" x14ac:dyDescent="0.25">
      <c r="B49" s="31" t="s">
        <v>115</v>
      </c>
      <c r="C49" s="18" t="s">
        <v>66</v>
      </c>
      <c r="D49" s="18" t="s">
        <v>66</v>
      </c>
      <c r="E49" s="18" t="s">
        <v>66</v>
      </c>
      <c r="F49" s="18" t="s">
        <v>66</v>
      </c>
      <c r="G49" s="18" t="s">
        <v>66</v>
      </c>
      <c r="H49" s="18" t="s">
        <v>66</v>
      </c>
      <c r="I49" s="18" t="s">
        <v>66</v>
      </c>
      <c r="J49" s="18" t="s">
        <v>66</v>
      </c>
      <c r="K49" s="18" t="s">
        <v>66</v>
      </c>
      <c r="L49" s="18" t="s">
        <v>66</v>
      </c>
      <c r="M49" s="18" t="s">
        <v>66</v>
      </c>
      <c r="N49" s="18" t="s">
        <v>66</v>
      </c>
      <c r="O49" s="18" t="s">
        <v>66</v>
      </c>
      <c r="P49" s="18" t="s">
        <v>66</v>
      </c>
      <c r="Q49" s="18" t="s">
        <v>66</v>
      </c>
      <c r="R49" s="18" t="s">
        <v>66</v>
      </c>
      <c r="S49" s="18" t="s">
        <v>66</v>
      </c>
      <c r="T49" s="18" t="s">
        <v>66</v>
      </c>
      <c r="U49" s="18" t="s">
        <v>66</v>
      </c>
      <c r="V49" s="18" t="s">
        <v>66</v>
      </c>
      <c r="W49" s="18" t="s">
        <v>66</v>
      </c>
      <c r="X49" s="18" t="s">
        <v>66</v>
      </c>
      <c r="Y49" s="18" t="s">
        <v>66</v>
      </c>
      <c r="Z49" s="18" t="s">
        <v>66</v>
      </c>
      <c r="AA49" s="18" t="s">
        <v>66</v>
      </c>
      <c r="AB49" s="18" t="s">
        <v>66</v>
      </c>
      <c r="AC49" s="18"/>
      <c r="AD49" s="18"/>
      <c r="AE49" s="18"/>
      <c r="AF49" s="18"/>
      <c r="AG49" s="18"/>
      <c r="AH49" s="27">
        <f>COUNTA(月11_210[[#This Row],[1]:[31]])</f>
        <v>26</v>
      </c>
    </row>
    <row r="50" spans="2:34" ht="30" customHeight="1" x14ac:dyDescent="0.25">
      <c r="B50" s="31" t="s">
        <v>116</v>
      </c>
      <c r="C50" s="18" t="s">
        <v>66</v>
      </c>
      <c r="D50" s="18" t="s">
        <v>66</v>
      </c>
      <c r="E50" s="18" t="s">
        <v>66</v>
      </c>
      <c r="F50" s="18" t="s">
        <v>66</v>
      </c>
      <c r="G50" s="18" t="s">
        <v>66</v>
      </c>
      <c r="H50" s="18" t="s">
        <v>66</v>
      </c>
      <c r="I50" s="18" t="s">
        <v>66</v>
      </c>
      <c r="J50" s="18" t="s">
        <v>66</v>
      </c>
      <c r="K50" s="18" t="s">
        <v>66</v>
      </c>
      <c r="L50" s="18" t="s">
        <v>66</v>
      </c>
      <c r="M50" s="18" t="s">
        <v>66</v>
      </c>
      <c r="N50" s="18" t="s">
        <v>66</v>
      </c>
      <c r="O50" s="18" t="s">
        <v>66</v>
      </c>
      <c r="P50" s="18" t="s">
        <v>66</v>
      </c>
      <c r="Q50" s="18" t="s">
        <v>66</v>
      </c>
      <c r="R50" s="18" t="s">
        <v>66</v>
      </c>
      <c r="S50" s="18" t="s">
        <v>66</v>
      </c>
      <c r="T50" s="18" t="s">
        <v>66</v>
      </c>
      <c r="U50" s="18" t="s">
        <v>66</v>
      </c>
      <c r="V50" s="18" t="s">
        <v>66</v>
      </c>
      <c r="W50" s="18" t="s">
        <v>66</v>
      </c>
      <c r="X50" s="18" t="s">
        <v>66</v>
      </c>
      <c r="Y50" s="18" t="s">
        <v>66</v>
      </c>
      <c r="Z50" s="18" t="s">
        <v>66</v>
      </c>
      <c r="AA50" s="18" t="s">
        <v>66</v>
      </c>
      <c r="AB50" s="18" t="s">
        <v>66</v>
      </c>
      <c r="AC50" s="18"/>
      <c r="AD50" s="18"/>
      <c r="AE50" s="18"/>
      <c r="AF50" s="18"/>
      <c r="AG50" s="18"/>
      <c r="AH50" s="27">
        <f>COUNTA(月11_210[[#This Row],[1]:[31]])</f>
        <v>26</v>
      </c>
    </row>
    <row r="51" spans="2:34" ht="30" customHeight="1" x14ac:dyDescent="0.25">
      <c r="B51" s="31" t="s">
        <v>117</v>
      </c>
      <c r="C51" s="18" t="s">
        <v>66</v>
      </c>
      <c r="D51" s="18" t="s">
        <v>66</v>
      </c>
      <c r="E51" s="18" t="s">
        <v>66</v>
      </c>
      <c r="F51" s="18" t="s">
        <v>66</v>
      </c>
      <c r="G51" s="18" t="s">
        <v>66</v>
      </c>
      <c r="H51" s="18" t="s">
        <v>66</v>
      </c>
      <c r="I51" s="18" t="s">
        <v>66</v>
      </c>
      <c r="J51" s="18" t="s">
        <v>66</v>
      </c>
      <c r="K51" s="18" t="s">
        <v>66</v>
      </c>
      <c r="L51" s="18" t="s">
        <v>66</v>
      </c>
      <c r="M51" s="18" t="s">
        <v>66</v>
      </c>
      <c r="N51" s="18" t="s">
        <v>66</v>
      </c>
      <c r="O51" s="18" t="s">
        <v>66</v>
      </c>
      <c r="P51" s="18" t="s">
        <v>66</v>
      </c>
      <c r="Q51" s="18" t="s">
        <v>66</v>
      </c>
      <c r="R51" s="18" t="s">
        <v>66</v>
      </c>
      <c r="S51" s="18" t="s">
        <v>66</v>
      </c>
      <c r="T51" s="18" t="s">
        <v>66</v>
      </c>
      <c r="U51" s="18" t="s">
        <v>66</v>
      </c>
      <c r="V51" s="18" t="s">
        <v>66</v>
      </c>
      <c r="W51" s="18" t="s">
        <v>66</v>
      </c>
      <c r="X51" s="18" t="s">
        <v>66</v>
      </c>
      <c r="Y51" s="18" t="s">
        <v>66</v>
      </c>
      <c r="Z51" s="18" t="s">
        <v>66</v>
      </c>
      <c r="AA51" s="18" t="s">
        <v>66</v>
      </c>
      <c r="AB51" s="18" t="s">
        <v>66</v>
      </c>
      <c r="AC51" s="18"/>
      <c r="AD51" s="18"/>
      <c r="AE51" s="18"/>
      <c r="AF51" s="18"/>
      <c r="AG51" s="18"/>
      <c r="AH51" s="27">
        <f>COUNTA(月11_210[[#This Row],[1]:[31]])</f>
        <v>26</v>
      </c>
    </row>
    <row r="52" spans="2:34" ht="30" customHeight="1" x14ac:dyDescent="0.25">
      <c r="B52" s="31" t="s">
        <v>118</v>
      </c>
      <c r="C52" s="18" t="s">
        <v>66</v>
      </c>
      <c r="D52" s="18" t="s">
        <v>66</v>
      </c>
      <c r="E52" s="18" t="s">
        <v>66</v>
      </c>
      <c r="F52" s="18" t="s">
        <v>66</v>
      </c>
      <c r="G52" s="18" t="s">
        <v>66</v>
      </c>
      <c r="H52" s="18" t="s">
        <v>66</v>
      </c>
      <c r="I52" s="18" t="s">
        <v>66</v>
      </c>
      <c r="J52" s="18" t="s">
        <v>66</v>
      </c>
      <c r="K52" s="18" t="s">
        <v>66</v>
      </c>
      <c r="L52" s="18" t="s">
        <v>66</v>
      </c>
      <c r="M52" s="18" t="s">
        <v>66</v>
      </c>
      <c r="N52" s="18" t="s">
        <v>66</v>
      </c>
      <c r="O52" s="18" t="s">
        <v>66</v>
      </c>
      <c r="P52" s="18" t="s">
        <v>66</v>
      </c>
      <c r="Q52" s="18" t="s">
        <v>66</v>
      </c>
      <c r="R52" s="18" t="s">
        <v>66</v>
      </c>
      <c r="S52" s="18" t="s">
        <v>66</v>
      </c>
      <c r="T52" s="18" t="s">
        <v>66</v>
      </c>
      <c r="U52" s="18" t="s">
        <v>66</v>
      </c>
      <c r="V52" s="18" t="s">
        <v>66</v>
      </c>
      <c r="W52" s="18" t="s">
        <v>66</v>
      </c>
      <c r="X52" s="18" t="s">
        <v>66</v>
      </c>
      <c r="Y52" s="18" t="s">
        <v>66</v>
      </c>
      <c r="Z52" s="18" t="s">
        <v>66</v>
      </c>
      <c r="AA52" s="18" t="s">
        <v>66</v>
      </c>
      <c r="AB52" s="18" t="s">
        <v>66</v>
      </c>
      <c r="AC52" s="18"/>
      <c r="AD52" s="18"/>
      <c r="AE52" s="18"/>
      <c r="AF52" s="18"/>
      <c r="AG52" s="18"/>
      <c r="AH52" s="27">
        <f>COUNTA(月11_210[[#This Row],[1]:[31]])</f>
        <v>26</v>
      </c>
    </row>
    <row r="53" spans="2:34" ht="30" customHeight="1" x14ac:dyDescent="0.25">
      <c r="B53" s="31" t="s">
        <v>144</v>
      </c>
      <c r="C53" s="18" t="s">
        <v>66</v>
      </c>
      <c r="D53" s="18" t="s">
        <v>66</v>
      </c>
      <c r="E53" s="18" t="s">
        <v>66</v>
      </c>
      <c r="F53" s="18" t="s">
        <v>66</v>
      </c>
      <c r="G53" s="18" t="s">
        <v>66</v>
      </c>
      <c r="H53" s="18" t="s">
        <v>66</v>
      </c>
      <c r="I53" s="18" t="s">
        <v>66</v>
      </c>
      <c r="J53" s="18" t="s">
        <v>66</v>
      </c>
      <c r="K53" s="18" t="s">
        <v>66</v>
      </c>
      <c r="L53" s="18" t="s">
        <v>66</v>
      </c>
      <c r="M53" s="18" t="s">
        <v>66</v>
      </c>
      <c r="N53" s="18" t="s">
        <v>66</v>
      </c>
      <c r="O53" s="18" t="s">
        <v>66</v>
      </c>
      <c r="P53" s="18" t="s">
        <v>66</v>
      </c>
      <c r="Q53" s="18" t="s">
        <v>66</v>
      </c>
      <c r="R53" s="18" t="s">
        <v>66</v>
      </c>
      <c r="S53" s="18"/>
      <c r="T53" s="18"/>
      <c r="U53" s="18"/>
      <c r="V53" s="18"/>
      <c r="W53" s="18"/>
      <c r="X53" s="18" t="s">
        <v>66</v>
      </c>
      <c r="Y53" s="18" t="s">
        <v>66</v>
      </c>
      <c r="Z53" s="18" t="s">
        <v>66</v>
      </c>
      <c r="AA53" s="18" t="s">
        <v>66</v>
      </c>
      <c r="AB53" s="18" t="s">
        <v>66</v>
      </c>
      <c r="AC53" s="18" t="s">
        <v>66</v>
      </c>
      <c r="AD53" s="18" t="s">
        <v>66</v>
      </c>
      <c r="AE53" s="18" t="s">
        <v>66</v>
      </c>
      <c r="AF53" s="18" t="s">
        <v>66</v>
      </c>
      <c r="AG53" s="18"/>
      <c r="AH53" s="27">
        <f>COUNTA(月11_210[[#This Row],[1]:[31]])</f>
        <v>25</v>
      </c>
    </row>
    <row r="54" spans="2:34" ht="30" customHeight="1" x14ac:dyDescent="0.25">
      <c r="B54" s="31" t="s">
        <v>145</v>
      </c>
      <c r="C54" s="18" t="s">
        <v>66</v>
      </c>
      <c r="D54" s="18" t="s">
        <v>66</v>
      </c>
      <c r="E54" s="18" t="s">
        <v>66</v>
      </c>
      <c r="F54" s="18" t="s">
        <v>66</v>
      </c>
      <c r="G54" s="18" t="s">
        <v>66</v>
      </c>
      <c r="H54" s="18" t="s">
        <v>66</v>
      </c>
      <c r="I54" s="18" t="s">
        <v>66</v>
      </c>
      <c r="J54" s="18" t="s">
        <v>66</v>
      </c>
      <c r="K54" s="18" t="s">
        <v>66</v>
      </c>
      <c r="L54" s="18" t="s">
        <v>66</v>
      </c>
      <c r="M54" s="18" t="s">
        <v>66</v>
      </c>
      <c r="N54" s="18" t="s">
        <v>66</v>
      </c>
      <c r="O54" s="18" t="s">
        <v>66</v>
      </c>
      <c r="P54" s="18" t="s">
        <v>66</v>
      </c>
      <c r="Q54" s="18" t="s">
        <v>66</v>
      </c>
      <c r="R54" s="18" t="s">
        <v>66</v>
      </c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 t="s">
        <v>66</v>
      </c>
      <c r="AE54" s="18" t="s">
        <v>66</v>
      </c>
      <c r="AF54" s="18" t="s">
        <v>66</v>
      </c>
      <c r="AG54" s="18" t="s">
        <v>66</v>
      </c>
      <c r="AH54" s="27">
        <f>COUNTA(月11_210[[#This Row],[1]:[31]])</f>
        <v>20</v>
      </c>
    </row>
    <row r="55" spans="2:34" ht="30" customHeight="1" x14ac:dyDescent="0.25">
      <c r="B55" s="32" t="s">
        <v>146</v>
      </c>
      <c r="C55" s="18" t="s">
        <v>66</v>
      </c>
      <c r="D55" s="18" t="s">
        <v>66</v>
      </c>
      <c r="E55" s="18" t="s">
        <v>66</v>
      </c>
      <c r="F55" s="18" t="s">
        <v>66</v>
      </c>
      <c r="G55" s="18" t="s">
        <v>66</v>
      </c>
      <c r="H55" s="18" t="s">
        <v>66</v>
      </c>
      <c r="I55" s="18" t="s">
        <v>66</v>
      </c>
      <c r="J55" s="18" t="s">
        <v>66</v>
      </c>
      <c r="K55" s="18" t="s">
        <v>66</v>
      </c>
      <c r="L55" s="18" t="s">
        <v>66</v>
      </c>
      <c r="M55" s="18" t="s">
        <v>66</v>
      </c>
      <c r="N55" s="18" t="s">
        <v>66</v>
      </c>
      <c r="O55" s="18" t="s">
        <v>66</v>
      </c>
      <c r="P55" s="18" t="s">
        <v>66</v>
      </c>
      <c r="Q55" s="18" t="s">
        <v>66</v>
      </c>
      <c r="R55" s="18" t="s">
        <v>66</v>
      </c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 t="s">
        <v>66</v>
      </c>
      <c r="AE55" s="18" t="s">
        <v>66</v>
      </c>
      <c r="AF55" s="18" t="s">
        <v>66</v>
      </c>
      <c r="AG55" s="18" t="s">
        <v>66</v>
      </c>
      <c r="AH55" s="27">
        <f>COUNTA(月11_210[[#This Row],[1]:[31]])</f>
        <v>20</v>
      </c>
    </row>
    <row r="56" spans="2:34" ht="30" customHeight="1" x14ac:dyDescent="0.25">
      <c r="B56" s="32" t="s">
        <v>147</v>
      </c>
      <c r="C56" s="18" t="s">
        <v>66</v>
      </c>
      <c r="D56" s="18" t="s">
        <v>66</v>
      </c>
      <c r="E56" s="18" t="s">
        <v>66</v>
      </c>
      <c r="F56" s="18" t="s">
        <v>66</v>
      </c>
      <c r="G56" s="18" t="s">
        <v>66</v>
      </c>
      <c r="H56" s="18" t="s">
        <v>66</v>
      </c>
      <c r="I56" s="18" t="s">
        <v>66</v>
      </c>
      <c r="J56" s="18" t="s">
        <v>66</v>
      </c>
      <c r="K56" s="18" t="s">
        <v>66</v>
      </c>
      <c r="L56" s="18" t="s">
        <v>66</v>
      </c>
      <c r="M56" s="18" t="s">
        <v>66</v>
      </c>
      <c r="N56" s="18" t="s">
        <v>66</v>
      </c>
      <c r="O56" s="18" t="s">
        <v>66</v>
      </c>
      <c r="P56" s="18" t="s">
        <v>66</v>
      </c>
      <c r="Q56" s="18" t="s">
        <v>66</v>
      </c>
      <c r="R56" s="18" t="s">
        <v>66</v>
      </c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 t="s">
        <v>66</v>
      </c>
      <c r="AE56" s="18" t="s">
        <v>66</v>
      </c>
      <c r="AF56" s="18" t="s">
        <v>66</v>
      </c>
      <c r="AG56" s="18" t="s">
        <v>66</v>
      </c>
      <c r="AH56" s="27">
        <f>COUNTA(月11_210[[#This Row],[1]:[31]])</f>
        <v>20</v>
      </c>
    </row>
    <row r="57" spans="2:34" ht="30" customHeight="1" x14ac:dyDescent="0.25">
      <c r="B57" s="32" t="s">
        <v>148</v>
      </c>
      <c r="C57" s="18" t="s">
        <v>66</v>
      </c>
      <c r="D57" s="18" t="s">
        <v>66</v>
      </c>
      <c r="E57" s="18" t="s">
        <v>66</v>
      </c>
      <c r="F57" s="18" t="s">
        <v>66</v>
      </c>
      <c r="G57" s="18" t="s">
        <v>66</v>
      </c>
      <c r="H57" s="18" t="s">
        <v>66</v>
      </c>
      <c r="I57" s="18" t="s">
        <v>66</v>
      </c>
      <c r="J57" s="18" t="s">
        <v>66</v>
      </c>
      <c r="K57" s="18" t="s">
        <v>66</v>
      </c>
      <c r="L57" s="18" t="s">
        <v>66</v>
      </c>
      <c r="M57" s="18" t="s">
        <v>66</v>
      </c>
      <c r="N57" s="18" t="s">
        <v>66</v>
      </c>
      <c r="O57" s="18" t="s">
        <v>66</v>
      </c>
      <c r="P57" s="18" t="s">
        <v>66</v>
      </c>
      <c r="Q57" s="18" t="s">
        <v>66</v>
      </c>
      <c r="R57" s="18" t="s">
        <v>66</v>
      </c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27">
        <f>COUNTA(月11_210[[#This Row],[1]:[31]])</f>
        <v>16</v>
      </c>
    </row>
    <row r="58" spans="2:34" ht="30" customHeight="1" x14ac:dyDescent="0.25">
      <c r="B58" s="32" t="s">
        <v>149</v>
      </c>
      <c r="C58" s="18" t="s">
        <v>66</v>
      </c>
      <c r="D58" s="18" t="s">
        <v>66</v>
      </c>
      <c r="E58" s="18" t="s">
        <v>66</v>
      </c>
      <c r="F58" s="18" t="s">
        <v>66</v>
      </c>
      <c r="G58" s="18" t="s">
        <v>66</v>
      </c>
      <c r="H58" s="18" t="s">
        <v>66</v>
      </c>
      <c r="I58" s="18" t="s">
        <v>66</v>
      </c>
      <c r="J58" s="18" t="s">
        <v>66</v>
      </c>
      <c r="K58" s="18" t="s">
        <v>66</v>
      </c>
      <c r="L58" s="18" t="s">
        <v>66</v>
      </c>
      <c r="M58" s="18" t="s">
        <v>66</v>
      </c>
      <c r="N58" s="18" t="s">
        <v>66</v>
      </c>
      <c r="O58" s="18" t="s">
        <v>66</v>
      </c>
      <c r="P58" s="18" t="s">
        <v>66</v>
      </c>
      <c r="Q58" s="18" t="s">
        <v>66</v>
      </c>
      <c r="R58" s="18" t="s">
        <v>66</v>
      </c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27">
        <f>COUNTA(月11_210[[#This Row],[1]:[31]])</f>
        <v>16</v>
      </c>
    </row>
    <row r="59" spans="2:34" ht="30" customHeight="1" x14ac:dyDescent="0.25">
      <c r="B59" s="32" t="s">
        <v>150</v>
      </c>
      <c r="C59" s="18" t="s">
        <v>66</v>
      </c>
      <c r="D59" s="18" t="s">
        <v>66</v>
      </c>
      <c r="E59" s="18" t="s">
        <v>66</v>
      </c>
      <c r="F59" s="18" t="s">
        <v>66</v>
      </c>
      <c r="G59" s="18" t="s">
        <v>66</v>
      </c>
      <c r="H59" s="18" t="s">
        <v>66</v>
      </c>
      <c r="I59" s="18" t="s">
        <v>66</v>
      </c>
      <c r="J59" s="18" t="s">
        <v>66</v>
      </c>
      <c r="K59" s="18" t="s">
        <v>66</v>
      </c>
      <c r="L59" s="18" t="s">
        <v>66</v>
      </c>
      <c r="M59" s="18" t="s">
        <v>66</v>
      </c>
      <c r="N59" s="18" t="s">
        <v>66</v>
      </c>
      <c r="O59" s="18" t="s">
        <v>66</v>
      </c>
      <c r="P59" s="18" t="s">
        <v>66</v>
      </c>
      <c r="Q59" s="18" t="s">
        <v>66</v>
      </c>
      <c r="R59" s="18" t="s">
        <v>66</v>
      </c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27">
        <f>COUNTA(月11_210[[#This Row],[1]:[31]])</f>
        <v>16</v>
      </c>
    </row>
    <row r="60" spans="2:34" ht="30" customHeight="1" x14ac:dyDescent="0.25">
      <c r="B60" s="32" t="s">
        <v>151</v>
      </c>
      <c r="C60" s="18" t="s">
        <v>66</v>
      </c>
      <c r="D60" s="18" t="s">
        <v>66</v>
      </c>
      <c r="E60" s="18" t="s">
        <v>66</v>
      </c>
      <c r="F60" s="18" t="s">
        <v>66</v>
      </c>
      <c r="G60" s="18" t="s">
        <v>66</v>
      </c>
      <c r="H60" s="18" t="s">
        <v>66</v>
      </c>
      <c r="I60" s="18" t="s">
        <v>66</v>
      </c>
      <c r="J60" s="18" t="s">
        <v>66</v>
      </c>
      <c r="K60" s="18" t="s">
        <v>66</v>
      </c>
      <c r="L60" s="18" t="s">
        <v>66</v>
      </c>
      <c r="M60" s="18" t="s">
        <v>66</v>
      </c>
      <c r="N60" s="18" t="s">
        <v>66</v>
      </c>
      <c r="O60" s="18" t="s">
        <v>66</v>
      </c>
      <c r="P60" s="18" t="s">
        <v>66</v>
      </c>
      <c r="Q60" s="18" t="s">
        <v>66</v>
      </c>
      <c r="R60" s="18" t="s">
        <v>66</v>
      </c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27">
        <f>COUNTA(月11_210[[#This Row],[1]:[31]])</f>
        <v>16</v>
      </c>
    </row>
    <row r="61" spans="2:34" ht="30" customHeight="1" x14ac:dyDescent="0.25">
      <c r="B61" s="32" t="s">
        <v>152</v>
      </c>
      <c r="C61" s="18" t="s">
        <v>66</v>
      </c>
      <c r="D61" s="18" t="s">
        <v>66</v>
      </c>
      <c r="E61" s="18" t="s">
        <v>66</v>
      </c>
      <c r="F61" s="18" t="s">
        <v>66</v>
      </c>
      <c r="G61" s="18" t="s">
        <v>66</v>
      </c>
      <c r="H61" s="18" t="s">
        <v>66</v>
      </c>
      <c r="I61" s="18" t="s">
        <v>66</v>
      </c>
      <c r="J61" s="18" t="s">
        <v>66</v>
      </c>
      <c r="K61" s="18" t="s">
        <v>66</v>
      </c>
      <c r="L61" s="18" t="s">
        <v>66</v>
      </c>
      <c r="M61" s="18" t="s">
        <v>66</v>
      </c>
      <c r="N61" s="18" t="s">
        <v>66</v>
      </c>
      <c r="O61" s="18" t="s">
        <v>66</v>
      </c>
      <c r="P61" s="18" t="s">
        <v>66</v>
      </c>
      <c r="Q61" s="18" t="s">
        <v>66</v>
      </c>
      <c r="R61" s="18" t="s">
        <v>66</v>
      </c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27">
        <f>COUNTA(月11_210[[#This Row],[1]:[31]])</f>
        <v>16</v>
      </c>
    </row>
    <row r="62" spans="2:34" ht="30" customHeight="1" x14ac:dyDescent="0.25">
      <c r="B62" s="32" t="s">
        <v>153</v>
      </c>
      <c r="C62" s="18" t="s">
        <v>66</v>
      </c>
      <c r="D62" s="18" t="s">
        <v>66</v>
      </c>
      <c r="E62" s="18" t="s">
        <v>66</v>
      </c>
      <c r="F62" s="18" t="s">
        <v>66</v>
      </c>
      <c r="G62" s="18" t="s">
        <v>66</v>
      </c>
      <c r="H62" s="18" t="s">
        <v>66</v>
      </c>
      <c r="I62" s="18" t="s">
        <v>66</v>
      </c>
      <c r="J62" s="18" t="s">
        <v>66</v>
      </c>
      <c r="K62" s="18" t="s">
        <v>66</v>
      </c>
      <c r="L62" s="18" t="s">
        <v>66</v>
      </c>
      <c r="M62" s="18" t="s">
        <v>66</v>
      </c>
      <c r="N62" s="18" t="s">
        <v>66</v>
      </c>
      <c r="O62" s="18" t="s">
        <v>66</v>
      </c>
      <c r="P62" s="18" t="s">
        <v>66</v>
      </c>
      <c r="Q62" s="18" t="s">
        <v>66</v>
      </c>
      <c r="R62" s="18" t="s">
        <v>66</v>
      </c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27">
        <f>COUNTA(月11_210[[#This Row],[1]:[31]])</f>
        <v>16</v>
      </c>
    </row>
    <row r="63" spans="2:34" ht="30" customHeight="1" x14ac:dyDescent="0.25">
      <c r="B63" s="32" t="s">
        <v>154</v>
      </c>
      <c r="C63" s="18" t="s">
        <v>66</v>
      </c>
      <c r="D63" s="18" t="s">
        <v>66</v>
      </c>
      <c r="E63" s="18" t="s">
        <v>66</v>
      </c>
      <c r="F63" s="18" t="s">
        <v>66</v>
      </c>
      <c r="G63" s="18" t="s">
        <v>66</v>
      </c>
      <c r="H63" s="18" t="s">
        <v>66</v>
      </c>
      <c r="I63" s="18" t="s">
        <v>66</v>
      </c>
      <c r="J63" s="18" t="s">
        <v>66</v>
      </c>
      <c r="K63" s="18" t="s">
        <v>66</v>
      </c>
      <c r="L63" s="18" t="s">
        <v>66</v>
      </c>
      <c r="M63" s="18" t="s">
        <v>66</v>
      </c>
      <c r="N63" s="18" t="s">
        <v>66</v>
      </c>
      <c r="O63" s="18" t="s">
        <v>66</v>
      </c>
      <c r="P63" s="18" t="s">
        <v>66</v>
      </c>
      <c r="Q63" s="18" t="s">
        <v>66</v>
      </c>
      <c r="R63" s="18" t="s">
        <v>66</v>
      </c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27">
        <f>COUNTA(月11_210[[#This Row],[1]:[31]])</f>
        <v>16</v>
      </c>
    </row>
    <row r="64" spans="2:34" ht="30" customHeight="1" x14ac:dyDescent="0.25">
      <c r="B64" s="32" t="s">
        <v>155</v>
      </c>
      <c r="C64" s="18" t="s">
        <v>66</v>
      </c>
      <c r="D64" s="18" t="s">
        <v>66</v>
      </c>
      <c r="E64" s="18" t="s">
        <v>66</v>
      </c>
      <c r="F64" s="18" t="s">
        <v>66</v>
      </c>
      <c r="G64" s="18" t="s">
        <v>66</v>
      </c>
      <c r="H64" s="18" t="s">
        <v>66</v>
      </c>
      <c r="I64" s="18" t="s">
        <v>66</v>
      </c>
      <c r="J64" s="18" t="s">
        <v>66</v>
      </c>
      <c r="K64" s="18" t="s">
        <v>66</v>
      </c>
      <c r="L64" s="18" t="s">
        <v>66</v>
      </c>
      <c r="M64" s="18" t="s">
        <v>66</v>
      </c>
      <c r="N64" s="18" t="s">
        <v>66</v>
      </c>
      <c r="O64" s="18" t="s">
        <v>66</v>
      </c>
      <c r="P64" s="18" t="s">
        <v>66</v>
      </c>
      <c r="Q64" s="18" t="s">
        <v>66</v>
      </c>
      <c r="R64" s="18" t="s">
        <v>66</v>
      </c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27">
        <f>COUNTA(月11_210[[#This Row],[1]:[31]])</f>
        <v>16</v>
      </c>
    </row>
    <row r="65" spans="2:34" ht="30" customHeight="1" x14ac:dyDescent="0.25">
      <c r="B65" s="32" t="s">
        <v>156</v>
      </c>
      <c r="C65" s="18" t="s">
        <v>66</v>
      </c>
      <c r="D65" s="18" t="s">
        <v>66</v>
      </c>
      <c r="E65" s="18" t="s">
        <v>66</v>
      </c>
      <c r="F65" s="18" t="s">
        <v>66</v>
      </c>
      <c r="G65" s="18" t="s">
        <v>66</v>
      </c>
      <c r="H65" s="18" t="s">
        <v>66</v>
      </c>
      <c r="I65" s="18" t="s">
        <v>66</v>
      </c>
      <c r="J65" s="18" t="s">
        <v>66</v>
      </c>
      <c r="K65" s="18" t="s">
        <v>66</v>
      </c>
      <c r="L65" s="18" t="s">
        <v>66</v>
      </c>
      <c r="M65" s="18" t="s">
        <v>66</v>
      </c>
      <c r="N65" s="18" t="s">
        <v>66</v>
      </c>
      <c r="O65" s="18" t="s">
        <v>66</v>
      </c>
      <c r="P65" s="18" t="s">
        <v>66</v>
      </c>
      <c r="Q65" s="18" t="s">
        <v>66</v>
      </c>
      <c r="R65" s="18" t="s">
        <v>66</v>
      </c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27">
        <f>COUNTA(月11_210[[#This Row],[1]:[31]])</f>
        <v>16</v>
      </c>
    </row>
    <row r="66" spans="2:34" ht="30" customHeight="1" x14ac:dyDescent="0.25">
      <c r="B66" s="21" t="str">
        <f>MonthName&amp;"集計"</f>
        <v>7月集計</v>
      </c>
      <c r="C66" s="22">
        <f>SUBTOTAL(103,月11_210[1])</f>
        <v>37</v>
      </c>
      <c r="D66" s="22">
        <f>SUBTOTAL(103,月11_210[2])</f>
        <v>37</v>
      </c>
      <c r="E66" s="22">
        <f>SUBTOTAL(103,月11_210[3])</f>
        <v>37</v>
      </c>
      <c r="F66" s="22">
        <f>SUBTOTAL(103,月11_210[4])</f>
        <v>37</v>
      </c>
      <c r="G66" s="22">
        <f>SUBTOTAL(103,月11_210[5])</f>
        <v>37</v>
      </c>
      <c r="H66" s="22">
        <f>SUBTOTAL(103,月11_210[6])</f>
        <v>37</v>
      </c>
      <c r="I66" s="22">
        <f>SUBTOTAL(103,月11_210[7])</f>
        <v>37</v>
      </c>
      <c r="J66" s="22">
        <f>SUBTOTAL(103,月11_210[8])</f>
        <v>39</v>
      </c>
      <c r="K66" s="22">
        <f>SUBTOTAL(103,月11_210[9])</f>
        <v>39</v>
      </c>
      <c r="L66" s="22">
        <f>SUBTOTAL(103,月11_210[10])</f>
        <v>39</v>
      </c>
      <c r="M66" s="22">
        <f>SUBTOTAL(103,月11_210[11])</f>
        <v>39</v>
      </c>
      <c r="N66" s="22">
        <f>SUBTOTAL(103,月11_210[12])</f>
        <v>49</v>
      </c>
      <c r="O66" s="22">
        <f>SUBTOTAL(103,月11_210[13])</f>
        <v>49</v>
      </c>
      <c r="P66" s="22">
        <f>SUBTOTAL(103,月11_210[14])</f>
        <v>49</v>
      </c>
      <c r="Q66" s="22">
        <f>SUBTOTAL(103,月11_210[15])</f>
        <v>49</v>
      </c>
      <c r="R66" s="22">
        <f>SUBTOTAL(103,月11_210[16])</f>
        <v>49</v>
      </c>
      <c r="S66" s="22">
        <f>SUBTOTAL(103,月11_210[17])</f>
        <v>23</v>
      </c>
      <c r="T66" s="22">
        <f>SUBTOTAL(103,月11_210[18])</f>
        <v>23</v>
      </c>
      <c r="U66" s="22">
        <f>SUBTOTAL(103,月11_210[19])</f>
        <v>23</v>
      </c>
      <c r="V66" s="22">
        <f>SUBTOTAL(103,月11_210[20])</f>
        <v>23</v>
      </c>
      <c r="W66" s="22">
        <f>SUBTOTAL(103,月11_210[21])</f>
        <v>23</v>
      </c>
      <c r="X66" s="22">
        <f>SUBTOTAL(103,月11_210[22])</f>
        <v>25</v>
      </c>
      <c r="Y66" s="22">
        <f>SUBTOTAL(103,月11_210[23])</f>
        <v>25</v>
      </c>
      <c r="Z66" s="22">
        <f>SUBTOTAL(103,月11_210[24])</f>
        <v>25</v>
      </c>
      <c r="AA66" s="22">
        <f>SUBTOTAL(103,月11_210[25])</f>
        <v>25</v>
      </c>
      <c r="AB66" s="22">
        <f>SUBTOTAL(103,月11_210[26])</f>
        <v>25</v>
      </c>
      <c r="AC66" s="22">
        <f>SUBTOTAL(103,月11_210[27])</f>
        <v>14</v>
      </c>
      <c r="AD66" s="22">
        <f>SUBTOTAL(103,月11_210[28])</f>
        <v>19</v>
      </c>
      <c r="AE66" s="22">
        <f>SUBTOTAL(103,月11_210[29])</f>
        <v>19</v>
      </c>
      <c r="AF66" s="22">
        <f>SUBTOTAL(109,月11_210[30])</f>
        <v>0</v>
      </c>
      <c r="AG66" s="22">
        <f>SUBTOTAL(109,月11_210[31])</f>
        <v>0</v>
      </c>
      <c r="AH66" s="22">
        <f>SUBTOTAL(109,月11_210[合計日数])</f>
        <v>976</v>
      </c>
    </row>
  </sheetData>
  <mergeCells count="6">
    <mergeCell ref="C6:AG6"/>
    <mergeCell ref="D4:F4"/>
    <mergeCell ref="H4:J4"/>
    <mergeCell ref="L4:M4"/>
    <mergeCell ref="O4:Q4"/>
    <mergeCell ref="S4:U4"/>
  </mergeCells>
  <phoneticPr fontId="10"/>
  <conditionalFormatting sqref="C41:L65">
    <cfRule type="expression" dxfId="259" priority="42" stopIfTrue="1">
      <formula>C41=KeyVacation</formula>
    </cfRule>
    <cfRule type="expression" dxfId="258" priority="41" stopIfTrue="1">
      <formula>C41=KeyPersonal</formula>
    </cfRule>
    <cfRule type="expression" dxfId="257" priority="40" stopIfTrue="1">
      <formula>C41=KeySick</formula>
    </cfRule>
    <cfRule type="expression" dxfId="256" priority="39" stopIfTrue="1">
      <formula>C41=KeyCustom1</formula>
    </cfRule>
    <cfRule type="expression" dxfId="255" priority="38" stopIfTrue="1">
      <formula>C41=KeyCustom2</formula>
    </cfRule>
    <cfRule type="expression" priority="37" stopIfTrue="1">
      <formula>C41=""</formula>
    </cfRule>
  </conditionalFormatting>
  <conditionalFormatting sqref="C9:AB19 C20:AG40 S41:AB52 N41:R65">
    <cfRule type="expression" priority="61" stopIfTrue="1">
      <formula>C9=""</formula>
    </cfRule>
    <cfRule type="expression" dxfId="254" priority="62" stopIfTrue="1">
      <formula>C9=KeyCustom2</formula>
    </cfRule>
    <cfRule type="expression" dxfId="253" priority="63" stopIfTrue="1">
      <formula>C9=KeyCustom1</formula>
    </cfRule>
    <cfRule type="expression" dxfId="252" priority="64" stopIfTrue="1">
      <formula>C9=KeySick</formula>
    </cfRule>
    <cfRule type="expression" dxfId="251" priority="65" stopIfTrue="1">
      <formula>C9=KeyPersonal</formula>
    </cfRule>
    <cfRule type="expression" dxfId="250" priority="66" stopIfTrue="1">
      <formula>C9=KeyVacation</formula>
    </cfRule>
  </conditionalFormatting>
  <conditionalFormatting sqref="M41:M65">
    <cfRule type="expression" dxfId="249" priority="35" stopIfTrue="1">
      <formula>M41=KeyPersonal</formula>
    </cfRule>
    <cfRule type="expression" dxfId="248" priority="34" stopIfTrue="1">
      <formula>M41=KeySick</formula>
    </cfRule>
    <cfRule type="expression" dxfId="247" priority="33" stopIfTrue="1">
      <formula>M41=KeyCustom1</formula>
    </cfRule>
    <cfRule type="expression" dxfId="246" priority="36" stopIfTrue="1">
      <formula>M41=KeyVacation</formula>
    </cfRule>
    <cfRule type="expression" dxfId="245" priority="32" stopIfTrue="1">
      <formula>M41=KeyCustom2</formula>
    </cfRule>
    <cfRule type="expression" priority="31" stopIfTrue="1">
      <formula>M41=""</formula>
    </cfRule>
  </conditionalFormatting>
  <conditionalFormatting sqref="X55:AC56 X57:AG64">
    <cfRule type="expression" dxfId="244" priority="59" stopIfTrue="1">
      <formula>X55=KeyPersonal</formula>
    </cfRule>
    <cfRule type="expression" dxfId="243" priority="58" stopIfTrue="1">
      <formula>X55=KeySick</formula>
    </cfRule>
    <cfRule type="expression" dxfId="242" priority="57" stopIfTrue="1">
      <formula>X55=KeyCustom1</formula>
    </cfRule>
    <cfRule type="expression" dxfId="241" priority="56" stopIfTrue="1">
      <formula>X55=KeyCustom2</formula>
    </cfRule>
    <cfRule type="expression" priority="55" stopIfTrue="1">
      <formula>X55=""</formula>
    </cfRule>
    <cfRule type="expression" dxfId="240" priority="60" stopIfTrue="1">
      <formula>X55=KeyVacation</formula>
    </cfRule>
  </conditionalFormatting>
  <conditionalFormatting sqref="X53:AF53 AD54:AG56">
    <cfRule type="expression" priority="1" stopIfTrue="1">
      <formula>X53=""</formula>
    </cfRule>
    <cfRule type="expression" dxfId="239" priority="2" stopIfTrue="1">
      <formula>X53=KeyCustom2</formula>
    </cfRule>
    <cfRule type="expression" dxfId="238" priority="3" stopIfTrue="1">
      <formula>X53=KeyCustom1</formula>
    </cfRule>
    <cfRule type="expression" dxfId="237" priority="4" stopIfTrue="1">
      <formula>X53=KeySick</formula>
    </cfRule>
    <cfRule type="expression" dxfId="236" priority="5" stopIfTrue="1">
      <formula>X53=KeyPersonal</formula>
    </cfRule>
    <cfRule type="expression" dxfId="235" priority="6" stopIfTrue="1">
      <formula>X53=KeyVacation</formula>
    </cfRule>
  </conditionalFormatting>
  <conditionalFormatting sqref="AC9:AF19">
    <cfRule type="expression" priority="25" stopIfTrue="1">
      <formula>AC9=""</formula>
    </cfRule>
    <cfRule type="expression" dxfId="234" priority="26" stopIfTrue="1">
      <formula>AC9=KeyCustom2</formula>
    </cfRule>
    <cfRule type="expression" dxfId="233" priority="27" stopIfTrue="1">
      <formula>AC9=KeyCustom1</formula>
    </cfRule>
    <cfRule type="expression" dxfId="232" priority="28" stopIfTrue="1">
      <formula>AC9=KeySick</formula>
    </cfRule>
    <cfRule type="expression" dxfId="231" priority="29" stopIfTrue="1">
      <formula>AC9=KeyPersonal</formula>
    </cfRule>
    <cfRule type="expression" dxfId="230" priority="30" stopIfTrue="1">
      <formula>AC9=KeyVacation</formula>
    </cfRule>
  </conditionalFormatting>
  <conditionalFormatting sqref="AC41:AF52">
    <cfRule type="expression" dxfId="229" priority="18" stopIfTrue="1">
      <formula>AC41=KeyVacation</formula>
    </cfRule>
    <cfRule type="expression" dxfId="228" priority="17" stopIfTrue="1">
      <formula>AC41=KeyPersonal</formula>
    </cfRule>
    <cfRule type="expression" dxfId="227" priority="16" stopIfTrue="1">
      <formula>AC41=KeySick</formula>
    </cfRule>
    <cfRule type="expression" dxfId="226" priority="14" stopIfTrue="1">
      <formula>AC41=KeyCustom2</formula>
    </cfRule>
    <cfRule type="expression" priority="13" stopIfTrue="1">
      <formula>AC41=""</formula>
    </cfRule>
    <cfRule type="expression" dxfId="225" priority="15" stopIfTrue="1">
      <formula>AC41=KeyCustom1</formula>
    </cfRule>
  </conditionalFormatting>
  <conditionalFormatting sqref="AG9:AG19">
    <cfRule type="expression" dxfId="224" priority="24" stopIfTrue="1">
      <formula>AG9=KeyVacation</formula>
    </cfRule>
    <cfRule type="expression" dxfId="223" priority="23" stopIfTrue="1">
      <formula>AG9=KeyPersonal</formula>
    </cfRule>
    <cfRule type="expression" dxfId="222" priority="21" stopIfTrue="1">
      <formula>AG9=KeyCustom1</formula>
    </cfRule>
    <cfRule type="expression" dxfId="221" priority="20" stopIfTrue="1">
      <formula>AG9=KeyCustom2</formula>
    </cfRule>
    <cfRule type="expression" priority="19" stopIfTrue="1">
      <formula>AG9=""</formula>
    </cfRule>
    <cfRule type="expression" dxfId="220" priority="22" stopIfTrue="1">
      <formula>AG9=KeySick</formula>
    </cfRule>
  </conditionalFormatting>
  <conditionalFormatting sqref="AG41:AG53">
    <cfRule type="expression" dxfId="219" priority="8" stopIfTrue="1">
      <formula>AG41=KeyCustom2</formula>
    </cfRule>
    <cfRule type="expression" dxfId="218" priority="12" stopIfTrue="1">
      <formula>AG41=KeyVacation</formula>
    </cfRule>
    <cfRule type="expression" dxfId="217" priority="11" stopIfTrue="1">
      <formula>AG41=KeyPersonal</formula>
    </cfRule>
    <cfRule type="expression" dxfId="216" priority="10" stopIfTrue="1">
      <formula>AG41=KeySick</formula>
    </cfRule>
    <cfRule type="expression" dxfId="215" priority="9" stopIfTrue="1">
      <formula>AG41=KeyCustom1</formula>
    </cfRule>
    <cfRule type="expression" priority="7" stopIfTrue="1">
      <formula>AG41=""</formula>
    </cfRule>
  </conditionalFormatting>
  <conditionalFormatting sqref="AH9:AH41 AH43:AH52">
    <cfRule type="dataBar" priority="68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{E431138A-2127-4348-AE9B-54FEF0F98C8B}</x14:id>
        </ext>
      </extLst>
    </cfRule>
  </conditionalFormatting>
  <conditionalFormatting sqref="AH42">
    <cfRule type="dataBar" priority="67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{526FCEB6-3D57-436F-9252-F13953C9E5DF}</x14:id>
        </ext>
      </extLst>
    </cfRule>
  </conditionalFormatting>
  <dataValidations count="15">
    <dataValidation allowBlank="1" showInputMessage="1" showErrorMessage="1" prompt="この行の月の日付は、自動的に生成されます。従業員の欠勤と欠勤の種類を月の各日付の各列に入力します。空白は欠勤でないことを示します" sqref="C8" xr:uid="{0F7A433E-6773-4E9C-BB71-43C200CF1696}"/>
    <dataValidation allowBlank="1" showInputMessage="1" showErrorMessage="1" prompt="このセルには、この欠勤管理の月の名前が入ります。テーブルの最後のセルには、この月の欠勤日数の合計が表示されます。テーブルの列 B で従業員名を選択します" sqref="B2" xr:uid="{B27EC405-D237-414D-BD46-3CAB42D8FFD4}"/>
    <dataValidation allowBlank="1" showInputMessage="1" showErrorMessage="1" prompt="この行には、テーブルで使用するキーが定義されています。セル C4 は休暇、G4 は私用、K4 は病欠です。セル N4 と R4 はカスタマイズ可能です" sqref="B4" xr:uid="{5B9AE579-14A6-43EF-BD07-91FB23E80E53}"/>
    <dataValidation allowBlank="1" showInputMessage="1" showErrorMessage="1" prompt="左側にカスタム キーを表すラベルを入力します" sqref="O4:Q4 S4:U4" xr:uid="{B40F4982-6F21-4FC5-991A-B2F2E8836153}"/>
    <dataValidation allowBlank="1" showErrorMessage="1" prompt="右側に文字を入力してラベルをカスタマイズし、別のキー項目を追加します" sqref="R4 N4" xr:uid="{5F0FB028-DE06-44E0-85C8-1F134A9047A9}"/>
    <dataValidation allowBlank="1" showErrorMessage="1" prompt="文字 &quot;S&quot; は病欠を表します" sqref="K4" xr:uid="{F86FFED3-DDDF-4D79-AAC3-6FFC0497FCD2}"/>
    <dataValidation allowBlank="1" showErrorMessage="1" prompt="文字 &quot;P&quot; は私用による欠勤を表します" sqref="G4" xr:uid="{4A15D8C0-C46E-4CEA-BDBC-2D6E6FC92278}"/>
    <dataValidation allowBlank="1" showErrorMessage="1" prompt="文字 &quot;V&quot; は休暇のための欠勤を表します" sqref="C4" xr:uid="{AB56D858-DFA7-4862-8B4C-20FD33A8F8A0}"/>
    <dataValidation allowBlank="1" showInputMessage="1" showErrorMessage="1" prompt="自動的に更新されるタイトルが、このセルの内容です。タイトルを変更するには、1 月のワークシートの B1 を更新します" sqref="B2" xr:uid="{57503684-2F93-495B-8EBA-62BD4F5E871B}"/>
    <dataValidation errorStyle="warning" allowBlank="1" showInputMessage="1" showErrorMessage="1" error="リストから名前を選択します。[キャンセル] を選択し、Alt キーを押しながら下方向キーを押してから、Enter キーを押して名前を選択します" prompt="従業員名ワークシートに従業員の名前を入力し、この列のリストから名前を選びます。Alt キーを押しながら下矢印キーを押して、Enter キーを押して名前を選択します" sqref="B8" xr:uid="{DBCDE878-B768-40B4-BE70-A103B5D0A2E2}"/>
    <dataValidation allowBlank="1" showInputMessage="1" showErrorMessage="1" prompt="このワークシートでは 11 月の欠勤を管理します" sqref="A1" xr:uid="{CD049DE8-271A-4847-8D5B-4DC8998D755B}"/>
    <dataValidation allowBlank="1" showInputMessage="1" showErrorMessage="1" prompt="この列で、従業員の今月の欠勤日数の合計を自動的に計算します" sqref="AH8" xr:uid="{242CC55B-7468-4602-818E-C2961A512049}"/>
    <dataValidation allowBlank="1" showInputMessage="1" showErrorMessage="1" prompt="1 月のワークシートに入力した年に基づいて自動的に更新される年" sqref="AH6" xr:uid="{872C5B80-A563-45EA-8834-FB2A8E4D6CD9}"/>
    <dataValidation allowBlank="1" showInputMessage="1" showErrorMessage="1" prompt="この行の曜日は、AH4 の年に従い当月に応じて自動的に更新されます。月の各日付は、従業員の欠勤と欠勤の種類を記録するための列です" sqref="C7" xr:uid="{35012E14-BB3E-40B0-AA66-12C688EA9145}"/>
    <dataValidation allowBlank="1" showInputMessage="1" showErrorMessage="1" prompt="このセルには、ワークシートのタイトルが入ります。" sqref="B1" xr:uid="{DE46BFBC-7888-49CF-A988-9D18C4DC981D}"/>
  </dataValidations>
  <pageMargins left="0.7" right="0.7" top="0.75" bottom="0.75" header="0.3" footer="0.3"/>
  <pageSetup paperSize="9" fitToHeight="0" orientation="portrait" verticalDpi="429496729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31138A-2127-4348-AE9B-54FEF0F98C8B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AH9:AH41 AH43:AH52</xm:sqref>
        </x14:conditionalFormatting>
        <x14:conditionalFormatting xmlns:xm="http://schemas.microsoft.com/office/excel/2006/main">
          <x14:cfRule type="dataBar" id="{526FCEB6-3D57-436F-9252-F13953C9E5DF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730F29-0B28-4FF9-9C20-C76FCAAF9BBB}">
          <x14:formula1>
            <xm:f>従業員名!$B$4:$B$60</xm:f>
          </x14:formula1>
          <xm:sqref>B9:B54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B8C3D-1768-4C5F-9B17-594C869EC671}">
  <sheetPr>
    <tabColor theme="7"/>
  </sheetPr>
  <dimension ref="B1:AH66"/>
  <sheetViews>
    <sheetView showGridLines="0" tabSelected="1" topLeftCell="N55" zoomScale="85" zoomScaleNormal="85" workbookViewId="0">
      <selection activeCell="AC63" sqref="AC63"/>
    </sheetView>
  </sheetViews>
  <sheetFormatPr defaultColWidth="8.77734375" defaultRowHeight="30" customHeight="1" x14ac:dyDescent="0.25"/>
  <cols>
    <col min="1" max="1" width="2.88671875" customWidth="1"/>
    <col min="2" max="2" width="25.77734375" customWidth="1"/>
    <col min="3" max="33" width="4.77734375" customWidth="1"/>
    <col min="34" max="34" width="13.44140625" customWidth="1"/>
    <col min="35" max="35" width="2.88671875" customWidth="1"/>
  </cols>
  <sheetData>
    <row r="1" spans="2:34" ht="26.45" customHeight="1" x14ac:dyDescent="0.35">
      <c r="B1" s="2" t="s">
        <v>0</v>
      </c>
    </row>
    <row r="2" spans="2:34" ht="48.6" customHeight="1" x14ac:dyDescent="0.25">
      <c r="B2" s="28" t="s">
        <v>162</v>
      </c>
    </row>
    <row r="3" spans="2:34" ht="8.4499999999999993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2:34" ht="30" customHeight="1" x14ac:dyDescent="0.25">
      <c r="B4" s="8" t="s">
        <v>2</v>
      </c>
      <c r="C4" s="9" t="s">
        <v>3</v>
      </c>
      <c r="D4" s="37" t="s">
        <v>4</v>
      </c>
      <c r="E4" s="37"/>
      <c r="F4" s="37"/>
      <c r="G4" s="10" t="s">
        <v>5</v>
      </c>
      <c r="H4" s="37" t="s">
        <v>6</v>
      </c>
      <c r="I4" s="37"/>
      <c r="J4" s="37"/>
      <c r="K4" s="11"/>
      <c r="L4" s="37"/>
      <c r="M4" s="37"/>
      <c r="N4" s="12"/>
      <c r="O4" s="37" t="s">
        <v>7</v>
      </c>
      <c r="P4" s="37"/>
      <c r="Q4" s="37"/>
      <c r="R4" s="13"/>
      <c r="S4" s="37" t="s">
        <v>8</v>
      </c>
      <c r="T4" s="37"/>
      <c r="U4" s="37"/>
    </row>
    <row r="5" spans="2:34" ht="8.4499999999999993" customHeight="1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2:34" ht="15" customHeight="1" x14ac:dyDescent="0.25">
      <c r="B6" s="1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15">
        <v>2025</v>
      </c>
    </row>
    <row r="7" spans="2:34" ht="30" customHeight="1" x14ac:dyDescent="0.25">
      <c r="B7" s="15"/>
      <c r="C7" s="16" t="s">
        <v>163</v>
      </c>
      <c r="D7" s="16" t="s">
        <v>141</v>
      </c>
      <c r="E7" s="16" t="s">
        <v>142</v>
      </c>
      <c r="F7" s="16" t="s">
        <v>143</v>
      </c>
      <c r="G7" s="16" t="s">
        <v>137</v>
      </c>
      <c r="H7" s="16" t="s">
        <v>138</v>
      </c>
      <c r="I7" s="16" t="s">
        <v>139</v>
      </c>
      <c r="J7" s="16" t="s">
        <v>140</v>
      </c>
      <c r="K7" s="16" t="s">
        <v>141</v>
      </c>
      <c r="L7" s="16" t="s">
        <v>142</v>
      </c>
      <c r="M7" s="16" t="s">
        <v>143</v>
      </c>
      <c r="N7" s="16" t="s">
        <v>137</v>
      </c>
      <c r="O7" s="16" t="s">
        <v>138</v>
      </c>
      <c r="P7" s="16" t="s">
        <v>139</v>
      </c>
      <c r="Q7" s="16" t="s">
        <v>140</v>
      </c>
      <c r="R7" s="16" t="s">
        <v>141</v>
      </c>
      <c r="S7" s="16" t="s">
        <v>142</v>
      </c>
      <c r="T7" s="16" t="s">
        <v>143</v>
      </c>
      <c r="U7" s="16" t="s">
        <v>137</v>
      </c>
      <c r="V7" s="16" t="s">
        <v>138</v>
      </c>
      <c r="W7" s="16" t="s">
        <v>139</v>
      </c>
      <c r="X7" s="16" t="s">
        <v>140</v>
      </c>
      <c r="Y7" s="16" t="s">
        <v>141</v>
      </c>
      <c r="Z7" s="16" t="s">
        <v>142</v>
      </c>
      <c r="AA7" s="16" t="s">
        <v>143</v>
      </c>
      <c r="AB7" s="16" t="s">
        <v>137</v>
      </c>
      <c r="AC7" s="16" t="s">
        <v>138</v>
      </c>
      <c r="AD7" s="16" t="s">
        <v>139</v>
      </c>
      <c r="AE7" s="16" t="s">
        <v>140</v>
      </c>
      <c r="AF7" s="16" t="s">
        <v>141</v>
      </c>
      <c r="AG7" s="16"/>
      <c r="AH7" s="15"/>
    </row>
    <row r="8" spans="2:34" ht="30" customHeight="1" x14ac:dyDescent="0.25">
      <c r="B8" s="17" t="s">
        <v>9</v>
      </c>
      <c r="C8" s="18" t="s">
        <v>10</v>
      </c>
      <c r="D8" s="18" t="s">
        <v>11</v>
      </c>
      <c r="E8" s="18" t="s">
        <v>12</v>
      </c>
      <c r="F8" s="18" t="s">
        <v>13</v>
      </c>
      <c r="G8" s="18" t="s">
        <v>14</v>
      </c>
      <c r="H8" s="18" t="s">
        <v>15</v>
      </c>
      <c r="I8" s="18" t="s">
        <v>16</v>
      </c>
      <c r="J8" s="18" t="s">
        <v>17</v>
      </c>
      <c r="K8" s="18" t="s">
        <v>18</v>
      </c>
      <c r="L8" s="18" t="s">
        <v>19</v>
      </c>
      <c r="M8" s="18" t="s">
        <v>20</v>
      </c>
      <c r="N8" s="18" t="s">
        <v>21</v>
      </c>
      <c r="O8" s="18" t="s">
        <v>22</v>
      </c>
      <c r="P8" s="18" t="s">
        <v>23</v>
      </c>
      <c r="Q8" s="18" t="s">
        <v>24</v>
      </c>
      <c r="R8" s="18" t="s">
        <v>25</v>
      </c>
      <c r="S8" s="18" t="s">
        <v>26</v>
      </c>
      <c r="T8" s="18" t="s">
        <v>27</v>
      </c>
      <c r="U8" s="18" t="s">
        <v>28</v>
      </c>
      <c r="V8" s="18" t="s">
        <v>29</v>
      </c>
      <c r="W8" s="18" t="s">
        <v>30</v>
      </c>
      <c r="X8" s="18" t="s">
        <v>31</v>
      </c>
      <c r="Y8" s="18" t="s">
        <v>32</v>
      </c>
      <c r="Z8" s="18" t="s">
        <v>33</v>
      </c>
      <c r="AA8" s="18" t="s">
        <v>34</v>
      </c>
      <c r="AB8" s="18" t="s">
        <v>35</v>
      </c>
      <c r="AC8" s="18" t="s">
        <v>36</v>
      </c>
      <c r="AD8" s="18" t="s">
        <v>37</v>
      </c>
      <c r="AE8" s="18" t="s">
        <v>38</v>
      </c>
      <c r="AF8" s="18" t="s">
        <v>39</v>
      </c>
      <c r="AG8" s="18" t="s">
        <v>40</v>
      </c>
      <c r="AH8" s="19" t="s">
        <v>41</v>
      </c>
    </row>
    <row r="9" spans="2:34" ht="30" customHeight="1" x14ac:dyDescent="0.25">
      <c r="B9" s="20" t="s">
        <v>75</v>
      </c>
      <c r="C9" s="18"/>
      <c r="D9" s="18"/>
      <c r="E9" s="18"/>
      <c r="F9" s="18" t="s">
        <v>66</v>
      </c>
      <c r="G9" s="18" t="s">
        <v>66</v>
      </c>
      <c r="H9" s="18" t="s">
        <v>66</v>
      </c>
      <c r="I9" s="18" t="s">
        <v>66</v>
      </c>
      <c r="J9" s="18" t="s">
        <v>66</v>
      </c>
      <c r="K9" s="18" t="s">
        <v>66</v>
      </c>
      <c r="L9" s="18" t="s">
        <v>66</v>
      </c>
      <c r="M9" s="18" t="s">
        <v>66</v>
      </c>
      <c r="N9" s="18" t="s">
        <v>66</v>
      </c>
      <c r="O9" s="18" t="s">
        <v>66</v>
      </c>
      <c r="P9" s="18" t="s">
        <v>66</v>
      </c>
      <c r="Q9" s="18" t="s">
        <v>66</v>
      </c>
      <c r="R9" s="18" t="s">
        <v>66</v>
      </c>
      <c r="S9" s="18" t="s">
        <v>66</v>
      </c>
      <c r="T9" s="18" t="s">
        <v>66</v>
      </c>
      <c r="U9" s="18" t="s">
        <v>66</v>
      </c>
      <c r="V9" s="18" t="s">
        <v>66</v>
      </c>
      <c r="W9" s="18" t="s">
        <v>66</v>
      </c>
      <c r="X9" s="18" t="s">
        <v>66</v>
      </c>
      <c r="Y9" s="18"/>
      <c r="Z9" s="18"/>
      <c r="AA9" s="18" t="s">
        <v>66</v>
      </c>
      <c r="AB9" s="18" t="s">
        <v>66</v>
      </c>
      <c r="AC9" s="18" t="s">
        <v>66</v>
      </c>
      <c r="AD9" s="18" t="s">
        <v>66</v>
      </c>
      <c r="AE9" s="18" t="s">
        <v>66</v>
      </c>
      <c r="AF9" s="18"/>
      <c r="AG9" s="18"/>
      <c r="AH9" s="27">
        <f>COUNTA('25年8月'!$C9:$AG9)</f>
        <v>24</v>
      </c>
    </row>
    <row r="10" spans="2:34" ht="30" customHeight="1" x14ac:dyDescent="0.25">
      <c r="B10" s="20" t="s">
        <v>76</v>
      </c>
      <c r="C10" s="18"/>
      <c r="D10" s="18"/>
      <c r="E10" s="18"/>
      <c r="F10" s="18" t="s">
        <v>66</v>
      </c>
      <c r="G10" s="18" t="s">
        <v>66</v>
      </c>
      <c r="H10" s="18" t="s">
        <v>66</v>
      </c>
      <c r="I10" s="18" t="s">
        <v>66</v>
      </c>
      <c r="J10" s="18" t="s">
        <v>66</v>
      </c>
      <c r="K10" s="18" t="s">
        <v>66</v>
      </c>
      <c r="L10" s="18" t="s">
        <v>66</v>
      </c>
      <c r="M10" s="18" t="s">
        <v>66</v>
      </c>
      <c r="N10" s="18" t="s">
        <v>66</v>
      </c>
      <c r="O10" s="18" t="s">
        <v>66</v>
      </c>
      <c r="P10" s="18" t="s">
        <v>66</v>
      </c>
      <c r="Q10" s="18" t="s">
        <v>66</v>
      </c>
      <c r="R10" s="18" t="s">
        <v>66</v>
      </c>
      <c r="S10" s="18" t="s">
        <v>66</v>
      </c>
      <c r="T10" s="18" t="s">
        <v>66</v>
      </c>
      <c r="U10" s="18" t="s">
        <v>66</v>
      </c>
      <c r="V10" s="18" t="s">
        <v>66</v>
      </c>
      <c r="W10" s="18" t="s">
        <v>66</v>
      </c>
      <c r="X10" s="18" t="s">
        <v>66</v>
      </c>
      <c r="Y10" s="18" t="s">
        <v>66</v>
      </c>
      <c r="Z10" s="18" t="s">
        <v>66</v>
      </c>
      <c r="AA10" s="18" t="s">
        <v>66</v>
      </c>
      <c r="AB10" s="18" t="s">
        <v>66</v>
      </c>
      <c r="AC10" s="18" t="s">
        <v>66</v>
      </c>
      <c r="AD10" s="18" t="s">
        <v>66</v>
      </c>
      <c r="AE10" s="18" t="s">
        <v>66</v>
      </c>
      <c r="AF10" s="18" t="s">
        <v>66</v>
      </c>
      <c r="AG10" s="18"/>
      <c r="AH10" s="27">
        <f>COUNTA('25年8月'!$C10:$AG10)</f>
        <v>27</v>
      </c>
    </row>
    <row r="11" spans="2:34" ht="30" customHeight="1" x14ac:dyDescent="0.25">
      <c r="B11" s="20" t="s">
        <v>77</v>
      </c>
      <c r="C11" s="18"/>
      <c r="D11" s="18"/>
      <c r="E11" s="18"/>
      <c r="F11" s="18" t="s">
        <v>66</v>
      </c>
      <c r="G11" s="18" t="s">
        <v>66</v>
      </c>
      <c r="H11" s="18" t="s">
        <v>66</v>
      </c>
      <c r="I11" s="18" t="s">
        <v>66</v>
      </c>
      <c r="J11" s="18" t="s">
        <v>66</v>
      </c>
      <c r="K11" s="18" t="s">
        <v>66</v>
      </c>
      <c r="L11" s="18" t="s">
        <v>66</v>
      </c>
      <c r="M11" s="18" t="s">
        <v>66</v>
      </c>
      <c r="N11" s="18" t="s">
        <v>66</v>
      </c>
      <c r="O11" s="18" t="s">
        <v>66</v>
      </c>
      <c r="P11" s="18" t="s">
        <v>66</v>
      </c>
      <c r="Q11" s="18" t="s">
        <v>66</v>
      </c>
      <c r="R11" s="18" t="s">
        <v>66</v>
      </c>
      <c r="S11" s="18" t="s">
        <v>66</v>
      </c>
      <c r="T11" s="18" t="s">
        <v>66</v>
      </c>
      <c r="U11" s="18" t="s">
        <v>66</v>
      </c>
      <c r="V11" s="18" t="s">
        <v>66</v>
      </c>
      <c r="W11" s="18" t="s">
        <v>66</v>
      </c>
      <c r="X11" s="18" t="s">
        <v>66</v>
      </c>
      <c r="Y11" s="18" t="s">
        <v>66</v>
      </c>
      <c r="Z11" s="18" t="s">
        <v>66</v>
      </c>
      <c r="AA11" s="18" t="s">
        <v>66</v>
      </c>
      <c r="AB11" s="18" t="s">
        <v>66</v>
      </c>
      <c r="AC11" s="18" t="s">
        <v>66</v>
      </c>
      <c r="AD11" s="18" t="s">
        <v>66</v>
      </c>
      <c r="AE11" s="18" t="s">
        <v>66</v>
      </c>
      <c r="AF11" s="18" t="s">
        <v>66</v>
      </c>
      <c r="AG11" s="18"/>
      <c r="AH11" s="27">
        <f>COUNTA('25年8月'!$C11:$AG11)</f>
        <v>27</v>
      </c>
    </row>
    <row r="12" spans="2:34" ht="30" customHeight="1" x14ac:dyDescent="0.25">
      <c r="B12" s="20" t="s">
        <v>78</v>
      </c>
      <c r="C12" s="18"/>
      <c r="D12" s="18"/>
      <c r="E12" s="18"/>
      <c r="F12" s="18" t="s">
        <v>66</v>
      </c>
      <c r="G12" s="18" t="s">
        <v>66</v>
      </c>
      <c r="H12" s="18" t="s">
        <v>66</v>
      </c>
      <c r="I12" s="18" t="s">
        <v>66</v>
      </c>
      <c r="J12" s="18" t="s">
        <v>66</v>
      </c>
      <c r="K12" s="18" t="s">
        <v>66</v>
      </c>
      <c r="L12" s="18" t="s">
        <v>66</v>
      </c>
      <c r="M12" s="18" t="s">
        <v>66</v>
      </c>
      <c r="N12" s="18" t="s">
        <v>66</v>
      </c>
      <c r="O12" s="18" t="s">
        <v>66</v>
      </c>
      <c r="P12" s="18" t="s">
        <v>66</v>
      </c>
      <c r="Q12" s="18" t="s">
        <v>66</v>
      </c>
      <c r="R12" s="18" t="s">
        <v>66</v>
      </c>
      <c r="S12" s="18" t="s">
        <v>66</v>
      </c>
      <c r="T12" s="18" t="s">
        <v>66</v>
      </c>
      <c r="U12" s="18" t="s">
        <v>66</v>
      </c>
      <c r="V12" s="18" t="s">
        <v>66</v>
      </c>
      <c r="W12" s="18" t="s">
        <v>66</v>
      </c>
      <c r="X12" s="18" t="s">
        <v>66</v>
      </c>
      <c r="Y12" s="18" t="s">
        <v>66</v>
      </c>
      <c r="Z12" s="18" t="s">
        <v>66</v>
      </c>
      <c r="AA12" s="18" t="s">
        <v>66</v>
      </c>
      <c r="AB12" s="18" t="s">
        <v>66</v>
      </c>
      <c r="AC12" s="18" t="s">
        <v>66</v>
      </c>
      <c r="AD12" s="18" t="s">
        <v>66</v>
      </c>
      <c r="AE12" s="18" t="s">
        <v>66</v>
      </c>
      <c r="AF12" s="18" t="s">
        <v>66</v>
      </c>
      <c r="AG12" s="18"/>
      <c r="AH12" s="27">
        <f>COUNTA('25年8月'!$C12:$AG12)</f>
        <v>27</v>
      </c>
    </row>
    <row r="13" spans="2:34" ht="30" customHeight="1" x14ac:dyDescent="0.25">
      <c r="B13" s="20" t="s">
        <v>79</v>
      </c>
      <c r="C13" s="18"/>
      <c r="D13" s="18"/>
      <c r="E13" s="18"/>
      <c r="F13" s="18" t="s">
        <v>66</v>
      </c>
      <c r="G13" s="18" t="s">
        <v>66</v>
      </c>
      <c r="H13" s="18" t="s">
        <v>66</v>
      </c>
      <c r="I13" s="18" t="s">
        <v>66</v>
      </c>
      <c r="J13" s="18" t="s">
        <v>66</v>
      </c>
      <c r="K13" s="18" t="s">
        <v>66</v>
      </c>
      <c r="L13" s="18" t="s">
        <v>66</v>
      </c>
      <c r="M13" s="18" t="s">
        <v>66</v>
      </c>
      <c r="N13" s="18" t="s">
        <v>66</v>
      </c>
      <c r="O13" s="18" t="s">
        <v>66</v>
      </c>
      <c r="P13" s="18" t="s">
        <v>66</v>
      </c>
      <c r="Q13" s="18" t="s">
        <v>66</v>
      </c>
      <c r="R13" s="18" t="s">
        <v>66</v>
      </c>
      <c r="S13" s="18" t="s">
        <v>66</v>
      </c>
      <c r="T13" s="18" t="s">
        <v>66</v>
      </c>
      <c r="U13" s="18" t="s">
        <v>66</v>
      </c>
      <c r="V13" s="18" t="s">
        <v>66</v>
      </c>
      <c r="W13" s="18" t="s">
        <v>66</v>
      </c>
      <c r="X13" s="18" t="s">
        <v>66</v>
      </c>
      <c r="Y13" s="18" t="s">
        <v>66</v>
      </c>
      <c r="Z13" s="18" t="s">
        <v>66</v>
      </c>
      <c r="AA13" s="18" t="s">
        <v>66</v>
      </c>
      <c r="AB13" s="18" t="s">
        <v>66</v>
      </c>
      <c r="AC13" s="18" t="s">
        <v>66</v>
      </c>
      <c r="AD13" s="18" t="s">
        <v>66</v>
      </c>
      <c r="AE13" s="18" t="s">
        <v>66</v>
      </c>
      <c r="AF13" s="18" t="s">
        <v>66</v>
      </c>
      <c r="AG13" s="18"/>
      <c r="AH13" s="27">
        <f>COUNTA('25年8月'!$C13:$AG13)</f>
        <v>27</v>
      </c>
    </row>
    <row r="14" spans="2:34" ht="30" customHeight="1" x14ac:dyDescent="0.25">
      <c r="B14" s="20" t="s">
        <v>80</v>
      </c>
      <c r="C14" s="18"/>
      <c r="D14" s="18"/>
      <c r="E14" s="18"/>
      <c r="F14" s="18" t="s">
        <v>66</v>
      </c>
      <c r="G14" s="18" t="s">
        <v>66</v>
      </c>
      <c r="H14" s="18" t="s">
        <v>66</v>
      </c>
      <c r="I14" s="18" t="s">
        <v>66</v>
      </c>
      <c r="J14" s="18" t="s">
        <v>66</v>
      </c>
      <c r="K14" s="18" t="s">
        <v>66</v>
      </c>
      <c r="L14" s="18" t="s">
        <v>66</v>
      </c>
      <c r="M14" s="18" t="s">
        <v>66</v>
      </c>
      <c r="N14" s="18" t="s">
        <v>66</v>
      </c>
      <c r="O14" s="18" t="s">
        <v>66</v>
      </c>
      <c r="P14" s="18" t="s">
        <v>66</v>
      </c>
      <c r="Q14" s="18" t="s">
        <v>66</v>
      </c>
      <c r="R14" s="18" t="s">
        <v>66</v>
      </c>
      <c r="S14" s="18" t="s">
        <v>66</v>
      </c>
      <c r="T14" s="18" t="s">
        <v>66</v>
      </c>
      <c r="U14" s="18" t="s">
        <v>66</v>
      </c>
      <c r="V14" s="18" t="s">
        <v>66</v>
      </c>
      <c r="W14" s="18" t="s">
        <v>66</v>
      </c>
      <c r="X14" s="18" t="s">
        <v>66</v>
      </c>
      <c r="Y14" s="10"/>
      <c r="Z14" s="10"/>
      <c r="AA14" s="10"/>
      <c r="AB14" s="10"/>
      <c r="AC14" s="10"/>
      <c r="AD14" s="10"/>
      <c r="AE14" s="10"/>
      <c r="AF14" s="10"/>
      <c r="AG14" s="18"/>
      <c r="AH14" s="27">
        <f>COUNTA('25年8月'!$C14:$AG14)</f>
        <v>19</v>
      </c>
    </row>
    <row r="15" spans="2:34" ht="30" customHeight="1" x14ac:dyDescent="0.25">
      <c r="B15" s="20" t="s">
        <v>81</v>
      </c>
      <c r="C15" s="18"/>
      <c r="D15" s="18"/>
      <c r="E15" s="18"/>
      <c r="F15" s="18" t="s">
        <v>66</v>
      </c>
      <c r="G15" s="18" t="s">
        <v>66</v>
      </c>
      <c r="H15" s="18" t="s">
        <v>66</v>
      </c>
      <c r="I15" s="18" t="s">
        <v>66</v>
      </c>
      <c r="J15" s="18" t="s">
        <v>66</v>
      </c>
      <c r="K15" s="18" t="s">
        <v>66</v>
      </c>
      <c r="L15" s="18" t="s">
        <v>66</v>
      </c>
      <c r="M15" s="18" t="s">
        <v>66</v>
      </c>
      <c r="N15" s="18" t="s">
        <v>66</v>
      </c>
      <c r="O15" s="18" t="s">
        <v>66</v>
      </c>
      <c r="P15" s="18" t="s">
        <v>66</v>
      </c>
      <c r="Q15" s="18" t="s">
        <v>66</v>
      </c>
      <c r="R15" s="18" t="s">
        <v>66</v>
      </c>
      <c r="S15" s="18" t="s">
        <v>66</v>
      </c>
      <c r="T15" s="18" t="s">
        <v>66</v>
      </c>
      <c r="U15" s="18" t="s">
        <v>66</v>
      </c>
      <c r="V15" s="18" t="s">
        <v>66</v>
      </c>
      <c r="W15" s="18" t="s">
        <v>66</v>
      </c>
      <c r="X15" s="18" t="s">
        <v>66</v>
      </c>
      <c r="Y15" s="18"/>
      <c r="Z15" s="18"/>
      <c r="AA15" s="18"/>
      <c r="AB15" s="18"/>
      <c r="AC15" s="18"/>
      <c r="AD15" s="18"/>
      <c r="AE15" s="18"/>
      <c r="AF15" s="18"/>
      <c r="AG15" s="18"/>
      <c r="AH15" s="27">
        <f>COUNTA('25年8月'!$C15:$AG15)</f>
        <v>19</v>
      </c>
    </row>
    <row r="16" spans="2:34" ht="30" customHeight="1" x14ac:dyDescent="0.25">
      <c r="B16" s="20" t="s">
        <v>82</v>
      </c>
      <c r="C16" s="18"/>
      <c r="D16" s="18"/>
      <c r="E16" s="18"/>
      <c r="F16" s="18" t="s">
        <v>66</v>
      </c>
      <c r="G16" s="18" t="s">
        <v>66</v>
      </c>
      <c r="H16" s="18" t="s">
        <v>66</v>
      </c>
      <c r="I16" s="18" t="s">
        <v>66</v>
      </c>
      <c r="J16" s="18" t="s">
        <v>66</v>
      </c>
      <c r="K16" s="18" t="s">
        <v>66</v>
      </c>
      <c r="L16" s="18" t="s">
        <v>66</v>
      </c>
      <c r="M16" s="18" t="s">
        <v>66</v>
      </c>
      <c r="N16" s="18" t="s">
        <v>66</v>
      </c>
      <c r="O16" s="18" t="s">
        <v>66</v>
      </c>
      <c r="P16" s="18" t="s">
        <v>66</v>
      </c>
      <c r="Q16" s="18" t="s">
        <v>66</v>
      </c>
      <c r="R16" s="18" t="s">
        <v>66</v>
      </c>
      <c r="S16" s="18" t="s">
        <v>66</v>
      </c>
      <c r="T16" s="18" t="s">
        <v>66</v>
      </c>
      <c r="U16" s="18" t="s">
        <v>66</v>
      </c>
      <c r="V16" s="18" t="s">
        <v>66</v>
      </c>
      <c r="W16" s="18" t="s">
        <v>66</v>
      </c>
      <c r="X16" s="18" t="s">
        <v>66</v>
      </c>
      <c r="Y16" s="10"/>
      <c r="Z16" s="10"/>
      <c r="AA16" s="10"/>
      <c r="AB16" s="10"/>
      <c r="AC16" s="10"/>
      <c r="AD16" s="10"/>
      <c r="AE16" s="10"/>
      <c r="AF16" s="10"/>
      <c r="AG16" s="18"/>
      <c r="AH16" s="27">
        <f>COUNTA('25年8月'!$C16:$AG16)</f>
        <v>19</v>
      </c>
    </row>
    <row r="17" spans="2:34" ht="30" customHeight="1" x14ac:dyDescent="0.25">
      <c r="B17" s="20" t="s">
        <v>83</v>
      </c>
      <c r="C17" s="18"/>
      <c r="D17" s="18"/>
      <c r="E17" s="18"/>
      <c r="F17" s="18" t="s">
        <v>66</v>
      </c>
      <c r="G17" s="18" t="s">
        <v>66</v>
      </c>
      <c r="H17" s="18" t="s">
        <v>66</v>
      </c>
      <c r="I17" s="18" t="s">
        <v>66</v>
      </c>
      <c r="J17" s="18" t="s">
        <v>66</v>
      </c>
      <c r="K17" s="18" t="s">
        <v>66</v>
      </c>
      <c r="L17" s="18" t="s">
        <v>66</v>
      </c>
      <c r="M17" s="18" t="s">
        <v>66</v>
      </c>
      <c r="N17" s="18" t="s">
        <v>66</v>
      </c>
      <c r="O17" s="18" t="s">
        <v>66</v>
      </c>
      <c r="P17" s="18" t="s">
        <v>66</v>
      </c>
      <c r="Q17" s="18" t="s">
        <v>66</v>
      </c>
      <c r="R17" s="18" t="s">
        <v>66</v>
      </c>
      <c r="S17" s="18" t="s">
        <v>66</v>
      </c>
      <c r="T17" s="18" t="s">
        <v>66</v>
      </c>
      <c r="U17" s="18" t="s">
        <v>66</v>
      </c>
      <c r="V17" s="18" t="s">
        <v>66</v>
      </c>
      <c r="W17" s="18" t="s">
        <v>66</v>
      </c>
      <c r="X17" s="18" t="s">
        <v>66</v>
      </c>
      <c r="Y17" s="18"/>
      <c r="Z17" s="18"/>
      <c r="AA17" s="18"/>
      <c r="AB17" s="18"/>
      <c r="AC17" s="18"/>
      <c r="AD17" s="18"/>
      <c r="AE17" s="18"/>
      <c r="AF17" s="18"/>
      <c r="AG17" s="18"/>
      <c r="AH17" s="27">
        <f>COUNTA('25年8月'!$C17:$AG17)</f>
        <v>19</v>
      </c>
    </row>
    <row r="18" spans="2:34" ht="30" customHeight="1" x14ac:dyDescent="0.25">
      <c r="B18" s="20" t="s">
        <v>84</v>
      </c>
      <c r="C18" s="18"/>
      <c r="D18" s="18"/>
      <c r="E18" s="18"/>
      <c r="F18" s="18" t="s">
        <v>66</v>
      </c>
      <c r="G18" s="18" t="s">
        <v>66</v>
      </c>
      <c r="H18" s="18" t="s">
        <v>66</v>
      </c>
      <c r="I18" s="18" t="s">
        <v>66</v>
      </c>
      <c r="J18" s="18" t="s">
        <v>66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0"/>
      <c r="Z18" s="10"/>
      <c r="AA18" s="10"/>
      <c r="AB18" s="10"/>
      <c r="AC18" s="10"/>
      <c r="AD18" s="10"/>
      <c r="AE18" s="10"/>
      <c r="AF18" s="10"/>
      <c r="AG18" s="18"/>
      <c r="AH18" s="27">
        <f>COUNTA('25年8月'!$C18:$AG18)</f>
        <v>5</v>
      </c>
    </row>
    <row r="19" spans="2:34" ht="30" customHeight="1" x14ac:dyDescent="0.25">
      <c r="B19" s="20" t="s">
        <v>85</v>
      </c>
      <c r="C19" s="18"/>
      <c r="D19" s="18"/>
      <c r="E19" s="18"/>
      <c r="F19" s="18" t="s">
        <v>66</v>
      </c>
      <c r="G19" s="18" t="s">
        <v>66</v>
      </c>
      <c r="H19" s="18" t="s">
        <v>66</v>
      </c>
      <c r="I19" s="18" t="s">
        <v>66</v>
      </c>
      <c r="J19" s="18" t="s">
        <v>66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7">
        <f>COUNTA('25年8月'!$C19:$AG19)</f>
        <v>5</v>
      </c>
    </row>
    <row r="20" spans="2:34" ht="30" customHeight="1" x14ac:dyDescent="0.25">
      <c r="B20" s="31" t="s">
        <v>86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7">
        <f>COUNTA(月11_211[[#This Row],[1]:[ ]])</f>
        <v>0</v>
      </c>
    </row>
    <row r="21" spans="2:34" ht="30" customHeight="1" x14ac:dyDescent="0.25">
      <c r="B21" s="31" t="s">
        <v>87</v>
      </c>
      <c r="C21" s="18" t="s">
        <v>66</v>
      </c>
      <c r="D21" s="18" t="s">
        <v>66</v>
      </c>
      <c r="E21" s="18" t="s">
        <v>66</v>
      </c>
      <c r="F21" s="18" t="s">
        <v>66</v>
      </c>
      <c r="G21" s="18" t="s">
        <v>66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7">
        <f>COUNTA(月11_211[[#This Row],[1]:[ ]])</f>
        <v>5</v>
      </c>
    </row>
    <row r="22" spans="2:34" ht="30" customHeight="1" x14ac:dyDescent="0.25">
      <c r="B22" s="31" t="s">
        <v>88</v>
      </c>
      <c r="C22" s="18" t="s">
        <v>66</v>
      </c>
      <c r="D22" s="18" t="s">
        <v>66</v>
      </c>
      <c r="E22" s="18" t="s">
        <v>66</v>
      </c>
      <c r="F22" s="18" t="s">
        <v>66</v>
      </c>
      <c r="G22" s="18" t="s">
        <v>66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7">
        <f>COUNTA(月11_211[[#This Row],[1]:[ ]])</f>
        <v>5</v>
      </c>
    </row>
    <row r="23" spans="2:34" ht="30" customHeight="1" x14ac:dyDescent="0.25">
      <c r="B23" s="31" t="s">
        <v>89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7">
        <f>COUNTA(月11_211[[#This Row],[1]:[ ]])</f>
        <v>0</v>
      </c>
    </row>
    <row r="24" spans="2:34" ht="30" customHeight="1" x14ac:dyDescent="0.25">
      <c r="B24" s="31" t="s">
        <v>90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7">
        <f>COUNTA(月11_211[[#This Row],[1]:[ ]])</f>
        <v>0</v>
      </c>
    </row>
    <row r="25" spans="2:34" ht="30" customHeight="1" x14ac:dyDescent="0.25">
      <c r="B25" s="31" t="s">
        <v>91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7">
        <f>COUNTA(月11_211[[#This Row],[1]:[ ]])</f>
        <v>0</v>
      </c>
    </row>
    <row r="26" spans="2:34" ht="30" customHeight="1" x14ac:dyDescent="0.25">
      <c r="B26" s="31" t="s">
        <v>92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27">
        <f>COUNTA(月11_211[[#This Row],[1]:[ ]])</f>
        <v>0</v>
      </c>
    </row>
    <row r="27" spans="2:34" ht="30" customHeight="1" x14ac:dyDescent="0.25">
      <c r="B27" s="31" t="s">
        <v>93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7">
        <f>COUNTA(月11_211[[#This Row],[1]:[ ]])</f>
        <v>0</v>
      </c>
    </row>
    <row r="28" spans="2:34" ht="30" customHeight="1" x14ac:dyDescent="0.25">
      <c r="B28" s="31" t="s">
        <v>94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27">
        <f>COUNTA(月11_211[[#This Row],[1]:[ ]])</f>
        <v>0</v>
      </c>
    </row>
    <row r="29" spans="2:34" ht="30" customHeight="1" x14ac:dyDescent="0.25">
      <c r="B29" s="31" t="s">
        <v>95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7">
        <f>COUNTA(月11_211[[#This Row],[1]:[ ]])</f>
        <v>0</v>
      </c>
    </row>
    <row r="30" spans="2:34" ht="30" customHeight="1" x14ac:dyDescent="0.25">
      <c r="B30" s="31" t="s">
        <v>96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27">
        <f>COUNTA(月11_211[[#This Row],[1]:[ ]])</f>
        <v>0</v>
      </c>
    </row>
    <row r="31" spans="2:34" ht="30" customHeight="1" x14ac:dyDescent="0.25">
      <c r="B31" s="20" t="s">
        <v>97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 t="s">
        <v>66</v>
      </c>
      <c r="AB31" s="18" t="s">
        <v>66</v>
      </c>
      <c r="AC31" s="18" t="s">
        <v>66</v>
      </c>
      <c r="AD31" s="18" t="s">
        <v>66</v>
      </c>
      <c r="AE31" s="18" t="s">
        <v>66</v>
      </c>
      <c r="AG31" s="18"/>
      <c r="AH31" s="27">
        <f>COUNTA('25年8月'!$C31:$AG31)</f>
        <v>5</v>
      </c>
    </row>
    <row r="32" spans="2:34" ht="30" customHeight="1" x14ac:dyDescent="0.25">
      <c r="B32" s="20" t="s">
        <v>98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 t="s">
        <v>66</v>
      </c>
      <c r="AB32" s="18" t="s">
        <v>66</v>
      </c>
      <c r="AC32" s="18" t="s">
        <v>66</v>
      </c>
      <c r="AD32" s="18" t="s">
        <v>66</v>
      </c>
      <c r="AE32" s="18" t="s">
        <v>66</v>
      </c>
      <c r="AG32" s="18"/>
      <c r="AH32" s="27">
        <f>COUNTA('25年8月'!$C32:$AG32)</f>
        <v>5</v>
      </c>
    </row>
    <row r="33" spans="2:34" ht="30" customHeight="1" x14ac:dyDescent="0.25">
      <c r="B33" s="20" t="s">
        <v>99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G33" s="18"/>
      <c r="AH33" s="27">
        <f>COUNTA('25年8月'!$C33:$AG33)</f>
        <v>0</v>
      </c>
    </row>
    <row r="34" spans="2:34" ht="30" customHeight="1" x14ac:dyDescent="0.25">
      <c r="B34" s="20" t="s">
        <v>100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7">
        <f>COUNTA('25年8月'!$C34:$AG34)</f>
        <v>0</v>
      </c>
    </row>
    <row r="35" spans="2:34" ht="30" customHeight="1" x14ac:dyDescent="0.25">
      <c r="B35" s="20" t="s">
        <v>101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7">
        <f>COUNTA('25年8月'!$C35:$AG35)</f>
        <v>0</v>
      </c>
    </row>
    <row r="36" spans="2:34" ht="30" customHeight="1" x14ac:dyDescent="0.25">
      <c r="B36" s="20" t="s">
        <v>102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7">
        <f>COUNTA('25年8月'!$C36:$AG36)</f>
        <v>0</v>
      </c>
    </row>
    <row r="37" spans="2:34" ht="30" customHeight="1" x14ac:dyDescent="0.25">
      <c r="B37" s="20" t="s">
        <v>103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27">
        <f>COUNTA('25年8月'!$C37:$AG37)</f>
        <v>0</v>
      </c>
    </row>
    <row r="38" spans="2:34" ht="30" customHeight="1" x14ac:dyDescent="0.25">
      <c r="B38" s="20" t="s">
        <v>104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7">
        <f>COUNTA('25年8月'!$C38:$AG38)</f>
        <v>0</v>
      </c>
    </row>
    <row r="39" spans="2:34" ht="30" customHeight="1" x14ac:dyDescent="0.25">
      <c r="B39" s="20" t="s">
        <v>105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7">
        <f>COUNTA('25年8月'!$C39:$AG39)</f>
        <v>0</v>
      </c>
    </row>
    <row r="40" spans="2:34" ht="30" customHeight="1" x14ac:dyDescent="0.25">
      <c r="B40" s="20" t="s">
        <v>106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27">
        <f>COUNTA('25年8月'!$C40:$AG40)</f>
        <v>0</v>
      </c>
    </row>
    <row r="41" spans="2:34" ht="30" customHeight="1" x14ac:dyDescent="0.25">
      <c r="B41" s="31" t="s">
        <v>107</v>
      </c>
      <c r="C41" s="18"/>
      <c r="D41" s="18"/>
      <c r="E41" s="18"/>
      <c r="F41" s="18" t="s">
        <v>66</v>
      </c>
      <c r="G41" s="18" t="s">
        <v>66</v>
      </c>
      <c r="H41" s="18" t="s">
        <v>66</v>
      </c>
      <c r="I41" s="18" t="s">
        <v>66</v>
      </c>
      <c r="J41" s="18" t="s">
        <v>66</v>
      </c>
      <c r="K41" s="18" t="s">
        <v>66</v>
      </c>
      <c r="L41" s="18" t="s">
        <v>66</v>
      </c>
      <c r="M41" s="18" t="s">
        <v>66</v>
      </c>
      <c r="N41" s="18" t="s">
        <v>66</v>
      </c>
      <c r="O41" s="18" t="s">
        <v>66</v>
      </c>
      <c r="P41" s="18" t="s">
        <v>66</v>
      </c>
      <c r="Q41" s="18" t="s">
        <v>66</v>
      </c>
      <c r="R41" s="18" t="s">
        <v>66</v>
      </c>
      <c r="S41" s="18" t="s">
        <v>66</v>
      </c>
      <c r="T41" s="18" t="s">
        <v>66</v>
      </c>
      <c r="U41" s="18" t="s">
        <v>66</v>
      </c>
      <c r="V41" s="18" t="s">
        <v>66</v>
      </c>
      <c r="W41" s="18" t="s">
        <v>66</v>
      </c>
      <c r="X41" s="18" t="s">
        <v>66</v>
      </c>
      <c r="Y41" s="18"/>
      <c r="Z41" s="18"/>
      <c r="AA41" s="18"/>
      <c r="AB41" s="18"/>
      <c r="AC41" s="18"/>
      <c r="AD41" s="18" t="s">
        <v>66</v>
      </c>
      <c r="AE41" s="18" t="s">
        <v>66</v>
      </c>
      <c r="AF41" s="18"/>
      <c r="AG41" s="18"/>
      <c r="AH41" s="27">
        <f>COUNTA(月11_211[[#This Row],[1]:[ ]])</f>
        <v>21</v>
      </c>
    </row>
    <row r="42" spans="2:34" ht="30" customHeight="1" x14ac:dyDescent="0.25">
      <c r="B42" s="31" t="s">
        <v>158</v>
      </c>
      <c r="C42" s="18"/>
      <c r="D42" s="18"/>
      <c r="E42" s="18"/>
      <c r="F42" s="18" t="s">
        <v>66</v>
      </c>
      <c r="G42" s="18" t="s">
        <v>66</v>
      </c>
      <c r="H42" s="18" t="s">
        <v>66</v>
      </c>
      <c r="I42" s="18" t="s">
        <v>66</v>
      </c>
      <c r="J42" s="18" t="s">
        <v>66</v>
      </c>
      <c r="K42" s="18" t="s">
        <v>66</v>
      </c>
      <c r="L42" s="18" t="s">
        <v>66</v>
      </c>
      <c r="M42" s="18" t="s">
        <v>66</v>
      </c>
      <c r="N42" s="18" t="s">
        <v>66</v>
      </c>
      <c r="O42" s="18" t="s">
        <v>66</v>
      </c>
      <c r="P42" s="18" t="s">
        <v>66</v>
      </c>
      <c r="Q42" s="18" t="s">
        <v>66</v>
      </c>
      <c r="R42" s="18" t="s">
        <v>66</v>
      </c>
      <c r="S42" s="18" t="s">
        <v>66</v>
      </c>
      <c r="T42" s="18" t="s">
        <v>66</v>
      </c>
      <c r="U42" s="18" t="s">
        <v>66</v>
      </c>
      <c r="V42" s="18" t="s">
        <v>66</v>
      </c>
      <c r="W42" s="18" t="s">
        <v>66</v>
      </c>
      <c r="X42" s="18" t="s">
        <v>66</v>
      </c>
      <c r="Y42" s="18"/>
      <c r="Z42" s="18"/>
      <c r="AA42" s="18"/>
      <c r="AB42" s="18"/>
      <c r="AC42" s="18"/>
      <c r="AD42" s="18" t="s">
        <v>66</v>
      </c>
      <c r="AE42" s="18" t="s">
        <v>66</v>
      </c>
      <c r="AF42" s="18"/>
      <c r="AG42" s="18"/>
      <c r="AH42" s="27">
        <f>COUNTA(月11_211[[#This Row],[1]:[ ]])</f>
        <v>21</v>
      </c>
    </row>
    <row r="43" spans="2:34" ht="30" customHeight="1" x14ac:dyDescent="0.25">
      <c r="B43" s="31" t="s">
        <v>109</v>
      </c>
      <c r="C43" s="18"/>
      <c r="D43" s="18"/>
      <c r="E43" s="18"/>
      <c r="F43" s="18" t="s">
        <v>66</v>
      </c>
      <c r="G43" s="18" t="s">
        <v>66</v>
      </c>
      <c r="H43" s="18" t="s">
        <v>66</v>
      </c>
      <c r="I43" s="18" t="s">
        <v>66</v>
      </c>
      <c r="J43" s="18" t="s">
        <v>66</v>
      </c>
      <c r="K43" s="18" t="s">
        <v>66</v>
      </c>
      <c r="L43" s="18" t="s">
        <v>66</v>
      </c>
      <c r="M43" s="18" t="s">
        <v>66</v>
      </c>
      <c r="N43" s="18" t="s">
        <v>66</v>
      </c>
      <c r="O43" s="18" t="s">
        <v>66</v>
      </c>
      <c r="P43" s="18" t="s">
        <v>66</v>
      </c>
      <c r="Q43" s="18" t="s">
        <v>66</v>
      </c>
      <c r="R43" s="18" t="s">
        <v>66</v>
      </c>
      <c r="S43" s="18" t="s">
        <v>66</v>
      </c>
      <c r="T43" s="18" t="s">
        <v>66</v>
      </c>
      <c r="U43" s="18" t="s">
        <v>66</v>
      </c>
      <c r="V43" s="18" t="s">
        <v>66</v>
      </c>
      <c r="W43" s="18" t="s">
        <v>66</v>
      </c>
      <c r="X43" s="18" t="s">
        <v>66</v>
      </c>
      <c r="Y43" s="18"/>
      <c r="Z43" s="18"/>
      <c r="AA43" s="18"/>
      <c r="AB43" s="18"/>
      <c r="AC43" s="18"/>
      <c r="AD43" s="18" t="s">
        <v>66</v>
      </c>
      <c r="AE43" s="18" t="s">
        <v>66</v>
      </c>
      <c r="AF43" s="18"/>
      <c r="AG43" s="18"/>
      <c r="AH43" s="27">
        <f>COUNTA(月11_211[[#This Row],[1]:[ ]])</f>
        <v>21</v>
      </c>
    </row>
    <row r="44" spans="2:34" ht="30" customHeight="1" x14ac:dyDescent="0.25">
      <c r="B44" s="31" t="s">
        <v>110</v>
      </c>
      <c r="C44" s="18"/>
      <c r="D44" s="18"/>
      <c r="E44" s="18"/>
      <c r="F44" s="18" t="s">
        <v>66</v>
      </c>
      <c r="G44" s="18" t="s">
        <v>66</v>
      </c>
      <c r="H44" s="18" t="s">
        <v>66</v>
      </c>
      <c r="I44" s="18" t="s">
        <v>66</v>
      </c>
      <c r="J44" s="18" t="s">
        <v>66</v>
      </c>
      <c r="K44" s="18" t="s">
        <v>66</v>
      </c>
      <c r="L44" s="18" t="s">
        <v>66</v>
      </c>
      <c r="M44" s="18" t="s">
        <v>66</v>
      </c>
      <c r="N44" s="18" t="s">
        <v>66</v>
      </c>
      <c r="O44" s="18" t="s">
        <v>66</v>
      </c>
      <c r="P44" s="18" t="s">
        <v>66</v>
      </c>
      <c r="Q44" s="18" t="s">
        <v>66</v>
      </c>
      <c r="R44" s="18" t="s">
        <v>66</v>
      </c>
      <c r="S44" s="18" t="s">
        <v>66</v>
      </c>
      <c r="T44" s="18" t="s">
        <v>66</v>
      </c>
      <c r="U44" s="18" t="s">
        <v>66</v>
      </c>
      <c r="V44" s="18" t="s">
        <v>66</v>
      </c>
      <c r="W44" s="18" t="s">
        <v>66</v>
      </c>
      <c r="X44" s="18" t="s">
        <v>66</v>
      </c>
      <c r="Y44" s="18"/>
      <c r="Z44" s="18"/>
      <c r="AA44" s="18"/>
      <c r="AB44" s="18"/>
      <c r="AC44" s="18"/>
      <c r="AD44" s="18" t="s">
        <v>66</v>
      </c>
      <c r="AE44" s="18" t="s">
        <v>66</v>
      </c>
      <c r="AF44" s="18"/>
      <c r="AG44" s="18"/>
      <c r="AH44" s="27">
        <f>COUNTA(月11_211[[#This Row],[1]:[ ]])</f>
        <v>21</v>
      </c>
    </row>
    <row r="45" spans="2:34" ht="30" customHeight="1" x14ac:dyDescent="0.25">
      <c r="B45" s="31" t="s">
        <v>111</v>
      </c>
      <c r="C45" s="18"/>
      <c r="D45" s="18"/>
      <c r="E45" s="18"/>
      <c r="F45" s="18" t="s">
        <v>66</v>
      </c>
      <c r="G45" s="18" t="s">
        <v>66</v>
      </c>
      <c r="H45" s="18" t="s">
        <v>66</v>
      </c>
      <c r="I45" s="18" t="s">
        <v>66</v>
      </c>
      <c r="J45" s="18" t="s">
        <v>66</v>
      </c>
      <c r="K45" s="18" t="s">
        <v>66</v>
      </c>
      <c r="L45" s="18" t="s">
        <v>66</v>
      </c>
      <c r="M45" s="18" t="s">
        <v>66</v>
      </c>
      <c r="N45" s="18" t="s">
        <v>66</v>
      </c>
      <c r="O45" s="18" t="s">
        <v>66</v>
      </c>
      <c r="P45" s="18" t="s">
        <v>66</v>
      </c>
      <c r="Q45" s="18" t="s">
        <v>66</v>
      </c>
      <c r="R45" s="18" t="s">
        <v>66</v>
      </c>
      <c r="S45" s="18" t="s">
        <v>66</v>
      </c>
      <c r="T45" s="18" t="s">
        <v>66</v>
      </c>
      <c r="U45" s="18" t="s">
        <v>66</v>
      </c>
      <c r="V45" s="18" t="s">
        <v>66</v>
      </c>
      <c r="W45" s="18" t="s">
        <v>66</v>
      </c>
      <c r="X45" s="18" t="s">
        <v>66</v>
      </c>
      <c r="Y45" s="18"/>
      <c r="Z45" s="18"/>
      <c r="AA45" s="18"/>
      <c r="AB45" s="18"/>
      <c r="AC45" s="18"/>
      <c r="AD45" s="18" t="s">
        <v>66</v>
      </c>
      <c r="AE45" s="18" t="s">
        <v>66</v>
      </c>
      <c r="AF45" s="18"/>
      <c r="AG45" s="18"/>
      <c r="AH45" s="27">
        <f>COUNTA(月11_211[[#This Row],[1]:[ ]])</f>
        <v>21</v>
      </c>
    </row>
    <row r="46" spans="2:34" ht="30" customHeight="1" x14ac:dyDescent="0.25">
      <c r="B46" s="31" t="s">
        <v>112</v>
      </c>
      <c r="C46" s="18"/>
      <c r="D46" s="18"/>
      <c r="E46" s="18"/>
      <c r="F46" s="18" t="s">
        <v>66</v>
      </c>
      <c r="G46" s="18" t="s">
        <v>66</v>
      </c>
      <c r="H46" s="18" t="s">
        <v>66</v>
      </c>
      <c r="I46" s="18" t="s">
        <v>66</v>
      </c>
      <c r="J46" s="18" t="s">
        <v>66</v>
      </c>
      <c r="K46" s="18" t="s">
        <v>66</v>
      </c>
      <c r="L46" s="18" t="s">
        <v>66</v>
      </c>
      <c r="M46" s="18" t="s">
        <v>66</v>
      </c>
      <c r="N46" s="18" t="s">
        <v>66</v>
      </c>
      <c r="O46" s="18" t="s">
        <v>66</v>
      </c>
      <c r="P46" s="18" t="s">
        <v>66</v>
      </c>
      <c r="Q46" s="18" t="s">
        <v>66</v>
      </c>
      <c r="R46" s="18" t="s">
        <v>66</v>
      </c>
      <c r="S46" s="18" t="s">
        <v>66</v>
      </c>
      <c r="T46" s="18" t="s">
        <v>66</v>
      </c>
      <c r="U46" s="18" t="s">
        <v>66</v>
      </c>
      <c r="V46" s="18" t="s">
        <v>66</v>
      </c>
      <c r="W46" s="18" t="s">
        <v>66</v>
      </c>
      <c r="X46" s="18" t="s">
        <v>66</v>
      </c>
      <c r="Y46" s="18"/>
      <c r="Z46" s="18"/>
      <c r="AA46" s="18"/>
      <c r="AB46" s="18"/>
      <c r="AC46" s="18"/>
      <c r="AD46" s="18" t="s">
        <v>66</v>
      </c>
      <c r="AE46" s="18" t="s">
        <v>66</v>
      </c>
      <c r="AF46" s="18"/>
      <c r="AG46" s="18"/>
      <c r="AH46" s="27">
        <f>COUNTA(月11_211[[#This Row],[1]:[ ]])</f>
        <v>21</v>
      </c>
    </row>
    <row r="47" spans="2:34" ht="30" customHeight="1" x14ac:dyDescent="0.25">
      <c r="B47" s="31" t="s">
        <v>113</v>
      </c>
      <c r="C47" s="18"/>
      <c r="D47" s="18"/>
      <c r="E47" s="18"/>
      <c r="F47" s="18" t="s">
        <v>66</v>
      </c>
      <c r="G47" s="18" t="s">
        <v>66</v>
      </c>
      <c r="H47" s="18" t="s">
        <v>66</v>
      </c>
      <c r="I47" s="18" t="s">
        <v>66</v>
      </c>
      <c r="J47" s="18" t="s">
        <v>66</v>
      </c>
      <c r="K47" s="18" t="s">
        <v>66</v>
      </c>
      <c r="L47" s="18" t="s">
        <v>66</v>
      </c>
      <c r="M47" s="18" t="s">
        <v>66</v>
      </c>
      <c r="N47" s="18" t="s">
        <v>66</v>
      </c>
      <c r="O47" s="18" t="s">
        <v>66</v>
      </c>
      <c r="P47" s="18" t="s">
        <v>66</v>
      </c>
      <c r="Q47" s="18" t="s">
        <v>66</v>
      </c>
      <c r="R47" s="18" t="s">
        <v>66</v>
      </c>
      <c r="S47" s="18" t="s">
        <v>66</v>
      </c>
      <c r="T47" s="18" t="s">
        <v>66</v>
      </c>
      <c r="U47" s="18" t="s">
        <v>66</v>
      </c>
      <c r="V47" s="18" t="s">
        <v>66</v>
      </c>
      <c r="W47" s="18" t="s">
        <v>66</v>
      </c>
      <c r="X47" s="18" t="s">
        <v>66</v>
      </c>
      <c r="Y47" s="18"/>
      <c r="Z47" s="18"/>
      <c r="AA47" s="18"/>
      <c r="AB47" s="18"/>
      <c r="AC47" s="18"/>
      <c r="AD47" s="18" t="s">
        <v>66</v>
      </c>
      <c r="AE47" s="18" t="s">
        <v>66</v>
      </c>
      <c r="AF47" s="18"/>
      <c r="AG47" s="18"/>
      <c r="AH47" s="27">
        <f>COUNTA(月11_211[[#This Row],[1]:[ ]])</f>
        <v>21</v>
      </c>
    </row>
    <row r="48" spans="2:34" ht="30" customHeight="1" x14ac:dyDescent="0.25">
      <c r="B48" s="31" t="s">
        <v>114</v>
      </c>
      <c r="C48" s="18"/>
      <c r="D48" s="18"/>
      <c r="E48" s="18"/>
      <c r="F48" s="18" t="s">
        <v>66</v>
      </c>
      <c r="G48" s="18" t="s">
        <v>66</v>
      </c>
      <c r="H48" s="18" t="s">
        <v>66</v>
      </c>
      <c r="I48" s="18" t="s">
        <v>66</v>
      </c>
      <c r="J48" s="18" t="s">
        <v>66</v>
      </c>
      <c r="K48" s="18" t="s">
        <v>66</v>
      </c>
      <c r="L48" s="18" t="s">
        <v>66</v>
      </c>
      <c r="M48" s="18" t="s">
        <v>66</v>
      </c>
      <c r="N48" s="18" t="s">
        <v>66</v>
      </c>
      <c r="O48" s="18" t="s">
        <v>66</v>
      </c>
      <c r="P48" s="18" t="s">
        <v>66</v>
      </c>
      <c r="Q48" s="18" t="s">
        <v>66</v>
      </c>
      <c r="R48" s="18" t="s">
        <v>66</v>
      </c>
      <c r="S48" s="18" t="s">
        <v>66</v>
      </c>
      <c r="T48" s="18" t="s">
        <v>66</v>
      </c>
      <c r="U48" s="18" t="s">
        <v>66</v>
      </c>
      <c r="V48" s="18" t="s">
        <v>66</v>
      </c>
      <c r="W48" s="18" t="s">
        <v>66</v>
      </c>
      <c r="X48" s="18" t="s">
        <v>66</v>
      </c>
      <c r="Y48" s="18"/>
      <c r="Z48" s="18"/>
      <c r="AA48" s="18"/>
      <c r="AB48" s="18"/>
      <c r="AC48" s="18"/>
      <c r="AD48" s="18" t="s">
        <v>66</v>
      </c>
      <c r="AE48" s="18" t="s">
        <v>66</v>
      </c>
      <c r="AF48" s="18"/>
      <c r="AG48" s="18"/>
      <c r="AH48" s="27">
        <f>COUNTA(月11_211[[#This Row],[1]:[ ]])</f>
        <v>21</v>
      </c>
    </row>
    <row r="49" spans="2:34" ht="30" customHeight="1" x14ac:dyDescent="0.25">
      <c r="B49" s="31" t="s">
        <v>115</v>
      </c>
      <c r="C49" s="18"/>
      <c r="D49" s="18"/>
      <c r="E49" s="18"/>
      <c r="F49" s="18" t="s">
        <v>66</v>
      </c>
      <c r="G49" s="18" t="s">
        <v>66</v>
      </c>
      <c r="H49" s="18" t="s">
        <v>66</v>
      </c>
      <c r="I49" s="18" t="s">
        <v>66</v>
      </c>
      <c r="J49" s="18" t="s">
        <v>66</v>
      </c>
      <c r="K49" s="18" t="s">
        <v>66</v>
      </c>
      <c r="L49" s="18" t="s">
        <v>66</v>
      </c>
      <c r="M49" s="18" t="s">
        <v>66</v>
      </c>
      <c r="N49" s="18" t="s">
        <v>66</v>
      </c>
      <c r="O49" s="18" t="s">
        <v>66</v>
      </c>
      <c r="P49" s="18" t="s">
        <v>66</v>
      </c>
      <c r="Q49" s="18" t="s">
        <v>66</v>
      </c>
      <c r="R49" s="18" t="s">
        <v>66</v>
      </c>
      <c r="S49" s="18" t="s">
        <v>66</v>
      </c>
      <c r="T49" s="18" t="s">
        <v>66</v>
      </c>
      <c r="U49" s="18" t="s">
        <v>66</v>
      </c>
      <c r="V49" s="18" t="s">
        <v>66</v>
      </c>
      <c r="W49" s="18" t="s">
        <v>66</v>
      </c>
      <c r="X49" s="18" t="s">
        <v>66</v>
      </c>
      <c r="Y49" s="18"/>
      <c r="Z49" s="18"/>
      <c r="AA49" s="18"/>
      <c r="AB49" s="18"/>
      <c r="AC49" s="18"/>
      <c r="AD49" s="18" t="s">
        <v>66</v>
      </c>
      <c r="AE49" s="18" t="s">
        <v>66</v>
      </c>
      <c r="AF49" s="18"/>
      <c r="AG49" s="18"/>
      <c r="AH49" s="27">
        <f>COUNTA(月11_211[[#This Row],[1]:[ ]])</f>
        <v>21</v>
      </c>
    </row>
    <row r="50" spans="2:34" ht="30" customHeight="1" x14ac:dyDescent="0.25">
      <c r="B50" s="31" t="s">
        <v>116</v>
      </c>
      <c r="C50" s="18"/>
      <c r="D50" s="18"/>
      <c r="E50" s="18"/>
      <c r="F50" s="18" t="s">
        <v>66</v>
      </c>
      <c r="G50" s="18" t="s">
        <v>66</v>
      </c>
      <c r="H50" s="18" t="s">
        <v>66</v>
      </c>
      <c r="I50" s="18" t="s">
        <v>66</v>
      </c>
      <c r="J50" s="18" t="s">
        <v>66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 t="s">
        <v>66</v>
      </c>
      <c r="AE50" s="18" t="s">
        <v>66</v>
      </c>
      <c r="AF50" s="18"/>
      <c r="AG50" s="18"/>
      <c r="AH50" s="27">
        <f>COUNTA(月11_211[[#This Row],[1]:[ ]])</f>
        <v>7</v>
      </c>
    </row>
    <row r="51" spans="2:34" ht="30" customHeight="1" x14ac:dyDescent="0.25">
      <c r="B51" s="31" t="s">
        <v>117</v>
      </c>
      <c r="C51" s="18"/>
      <c r="D51" s="18"/>
      <c r="E51" s="18"/>
      <c r="F51" s="18" t="s">
        <v>66</v>
      </c>
      <c r="G51" s="18" t="s">
        <v>66</v>
      </c>
      <c r="H51" s="18" t="s">
        <v>66</v>
      </c>
      <c r="I51" s="18" t="s">
        <v>66</v>
      </c>
      <c r="J51" s="18" t="s">
        <v>66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 t="s">
        <v>66</v>
      </c>
      <c r="AA51" s="18" t="s">
        <v>66</v>
      </c>
      <c r="AB51" s="18" t="s">
        <v>66</v>
      </c>
      <c r="AC51" s="18" t="s">
        <v>66</v>
      </c>
      <c r="AD51" s="18" t="s">
        <v>66</v>
      </c>
      <c r="AE51" s="18"/>
      <c r="AF51" s="18"/>
      <c r="AG51" s="18"/>
      <c r="AH51" s="27">
        <f>COUNTA(月11_211[[#This Row],[1]:[ ]])</f>
        <v>10</v>
      </c>
    </row>
    <row r="52" spans="2:34" ht="30" customHeight="1" x14ac:dyDescent="0.25">
      <c r="B52" s="31" t="s">
        <v>118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 t="s">
        <v>66</v>
      </c>
      <c r="AA52" s="18" t="s">
        <v>66</v>
      </c>
      <c r="AB52" s="18" t="s">
        <v>66</v>
      </c>
      <c r="AC52" s="18" t="s">
        <v>66</v>
      </c>
      <c r="AD52" s="18" t="s">
        <v>66</v>
      </c>
      <c r="AE52" s="18"/>
      <c r="AF52" s="18"/>
      <c r="AG52" s="18"/>
      <c r="AH52" s="27">
        <f>COUNTA(月11_211[[#This Row],[1]:[ ]])</f>
        <v>5</v>
      </c>
    </row>
    <row r="53" spans="2:34" ht="30" customHeight="1" x14ac:dyDescent="0.25">
      <c r="B53" s="31" t="s">
        <v>144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 t="s">
        <v>66</v>
      </c>
      <c r="AA53" s="18" t="s">
        <v>66</v>
      </c>
      <c r="AB53" s="18" t="s">
        <v>66</v>
      </c>
      <c r="AC53" s="18" t="s">
        <v>66</v>
      </c>
      <c r="AD53" s="18" t="s">
        <v>66</v>
      </c>
      <c r="AE53" s="18"/>
      <c r="AF53" s="18"/>
      <c r="AG53" s="18"/>
      <c r="AH53" s="27">
        <f>COUNTA(月11_211[[#This Row],[1]:[ ]])</f>
        <v>5</v>
      </c>
    </row>
    <row r="54" spans="2:34" ht="30" customHeight="1" x14ac:dyDescent="0.25">
      <c r="B54" s="31" t="s">
        <v>145</v>
      </c>
      <c r="C54" s="18" t="s">
        <v>66</v>
      </c>
      <c r="D54" s="18" t="s">
        <v>66</v>
      </c>
      <c r="E54" s="18" t="s">
        <v>66</v>
      </c>
      <c r="F54" s="18" t="s">
        <v>66</v>
      </c>
      <c r="G54" s="18" t="s">
        <v>66</v>
      </c>
      <c r="H54" s="18"/>
      <c r="I54" s="18" t="s">
        <v>66</v>
      </c>
      <c r="J54" s="18" t="s">
        <v>66</v>
      </c>
      <c r="K54" s="18" t="s">
        <v>66</v>
      </c>
      <c r="L54" s="18" t="s">
        <v>66</v>
      </c>
      <c r="M54" s="18" t="s">
        <v>66</v>
      </c>
      <c r="N54" s="18" t="s">
        <v>66</v>
      </c>
      <c r="O54" s="18" t="s">
        <v>66</v>
      </c>
      <c r="P54" s="18" t="s">
        <v>66</v>
      </c>
      <c r="Q54" s="18" t="s">
        <v>66</v>
      </c>
      <c r="R54" s="18" t="s">
        <v>66</v>
      </c>
      <c r="S54" s="18" t="s">
        <v>66</v>
      </c>
      <c r="T54" s="18" t="s">
        <v>66</v>
      </c>
      <c r="U54" s="18" t="s">
        <v>66</v>
      </c>
      <c r="V54" s="18" t="s">
        <v>66</v>
      </c>
      <c r="W54" s="18" t="s">
        <v>66</v>
      </c>
      <c r="X54" s="18" t="s">
        <v>66</v>
      </c>
      <c r="Y54" s="18"/>
      <c r="Z54" s="18" t="s">
        <v>66</v>
      </c>
      <c r="AA54" s="18" t="s">
        <v>66</v>
      </c>
      <c r="AB54" s="18" t="s">
        <v>66</v>
      </c>
      <c r="AC54" s="18" t="s">
        <v>66</v>
      </c>
      <c r="AD54" s="18" t="s">
        <v>66</v>
      </c>
      <c r="AE54" s="18"/>
      <c r="AF54" s="18"/>
      <c r="AG54" s="18"/>
      <c r="AH54" s="27">
        <f>COUNTA(月11_211[[#This Row],[1]:[ ]])</f>
        <v>26</v>
      </c>
    </row>
    <row r="55" spans="2:34" ht="30" customHeight="1" x14ac:dyDescent="0.25">
      <c r="B55" s="32" t="s">
        <v>146</v>
      </c>
      <c r="C55" s="18" t="s">
        <v>66</v>
      </c>
      <c r="D55" s="18" t="s">
        <v>66</v>
      </c>
      <c r="E55" s="18" t="s">
        <v>66</v>
      </c>
      <c r="F55" s="18" t="s">
        <v>66</v>
      </c>
      <c r="G55" s="18" t="s">
        <v>66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 t="s">
        <v>66</v>
      </c>
      <c r="AA55" s="18" t="s">
        <v>66</v>
      </c>
      <c r="AB55" s="18" t="s">
        <v>66</v>
      </c>
      <c r="AC55" s="18" t="s">
        <v>66</v>
      </c>
      <c r="AD55" s="18" t="s">
        <v>66</v>
      </c>
      <c r="AE55" s="18"/>
      <c r="AF55" s="18"/>
      <c r="AG55" s="18"/>
      <c r="AH55" s="27">
        <f>COUNTA(月11_211[[#This Row],[1]:[ ]])</f>
        <v>10</v>
      </c>
    </row>
    <row r="56" spans="2:34" ht="30" customHeight="1" x14ac:dyDescent="0.25">
      <c r="B56" s="32" t="s">
        <v>147</v>
      </c>
      <c r="C56" s="18" t="s">
        <v>66</v>
      </c>
      <c r="D56" s="18" t="s">
        <v>66</v>
      </c>
      <c r="E56" s="18" t="s">
        <v>66</v>
      </c>
      <c r="F56" s="18" t="s">
        <v>66</v>
      </c>
      <c r="G56" s="18" t="s">
        <v>66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 t="s">
        <v>66</v>
      </c>
      <c r="AA56" s="18" t="s">
        <v>66</v>
      </c>
      <c r="AB56" s="18" t="s">
        <v>66</v>
      </c>
      <c r="AC56" s="18" t="s">
        <v>66</v>
      </c>
      <c r="AD56" s="18" t="s">
        <v>66</v>
      </c>
      <c r="AE56" s="18"/>
      <c r="AF56" s="18"/>
      <c r="AG56" s="18"/>
      <c r="AH56" s="27">
        <f>COUNTA(月11_211[[#This Row],[1]:[ ]])</f>
        <v>10</v>
      </c>
    </row>
    <row r="57" spans="2:34" ht="30" customHeight="1" x14ac:dyDescent="0.25">
      <c r="B57" s="32" t="s">
        <v>148</v>
      </c>
      <c r="C57" s="18"/>
      <c r="D57" s="18"/>
      <c r="E57" s="18"/>
      <c r="F57" s="18" t="s">
        <v>66</v>
      </c>
      <c r="G57" s="18" t="s">
        <v>66</v>
      </c>
      <c r="H57" s="18" t="s">
        <v>66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 t="s">
        <v>66</v>
      </c>
      <c r="AA57" s="18" t="s">
        <v>66</v>
      </c>
      <c r="AB57" s="18" t="s">
        <v>66</v>
      </c>
      <c r="AC57" s="18" t="s">
        <v>66</v>
      </c>
      <c r="AD57" s="18" t="s">
        <v>66</v>
      </c>
      <c r="AE57" s="18"/>
      <c r="AF57" s="18"/>
      <c r="AG57" s="18"/>
      <c r="AH57" s="27">
        <f>COUNTA(月11_211[[#This Row],[1]:[ ]])</f>
        <v>8</v>
      </c>
    </row>
    <row r="58" spans="2:34" ht="30" customHeight="1" x14ac:dyDescent="0.25">
      <c r="B58" s="32" t="s">
        <v>149</v>
      </c>
      <c r="C58" s="18"/>
      <c r="D58" s="18"/>
      <c r="E58" s="18"/>
      <c r="F58" s="18" t="s">
        <v>66</v>
      </c>
      <c r="G58" s="18" t="s">
        <v>66</v>
      </c>
      <c r="H58" s="18" t="s">
        <v>66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 t="s">
        <v>66</v>
      </c>
      <c r="AA58" s="18" t="s">
        <v>66</v>
      </c>
      <c r="AB58" s="18" t="s">
        <v>66</v>
      </c>
      <c r="AC58" s="18" t="s">
        <v>66</v>
      </c>
      <c r="AD58" s="18" t="s">
        <v>66</v>
      </c>
      <c r="AE58" s="18"/>
      <c r="AF58" s="18"/>
      <c r="AG58" s="18"/>
      <c r="AH58" s="27">
        <f>COUNTA(月11_211[[#This Row],[1]:[ ]])</f>
        <v>8</v>
      </c>
    </row>
    <row r="59" spans="2:34" ht="30" customHeight="1" x14ac:dyDescent="0.25">
      <c r="B59" s="32" t="s">
        <v>150</v>
      </c>
      <c r="C59" s="18"/>
      <c r="D59" s="18"/>
      <c r="E59" s="18"/>
      <c r="F59" s="18" t="s">
        <v>66</v>
      </c>
      <c r="G59" s="18" t="s">
        <v>66</v>
      </c>
      <c r="H59" s="18" t="s">
        <v>66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 t="s">
        <v>66</v>
      </c>
      <c r="AA59" s="18" t="s">
        <v>66</v>
      </c>
      <c r="AB59" s="18" t="s">
        <v>66</v>
      </c>
      <c r="AC59" s="18" t="s">
        <v>66</v>
      </c>
      <c r="AD59" s="18" t="s">
        <v>66</v>
      </c>
      <c r="AE59" s="18"/>
      <c r="AF59" s="18"/>
      <c r="AG59" s="18"/>
      <c r="AH59" s="27">
        <f>COUNTA(月11_211[[#This Row],[1]:[ ]])</f>
        <v>8</v>
      </c>
    </row>
    <row r="60" spans="2:34" ht="30" customHeight="1" x14ac:dyDescent="0.25">
      <c r="B60" s="32" t="s">
        <v>151</v>
      </c>
      <c r="C60" s="18"/>
      <c r="D60" s="18"/>
      <c r="E60" s="18"/>
      <c r="F60" s="18" t="s">
        <v>66</v>
      </c>
      <c r="G60" s="18" t="s">
        <v>66</v>
      </c>
      <c r="H60" s="18" t="s">
        <v>66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 t="s">
        <v>66</v>
      </c>
      <c r="AA60" s="18" t="s">
        <v>66</v>
      </c>
      <c r="AB60" s="18" t="s">
        <v>66</v>
      </c>
      <c r="AC60" s="18" t="s">
        <v>66</v>
      </c>
      <c r="AD60" s="18" t="s">
        <v>66</v>
      </c>
      <c r="AE60" s="18"/>
      <c r="AF60" s="18"/>
      <c r="AG60" s="18"/>
      <c r="AH60" s="27">
        <f>COUNTA(月11_211[[#This Row],[1]:[ ]])</f>
        <v>8</v>
      </c>
    </row>
    <row r="61" spans="2:34" ht="30" customHeight="1" x14ac:dyDescent="0.25">
      <c r="B61" s="32" t="s">
        <v>152</v>
      </c>
      <c r="C61" s="18"/>
      <c r="D61" s="18"/>
      <c r="E61" s="18"/>
      <c r="F61" s="18" t="s">
        <v>66</v>
      </c>
      <c r="G61" s="18" t="s">
        <v>66</v>
      </c>
      <c r="H61" s="18" t="s">
        <v>66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 t="s">
        <v>66</v>
      </c>
      <c r="U61" s="18" t="s">
        <v>66</v>
      </c>
      <c r="V61" s="18" t="s">
        <v>66</v>
      </c>
      <c r="W61" s="18" t="s">
        <v>66</v>
      </c>
      <c r="X61" s="18" t="s">
        <v>66</v>
      </c>
      <c r="Y61" s="18" t="s">
        <v>66</v>
      </c>
      <c r="Z61" s="18" t="s">
        <v>66</v>
      </c>
      <c r="AA61" s="18" t="s">
        <v>66</v>
      </c>
      <c r="AB61" s="18" t="s">
        <v>66</v>
      </c>
      <c r="AC61" s="18" t="s">
        <v>66</v>
      </c>
      <c r="AD61" s="18" t="s">
        <v>66</v>
      </c>
      <c r="AE61" s="18" t="s">
        <v>66</v>
      </c>
      <c r="AF61" s="18" t="s">
        <v>66</v>
      </c>
      <c r="AG61" s="18"/>
      <c r="AH61" s="27">
        <f>COUNTA(月11_211[[#This Row],[1]:[ ]])</f>
        <v>16</v>
      </c>
    </row>
    <row r="62" spans="2:34" ht="30" customHeight="1" x14ac:dyDescent="0.25">
      <c r="B62" s="32" t="s">
        <v>153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 t="s">
        <v>66</v>
      </c>
      <c r="U62" s="18" t="s">
        <v>66</v>
      </c>
      <c r="V62" s="18" t="s">
        <v>66</v>
      </c>
      <c r="W62" s="18" t="s">
        <v>66</v>
      </c>
      <c r="X62" s="18" t="s">
        <v>66</v>
      </c>
      <c r="Y62" s="18" t="s">
        <v>66</v>
      </c>
      <c r="Z62" s="18" t="s">
        <v>66</v>
      </c>
      <c r="AA62" s="18" t="s">
        <v>66</v>
      </c>
      <c r="AB62" s="18" t="s">
        <v>66</v>
      </c>
      <c r="AC62" s="18" t="s">
        <v>66</v>
      </c>
      <c r="AD62" s="18" t="s">
        <v>66</v>
      </c>
      <c r="AE62" s="18" t="s">
        <v>66</v>
      </c>
      <c r="AF62" s="18" t="s">
        <v>66</v>
      </c>
      <c r="AG62" s="18"/>
      <c r="AH62" s="27">
        <f>COUNTA(月11_211[[#This Row],[1]:[ ]])</f>
        <v>13</v>
      </c>
    </row>
    <row r="63" spans="2:34" ht="30" customHeight="1" x14ac:dyDescent="0.25">
      <c r="B63" s="32" t="s">
        <v>154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 t="s">
        <v>66</v>
      </c>
      <c r="U63" s="18" t="s">
        <v>66</v>
      </c>
      <c r="V63" s="18" t="s">
        <v>66</v>
      </c>
      <c r="W63" s="18" t="s">
        <v>66</v>
      </c>
      <c r="X63" s="18" t="s">
        <v>66</v>
      </c>
      <c r="Y63" s="18" t="s">
        <v>66</v>
      </c>
      <c r="Z63" s="18" t="s">
        <v>66</v>
      </c>
      <c r="AA63" s="18" t="s">
        <v>66</v>
      </c>
      <c r="AB63" s="18" t="s">
        <v>66</v>
      </c>
      <c r="AC63" s="18" t="s">
        <v>66</v>
      </c>
      <c r="AD63" s="18" t="s">
        <v>66</v>
      </c>
      <c r="AE63" s="18" t="s">
        <v>66</v>
      </c>
      <c r="AF63" s="18" t="s">
        <v>66</v>
      </c>
      <c r="AG63" s="18"/>
      <c r="AH63" s="27">
        <f>COUNTA(月11_211[[#This Row],[1]:[ ]])</f>
        <v>13</v>
      </c>
    </row>
    <row r="64" spans="2:34" ht="30" customHeight="1" x14ac:dyDescent="0.25">
      <c r="B64" s="32" t="s">
        <v>155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 t="s">
        <v>66</v>
      </c>
      <c r="U64" s="18" t="s">
        <v>66</v>
      </c>
      <c r="V64" s="18" t="s">
        <v>66</v>
      </c>
      <c r="W64" s="18" t="s">
        <v>66</v>
      </c>
      <c r="X64" s="18" t="s">
        <v>66</v>
      </c>
      <c r="Y64" s="18" t="s">
        <v>66</v>
      </c>
      <c r="Z64" s="18" t="s">
        <v>66</v>
      </c>
      <c r="AA64" s="18" t="s">
        <v>66</v>
      </c>
      <c r="AB64" s="18" t="s">
        <v>66</v>
      </c>
      <c r="AC64" s="18" t="s">
        <v>66</v>
      </c>
      <c r="AD64" s="18" t="s">
        <v>66</v>
      </c>
      <c r="AE64" s="18" t="s">
        <v>66</v>
      </c>
      <c r="AF64" s="18" t="s">
        <v>66</v>
      </c>
      <c r="AG64" s="18"/>
      <c r="AH64" s="27">
        <f>COUNTA(月11_211[[#This Row],[1]:[ ]])</f>
        <v>13</v>
      </c>
    </row>
    <row r="65" spans="2:34" ht="30" customHeight="1" x14ac:dyDescent="0.25">
      <c r="B65" s="32" t="s">
        <v>156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27">
        <f>COUNTA(月11_211[[#This Row],[1]:[ ]])</f>
        <v>0</v>
      </c>
    </row>
    <row r="66" spans="2:34" ht="30" customHeight="1" x14ac:dyDescent="0.25">
      <c r="B66" s="21" t="str">
        <f>MonthName&amp;"集計"</f>
        <v>8月集計</v>
      </c>
      <c r="C66" s="22">
        <f>SUBTOTAL(103,月11_211[1])</f>
        <v>5</v>
      </c>
      <c r="D66" s="22">
        <f>SUBTOTAL(103,月11_211[2])</f>
        <v>5</v>
      </c>
      <c r="E66" s="22">
        <f>SUBTOTAL(103,月11_211[3])</f>
        <v>5</v>
      </c>
      <c r="F66" s="22">
        <f>SUBTOTAL(103,月11_211[4])</f>
        <v>32</v>
      </c>
      <c r="G66" s="22">
        <f>SUBTOTAL(103,月11_211[5])</f>
        <v>32</v>
      </c>
      <c r="H66" s="22">
        <f>SUBTOTAL(103,月11_211[6])</f>
        <v>27</v>
      </c>
      <c r="I66" s="22">
        <f>SUBTOTAL(103,月11_211[7])</f>
        <v>23</v>
      </c>
      <c r="J66" s="22">
        <f>SUBTOTAL(103,月11_211[8])</f>
        <v>23</v>
      </c>
      <c r="K66" s="22">
        <f>SUBTOTAL(103,月11_211[9])</f>
        <v>19</v>
      </c>
      <c r="L66" s="22">
        <f>SUBTOTAL(103,月11_211[10])</f>
        <v>19</v>
      </c>
      <c r="M66" s="22">
        <f>SUBTOTAL(103,月11_211[11])</f>
        <v>19</v>
      </c>
      <c r="N66" s="22">
        <f>SUBTOTAL(103,月11_211[12])</f>
        <v>19</v>
      </c>
      <c r="O66" s="22">
        <f>SUBTOTAL(103,月11_211[13])</f>
        <v>19</v>
      </c>
      <c r="P66" s="22">
        <f>SUBTOTAL(103,月11_211[14])</f>
        <v>19</v>
      </c>
      <c r="Q66" s="22">
        <f>SUBTOTAL(103,月11_211[15])</f>
        <v>19</v>
      </c>
      <c r="R66" s="22">
        <f>SUBTOTAL(103,月11_211[16])</f>
        <v>19</v>
      </c>
      <c r="S66" s="22">
        <f>SUBTOTAL(103,月11_211[17])</f>
        <v>19</v>
      </c>
      <c r="T66" s="22">
        <f>SUBTOTAL(103,月11_211[18])</f>
        <v>23</v>
      </c>
      <c r="U66" s="22">
        <f>SUBTOTAL(103,月11_211[19])</f>
        <v>23</v>
      </c>
      <c r="V66" s="22">
        <f>SUBTOTAL(103,月11_211[20])</f>
        <v>23</v>
      </c>
      <c r="W66" s="22">
        <f>SUBTOTAL(103,月11_211[21])</f>
        <v>23</v>
      </c>
      <c r="X66" s="22">
        <f>SUBTOTAL(103,月11_211[22])</f>
        <v>23</v>
      </c>
      <c r="Y66" s="22">
        <f>SUBTOTAL(103,月11_211[23])</f>
        <v>8</v>
      </c>
      <c r="Z66" s="22">
        <f>SUBTOTAL(103,月11_211[24])</f>
        <v>18</v>
      </c>
      <c r="AA66" s="22">
        <f>SUBTOTAL(103,月11_211[25])</f>
        <v>21</v>
      </c>
      <c r="AB66" s="22">
        <f>SUBTOTAL(103,月11_211[26])</f>
        <v>21</v>
      </c>
      <c r="AC66" s="22">
        <f>SUBTOTAL(103,月11_211[27])</f>
        <v>21</v>
      </c>
      <c r="AD66" s="22">
        <f>SUBTOTAL(103,月11_211[28])</f>
        <v>31</v>
      </c>
      <c r="AE66" s="22">
        <f>SUBTOTAL(103,月11_211[29])</f>
        <v>21</v>
      </c>
      <c r="AF66" s="22">
        <f>SUBTOTAL(109,月11_211[30])</f>
        <v>0</v>
      </c>
      <c r="AG66" s="22">
        <f>SUBTOTAL(109,月11_211[[ ]])</f>
        <v>0</v>
      </c>
      <c r="AH66" s="22">
        <f>SUBTOTAL(109,月11_211[合計日数])</f>
        <v>587</v>
      </c>
    </row>
  </sheetData>
  <mergeCells count="6">
    <mergeCell ref="C6:AG6"/>
    <mergeCell ref="D4:F4"/>
    <mergeCell ref="H4:J4"/>
    <mergeCell ref="L4:M4"/>
    <mergeCell ref="O4:Q4"/>
    <mergeCell ref="S4:U4"/>
  </mergeCells>
  <phoneticPr fontId="10"/>
  <conditionalFormatting sqref="C10 S31:S33">
    <cfRule type="expression" priority="319" stopIfTrue="1">
      <formula>C10=""</formula>
    </cfRule>
    <cfRule type="expression" dxfId="214" priority="320" stopIfTrue="1">
      <formula>C10=KeyCustom2</formula>
    </cfRule>
    <cfRule type="expression" dxfId="213" priority="321" stopIfTrue="1">
      <formula>C10=KeyCustom1</formula>
    </cfRule>
    <cfRule type="expression" dxfId="212" priority="323" stopIfTrue="1">
      <formula>C10=KeyPersonal</formula>
    </cfRule>
    <cfRule type="expression" dxfId="211" priority="322" stopIfTrue="1">
      <formula>C10=KeySick</formula>
    </cfRule>
    <cfRule type="expression" dxfId="210" priority="324" stopIfTrue="1">
      <formula>C10=KeyVacation</formula>
    </cfRule>
  </conditionalFormatting>
  <conditionalFormatting sqref="C20:G23">
    <cfRule type="expression" priority="115" stopIfTrue="1">
      <formula>C20=""</formula>
    </cfRule>
    <cfRule type="expression" dxfId="209" priority="116" stopIfTrue="1">
      <formula>C20=KeyCustom2</formula>
    </cfRule>
    <cfRule type="expression" dxfId="208" priority="117" stopIfTrue="1">
      <formula>C20=KeyCustom1</formula>
    </cfRule>
    <cfRule type="expression" dxfId="207" priority="118" stopIfTrue="1">
      <formula>C20=KeySick</formula>
    </cfRule>
    <cfRule type="expression" dxfId="206" priority="119" stopIfTrue="1">
      <formula>C20=KeyPersonal</formula>
    </cfRule>
    <cfRule type="expression" dxfId="205" priority="120" stopIfTrue="1">
      <formula>C20=KeyVacation</formula>
    </cfRule>
  </conditionalFormatting>
  <conditionalFormatting sqref="C9:AG9 D10:E10 F10:X19 AG10:AG19 C11:E19 H20:AG23 C24:AG30 C31:R33 C34:S40 C41:AD50 AF41:AG50 C51:Y52 C54:G56">
    <cfRule type="expression" dxfId="204" priority="330" stopIfTrue="1">
      <formula>C9=KeyVacation</formula>
    </cfRule>
    <cfRule type="expression" dxfId="203" priority="329" stopIfTrue="1">
      <formula>C9=KeyPersonal</formula>
    </cfRule>
    <cfRule type="expression" dxfId="202" priority="328" stopIfTrue="1">
      <formula>C9=KeySick</formula>
    </cfRule>
    <cfRule type="expression" priority="325" stopIfTrue="1">
      <formula>C9=""</formula>
    </cfRule>
    <cfRule type="expression" dxfId="201" priority="326" stopIfTrue="1">
      <formula>C9=KeyCustom2</formula>
    </cfRule>
    <cfRule type="expression" dxfId="200" priority="327" stopIfTrue="1">
      <formula>C9=KeyCustom1</formula>
    </cfRule>
  </conditionalFormatting>
  <conditionalFormatting sqref="F57:F61">
    <cfRule type="expression" dxfId="199" priority="75" stopIfTrue="1">
      <formula>F57=KeyCustom1</formula>
    </cfRule>
    <cfRule type="expression" dxfId="198" priority="78" stopIfTrue="1">
      <formula>F57=KeyVacation</formula>
    </cfRule>
    <cfRule type="expression" dxfId="197" priority="77" stopIfTrue="1">
      <formula>F57=KeyPersonal</formula>
    </cfRule>
    <cfRule type="expression" dxfId="196" priority="76" stopIfTrue="1">
      <formula>F57=KeySick</formula>
    </cfRule>
    <cfRule type="expression" dxfId="195" priority="74" stopIfTrue="1">
      <formula>F57=KeyCustom2</formula>
    </cfRule>
    <cfRule type="expression" priority="73" stopIfTrue="1">
      <formula>F57=""</formula>
    </cfRule>
  </conditionalFormatting>
  <conditionalFormatting sqref="G57:G61">
    <cfRule type="expression" dxfId="194" priority="66" stopIfTrue="1">
      <formula>G57=KeyVacation</formula>
    </cfRule>
    <cfRule type="expression" dxfId="193" priority="65" stopIfTrue="1">
      <formula>G57=KeyPersonal</formula>
    </cfRule>
    <cfRule type="expression" dxfId="192" priority="64" stopIfTrue="1">
      <formula>G57=KeySick</formula>
    </cfRule>
    <cfRule type="expression" dxfId="191" priority="63" stopIfTrue="1">
      <formula>G57=KeyCustom1</formula>
    </cfRule>
    <cfRule type="expression" dxfId="190" priority="62" stopIfTrue="1">
      <formula>G57=KeyCustom2</formula>
    </cfRule>
    <cfRule type="expression" priority="61" stopIfTrue="1">
      <formula>G57=""</formula>
    </cfRule>
  </conditionalFormatting>
  <conditionalFormatting sqref="H57:H61">
    <cfRule type="expression" priority="37" stopIfTrue="1">
      <formula>H57=""</formula>
    </cfRule>
    <cfRule type="expression" dxfId="189" priority="38" stopIfTrue="1">
      <formula>H57=KeyCustom2</formula>
    </cfRule>
    <cfRule type="expression" dxfId="188" priority="39" stopIfTrue="1">
      <formula>H57=KeyCustom1</formula>
    </cfRule>
    <cfRule type="expression" dxfId="187" priority="40" stopIfTrue="1">
      <formula>H57=KeySick</formula>
    </cfRule>
    <cfRule type="expression" dxfId="186" priority="41" stopIfTrue="1">
      <formula>H57=KeyPersonal</formula>
    </cfRule>
    <cfRule type="expression" dxfId="185" priority="42" stopIfTrue="1">
      <formula>H57=KeyVacation</formula>
    </cfRule>
  </conditionalFormatting>
  <conditionalFormatting sqref="I54:X54">
    <cfRule type="expression" dxfId="184" priority="36" stopIfTrue="1">
      <formula>I54=KeyVacation</formula>
    </cfRule>
    <cfRule type="expression" dxfId="183" priority="35" stopIfTrue="1">
      <formula>I54=KeyPersonal</formula>
    </cfRule>
    <cfRule type="expression" dxfId="182" priority="34" stopIfTrue="1">
      <formula>I54=KeySick</formula>
    </cfRule>
    <cfRule type="expression" dxfId="181" priority="33" stopIfTrue="1">
      <formula>I54=KeyCustom1</formula>
    </cfRule>
    <cfRule type="expression" priority="31" stopIfTrue="1">
      <formula>I54=""</formula>
    </cfRule>
    <cfRule type="expression" dxfId="180" priority="32" stopIfTrue="1">
      <formula>I54=KeyCustom2</formula>
    </cfRule>
  </conditionalFormatting>
  <conditionalFormatting sqref="T34:X40">
    <cfRule type="expression" priority="211" stopIfTrue="1">
      <formula>T34=""</formula>
    </cfRule>
    <cfRule type="expression" dxfId="179" priority="212" stopIfTrue="1">
      <formula>T34=KeyCustom2</formula>
    </cfRule>
    <cfRule type="expression" dxfId="178" priority="215" stopIfTrue="1">
      <formula>T34=KeyPersonal</formula>
    </cfRule>
    <cfRule type="expression" dxfId="177" priority="216" stopIfTrue="1">
      <formula>T34=KeyVacation</formula>
    </cfRule>
    <cfRule type="expression" dxfId="176" priority="214" stopIfTrue="1">
      <formula>T34=KeySick</formula>
    </cfRule>
    <cfRule type="expression" dxfId="175" priority="213" stopIfTrue="1">
      <formula>T34=KeyCustom1</formula>
    </cfRule>
  </conditionalFormatting>
  <conditionalFormatting sqref="T61:X64">
    <cfRule type="expression" dxfId="174" priority="12" stopIfTrue="1">
      <formula>T61=KeyVacation</formula>
    </cfRule>
    <cfRule type="expression" dxfId="173" priority="11" stopIfTrue="1">
      <formula>T61=KeyPersonal</formula>
    </cfRule>
    <cfRule type="expression" dxfId="172" priority="10" stopIfTrue="1">
      <formula>T61=KeySick</formula>
    </cfRule>
    <cfRule type="expression" dxfId="171" priority="9" stopIfTrue="1">
      <formula>T61=KeyCustom1</formula>
    </cfRule>
    <cfRule type="expression" dxfId="170" priority="8" stopIfTrue="1">
      <formula>T61=KeyCustom2</formula>
    </cfRule>
    <cfRule type="expression" priority="7" stopIfTrue="1">
      <formula>T61=""</formula>
    </cfRule>
  </conditionalFormatting>
  <conditionalFormatting sqref="Y10:AF13">
    <cfRule type="expression" dxfId="169" priority="18" stopIfTrue="1">
      <formula>Y10=KeyVacation</formula>
    </cfRule>
    <cfRule type="expression" dxfId="168" priority="17" stopIfTrue="1">
      <formula>Y10=KeyPersonal</formula>
    </cfRule>
    <cfRule type="expression" dxfId="167" priority="16" stopIfTrue="1">
      <formula>Y10=KeySick</formula>
    </cfRule>
    <cfRule type="expression" dxfId="166" priority="15" stopIfTrue="1">
      <formula>Y10=KeyCustom1</formula>
    </cfRule>
    <cfRule type="expression" dxfId="165" priority="14" stopIfTrue="1">
      <formula>Y10=KeyCustom2</formula>
    </cfRule>
    <cfRule type="expression" priority="13" stopIfTrue="1">
      <formula>Y10=""</formula>
    </cfRule>
  </conditionalFormatting>
  <conditionalFormatting sqref="Y15:AF15">
    <cfRule type="expression" priority="139" stopIfTrue="1">
      <formula>Y15=""</formula>
    </cfRule>
    <cfRule type="expression" dxfId="164" priority="140" stopIfTrue="1">
      <formula>Y15=KeyCustom2</formula>
    </cfRule>
    <cfRule type="expression" dxfId="163" priority="141" stopIfTrue="1">
      <formula>Y15=KeyCustom1</formula>
    </cfRule>
    <cfRule type="expression" dxfId="162" priority="142" stopIfTrue="1">
      <formula>Y15=KeySick</formula>
    </cfRule>
    <cfRule type="expression" dxfId="161" priority="143" stopIfTrue="1">
      <formula>Y15=KeyPersonal</formula>
    </cfRule>
    <cfRule type="expression" dxfId="160" priority="144" stopIfTrue="1">
      <formula>Y15=KeyVacation</formula>
    </cfRule>
  </conditionalFormatting>
  <conditionalFormatting sqref="Y17:AF17">
    <cfRule type="expression" priority="133" stopIfTrue="1">
      <formula>Y17=""</formula>
    </cfRule>
    <cfRule type="expression" dxfId="159" priority="134" stopIfTrue="1">
      <formula>Y17=KeyCustom2</formula>
    </cfRule>
    <cfRule type="expression" dxfId="158" priority="135" stopIfTrue="1">
      <formula>Y17=KeyCustom1</formula>
    </cfRule>
    <cfRule type="expression" dxfId="157" priority="137" stopIfTrue="1">
      <formula>Y17=KeyPersonal</formula>
    </cfRule>
    <cfRule type="expression" dxfId="156" priority="138" stopIfTrue="1">
      <formula>Y17=KeyVacation</formula>
    </cfRule>
    <cfRule type="expression" dxfId="155" priority="136" stopIfTrue="1">
      <formula>Y17=KeySick</formula>
    </cfRule>
  </conditionalFormatting>
  <conditionalFormatting sqref="Y19:AF19">
    <cfRule type="expression" dxfId="154" priority="129" stopIfTrue="1">
      <formula>Y19=KeyCustom1</formula>
    </cfRule>
    <cfRule type="expression" dxfId="153" priority="132" stopIfTrue="1">
      <formula>Y19=KeyVacation</formula>
    </cfRule>
    <cfRule type="expression" dxfId="152" priority="130" stopIfTrue="1">
      <formula>Y19=KeySick</formula>
    </cfRule>
    <cfRule type="expression" dxfId="151" priority="128" stopIfTrue="1">
      <formula>Y19=KeyCustom2</formula>
    </cfRule>
    <cfRule type="expression" priority="127" stopIfTrue="1">
      <formula>Y19=""</formula>
    </cfRule>
    <cfRule type="expression" dxfId="150" priority="131" stopIfTrue="1">
      <formula>Y19=KeyPersonal</formula>
    </cfRule>
  </conditionalFormatting>
  <conditionalFormatting sqref="Y34:AF40">
    <cfRule type="expression" dxfId="149" priority="183" stopIfTrue="1">
      <formula>Y34=KeyCustom1</formula>
    </cfRule>
    <cfRule type="expression" dxfId="148" priority="184" stopIfTrue="1">
      <formula>Y34=KeySick</formula>
    </cfRule>
    <cfRule type="expression" dxfId="147" priority="186" stopIfTrue="1">
      <formula>Y34=KeyVacation</formula>
    </cfRule>
    <cfRule type="expression" priority="181" stopIfTrue="1">
      <formula>Y34=""</formula>
    </cfRule>
    <cfRule type="expression" dxfId="146" priority="182" stopIfTrue="1">
      <formula>Y34=KeyCustom2</formula>
    </cfRule>
    <cfRule type="expression" dxfId="145" priority="185" stopIfTrue="1">
      <formula>Y34=KeyPersonal</formula>
    </cfRule>
  </conditionalFormatting>
  <conditionalFormatting sqref="Y61:AF64">
    <cfRule type="expression" dxfId="144" priority="3" stopIfTrue="1">
      <formula>Y61=KeyCustom1</formula>
    </cfRule>
    <cfRule type="expression" dxfId="143" priority="4" stopIfTrue="1">
      <formula>Y61=KeySick</formula>
    </cfRule>
    <cfRule type="expression" dxfId="142" priority="5" stopIfTrue="1">
      <formula>Y61=KeyPersonal</formula>
    </cfRule>
    <cfRule type="expression" dxfId="141" priority="6" stopIfTrue="1">
      <formula>Y61=KeyVacation</formula>
    </cfRule>
    <cfRule type="expression" priority="1" stopIfTrue="1">
      <formula>Y61=""</formula>
    </cfRule>
    <cfRule type="expression" dxfId="140" priority="2" stopIfTrue="1">
      <formula>Y61=KeyCustom2</formula>
    </cfRule>
  </conditionalFormatting>
  <conditionalFormatting sqref="Z51:AD60">
    <cfRule type="expression" priority="121" stopIfTrue="1">
      <formula>Z51=""</formula>
    </cfRule>
    <cfRule type="expression" dxfId="139" priority="122" stopIfTrue="1">
      <formula>Z51=KeyCustom2</formula>
    </cfRule>
    <cfRule type="expression" dxfId="138" priority="123" stopIfTrue="1">
      <formula>Z51=KeyCustom1</formula>
    </cfRule>
    <cfRule type="expression" dxfId="137" priority="124" stopIfTrue="1">
      <formula>Z51=KeySick</formula>
    </cfRule>
    <cfRule type="expression" dxfId="136" priority="125" stopIfTrue="1">
      <formula>Z51=KeyPersonal</formula>
    </cfRule>
    <cfRule type="expression" dxfId="135" priority="126" stopIfTrue="1">
      <formula>Z51=KeyVacation</formula>
    </cfRule>
  </conditionalFormatting>
  <conditionalFormatting sqref="AA31:AE32">
    <cfRule type="expression" priority="19" stopIfTrue="1">
      <formula>AA31=""</formula>
    </cfRule>
    <cfRule type="expression" dxfId="134" priority="21" stopIfTrue="1">
      <formula>AA31=KeyCustom1</formula>
    </cfRule>
    <cfRule type="expression" dxfId="133" priority="22" stopIfTrue="1">
      <formula>AA31=KeySick</formula>
    </cfRule>
    <cfRule type="expression" dxfId="132" priority="23" stopIfTrue="1">
      <formula>AA31=KeyPersonal</formula>
    </cfRule>
    <cfRule type="expression" dxfId="131" priority="24" stopIfTrue="1">
      <formula>AA31=KeyVacation</formula>
    </cfRule>
    <cfRule type="expression" dxfId="130" priority="20" stopIfTrue="1">
      <formula>AA31=KeyCustom2</formula>
    </cfRule>
  </conditionalFormatting>
  <conditionalFormatting sqref="AE41:AE50">
    <cfRule type="expression" priority="229" stopIfTrue="1">
      <formula>AE41=""</formula>
    </cfRule>
    <cfRule type="expression" dxfId="129" priority="230" stopIfTrue="1">
      <formula>AE41=KeyCustom2</formula>
    </cfRule>
    <cfRule type="expression" dxfId="128" priority="231" stopIfTrue="1">
      <formula>AE41=KeyCustom1</formula>
    </cfRule>
    <cfRule type="expression" dxfId="127" priority="232" stopIfTrue="1">
      <formula>AE41=KeySick</formula>
    </cfRule>
    <cfRule type="expression" dxfId="126" priority="233" stopIfTrue="1">
      <formula>AE41=KeyPersonal</formula>
    </cfRule>
    <cfRule type="expression" dxfId="125" priority="234" stopIfTrue="1">
      <formula>AE41=KeyVacation</formula>
    </cfRule>
  </conditionalFormatting>
  <conditionalFormatting sqref="AE51:AG60">
    <cfRule type="expression" dxfId="124" priority="219" stopIfTrue="1">
      <formula>AE51=KeyCustom1</formula>
    </cfRule>
    <cfRule type="expression" dxfId="123" priority="220" stopIfTrue="1">
      <formula>AE51=KeySick</formula>
    </cfRule>
    <cfRule type="expression" dxfId="122" priority="221" stopIfTrue="1">
      <formula>AE51=KeyPersonal</formula>
    </cfRule>
    <cfRule type="expression" dxfId="121" priority="222" stopIfTrue="1">
      <formula>AE51=KeyVacation</formula>
    </cfRule>
    <cfRule type="expression" priority="217" stopIfTrue="1">
      <formula>AE51=""</formula>
    </cfRule>
    <cfRule type="expression" dxfId="120" priority="218" stopIfTrue="1">
      <formula>AE51=KeyCustom2</formula>
    </cfRule>
  </conditionalFormatting>
  <conditionalFormatting sqref="AG31:AG40">
    <cfRule type="expression" dxfId="119" priority="210" stopIfTrue="1">
      <formula>AG31=KeyVacation</formula>
    </cfRule>
    <cfRule type="expression" dxfId="118" priority="209" stopIfTrue="1">
      <formula>AG31=KeyPersonal</formula>
    </cfRule>
    <cfRule type="expression" dxfId="117" priority="208" stopIfTrue="1">
      <formula>AG31=KeySick</formula>
    </cfRule>
    <cfRule type="expression" dxfId="116" priority="207" stopIfTrue="1">
      <formula>AG31=KeyCustom1</formula>
    </cfRule>
    <cfRule type="expression" dxfId="115" priority="206" stopIfTrue="1">
      <formula>AG31=KeyCustom2</formula>
    </cfRule>
    <cfRule type="expression" priority="205" stopIfTrue="1">
      <formula>AG31=""</formula>
    </cfRule>
  </conditionalFormatting>
  <conditionalFormatting sqref="AH9:AH41 AH43:AH52">
    <cfRule type="dataBar" priority="332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{9C19C6DB-30E5-4D7D-A17E-A4439FA4CC0D}</x14:id>
        </ext>
      </extLst>
    </cfRule>
  </conditionalFormatting>
  <conditionalFormatting sqref="AH42">
    <cfRule type="dataBar" priority="331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{AF60ED1D-F10A-4DF6-9F9F-6944C37FC782}</x14:id>
        </ext>
      </extLst>
    </cfRule>
  </conditionalFormatting>
  <dataValidations count="15">
    <dataValidation allowBlank="1" showInputMessage="1" showErrorMessage="1" prompt="この行の月の日付は、自動的に生成されます。従業員の欠勤と欠勤の種類を月の各日付の各列に入力します。空白は欠勤でないことを示します" sqref="C8" xr:uid="{1350128E-6077-437D-AD22-D7C09472880F}"/>
    <dataValidation allowBlank="1" showInputMessage="1" showErrorMessage="1" prompt="このセルには、この欠勤管理の月の名前が入ります。テーブルの最後のセルには、この月の欠勤日数の合計が表示されます。テーブルの列 B で従業員名を選択します" sqref="B2" xr:uid="{1247772D-244B-4042-8897-DBAED7980273}"/>
    <dataValidation allowBlank="1" showInputMessage="1" showErrorMessage="1" prompt="この行には、テーブルで使用するキーが定義されています。セル C4 は休暇、G4 は私用、K4 は病欠です。セル N4 と R4 はカスタマイズ可能です" sqref="B4" xr:uid="{ACBEA754-7B58-44EB-8FE9-41146B5D4D80}"/>
    <dataValidation allowBlank="1" showInputMessage="1" showErrorMessage="1" prompt="左側にカスタム キーを表すラベルを入力します" sqref="O4:Q4 S4:U4" xr:uid="{CF8380ED-B0F2-4C12-8821-3A920A0CAA6B}"/>
    <dataValidation allowBlank="1" showErrorMessage="1" prompt="右側に文字を入力してラベルをカスタマイズし、別のキー項目を追加します" sqref="R4 N4" xr:uid="{F1EE4B1A-9F80-4267-BBD1-898094DA7A7D}"/>
    <dataValidation allowBlank="1" showErrorMessage="1" prompt="文字 &quot;S&quot; は病欠を表します" sqref="K4" xr:uid="{90BAC1A7-D6A5-48F6-8283-12C199A4A2E4}"/>
    <dataValidation allowBlank="1" showErrorMessage="1" prompt="文字 &quot;P&quot; は私用による欠勤を表します" sqref="G4 Y18:AF18 Y16:AF16 Y14:AF14" xr:uid="{974BA2D3-5522-4FFD-8E86-C10F38C071EF}"/>
    <dataValidation allowBlank="1" showErrorMessage="1" prompt="文字 &quot;V&quot; は休暇のための欠勤を表します" sqref="C4" xr:uid="{A2EF8714-A463-4E66-94C8-DBABE277A101}"/>
    <dataValidation allowBlank="1" showInputMessage="1" showErrorMessage="1" prompt="自動的に更新されるタイトルが、このセルの内容です。タイトルを変更するには、1 月のワークシートの B1 を更新します" sqref="B2" xr:uid="{E8DC67FA-497E-44B7-AD5A-B22AB6785DC0}"/>
    <dataValidation errorStyle="warning" allowBlank="1" showInputMessage="1" showErrorMessage="1" error="リストから名前を選択します。[キャンセル] を選択し、Alt キーを押しながら下方向キーを押してから、Enter キーを押して名前を選択します" prompt="従業員名ワークシートに従業員の名前を入力し、この列のリストから名前を選びます。Alt キーを押しながら下矢印キーを押して、Enter キーを押して名前を選択します" sqref="B8" xr:uid="{16B38F95-9383-4B75-8F4F-C2DE9AE39D2D}"/>
    <dataValidation allowBlank="1" showInputMessage="1" showErrorMessage="1" prompt="このワークシートでは 11 月の欠勤を管理します" sqref="A1" xr:uid="{73FD44D0-089D-42FE-AB7F-CF1A26D3A3CC}"/>
    <dataValidation allowBlank="1" showInputMessage="1" showErrorMessage="1" prompt="この列で、従業員の今月の欠勤日数の合計を自動的に計算します" sqref="AH8" xr:uid="{6F6BA945-3EAE-4E4D-A955-518030F27AAC}"/>
    <dataValidation allowBlank="1" showInputMessage="1" showErrorMessage="1" prompt="1 月のワークシートに入力した年に基づいて自動的に更新される年" sqref="AH6" xr:uid="{8158834C-DCB7-4A43-B997-F098F492BE0E}"/>
    <dataValidation allowBlank="1" showInputMessage="1" showErrorMessage="1" prompt="この行の曜日は、AH4 の年に従い当月に応じて自動的に更新されます。月の各日付は、従業員の欠勤と欠勤の種類を記録するための列です" sqref="C7:AF7" xr:uid="{3FC242D5-2556-41E1-90C5-9C8D622EF4A3}"/>
    <dataValidation allowBlank="1" showInputMessage="1" showErrorMessage="1" prompt="このセルには、ワークシートのタイトルが入ります。" sqref="B1" xr:uid="{36DABD94-3C9C-451B-84BC-57177B98B575}"/>
  </dataValidations>
  <pageMargins left="0.7" right="0.7" top="0.75" bottom="0.75" header="0.3" footer="0.3"/>
  <pageSetup paperSize="9" fitToHeight="0" orientation="portrait" verticalDpi="4294967293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19C6DB-30E5-4D7D-A17E-A4439FA4CC0D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AH9:AH41 AH43:AH52</xm:sqref>
        </x14:conditionalFormatting>
        <x14:conditionalFormatting xmlns:xm="http://schemas.microsoft.com/office/excel/2006/main">
          <x14:cfRule type="dataBar" id="{AF60ED1D-F10A-4DF6-9F9F-6944C37FC782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E67E16-6A6C-418E-801D-26C609D5207E}">
          <x14:formula1>
            <xm:f>従業員名!$B$4:$B$60</xm:f>
          </x14:formula1>
          <xm:sqref>B9:B54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2FDA8-7EEE-4137-BA64-899725C75B9D}">
  <sheetPr>
    <tabColor theme="7"/>
  </sheetPr>
  <dimension ref="B1:AH66"/>
  <sheetViews>
    <sheetView showGridLines="0" topLeftCell="B11" zoomScale="85" zoomScaleNormal="85" workbookViewId="0">
      <selection activeCell="H17" sqref="H17"/>
    </sheetView>
  </sheetViews>
  <sheetFormatPr defaultColWidth="8.77734375" defaultRowHeight="30" customHeight="1" x14ac:dyDescent="0.25"/>
  <cols>
    <col min="1" max="1" width="2.88671875" customWidth="1"/>
    <col min="2" max="2" width="25.77734375" customWidth="1"/>
    <col min="3" max="33" width="4.77734375" customWidth="1"/>
    <col min="34" max="34" width="13.44140625" customWidth="1"/>
    <col min="35" max="35" width="2.88671875" customWidth="1"/>
  </cols>
  <sheetData>
    <row r="1" spans="2:34" ht="26.45" customHeight="1" x14ac:dyDescent="0.35">
      <c r="B1" s="2" t="s">
        <v>0</v>
      </c>
    </row>
    <row r="2" spans="2:34" ht="48.6" customHeight="1" x14ac:dyDescent="0.25">
      <c r="B2" s="28" t="s">
        <v>164</v>
      </c>
    </row>
    <row r="3" spans="2:34" ht="8.4499999999999993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2:34" ht="30" customHeight="1" x14ac:dyDescent="0.25">
      <c r="B4" s="8" t="s">
        <v>2</v>
      </c>
      <c r="C4" s="9" t="s">
        <v>3</v>
      </c>
      <c r="D4" s="37" t="s">
        <v>4</v>
      </c>
      <c r="E4" s="37"/>
      <c r="F4" s="37"/>
      <c r="G4" s="10" t="s">
        <v>5</v>
      </c>
      <c r="H4" s="37" t="s">
        <v>6</v>
      </c>
      <c r="I4" s="37"/>
      <c r="J4" s="37"/>
      <c r="K4" s="11"/>
      <c r="L4" s="37"/>
      <c r="M4" s="37"/>
      <c r="N4" s="12"/>
      <c r="O4" s="37" t="s">
        <v>7</v>
      </c>
      <c r="P4" s="37"/>
      <c r="Q4" s="37"/>
      <c r="R4" s="13"/>
      <c r="S4" s="37" t="s">
        <v>8</v>
      </c>
      <c r="T4" s="37"/>
      <c r="U4" s="37"/>
    </row>
    <row r="5" spans="2:34" ht="8.4499999999999993" customHeight="1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2:34" ht="15" customHeight="1" x14ac:dyDescent="0.25">
      <c r="B6" s="1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15">
        <v>2025</v>
      </c>
    </row>
    <row r="7" spans="2:34" ht="30" customHeight="1" x14ac:dyDescent="0.25">
      <c r="B7" s="15"/>
      <c r="C7" s="16" t="s">
        <v>165</v>
      </c>
      <c r="D7" s="16" t="s">
        <v>137</v>
      </c>
      <c r="E7" s="16" t="s">
        <v>138</v>
      </c>
      <c r="F7" s="16" t="s">
        <v>139</v>
      </c>
      <c r="G7" s="16" t="s">
        <v>140</v>
      </c>
      <c r="H7" s="16" t="s">
        <v>141</v>
      </c>
      <c r="I7" s="16" t="s">
        <v>142</v>
      </c>
      <c r="J7" s="16" t="s">
        <v>143</v>
      </c>
      <c r="K7" s="16" t="s">
        <v>137</v>
      </c>
      <c r="L7" s="16" t="s">
        <v>138</v>
      </c>
      <c r="M7" s="16" t="s">
        <v>139</v>
      </c>
      <c r="N7" s="16" t="s">
        <v>140</v>
      </c>
      <c r="O7" s="16" t="s">
        <v>141</v>
      </c>
      <c r="P7" s="16" t="s">
        <v>142</v>
      </c>
      <c r="Q7" s="16" t="s">
        <v>143</v>
      </c>
      <c r="R7" s="16" t="s">
        <v>137</v>
      </c>
      <c r="S7" s="16" t="s">
        <v>138</v>
      </c>
      <c r="T7" s="16" t="s">
        <v>139</v>
      </c>
      <c r="U7" s="16" t="s">
        <v>140</v>
      </c>
      <c r="V7" s="16" t="s">
        <v>141</v>
      </c>
      <c r="W7" s="16" t="s">
        <v>142</v>
      </c>
      <c r="X7" s="16" t="s">
        <v>143</v>
      </c>
      <c r="Y7" s="16" t="s">
        <v>137</v>
      </c>
      <c r="Z7" s="16" t="s">
        <v>138</v>
      </c>
      <c r="AA7" s="16" t="s">
        <v>139</v>
      </c>
      <c r="AB7" s="16" t="s">
        <v>140</v>
      </c>
      <c r="AC7" s="16" t="s">
        <v>141</v>
      </c>
      <c r="AD7" s="16" t="s">
        <v>142</v>
      </c>
      <c r="AE7" s="16" t="s">
        <v>143</v>
      </c>
      <c r="AF7" s="16" t="s">
        <v>137</v>
      </c>
      <c r="AG7" s="16"/>
      <c r="AH7" s="15"/>
    </row>
    <row r="8" spans="2:34" ht="30" customHeight="1" x14ac:dyDescent="0.25">
      <c r="B8" s="17" t="s">
        <v>9</v>
      </c>
      <c r="C8" s="18" t="s">
        <v>10</v>
      </c>
      <c r="D8" s="18" t="s">
        <v>11</v>
      </c>
      <c r="E8" s="18" t="s">
        <v>12</v>
      </c>
      <c r="F8" s="18" t="s">
        <v>13</v>
      </c>
      <c r="G8" s="18" t="s">
        <v>14</v>
      </c>
      <c r="H8" s="18" t="s">
        <v>15</v>
      </c>
      <c r="I8" s="18" t="s">
        <v>16</v>
      </c>
      <c r="J8" s="18" t="s">
        <v>17</v>
      </c>
      <c r="K8" s="18" t="s">
        <v>18</v>
      </c>
      <c r="L8" s="18" t="s">
        <v>19</v>
      </c>
      <c r="M8" s="18" t="s">
        <v>20</v>
      </c>
      <c r="N8" s="18" t="s">
        <v>21</v>
      </c>
      <c r="O8" s="18" t="s">
        <v>22</v>
      </c>
      <c r="P8" s="18" t="s">
        <v>23</v>
      </c>
      <c r="Q8" s="18" t="s">
        <v>24</v>
      </c>
      <c r="R8" s="18" t="s">
        <v>25</v>
      </c>
      <c r="S8" s="18" t="s">
        <v>26</v>
      </c>
      <c r="T8" s="18" t="s">
        <v>27</v>
      </c>
      <c r="U8" s="18" t="s">
        <v>28</v>
      </c>
      <c r="V8" s="18" t="s">
        <v>29</v>
      </c>
      <c r="W8" s="18" t="s">
        <v>30</v>
      </c>
      <c r="X8" s="18" t="s">
        <v>31</v>
      </c>
      <c r="Y8" s="18" t="s">
        <v>32</v>
      </c>
      <c r="Z8" s="18" t="s">
        <v>33</v>
      </c>
      <c r="AA8" s="18" t="s">
        <v>34</v>
      </c>
      <c r="AB8" s="18" t="s">
        <v>35</v>
      </c>
      <c r="AC8" s="18" t="s">
        <v>36</v>
      </c>
      <c r="AD8" s="18" t="s">
        <v>37</v>
      </c>
      <c r="AE8" s="18" t="s">
        <v>38</v>
      </c>
      <c r="AF8" s="18" t="s">
        <v>39</v>
      </c>
      <c r="AG8" s="18" t="s">
        <v>40</v>
      </c>
      <c r="AH8" s="19" t="s">
        <v>41</v>
      </c>
    </row>
    <row r="9" spans="2:34" ht="30" customHeight="1" x14ac:dyDescent="0.25">
      <c r="B9" s="20" t="s">
        <v>75</v>
      </c>
      <c r="C9" s="18" t="s">
        <v>66</v>
      </c>
      <c r="D9" s="18" t="s">
        <v>66</v>
      </c>
      <c r="E9" s="18" t="s">
        <v>66</v>
      </c>
      <c r="F9" s="18" t="s">
        <v>66</v>
      </c>
      <c r="G9" s="18" t="s">
        <v>66</v>
      </c>
      <c r="H9" s="18"/>
      <c r="I9" s="18"/>
      <c r="J9" s="18" t="s">
        <v>66</v>
      </c>
      <c r="K9" s="18" t="s">
        <v>66</v>
      </c>
      <c r="L9" s="18" t="s">
        <v>66</v>
      </c>
      <c r="M9" s="18" t="s">
        <v>66</v>
      </c>
      <c r="N9" s="18" t="s">
        <v>66</v>
      </c>
      <c r="O9" s="18" t="s">
        <v>3</v>
      </c>
      <c r="P9" s="18" t="s">
        <v>3</v>
      </c>
      <c r="Q9" s="18" t="s">
        <v>3</v>
      </c>
      <c r="R9" s="18" t="s">
        <v>3</v>
      </c>
      <c r="S9" s="18" t="s">
        <v>3</v>
      </c>
      <c r="T9" s="18" t="s">
        <v>3</v>
      </c>
      <c r="U9" s="18" t="s">
        <v>3</v>
      </c>
      <c r="V9" s="18" t="s">
        <v>3</v>
      </c>
      <c r="W9" s="18" t="s">
        <v>3</v>
      </c>
      <c r="X9" s="18" t="s">
        <v>3</v>
      </c>
      <c r="Y9" s="18" t="s">
        <v>3</v>
      </c>
      <c r="Z9" s="18" t="s">
        <v>3</v>
      </c>
      <c r="AA9" s="18" t="s">
        <v>3</v>
      </c>
      <c r="AB9" s="18" t="s">
        <v>3</v>
      </c>
      <c r="AC9" s="18" t="s">
        <v>3</v>
      </c>
      <c r="AD9" s="18" t="s">
        <v>3</v>
      </c>
      <c r="AE9" s="18" t="s">
        <v>3</v>
      </c>
      <c r="AF9" s="18" t="s">
        <v>3</v>
      </c>
      <c r="AG9" s="18"/>
      <c r="AH9" s="27">
        <f>COUNTA('25年9月'!$C9:$AG9)</f>
        <v>28</v>
      </c>
    </row>
    <row r="10" spans="2:34" ht="30" customHeight="1" x14ac:dyDescent="0.25">
      <c r="B10" s="20" t="s">
        <v>76</v>
      </c>
      <c r="C10" s="18" t="s">
        <v>66</v>
      </c>
      <c r="D10" s="18" t="s">
        <v>66</v>
      </c>
      <c r="E10" s="18" t="s">
        <v>66</v>
      </c>
      <c r="F10" s="18" t="s">
        <v>66</v>
      </c>
      <c r="G10" s="18" t="s">
        <v>66</v>
      </c>
      <c r="H10" s="18"/>
      <c r="I10" s="18"/>
      <c r="J10" s="18" t="s">
        <v>66</v>
      </c>
      <c r="K10" s="18" t="s">
        <v>66</v>
      </c>
      <c r="L10" s="18" t="s">
        <v>66</v>
      </c>
      <c r="M10" s="18" t="s">
        <v>66</v>
      </c>
      <c r="N10" s="18" t="s">
        <v>66</v>
      </c>
      <c r="O10" s="18" t="s">
        <v>3</v>
      </c>
      <c r="P10" s="18" t="s">
        <v>3</v>
      </c>
      <c r="Q10" s="18" t="s">
        <v>3</v>
      </c>
      <c r="R10" s="18" t="s">
        <v>3</v>
      </c>
      <c r="S10" s="18" t="s">
        <v>3</v>
      </c>
      <c r="T10" s="18" t="s">
        <v>3</v>
      </c>
      <c r="U10" s="18" t="s">
        <v>3</v>
      </c>
      <c r="V10" s="18" t="s">
        <v>3</v>
      </c>
      <c r="W10" s="18" t="s">
        <v>3</v>
      </c>
      <c r="X10" s="18" t="s">
        <v>3</v>
      </c>
      <c r="Y10" s="18" t="s">
        <v>3</v>
      </c>
      <c r="Z10" s="18" t="s">
        <v>3</v>
      </c>
      <c r="AA10" s="18" t="s">
        <v>3</v>
      </c>
      <c r="AB10" s="18" t="s">
        <v>3</v>
      </c>
      <c r="AC10" s="18" t="s">
        <v>3</v>
      </c>
      <c r="AD10" s="18" t="s">
        <v>3</v>
      </c>
      <c r="AE10" s="18" t="s">
        <v>3</v>
      </c>
      <c r="AF10" s="18" t="s">
        <v>3</v>
      </c>
      <c r="AG10" s="18"/>
      <c r="AH10" s="27">
        <f>COUNTA('25年9月'!$C10:$AG10)</f>
        <v>28</v>
      </c>
    </row>
    <row r="11" spans="2:34" ht="30" customHeight="1" x14ac:dyDescent="0.25">
      <c r="B11" s="20" t="s">
        <v>77</v>
      </c>
      <c r="C11" s="18" t="s">
        <v>66</v>
      </c>
      <c r="D11" s="18" t="s">
        <v>66</v>
      </c>
      <c r="E11" s="18" t="s">
        <v>66</v>
      </c>
      <c r="F11" s="18" t="s">
        <v>66</v>
      </c>
      <c r="G11" s="18" t="s">
        <v>66</v>
      </c>
      <c r="H11" s="18"/>
      <c r="I11" s="18"/>
      <c r="J11" s="18" t="s">
        <v>66</v>
      </c>
      <c r="K11" s="18" t="s">
        <v>66</v>
      </c>
      <c r="L11" s="18" t="s">
        <v>66</v>
      </c>
      <c r="M11" s="18" t="s">
        <v>66</v>
      </c>
      <c r="N11" s="18" t="s">
        <v>66</v>
      </c>
      <c r="O11" s="18" t="s">
        <v>3</v>
      </c>
      <c r="P11" s="18" t="s">
        <v>3</v>
      </c>
      <c r="Q11" s="18" t="s">
        <v>3</v>
      </c>
      <c r="R11" s="18" t="s">
        <v>3</v>
      </c>
      <c r="S11" s="18" t="s">
        <v>3</v>
      </c>
      <c r="T11" s="18" t="s">
        <v>3</v>
      </c>
      <c r="U11" s="18" t="s">
        <v>3</v>
      </c>
      <c r="V11" s="18" t="s">
        <v>3</v>
      </c>
      <c r="W11" s="18" t="s">
        <v>3</v>
      </c>
      <c r="X11" s="18" t="s">
        <v>3</v>
      </c>
      <c r="Y11" s="18" t="s">
        <v>3</v>
      </c>
      <c r="Z11" s="18" t="s">
        <v>3</v>
      </c>
      <c r="AA11" s="18" t="s">
        <v>3</v>
      </c>
      <c r="AB11" s="18" t="s">
        <v>3</v>
      </c>
      <c r="AC11" s="18" t="s">
        <v>3</v>
      </c>
      <c r="AD11" s="18" t="s">
        <v>3</v>
      </c>
      <c r="AE11" s="18" t="s">
        <v>3</v>
      </c>
      <c r="AF11" s="18" t="s">
        <v>3</v>
      </c>
      <c r="AG11" s="18"/>
      <c r="AH11" s="27">
        <f>COUNTA('25年9月'!$C11:$AG11)</f>
        <v>28</v>
      </c>
    </row>
    <row r="12" spans="2:34" ht="30" customHeight="1" x14ac:dyDescent="0.25">
      <c r="B12" s="20" t="s">
        <v>78</v>
      </c>
      <c r="C12" s="18" t="s">
        <v>66</v>
      </c>
      <c r="D12" s="18" t="s">
        <v>66</v>
      </c>
      <c r="E12" s="18" t="s">
        <v>66</v>
      </c>
      <c r="F12" s="18" t="s">
        <v>66</v>
      </c>
      <c r="G12" s="18" t="s">
        <v>66</v>
      </c>
      <c r="H12" s="18"/>
      <c r="I12" s="18"/>
      <c r="J12" s="18" t="s">
        <v>66</v>
      </c>
      <c r="K12" s="18" t="s">
        <v>66</v>
      </c>
      <c r="L12" s="18" t="s">
        <v>66</v>
      </c>
      <c r="M12" s="18" t="s">
        <v>66</v>
      </c>
      <c r="N12" s="18" t="s">
        <v>66</v>
      </c>
      <c r="O12" s="18" t="s">
        <v>3</v>
      </c>
      <c r="P12" s="18" t="s">
        <v>3</v>
      </c>
      <c r="Q12" s="18" t="s">
        <v>3</v>
      </c>
      <c r="R12" s="18" t="s">
        <v>3</v>
      </c>
      <c r="S12" s="18" t="s">
        <v>3</v>
      </c>
      <c r="T12" s="18" t="s">
        <v>3</v>
      </c>
      <c r="U12" s="18" t="s">
        <v>3</v>
      </c>
      <c r="V12" s="18" t="s">
        <v>3</v>
      </c>
      <c r="W12" s="18" t="s">
        <v>3</v>
      </c>
      <c r="X12" s="18" t="s">
        <v>3</v>
      </c>
      <c r="Y12" s="18" t="s">
        <v>3</v>
      </c>
      <c r="Z12" s="18" t="s">
        <v>3</v>
      </c>
      <c r="AA12" s="18" t="s">
        <v>3</v>
      </c>
      <c r="AB12" s="18" t="s">
        <v>3</v>
      </c>
      <c r="AC12" s="18" t="s">
        <v>3</v>
      </c>
      <c r="AD12" s="18" t="s">
        <v>3</v>
      </c>
      <c r="AE12" s="18" t="s">
        <v>3</v>
      </c>
      <c r="AF12" s="18" t="s">
        <v>3</v>
      </c>
      <c r="AG12" s="18"/>
      <c r="AH12" s="27">
        <f>COUNTA('25年9月'!$C12:$AG12)</f>
        <v>28</v>
      </c>
    </row>
    <row r="13" spans="2:34" ht="30" customHeight="1" x14ac:dyDescent="0.25">
      <c r="B13" s="20" t="s">
        <v>79</v>
      </c>
      <c r="C13" s="18" t="s">
        <v>66</v>
      </c>
      <c r="D13" s="18" t="s">
        <v>66</v>
      </c>
      <c r="E13" s="18" t="s">
        <v>66</v>
      </c>
      <c r="F13" s="18" t="s">
        <v>66</v>
      </c>
      <c r="G13" s="18" t="s">
        <v>66</v>
      </c>
      <c r="H13" s="18"/>
      <c r="I13" s="18"/>
      <c r="J13" s="18" t="s">
        <v>66</v>
      </c>
      <c r="K13" s="18" t="s">
        <v>66</v>
      </c>
      <c r="L13" s="18" t="s">
        <v>66</v>
      </c>
      <c r="M13" s="18" t="s">
        <v>66</v>
      </c>
      <c r="N13" s="18" t="s">
        <v>66</v>
      </c>
      <c r="O13" s="18" t="s">
        <v>3</v>
      </c>
      <c r="P13" s="18" t="s">
        <v>3</v>
      </c>
      <c r="Q13" s="18" t="s">
        <v>3</v>
      </c>
      <c r="R13" s="18" t="s">
        <v>3</v>
      </c>
      <c r="S13" s="18" t="s">
        <v>3</v>
      </c>
      <c r="T13" s="18" t="s">
        <v>3</v>
      </c>
      <c r="U13" s="18" t="s">
        <v>3</v>
      </c>
      <c r="V13" s="18" t="s">
        <v>3</v>
      </c>
      <c r="W13" s="18" t="s">
        <v>3</v>
      </c>
      <c r="X13" s="18" t="s">
        <v>3</v>
      </c>
      <c r="Y13" s="18" t="s">
        <v>3</v>
      </c>
      <c r="Z13" s="18" t="s">
        <v>3</v>
      </c>
      <c r="AA13" s="18" t="s">
        <v>3</v>
      </c>
      <c r="AB13" s="18" t="s">
        <v>3</v>
      </c>
      <c r="AC13" s="18" t="s">
        <v>3</v>
      </c>
      <c r="AD13" s="18" t="s">
        <v>3</v>
      </c>
      <c r="AE13" s="18" t="s">
        <v>3</v>
      </c>
      <c r="AF13" s="18" t="s">
        <v>3</v>
      </c>
      <c r="AG13" s="18"/>
      <c r="AH13" s="27">
        <f>COUNTA('25年9月'!$C13:$AG13)</f>
        <v>28</v>
      </c>
    </row>
    <row r="14" spans="2:34" ht="30" customHeight="1" x14ac:dyDescent="0.25">
      <c r="B14" s="20" t="s">
        <v>80</v>
      </c>
      <c r="C14" s="18" t="s">
        <v>66</v>
      </c>
      <c r="D14" s="18" t="s">
        <v>66</v>
      </c>
      <c r="E14" s="18" t="s">
        <v>66</v>
      </c>
      <c r="F14" s="18" t="s">
        <v>66</v>
      </c>
      <c r="G14" s="18" t="s">
        <v>66</v>
      </c>
      <c r="H14" s="18"/>
      <c r="I14" s="18"/>
      <c r="J14" s="18" t="s">
        <v>160</v>
      </c>
      <c r="K14" s="18" t="s">
        <v>160</v>
      </c>
      <c r="L14" s="18" t="s">
        <v>160</v>
      </c>
      <c r="M14" s="18" t="s">
        <v>160</v>
      </c>
      <c r="N14" s="18" t="s">
        <v>160</v>
      </c>
      <c r="O14" s="18" t="s">
        <v>3</v>
      </c>
      <c r="P14" s="18" t="s">
        <v>3</v>
      </c>
      <c r="Q14" s="18" t="s">
        <v>3</v>
      </c>
      <c r="R14" s="18" t="s">
        <v>3</v>
      </c>
      <c r="S14" s="18" t="s">
        <v>3</v>
      </c>
      <c r="T14" s="18" t="s">
        <v>3</v>
      </c>
      <c r="U14" s="18" t="s">
        <v>3</v>
      </c>
      <c r="V14" s="18" t="s">
        <v>3</v>
      </c>
      <c r="W14" s="18" t="s">
        <v>3</v>
      </c>
      <c r="X14" s="18" t="s">
        <v>3</v>
      </c>
      <c r="Y14" s="18" t="s">
        <v>3</v>
      </c>
      <c r="Z14" s="18" t="s">
        <v>3</v>
      </c>
      <c r="AA14" s="18" t="s">
        <v>3</v>
      </c>
      <c r="AB14" s="18" t="s">
        <v>3</v>
      </c>
      <c r="AC14" s="18" t="s">
        <v>3</v>
      </c>
      <c r="AD14" s="18" t="s">
        <v>3</v>
      </c>
      <c r="AE14" s="18" t="s">
        <v>3</v>
      </c>
      <c r="AF14" s="18" t="s">
        <v>3</v>
      </c>
      <c r="AG14" s="18"/>
      <c r="AH14" s="27">
        <f>COUNTA('25年9月'!$C14:$AG14)</f>
        <v>28</v>
      </c>
    </row>
    <row r="15" spans="2:34" ht="30" customHeight="1" x14ac:dyDescent="0.25">
      <c r="B15" s="20" t="s">
        <v>81</v>
      </c>
      <c r="C15" s="18" t="s">
        <v>66</v>
      </c>
      <c r="D15" s="18" t="s">
        <v>66</v>
      </c>
      <c r="E15" s="18" t="s">
        <v>66</v>
      </c>
      <c r="F15" s="18" t="s">
        <v>66</v>
      </c>
      <c r="G15" s="18" t="s">
        <v>66</v>
      </c>
      <c r="H15" s="18"/>
      <c r="I15" s="18"/>
      <c r="J15" s="18" t="s">
        <v>160</v>
      </c>
      <c r="K15" s="18" t="s">
        <v>160</v>
      </c>
      <c r="L15" s="18" t="s">
        <v>160</v>
      </c>
      <c r="M15" s="18" t="s">
        <v>160</v>
      </c>
      <c r="N15" s="18" t="s">
        <v>160</v>
      </c>
      <c r="O15" s="18" t="s">
        <v>3</v>
      </c>
      <c r="P15" s="18" t="s">
        <v>3</v>
      </c>
      <c r="Q15" s="18" t="s">
        <v>3</v>
      </c>
      <c r="R15" s="18" t="s">
        <v>3</v>
      </c>
      <c r="S15" s="18" t="s">
        <v>3</v>
      </c>
      <c r="T15" s="18" t="s">
        <v>3</v>
      </c>
      <c r="U15" s="18" t="s">
        <v>3</v>
      </c>
      <c r="V15" s="18" t="s">
        <v>3</v>
      </c>
      <c r="W15" s="18" t="s">
        <v>3</v>
      </c>
      <c r="X15" s="18" t="s">
        <v>3</v>
      </c>
      <c r="Y15" s="18" t="s">
        <v>3</v>
      </c>
      <c r="Z15" s="18" t="s">
        <v>3</v>
      </c>
      <c r="AA15" s="18" t="s">
        <v>3</v>
      </c>
      <c r="AB15" s="18" t="s">
        <v>3</v>
      </c>
      <c r="AC15" s="18" t="s">
        <v>3</v>
      </c>
      <c r="AD15" s="18" t="s">
        <v>3</v>
      </c>
      <c r="AE15" s="18" t="s">
        <v>3</v>
      </c>
      <c r="AF15" s="18" t="s">
        <v>3</v>
      </c>
      <c r="AG15" s="18"/>
      <c r="AH15" s="27">
        <f>COUNTA('25年9月'!$C15:$AG15)</f>
        <v>28</v>
      </c>
    </row>
    <row r="16" spans="2:34" ht="30" customHeight="1" x14ac:dyDescent="0.25">
      <c r="B16" s="20" t="s">
        <v>82</v>
      </c>
      <c r="C16" s="18" t="s">
        <v>66</v>
      </c>
      <c r="D16" s="18" t="s">
        <v>66</v>
      </c>
      <c r="E16" s="18" t="s">
        <v>66</v>
      </c>
      <c r="F16" s="18" t="s">
        <v>66</v>
      </c>
      <c r="G16" s="18" t="s">
        <v>66</v>
      </c>
      <c r="H16" s="18"/>
      <c r="I16" s="18"/>
      <c r="J16" s="18" t="s">
        <v>160</v>
      </c>
      <c r="K16" s="18" t="s">
        <v>160</v>
      </c>
      <c r="L16" s="18" t="s">
        <v>160</v>
      </c>
      <c r="M16" s="18" t="s">
        <v>160</v>
      </c>
      <c r="N16" s="18" t="s">
        <v>160</v>
      </c>
      <c r="O16" s="18" t="s">
        <v>3</v>
      </c>
      <c r="P16" s="18" t="s">
        <v>3</v>
      </c>
      <c r="Q16" s="18" t="s">
        <v>3</v>
      </c>
      <c r="R16" s="18" t="s">
        <v>3</v>
      </c>
      <c r="S16" s="18" t="s">
        <v>3</v>
      </c>
      <c r="T16" s="18" t="s">
        <v>3</v>
      </c>
      <c r="U16" s="18" t="s">
        <v>3</v>
      </c>
      <c r="V16" s="18" t="s">
        <v>3</v>
      </c>
      <c r="W16" s="18" t="s">
        <v>3</v>
      </c>
      <c r="X16" s="18" t="s">
        <v>3</v>
      </c>
      <c r="Y16" s="18" t="s">
        <v>3</v>
      </c>
      <c r="Z16" s="18" t="s">
        <v>3</v>
      </c>
      <c r="AA16" s="18" t="s">
        <v>3</v>
      </c>
      <c r="AB16" s="18" t="s">
        <v>3</v>
      </c>
      <c r="AC16" s="18" t="s">
        <v>3</v>
      </c>
      <c r="AD16" s="18" t="s">
        <v>3</v>
      </c>
      <c r="AE16" s="18" t="s">
        <v>3</v>
      </c>
      <c r="AF16" s="18" t="s">
        <v>3</v>
      </c>
      <c r="AG16" s="18"/>
      <c r="AH16" s="27">
        <f>COUNTA('25年9月'!$C16:$AG16)</f>
        <v>28</v>
      </c>
    </row>
    <row r="17" spans="2:34" ht="30" customHeight="1" x14ac:dyDescent="0.25">
      <c r="B17" s="20" t="s">
        <v>83</v>
      </c>
      <c r="C17" s="18" t="s">
        <v>66</v>
      </c>
      <c r="D17" s="18" t="s">
        <v>66</v>
      </c>
      <c r="E17" s="18" t="s">
        <v>66</v>
      </c>
      <c r="F17" s="18" t="s">
        <v>66</v>
      </c>
      <c r="G17" s="18" t="s">
        <v>66</v>
      </c>
      <c r="H17" s="18"/>
      <c r="I17" s="18"/>
      <c r="J17" s="18" t="s">
        <v>160</v>
      </c>
      <c r="K17" s="18" t="s">
        <v>160</v>
      </c>
      <c r="L17" s="18" t="s">
        <v>160</v>
      </c>
      <c r="M17" s="18" t="s">
        <v>160</v>
      </c>
      <c r="N17" s="18" t="s">
        <v>160</v>
      </c>
      <c r="O17" s="18" t="s">
        <v>3</v>
      </c>
      <c r="P17" s="18" t="s">
        <v>3</v>
      </c>
      <c r="Q17" s="18" t="s">
        <v>3</v>
      </c>
      <c r="R17" s="18" t="s">
        <v>3</v>
      </c>
      <c r="S17" s="18" t="s">
        <v>3</v>
      </c>
      <c r="T17" s="18" t="s">
        <v>3</v>
      </c>
      <c r="U17" s="18" t="s">
        <v>3</v>
      </c>
      <c r="V17" s="18" t="s">
        <v>3</v>
      </c>
      <c r="W17" s="18" t="s">
        <v>3</v>
      </c>
      <c r="X17" s="18" t="s">
        <v>3</v>
      </c>
      <c r="Y17" s="18" t="s">
        <v>3</v>
      </c>
      <c r="Z17" s="18" t="s">
        <v>3</v>
      </c>
      <c r="AA17" s="18" t="s">
        <v>3</v>
      </c>
      <c r="AB17" s="18" t="s">
        <v>3</v>
      </c>
      <c r="AC17" s="18" t="s">
        <v>3</v>
      </c>
      <c r="AD17" s="18" t="s">
        <v>3</v>
      </c>
      <c r="AE17" s="18" t="s">
        <v>3</v>
      </c>
      <c r="AF17" s="18" t="s">
        <v>3</v>
      </c>
      <c r="AG17" s="18"/>
      <c r="AH17" s="27">
        <f>COUNTA('25年9月'!$C17:$AG17)</f>
        <v>28</v>
      </c>
    </row>
    <row r="18" spans="2:34" ht="30" customHeight="1" x14ac:dyDescent="0.25">
      <c r="B18" s="20" t="s">
        <v>84</v>
      </c>
      <c r="C18" s="18" t="s">
        <v>66</v>
      </c>
      <c r="D18" s="18" t="s">
        <v>66</v>
      </c>
      <c r="E18" s="18" t="s">
        <v>66</v>
      </c>
      <c r="F18" s="18" t="s">
        <v>66</v>
      </c>
      <c r="G18" s="18" t="s">
        <v>66</v>
      </c>
      <c r="H18" s="18"/>
      <c r="I18" s="18"/>
      <c r="J18" s="18" t="s">
        <v>160</v>
      </c>
      <c r="K18" s="18" t="s">
        <v>160</v>
      </c>
      <c r="L18" s="18" t="s">
        <v>160</v>
      </c>
      <c r="M18" s="18" t="s">
        <v>160</v>
      </c>
      <c r="N18" s="18" t="s">
        <v>160</v>
      </c>
      <c r="O18" s="18" t="s">
        <v>3</v>
      </c>
      <c r="P18" s="18" t="s">
        <v>3</v>
      </c>
      <c r="Q18" s="18" t="s">
        <v>3</v>
      </c>
      <c r="R18" s="18" t="s">
        <v>3</v>
      </c>
      <c r="S18" s="18" t="s">
        <v>3</v>
      </c>
      <c r="T18" s="18" t="s">
        <v>3</v>
      </c>
      <c r="U18" s="18" t="s">
        <v>3</v>
      </c>
      <c r="V18" s="18" t="s">
        <v>3</v>
      </c>
      <c r="W18" s="18" t="s">
        <v>3</v>
      </c>
      <c r="X18" s="18" t="s">
        <v>3</v>
      </c>
      <c r="Y18" s="18" t="s">
        <v>3</v>
      </c>
      <c r="Z18" s="18" t="s">
        <v>3</v>
      </c>
      <c r="AA18" s="18" t="s">
        <v>3</v>
      </c>
      <c r="AB18" s="18" t="s">
        <v>3</v>
      </c>
      <c r="AC18" s="18" t="s">
        <v>3</v>
      </c>
      <c r="AD18" s="18" t="s">
        <v>3</v>
      </c>
      <c r="AE18" s="18" t="s">
        <v>3</v>
      </c>
      <c r="AF18" s="18" t="s">
        <v>3</v>
      </c>
      <c r="AG18" s="18"/>
      <c r="AH18" s="27">
        <f>COUNTA('25年9月'!$C18:$AG18)</f>
        <v>28</v>
      </c>
    </row>
    <row r="19" spans="2:34" ht="30" customHeight="1" x14ac:dyDescent="0.25">
      <c r="B19" s="20" t="s">
        <v>85</v>
      </c>
      <c r="C19" s="18" t="s">
        <v>66</v>
      </c>
      <c r="D19" s="18" t="s">
        <v>66</v>
      </c>
      <c r="E19" s="18" t="s">
        <v>66</v>
      </c>
      <c r="F19" s="18" t="s">
        <v>66</v>
      </c>
      <c r="G19" s="18" t="s">
        <v>66</v>
      </c>
      <c r="H19" s="18"/>
      <c r="I19" s="18"/>
      <c r="J19" s="18" t="s">
        <v>160</v>
      </c>
      <c r="K19" s="18" t="s">
        <v>160</v>
      </c>
      <c r="L19" s="18" t="s">
        <v>160</v>
      </c>
      <c r="M19" s="18" t="s">
        <v>160</v>
      </c>
      <c r="N19" s="18" t="s">
        <v>160</v>
      </c>
      <c r="O19" s="18" t="s">
        <v>3</v>
      </c>
      <c r="P19" s="18" t="s">
        <v>3</v>
      </c>
      <c r="Q19" s="18" t="s">
        <v>3</v>
      </c>
      <c r="R19" s="18" t="s">
        <v>3</v>
      </c>
      <c r="S19" s="18" t="s">
        <v>3</v>
      </c>
      <c r="T19" s="18" t="s">
        <v>3</v>
      </c>
      <c r="U19" s="18" t="s">
        <v>3</v>
      </c>
      <c r="V19" s="18" t="s">
        <v>3</v>
      </c>
      <c r="W19" s="18" t="s">
        <v>3</v>
      </c>
      <c r="X19" s="18" t="s">
        <v>3</v>
      </c>
      <c r="Y19" s="18" t="s">
        <v>3</v>
      </c>
      <c r="Z19" s="18" t="s">
        <v>3</v>
      </c>
      <c r="AA19" s="18" t="s">
        <v>3</v>
      </c>
      <c r="AB19" s="18" t="s">
        <v>3</v>
      </c>
      <c r="AC19" s="18" t="s">
        <v>3</v>
      </c>
      <c r="AD19" s="18" t="s">
        <v>3</v>
      </c>
      <c r="AE19" s="18" t="s">
        <v>3</v>
      </c>
      <c r="AF19" s="18" t="s">
        <v>3</v>
      </c>
      <c r="AG19" s="18"/>
      <c r="AH19" s="27">
        <f>COUNTA('25年9月'!$C19:$AG19)</f>
        <v>28</v>
      </c>
    </row>
    <row r="20" spans="2:34" ht="30" customHeight="1" x14ac:dyDescent="0.25">
      <c r="B20" s="31" t="s">
        <v>86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 t="s">
        <v>3</v>
      </c>
      <c r="P20" s="18" t="s">
        <v>3</v>
      </c>
      <c r="Q20" s="18" t="s">
        <v>3</v>
      </c>
      <c r="R20" s="18" t="s">
        <v>3</v>
      </c>
      <c r="S20" s="18" t="s">
        <v>3</v>
      </c>
      <c r="T20" s="18" t="s">
        <v>3</v>
      </c>
      <c r="U20" s="18" t="s">
        <v>3</v>
      </c>
      <c r="V20" s="18" t="s">
        <v>3</v>
      </c>
      <c r="W20" s="18" t="s">
        <v>3</v>
      </c>
      <c r="X20" s="18" t="s">
        <v>3</v>
      </c>
      <c r="Y20" s="18" t="s">
        <v>3</v>
      </c>
      <c r="Z20" s="18" t="s">
        <v>3</v>
      </c>
      <c r="AA20" s="18" t="s">
        <v>3</v>
      </c>
      <c r="AB20" s="18" t="s">
        <v>3</v>
      </c>
      <c r="AC20" s="18" t="s">
        <v>3</v>
      </c>
      <c r="AD20" s="18" t="s">
        <v>3</v>
      </c>
      <c r="AE20" s="18" t="s">
        <v>3</v>
      </c>
      <c r="AF20" s="18" t="s">
        <v>3</v>
      </c>
      <c r="AG20" s="18"/>
      <c r="AH20" s="27">
        <f>COUNTA(月11_212[[#This Row],[1]:[ ]])</f>
        <v>18</v>
      </c>
    </row>
    <row r="21" spans="2:34" ht="30" customHeight="1" x14ac:dyDescent="0.25">
      <c r="B21" s="31" t="s">
        <v>87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 t="s">
        <v>3</v>
      </c>
      <c r="P21" s="18" t="s">
        <v>3</v>
      </c>
      <c r="Q21" s="18" t="s">
        <v>3</v>
      </c>
      <c r="R21" s="18" t="s">
        <v>3</v>
      </c>
      <c r="S21" s="18" t="s">
        <v>3</v>
      </c>
      <c r="T21" s="18" t="s">
        <v>3</v>
      </c>
      <c r="U21" s="18" t="s">
        <v>3</v>
      </c>
      <c r="V21" s="18" t="s">
        <v>3</v>
      </c>
      <c r="W21" s="18" t="s">
        <v>3</v>
      </c>
      <c r="X21" s="18" t="s">
        <v>3</v>
      </c>
      <c r="Y21" s="18" t="s">
        <v>3</v>
      </c>
      <c r="Z21" s="18" t="s">
        <v>3</v>
      </c>
      <c r="AA21" s="18" t="s">
        <v>3</v>
      </c>
      <c r="AB21" s="18" t="s">
        <v>3</v>
      </c>
      <c r="AC21" s="18" t="s">
        <v>3</v>
      </c>
      <c r="AD21" s="18" t="s">
        <v>3</v>
      </c>
      <c r="AE21" s="18" t="s">
        <v>3</v>
      </c>
      <c r="AF21" s="18" t="s">
        <v>3</v>
      </c>
      <c r="AG21" s="18"/>
      <c r="AH21" s="27">
        <f>COUNTA(月11_212[[#This Row],[1]:[ ]])</f>
        <v>18</v>
      </c>
    </row>
    <row r="22" spans="2:34" ht="30" customHeight="1" x14ac:dyDescent="0.25">
      <c r="B22" s="31" t="s">
        <v>88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 t="s">
        <v>3</v>
      </c>
      <c r="P22" s="18" t="s">
        <v>3</v>
      </c>
      <c r="Q22" s="18" t="s">
        <v>3</v>
      </c>
      <c r="R22" s="18" t="s">
        <v>3</v>
      </c>
      <c r="S22" s="18" t="s">
        <v>3</v>
      </c>
      <c r="T22" s="18" t="s">
        <v>3</v>
      </c>
      <c r="U22" s="18" t="s">
        <v>3</v>
      </c>
      <c r="V22" s="18" t="s">
        <v>3</v>
      </c>
      <c r="W22" s="18" t="s">
        <v>3</v>
      </c>
      <c r="X22" s="18" t="s">
        <v>3</v>
      </c>
      <c r="Y22" s="18" t="s">
        <v>3</v>
      </c>
      <c r="Z22" s="18" t="s">
        <v>3</v>
      </c>
      <c r="AA22" s="18" t="s">
        <v>3</v>
      </c>
      <c r="AB22" s="18" t="s">
        <v>3</v>
      </c>
      <c r="AC22" s="18" t="s">
        <v>3</v>
      </c>
      <c r="AD22" s="18" t="s">
        <v>3</v>
      </c>
      <c r="AE22" s="18" t="s">
        <v>3</v>
      </c>
      <c r="AF22" s="18" t="s">
        <v>3</v>
      </c>
      <c r="AG22" s="18"/>
      <c r="AH22" s="27">
        <f>COUNTA(月11_212[[#This Row],[1]:[ ]])</f>
        <v>18</v>
      </c>
    </row>
    <row r="23" spans="2:34" ht="30" customHeight="1" x14ac:dyDescent="0.25">
      <c r="B23" s="31" t="s">
        <v>89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 t="s">
        <v>3</v>
      </c>
      <c r="P23" s="18" t="s">
        <v>3</v>
      </c>
      <c r="Q23" s="18" t="s">
        <v>3</v>
      </c>
      <c r="R23" s="18" t="s">
        <v>3</v>
      </c>
      <c r="S23" s="18" t="s">
        <v>3</v>
      </c>
      <c r="T23" s="18" t="s">
        <v>3</v>
      </c>
      <c r="U23" s="18" t="s">
        <v>3</v>
      </c>
      <c r="V23" s="18" t="s">
        <v>3</v>
      </c>
      <c r="W23" s="18" t="s">
        <v>3</v>
      </c>
      <c r="X23" s="18" t="s">
        <v>3</v>
      </c>
      <c r="Y23" s="18" t="s">
        <v>3</v>
      </c>
      <c r="Z23" s="18" t="s">
        <v>3</v>
      </c>
      <c r="AA23" s="18" t="s">
        <v>3</v>
      </c>
      <c r="AB23" s="18" t="s">
        <v>3</v>
      </c>
      <c r="AC23" s="18" t="s">
        <v>3</v>
      </c>
      <c r="AD23" s="18" t="s">
        <v>3</v>
      </c>
      <c r="AE23" s="18" t="s">
        <v>3</v>
      </c>
      <c r="AF23" s="18" t="s">
        <v>3</v>
      </c>
      <c r="AG23" s="18"/>
      <c r="AH23" s="27">
        <f>COUNTA(月11_212[[#This Row],[1]:[ ]])</f>
        <v>18</v>
      </c>
    </row>
    <row r="24" spans="2:34" ht="30" customHeight="1" x14ac:dyDescent="0.25">
      <c r="B24" s="31" t="s">
        <v>90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 t="s">
        <v>3</v>
      </c>
      <c r="P24" s="18" t="s">
        <v>3</v>
      </c>
      <c r="Q24" s="18" t="s">
        <v>3</v>
      </c>
      <c r="R24" s="18" t="s">
        <v>3</v>
      </c>
      <c r="S24" s="18" t="s">
        <v>3</v>
      </c>
      <c r="T24" s="18" t="s">
        <v>3</v>
      </c>
      <c r="U24" s="18" t="s">
        <v>3</v>
      </c>
      <c r="V24" s="18" t="s">
        <v>3</v>
      </c>
      <c r="W24" s="18" t="s">
        <v>3</v>
      </c>
      <c r="X24" s="18" t="s">
        <v>3</v>
      </c>
      <c r="Y24" s="18" t="s">
        <v>3</v>
      </c>
      <c r="Z24" s="18" t="s">
        <v>3</v>
      </c>
      <c r="AA24" s="18" t="s">
        <v>3</v>
      </c>
      <c r="AB24" s="18" t="s">
        <v>3</v>
      </c>
      <c r="AC24" s="18" t="s">
        <v>3</v>
      </c>
      <c r="AD24" s="18" t="s">
        <v>3</v>
      </c>
      <c r="AE24" s="18" t="s">
        <v>3</v>
      </c>
      <c r="AF24" s="18" t="s">
        <v>3</v>
      </c>
      <c r="AG24" s="18"/>
      <c r="AH24" s="27">
        <f>COUNTA(月11_212[[#This Row],[1]:[ ]])</f>
        <v>18</v>
      </c>
    </row>
    <row r="25" spans="2:34" ht="30" customHeight="1" x14ac:dyDescent="0.25">
      <c r="B25" s="31" t="s">
        <v>91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 t="s">
        <v>3</v>
      </c>
      <c r="P25" s="18" t="s">
        <v>3</v>
      </c>
      <c r="Q25" s="18" t="s">
        <v>3</v>
      </c>
      <c r="R25" s="18" t="s">
        <v>3</v>
      </c>
      <c r="S25" s="18" t="s">
        <v>3</v>
      </c>
      <c r="T25" s="18" t="s">
        <v>3</v>
      </c>
      <c r="U25" s="18" t="s">
        <v>3</v>
      </c>
      <c r="V25" s="18" t="s">
        <v>3</v>
      </c>
      <c r="W25" s="18" t="s">
        <v>3</v>
      </c>
      <c r="X25" s="18" t="s">
        <v>3</v>
      </c>
      <c r="Y25" s="18" t="s">
        <v>3</v>
      </c>
      <c r="Z25" s="18" t="s">
        <v>3</v>
      </c>
      <c r="AA25" s="18" t="s">
        <v>3</v>
      </c>
      <c r="AB25" s="18" t="s">
        <v>3</v>
      </c>
      <c r="AC25" s="18" t="s">
        <v>3</v>
      </c>
      <c r="AD25" s="18" t="s">
        <v>3</v>
      </c>
      <c r="AE25" s="18" t="s">
        <v>3</v>
      </c>
      <c r="AF25" s="18" t="s">
        <v>3</v>
      </c>
      <c r="AG25" s="18"/>
      <c r="AH25" s="27">
        <f>COUNTA(月11_212[[#This Row],[1]:[ ]])</f>
        <v>18</v>
      </c>
    </row>
    <row r="26" spans="2:34" ht="30" customHeight="1" x14ac:dyDescent="0.25">
      <c r="B26" s="31" t="s">
        <v>92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 t="s">
        <v>3</v>
      </c>
      <c r="P26" s="18" t="s">
        <v>3</v>
      </c>
      <c r="Q26" s="18" t="s">
        <v>3</v>
      </c>
      <c r="R26" s="18" t="s">
        <v>3</v>
      </c>
      <c r="S26" s="18" t="s">
        <v>3</v>
      </c>
      <c r="T26" s="18" t="s">
        <v>3</v>
      </c>
      <c r="U26" s="18" t="s">
        <v>3</v>
      </c>
      <c r="V26" s="18" t="s">
        <v>3</v>
      </c>
      <c r="W26" s="18" t="s">
        <v>3</v>
      </c>
      <c r="X26" s="18" t="s">
        <v>3</v>
      </c>
      <c r="Y26" s="18" t="s">
        <v>3</v>
      </c>
      <c r="Z26" s="18" t="s">
        <v>3</v>
      </c>
      <c r="AA26" s="18" t="s">
        <v>3</v>
      </c>
      <c r="AB26" s="18" t="s">
        <v>3</v>
      </c>
      <c r="AC26" s="18" t="s">
        <v>3</v>
      </c>
      <c r="AD26" s="18" t="s">
        <v>3</v>
      </c>
      <c r="AE26" s="18" t="s">
        <v>3</v>
      </c>
      <c r="AF26" s="18" t="s">
        <v>3</v>
      </c>
      <c r="AG26" s="18"/>
      <c r="AH26" s="27">
        <f>COUNTA(月11_212[[#This Row],[1]:[ ]])</f>
        <v>18</v>
      </c>
    </row>
    <row r="27" spans="2:34" ht="30" customHeight="1" x14ac:dyDescent="0.25">
      <c r="B27" s="31" t="s">
        <v>93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 t="s">
        <v>3</v>
      </c>
      <c r="P27" s="18" t="s">
        <v>3</v>
      </c>
      <c r="Q27" s="18" t="s">
        <v>3</v>
      </c>
      <c r="R27" s="18" t="s">
        <v>3</v>
      </c>
      <c r="S27" s="18" t="s">
        <v>3</v>
      </c>
      <c r="T27" s="18" t="s">
        <v>3</v>
      </c>
      <c r="U27" s="18" t="s">
        <v>3</v>
      </c>
      <c r="V27" s="18" t="s">
        <v>3</v>
      </c>
      <c r="W27" s="18" t="s">
        <v>3</v>
      </c>
      <c r="X27" s="18" t="s">
        <v>3</v>
      </c>
      <c r="Y27" s="18" t="s">
        <v>3</v>
      </c>
      <c r="Z27" s="18" t="s">
        <v>3</v>
      </c>
      <c r="AA27" s="18" t="s">
        <v>3</v>
      </c>
      <c r="AB27" s="18" t="s">
        <v>3</v>
      </c>
      <c r="AC27" s="18" t="s">
        <v>3</v>
      </c>
      <c r="AD27" s="18" t="s">
        <v>3</v>
      </c>
      <c r="AE27" s="18" t="s">
        <v>3</v>
      </c>
      <c r="AF27" s="18" t="s">
        <v>3</v>
      </c>
      <c r="AG27" s="18"/>
      <c r="AH27" s="27">
        <f>COUNTA(月11_212[[#This Row],[1]:[ ]])</f>
        <v>18</v>
      </c>
    </row>
    <row r="28" spans="2:34" ht="30" customHeight="1" x14ac:dyDescent="0.25">
      <c r="B28" s="31" t="s">
        <v>94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 t="s">
        <v>3</v>
      </c>
      <c r="P28" s="18" t="s">
        <v>3</v>
      </c>
      <c r="Q28" s="18" t="s">
        <v>3</v>
      </c>
      <c r="R28" s="18" t="s">
        <v>3</v>
      </c>
      <c r="S28" s="18" t="s">
        <v>3</v>
      </c>
      <c r="T28" s="18" t="s">
        <v>3</v>
      </c>
      <c r="U28" s="18" t="s">
        <v>3</v>
      </c>
      <c r="V28" s="18" t="s">
        <v>3</v>
      </c>
      <c r="W28" s="18" t="s">
        <v>3</v>
      </c>
      <c r="X28" s="18" t="s">
        <v>3</v>
      </c>
      <c r="Y28" s="18" t="s">
        <v>3</v>
      </c>
      <c r="Z28" s="18" t="s">
        <v>3</v>
      </c>
      <c r="AA28" s="18" t="s">
        <v>3</v>
      </c>
      <c r="AB28" s="18" t="s">
        <v>3</v>
      </c>
      <c r="AC28" s="18" t="s">
        <v>3</v>
      </c>
      <c r="AD28" s="18" t="s">
        <v>3</v>
      </c>
      <c r="AE28" s="18" t="s">
        <v>3</v>
      </c>
      <c r="AF28" s="18" t="s">
        <v>3</v>
      </c>
      <c r="AG28" s="18"/>
      <c r="AH28" s="27">
        <f>COUNTA(月11_212[[#This Row],[1]:[ ]])</f>
        <v>18</v>
      </c>
    </row>
    <row r="29" spans="2:34" ht="30" customHeight="1" x14ac:dyDescent="0.25">
      <c r="B29" s="31" t="s">
        <v>95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 t="s">
        <v>3</v>
      </c>
      <c r="P29" s="18" t="s">
        <v>3</v>
      </c>
      <c r="Q29" s="18" t="s">
        <v>3</v>
      </c>
      <c r="R29" s="18" t="s">
        <v>3</v>
      </c>
      <c r="S29" s="18" t="s">
        <v>3</v>
      </c>
      <c r="T29" s="18" t="s">
        <v>3</v>
      </c>
      <c r="U29" s="18" t="s">
        <v>3</v>
      </c>
      <c r="V29" s="18" t="s">
        <v>3</v>
      </c>
      <c r="W29" s="18" t="s">
        <v>3</v>
      </c>
      <c r="X29" s="18" t="s">
        <v>3</v>
      </c>
      <c r="Y29" s="18" t="s">
        <v>3</v>
      </c>
      <c r="Z29" s="18" t="s">
        <v>3</v>
      </c>
      <c r="AA29" s="18" t="s">
        <v>3</v>
      </c>
      <c r="AB29" s="18" t="s">
        <v>3</v>
      </c>
      <c r="AC29" s="18" t="s">
        <v>3</v>
      </c>
      <c r="AD29" s="18" t="s">
        <v>3</v>
      </c>
      <c r="AE29" s="18" t="s">
        <v>3</v>
      </c>
      <c r="AF29" s="18" t="s">
        <v>3</v>
      </c>
      <c r="AG29" s="18"/>
      <c r="AH29" s="27">
        <f>COUNTA(月11_212[[#This Row],[1]:[ ]])</f>
        <v>18</v>
      </c>
    </row>
    <row r="30" spans="2:34" ht="30" customHeight="1" x14ac:dyDescent="0.25">
      <c r="B30" s="31" t="s">
        <v>96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 t="s">
        <v>3</v>
      </c>
      <c r="P30" s="18" t="s">
        <v>3</v>
      </c>
      <c r="Q30" s="18" t="s">
        <v>3</v>
      </c>
      <c r="R30" s="18" t="s">
        <v>3</v>
      </c>
      <c r="S30" s="18" t="s">
        <v>3</v>
      </c>
      <c r="T30" s="18" t="s">
        <v>3</v>
      </c>
      <c r="U30" s="18" t="s">
        <v>3</v>
      </c>
      <c r="V30" s="18" t="s">
        <v>3</v>
      </c>
      <c r="W30" s="18" t="s">
        <v>3</v>
      </c>
      <c r="X30" s="18" t="s">
        <v>3</v>
      </c>
      <c r="Y30" s="18" t="s">
        <v>3</v>
      </c>
      <c r="Z30" s="18" t="s">
        <v>3</v>
      </c>
      <c r="AA30" s="18" t="s">
        <v>3</v>
      </c>
      <c r="AB30" s="18" t="s">
        <v>3</v>
      </c>
      <c r="AC30" s="18" t="s">
        <v>3</v>
      </c>
      <c r="AD30" s="18" t="s">
        <v>3</v>
      </c>
      <c r="AE30" s="18" t="s">
        <v>3</v>
      </c>
      <c r="AF30" s="18" t="s">
        <v>3</v>
      </c>
      <c r="AG30" s="18"/>
      <c r="AH30" s="27">
        <f>COUNTA(月11_212[[#This Row],[1]:[ ]])</f>
        <v>18</v>
      </c>
    </row>
    <row r="31" spans="2:34" ht="30" customHeight="1" x14ac:dyDescent="0.25">
      <c r="B31" s="20" t="s">
        <v>97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7">
        <f>COUNTA('25年9月'!$C31:$AG31)</f>
        <v>0</v>
      </c>
    </row>
    <row r="32" spans="2:34" ht="30" customHeight="1" x14ac:dyDescent="0.25">
      <c r="B32" s="20" t="s">
        <v>98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27">
        <f>COUNTA('25年9月'!$C32:$AG32)</f>
        <v>0</v>
      </c>
    </row>
    <row r="33" spans="2:34" ht="30" customHeight="1" x14ac:dyDescent="0.25">
      <c r="B33" s="20" t="s">
        <v>99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27">
        <f>COUNTA('25年9月'!$C33:$AG33)</f>
        <v>0</v>
      </c>
    </row>
    <row r="34" spans="2:34" ht="30" customHeight="1" x14ac:dyDescent="0.25">
      <c r="B34" s="20" t="s">
        <v>100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7">
        <f>COUNTA('25年9月'!$C34:$AG34)</f>
        <v>0</v>
      </c>
    </row>
    <row r="35" spans="2:34" ht="30" customHeight="1" x14ac:dyDescent="0.25">
      <c r="B35" s="20" t="s">
        <v>101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7">
        <f>COUNTA('25年9月'!$C35:$AG35)</f>
        <v>0</v>
      </c>
    </row>
    <row r="36" spans="2:34" ht="30" customHeight="1" x14ac:dyDescent="0.25">
      <c r="B36" s="20" t="s">
        <v>102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7">
        <f>COUNTA('25年9月'!$C36:$AG36)</f>
        <v>0</v>
      </c>
    </row>
    <row r="37" spans="2:34" ht="30" customHeight="1" x14ac:dyDescent="0.25">
      <c r="B37" s="20" t="s">
        <v>103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27">
        <f>COUNTA('25年9月'!$C37:$AG37)</f>
        <v>0</v>
      </c>
    </row>
    <row r="38" spans="2:34" ht="30" customHeight="1" x14ac:dyDescent="0.25">
      <c r="B38" s="20" t="s">
        <v>104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7">
        <f>COUNTA('25年9月'!$C38:$AG38)</f>
        <v>0</v>
      </c>
    </row>
    <row r="39" spans="2:34" ht="30" customHeight="1" x14ac:dyDescent="0.25">
      <c r="B39" s="20" t="s">
        <v>105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7">
        <f>COUNTA('25年9月'!$C39:$AG39)</f>
        <v>0</v>
      </c>
    </row>
    <row r="40" spans="2:34" ht="30" customHeight="1" x14ac:dyDescent="0.25">
      <c r="B40" s="20" t="s">
        <v>106</v>
      </c>
      <c r="C40" s="18"/>
      <c r="D40" s="18"/>
      <c r="E40" s="18"/>
      <c r="F40" s="18"/>
      <c r="G40" s="35"/>
      <c r="H40" s="35"/>
      <c r="I40" s="35"/>
      <c r="J40" s="18"/>
      <c r="K40" s="18"/>
      <c r="L40" s="18"/>
      <c r="M40" s="18"/>
      <c r="N40" s="35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27">
        <f>COUNTA('25年9月'!$C40:$AG40)</f>
        <v>0</v>
      </c>
    </row>
    <row r="41" spans="2:34" ht="30" customHeight="1" x14ac:dyDescent="0.25">
      <c r="B41" s="31" t="s">
        <v>107</v>
      </c>
      <c r="C41" s="18" t="s">
        <v>3</v>
      </c>
      <c r="D41" s="18" t="s">
        <v>3</v>
      </c>
      <c r="E41" s="18" t="s">
        <v>3</v>
      </c>
      <c r="F41" s="18" t="s">
        <v>3</v>
      </c>
      <c r="G41" s="18" t="s">
        <v>3</v>
      </c>
      <c r="H41" s="18"/>
      <c r="I41" s="18"/>
      <c r="J41" s="18" t="s">
        <v>66</v>
      </c>
      <c r="K41" s="18" t="s">
        <v>66</v>
      </c>
      <c r="L41" s="18" t="s">
        <v>66</v>
      </c>
      <c r="M41" s="18" t="s">
        <v>66</v>
      </c>
      <c r="N41" s="18" t="s">
        <v>66</v>
      </c>
      <c r="O41" s="18" t="s">
        <v>3</v>
      </c>
      <c r="P41" s="18" t="s">
        <v>3</v>
      </c>
      <c r="Q41" s="18" t="s">
        <v>3</v>
      </c>
      <c r="R41" s="18" t="s">
        <v>3</v>
      </c>
      <c r="S41" s="18" t="s">
        <v>3</v>
      </c>
      <c r="T41" s="18" t="s">
        <v>3</v>
      </c>
      <c r="U41" s="18" t="s">
        <v>3</v>
      </c>
      <c r="V41" s="18" t="s">
        <v>3</v>
      </c>
      <c r="W41" s="18" t="s">
        <v>3</v>
      </c>
      <c r="X41" s="18" t="s">
        <v>3</v>
      </c>
      <c r="Y41" s="18" t="s">
        <v>3</v>
      </c>
      <c r="Z41" s="18" t="s">
        <v>3</v>
      </c>
      <c r="AA41" s="18" t="s">
        <v>3</v>
      </c>
      <c r="AB41" s="18" t="s">
        <v>3</v>
      </c>
      <c r="AC41" s="18" t="s">
        <v>3</v>
      </c>
      <c r="AD41" s="18" t="s">
        <v>3</v>
      </c>
      <c r="AE41" s="18" t="s">
        <v>3</v>
      </c>
      <c r="AF41" s="18" t="s">
        <v>3</v>
      </c>
      <c r="AG41" s="18"/>
      <c r="AH41" s="27">
        <f>COUNTA(月11_212[[#This Row],[1]:[ ]])</f>
        <v>28</v>
      </c>
    </row>
    <row r="42" spans="2:34" ht="30" customHeight="1" x14ac:dyDescent="0.25">
      <c r="B42" s="31" t="s">
        <v>158</v>
      </c>
      <c r="C42" s="18" t="s">
        <v>3</v>
      </c>
      <c r="D42" s="18" t="s">
        <v>3</v>
      </c>
      <c r="E42" s="18" t="s">
        <v>3</v>
      </c>
      <c r="F42" s="18" t="s">
        <v>3</v>
      </c>
      <c r="G42" s="18" t="s">
        <v>3</v>
      </c>
      <c r="H42" s="18"/>
      <c r="I42" s="18"/>
      <c r="J42" s="18" t="s">
        <v>66</v>
      </c>
      <c r="K42" s="18" t="s">
        <v>66</v>
      </c>
      <c r="L42" s="18" t="s">
        <v>66</v>
      </c>
      <c r="M42" s="18" t="s">
        <v>66</v>
      </c>
      <c r="N42" s="18" t="s">
        <v>66</v>
      </c>
      <c r="O42" s="18" t="s">
        <v>3</v>
      </c>
      <c r="P42" s="18" t="s">
        <v>3</v>
      </c>
      <c r="Q42" s="18" t="s">
        <v>3</v>
      </c>
      <c r="R42" s="18" t="s">
        <v>3</v>
      </c>
      <c r="S42" s="18" t="s">
        <v>3</v>
      </c>
      <c r="T42" s="18" t="s">
        <v>3</v>
      </c>
      <c r="U42" s="18" t="s">
        <v>3</v>
      </c>
      <c r="V42" s="18" t="s">
        <v>3</v>
      </c>
      <c r="W42" s="18" t="s">
        <v>3</v>
      </c>
      <c r="X42" s="18" t="s">
        <v>3</v>
      </c>
      <c r="Y42" s="18" t="s">
        <v>3</v>
      </c>
      <c r="Z42" s="18" t="s">
        <v>3</v>
      </c>
      <c r="AA42" s="18" t="s">
        <v>3</v>
      </c>
      <c r="AB42" s="18" t="s">
        <v>3</v>
      </c>
      <c r="AC42" s="18" t="s">
        <v>3</v>
      </c>
      <c r="AD42" s="18" t="s">
        <v>3</v>
      </c>
      <c r="AE42" s="18" t="s">
        <v>3</v>
      </c>
      <c r="AF42" s="18" t="s">
        <v>3</v>
      </c>
      <c r="AG42" s="18"/>
      <c r="AH42" s="27">
        <f>COUNTA(月11_212[[#This Row],[1]:[ ]])</f>
        <v>28</v>
      </c>
    </row>
    <row r="43" spans="2:34" ht="30" customHeight="1" x14ac:dyDescent="0.25">
      <c r="B43" s="31" t="s">
        <v>109</v>
      </c>
      <c r="C43" s="18" t="s">
        <v>3</v>
      </c>
      <c r="D43" s="18" t="s">
        <v>3</v>
      </c>
      <c r="E43" s="18" t="s">
        <v>3</v>
      </c>
      <c r="F43" s="18" t="s">
        <v>3</v>
      </c>
      <c r="G43" s="18" t="s">
        <v>3</v>
      </c>
      <c r="H43" s="18"/>
      <c r="I43" s="18"/>
      <c r="J43" s="18" t="s">
        <v>66</v>
      </c>
      <c r="K43" s="18" t="s">
        <v>66</v>
      </c>
      <c r="L43" s="18" t="s">
        <v>66</v>
      </c>
      <c r="M43" s="18" t="s">
        <v>66</v>
      </c>
      <c r="N43" s="18" t="s">
        <v>66</v>
      </c>
      <c r="O43" s="18" t="s">
        <v>3</v>
      </c>
      <c r="P43" s="18" t="s">
        <v>3</v>
      </c>
      <c r="Q43" s="18" t="s">
        <v>3</v>
      </c>
      <c r="R43" s="18" t="s">
        <v>3</v>
      </c>
      <c r="S43" s="18" t="s">
        <v>3</v>
      </c>
      <c r="T43" s="18" t="s">
        <v>3</v>
      </c>
      <c r="U43" s="18" t="s">
        <v>3</v>
      </c>
      <c r="V43" s="18" t="s">
        <v>3</v>
      </c>
      <c r="W43" s="18" t="s">
        <v>3</v>
      </c>
      <c r="X43" s="18" t="s">
        <v>3</v>
      </c>
      <c r="Y43" s="18" t="s">
        <v>3</v>
      </c>
      <c r="Z43" s="18" t="s">
        <v>3</v>
      </c>
      <c r="AA43" s="18" t="s">
        <v>3</v>
      </c>
      <c r="AB43" s="18" t="s">
        <v>3</v>
      </c>
      <c r="AC43" s="18" t="s">
        <v>3</v>
      </c>
      <c r="AD43" s="18" t="s">
        <v>3</v>
      </c>
      <c r="AE43" s="18" t="s">
        <v>3</v>
      </c>
      <c r="AF43" s="18" t="s">
        <v>3</v>
      </c>
      <c r="AG43" s="18"/>
      <c r="AH43" s="27">
        <f>COUNTA(月11_212[[#This Row],[1]:[ ]])</f>
        <v>28</v>
      </c>
    </row>
    <row r="44" spans="2:34" ht="30" customHeight="1" x14ac:dyDescent="0.25">
      <c r="B44" s="31" t="s">
        <v>110</v>
      </c>
      <c r="C44" s="18" t="s">
        <v>3</v>
      </c>
      <c r="D44" s="18" t="s">
        <v>3</v>
      </c>
      <c r="E44" s="18" t="s">
        <v>3</v>
      </c>
      <c r="F44" s="18" t="s">
        <v>3</v>
      </c>
      <c r="G44" s="18" t="s">
        <v>3</v>
      </c>
      <c r="H44" s="18"/>
      <c r="I44" s="18"/>
      <c r="J44" s="18" t="s">
        <v>66</v>
      </c>
      <c r="K44" s="18" t="s">
        <v>66</v>
      </c>
      <c r="L44" s="18" t="s">
        <v>66</v>
      </c>
      <c r="M44" s="18" t="s">
        <v>66</v>
      </c>
      <c r="N44" s="18" t="s">
        <v>66</v>
      </c>
      <c r="O44" s="18" t="s">
        <v>3</v>
      </c>
      <c r="P44" s="18" t="s">
        <v>3</v>
      </c>
      <c r="Q44" s="18" t="s">
        <v>3</v>
      </c>
      <c r="R44" s="18" t="s">
        <v>3</v>
      </c>
      <c r="S44" s="18" t="s">
        <v>3</v>
      </c>
      <c r="T44" s="18" t="s">
        <v>3</v>
      </c>
      <c r="U44" s="18" t="s">
        <v>3</v>
      </c>
      <c r="V44" s="18" t="s">
        <v>3</v>
      </c>
      <c r="W44" s="18" t="s">
        <v>3</v>
      </c>
      <c r="X44" s="18" t="s">
        <v>3</v>
      </c>
      <c r="Y44" s="18" t="s">
        <v>3</v>
      </c>
      <c r="Z44" s="18" t="s">
        <v>3</v>
      </c>
      <c r="AA44" s="18" t="s">
        <v>3</v>
      </c>
      <c r="AB44" s="18" t="s">
        <v>3</v>
      </c>
      <c r="AC44" s="18" t="s">
        <v>3</v>
      </c>
      <c r="AD44" s="18" t="s">
        <v>3</v>
      </c>
      <c r="AE44" s="18" t="s">
        <v>3</v>
      </c>
      <c r="AF44" s="18" t="s">
        <v>3</v>
      </c>
      <c r="AG44" s="18"/>
      <c r="AH44" s="27">
        <f>COUNTA(月11_212[[#This Row],[1]:[ ]])</f>
        <v>28</v>
      </c>
    </row>
    <row r="45" spans="2:34" ht="30" customHeight="1" x14ac:dyDescent="0.25">
      <c r="B45" s="31" t="s">
        <v>111</v>
      </c>
      <c r="C45" s="18" t="s">
        <v>3</v>
      </c>
      <c r="D45" s="18" t="s">
        <v>3</v>
      </c>
      <c r="E45" s="18" t="s">
        <v>3</v>
      </c>
      <c r="F45" s="18" t="s">
        <v>3</v>
      </c>
      <c r="G45" s="18" t="s">
        <v>3</v>
      </c>
      <c r="H45" s="18"/>
      <c r="I45" s="18"/>
      <c r="J45" s="18" t="s">
        <v>66</v>
      </c>
      <c r="K45" s="18" t="s">
        <v>66</v>
      </c>
      <c r="L45" s="18" t="s">
        <v>66</v>
      </c>
      <c r="M45" s="18" t="s">
        <v>66</v>
      </c>
      <c r="N45" s="18" t="s">
        <v>66</v>
      </c>
      <c r="O45" s="18" t="s">
        <v>3</v>
      </c>
      <c r="P45" s="18" t="s">
        <v>3</v>
      </c>
      <c r="Q45" s="18" t="s">
        <v>3</v>
      </c>
      <c r="R45" s="18" t="s">
        <v>3</v>
      </c>
      <c r="S45" s="18" t="s">
        <v>3</v>
      </c>
      <c r="T45" s="18" t="s">
        <v>3</v>
      </c>
      <c r="U45" s="18" t="s">
        <v>3</v>
      </c>
      <c r="V45" s="18" t="s">
        <v>3</v>
      </c>
      <c r="W45" s="18" t="s">
        <v>3</v>
      </c>
      <c r="X45" s="18" t="s">
        <v>3</v>
      </c>
      <c r="Y45" s="18" t="s">
        <v>3</v>
      </c>
      <c r="Z45" s="18" t="s">
        <v>3</v>
      </c>
      <c r="AA45" s="18" t="s">
        <v>3</v>
      </c>
      <c r="AB45" s="18" t="s">
        <v>3</v>
      </c>
      <c r="AC45" s="18" t="s">
        <v>3</v>
      </c>
      <c r="AD45" s="18" t="s">
        <v>3</v>
      </c>
      <c r="AE45" s="18" t="s">
        <v>3</v>
      </c>
      <c r="AF45" s="18" t="s">
        <v>3</v>
      </c>
      <c r="AG45" s="18"/>
      <c r="AH45" s="27">
        <f>COUNTA(月11_212[[#This Row],[1]:[ ]])</f>
        <v>28</v>
      </c>
    </row>
    <row r="46" spans="2:34" ht="30" customHeight="1" x14ac:dyDescent="0.25">
      <c r="B46" s="31" t="s">
        <v>112</v>
      </c>
      <c r="C46" s="18" t="s">
        <v>3</v>
      </c>
      <c r="D46" s="18" t="s">
        <v>3</v>
      </c>
      <c r="E46" s="18" t="s">
        <v>3</v>
      </c>
      <c r="F46" s="18" t="s">
        <v>3</v>
      </c>
      <c r="G46" s="18" t="s">
        <v>3</v>
      </c>
      <c r="H46" s="18"/>
      <c r="I46" s="18"/>
      <c r="J46" s="18" t="s">
        <v>5</v>
      </c>
      <c r="K46" s="18" t="s">
        <v>5</v>
      </c>
      <c r="L46" s="18" t="s">
        <v>5</v>
      </c>
      <c r="M46" s="18" t="s">
        <v>5</v>
      </c>
      <c r="N46" s="18" t="s">
        <v>5</v>
      </c>
      <c r="O46" s="18" t="s">
        <v>3</v>
      </c>
      <c r="P46" s="18" t="s">
        <v>3</v>
      </c>
      <c r="Q46" s="18" t="s">
        <v>3</v>
      </c>
      <c r="R46" s="18" t="s">
        <v>3</v>
      </c>
      <c r="S46" s="18" t="s">
        <v>3</v>
      </c>
      <c r="T46" s="18" t="s">
        <v>3</v>
      </c>
      <c r="U46" s="18" t="s">
        <v>3</v>
      </c>
      <c r="V46" s="18" t="s">
        <v>3</v>
      </c>
      <c r="W46" s="18" t="s">
        <v>3</v>
      </c>
      <c r="X46" s="18" t="s">
        <v>3</v>
      </c>
      <c r="Y46" s="18" t="s">
        <v>3</v>
      </c>
      <c r="Z46" s="18" t="s">
        <v>3</v>
      </c>
      <c r="AA46" s="18" t="s">
        <v>3</v>
      </c>
      <c r="AB46" s="18" t="s">
        <v>3</v>
      </c>
      <c r="AC46" s="18" t="s">
        <v>3</v>
      </c>
      <c r="AD46" s="18" t="s">
        <v>3</v>
      </c>
      <c r="AE46" s="18" t="s">
        <v>3</v>
      </c>
      <c r="AF46" s="18" t="s">
        <v>3</v>
      </c>
      <c r="AG46" s="18"/>
      <c r="AH46" s="27">
        <f>COUNTA(月11_212[[#This Row],[1]:[ ]])</f>
        <v>28</v>
      </c>
    </row>
    <row r="47" spans="2:34" ht="30" customHeight="1" x14ac:dyDescent="0.25">
      <c r="B47" s="31" t="s">
        <v>113</v>
      </c>
      <c r="C47" s="18" t="s">
        <v>3</v>
      </c>
      <c r="D47" s="18" t="s">
        <v>3</v>
      </c>
      <c r="E47" s="18" t="s">
        <v>3</v>
      </c>
      <c r="F47" s="18" t="s">
        <v>3</v>
      </c>
      <c r="G47" s="18" t="s">
        <v>3</v>
      </c>
      <c r="H47" s="18"/>
      <c r="I47" s="18"/>
      <c r="J47" s="18" t="s">
        <v>5</v>
      </c>
      <c r="K47" s="18" t="s">
        <v>5</v>
      </c>
      <c r="L47" s="18" t="s">
        <v>5</v>
      </c>
      <c r="M47" s="18" t="s">
        <v>5</v>
      </c>
      <c r="N47" s="18" t="s">
        <v>5</v>
      </c>
      <c r="O47" s="18" t="s">
        <v>3</v>
      </c>
      <c r="P47" s="18" t="s">
        <v>3</v>
      </c>
      <c r="Q47" s="18" t="s">
        <v>3</v>
      </c>
      <c r="R47" s="18" t="s">
        <v>3</v>
      </c>
      <c r="S47" s="18" t="s">
        <v>3</v>
      </c>
      <c r="T47" s="18" t="s">
        <v>3</v>
      </c>
      <c r="U47" s="18" t="s">
        <v>3</v>
      </c>
      <c r="V47" s="18" t="s">
        <v>3</v>
      </c>
      <c r="W47" s="18" t="s">
        <v>3</v>
      </c>
      <c r="X47" s="18" t="s">
        <v>3</v>
      </c>
      <c r="Y47" s="18" t="s">
        <v>3</v>
      </c>
      <c r="Z47" s="18" t="s">
        <v>3</v>
      </c>
      <c r="AA47" s="18" t="s">
        <v>3</v>
      </c>
      <c r="AB47" s="18" t="s">
        <v>3</v>
      </c>
      <c r="AC47" s="18" t="s">
        <v>3</v>
      </c>
      <c r="AD47" s="18" t="s">
        <v>3</v>
      </c>
      <c r="AE47" s="18" t="s">
        <v>3</v>
      </c>
      <c r="AF47" s="18" t="s">
        <v>3</v>
      </c>
      <c r="AG47" s="18"/>
      <c r="AH47" s="27">
        <f>COUNTA(月11_212[[#This Row],[1]:[ ]])</f>
        <v>28</v>
      </c>
    </row>
    <row r="48" spans="2:34" ht="30" customHeight="1" x14ac:dyDescent="0.25">
      <c r="B48" s="31" t="s">
        <v>114</v>
      </c>
      <c r="C48" s="18" t="s">
        <v>3</v>
      </c>
      <c r="D48" s="18" t="s">
        <v>3</v>
      </c>
      <c r="E48" s="18" t="s">
        <v>3</v>
      </c>
      <c r="F48" s="18" t="s">
        <v>3</v>
      </c>
      <c r="G48" s="18" t="s">
        <v>3</v>
      </c>
      <c r="H48" s="18"/>
      <c r="I48" s="18"/>
      <c r="J48" s="18" t="s">
        <v>5</v>
      </c>
      <c r="K48" s="18" t="s">
        <v>5</v>
      </c>
      <c r="L48" s="18" t="s">
        <v>5</v>
      </c>
      <c r="M48" s="18" t="s">
        <v>5</v>
      </c>
      <c r="N48" s="18" t="s">
        <v>5</v>
      </c>
      <c r="O48" s="18" t="s">
        <v>3</v>
      </c>
      <c r="P48" s="18" t="s">
        <v>3</v>
      </c>
      <c r="Q48" s="18" t="s">
        <v>3</v>
      </c>
      <c r="R48" s="18" t="s">
        <v>3</v>
      </c>
      <c r="S48" s="18" t="s">
        <v>3</v>
      </c>
      <c r="T48" s="18" t="s">
        <v>3</v>
      </c>
      <c r="U48" s="18" t="s">
        <v>3</v>
      </c>
      <c r="V48" s="18" t="s">
        <v>3</v>
      </c>
      <c r="W48" s="18" t="s">
        <v>3</v>
      </c>
      <c r="X48" s="18" t="s">
        <v>3</v>
      </c>
      <c r="Y48" s="18" t="s">
        <v>3</v>
      </c>
      <c r="Z48" s="18" t="s">
        <v>3</v>
      </c>
      <c r="AA48" s="18" t="s">
        <v>3</v>
      </c>
      <c r="AB48" s="18" t="s">
        <v>3</v>
      </c>
      <c r="AC48" s="18" t="s">
        <v>3</v>
      </c>
      <c r="AD48" s="18" t="s">
        <v>3</v>
      </c>
      <c r="AE48" s="18" t="s">
        <v>3</v>
      </c>
      <c r="AF48" s="18" t="s">
        <v>3</v>
      </c>
      <c r="AG48" s="18"/>
      <c r="AH48" s="27">
        <f>COUNTA(月11_212[[#This Row],[1]:[ ]])</f>
        <v>28</v>
      </c>
    </row>
    <row r="49" spans="2:34" ht="30" customHeight="1" x14ac:dyDescent="0.25">
      <c r="B49" s="31" t="s">
        <v>115</v>
      </c>
      <c r="C49" s="18" t="s">
        <v>3</v>
      </c>
      <c r="D49" s="18" t="s">
        <v>3</v>
      </c>
      <c r="E49" s="18" t="s">
        <v>3</v>
      </c>
      <c r="F49" s="18" t="s">
        <v>3</v>
      </c>
      <c r="G49" s="18" t="s">
        <v>3</v>
      </c>
      <c r="H49" s="18"/>
      <c r="I49" s="18"/>
      <c r="J49" s="18" t="s">
        <v>5</v>
      </c>
      <c r="K49" s="18" t="s">
        <v>5</v>
      </c>
      <c r="L49" s="18" t="s">
        <v>5</v>
      </c>
      <c r="M49" s="18" t="s">
        <v>5</v>
      </c>
      <c r="N49" s="18" t="s">
        <v>5</v>
      </c>
      <c r="O49" s="18" t="s">
        <v>3</v>
      </c>
      <c r="P49" s="18" t="s">
        <v>3</v>
      </c>
      <c r="Q49" s="18" t="s">
        <v>3</v>
      </c>
      <c r="R49" s="18" t="s">
        <v>3</v>
      </c>
      <c r="S49" s="18" t="s">
        <v>3</v>
      </c>
      <c r="T49" s="18" t="s">
        <v>3</v>
      </c>
      <c r="U49" s="18" t="s">
        <v>3</v>
      </c>
      <c r="V49" s="18" t="s">
        <v>3</v>
      </c>
      <c r="W49" s="18" t="s">
        <v>3</v>
      </c>
      <c r="X49" s="18" t="s">
        <v>3</v>
      </c>
      <c r="Y49" s="18" t="s">
        <v>3</v>
      </c>
      <c r="Z49" s="18" t="s">
        <v>3</v>
      </c>
      <c r="AA49" s="18" t="s">
        <v>3</v>
      </c>
      <c r="AB49" s="18" t="s">
        <v>3</v>
      </c>
      <c r="AC49" s="18" t="s">
        <v>3</v>
      </c>
      <c r="AD49" s="18" t="s">
        <v>3</v>
      </c>
      <c r="AE49" s="18" t="s">
        <v>3</v>
      </c>
      <c r="AF49" s="18" t="s">
        <v>3</v>
      </c>
      <c r="AG49" s="18"/>
      <c r="AH49" s="27">
        <f>COUNTA(月11_212[[#This Row],[1]:[ ]])</f>
        <v>28</v>
      </c>
    </row>
    <row r="50" spans="2:34" ht="30" customHeight="1" x14ac:dyDescent="0.25">
      <c r="B50" s="31" t="s">
        <v>116</v>
      </c>
      <c r="C50" s="18" t="s">
        <v>3</v>
      </c>
      <c r="D50" s="18" t="s">
        <v>3</v>
      </c>
      <c r="E50" s="18" t="s">
        <v>3</v>
      </c>
      <c r="F50" s="18" t="s">
        <v>3</v>
      </c>
      <c r="G50" s="18" t="s">
        <v>3</v>
      </c>
      <c r="H50" s="18"/>
      <c r="I50" s="18"/>
      <c r="J50" s="18" t="s">
        <v>5</v>
      </c>
      <c r="K50" s="18" t="s">
        <v>5</v>
      </c>
      <c r="L50" s="18" t="s">
        <v>5</v>
      </c>
      <c r="M50" s="18" t="s">
        <v>5</v>
      </c>
      <c r="N50" s="18" t="s">
        <v>5</v>
      </c>
      <c r="O50" s="18" t="s">
        <v>3</v>
      </c>
      <c r="P50" s="18" t="s">
        <v>3</v>
      </c>
      <c r="Q50" s="18" t="s">
        <v>3</v>
      </c>
      <c r="R50" s="18" t="s">
        <v>3</v>
      </c>
      <c r="S50" s="18" t="s">
        <v>3</v>
      </c>
      <c r="T50" s="18" t="s">
        <v>3</v>
      </c>
      <c r="U50" s="18" t="s">
        <v>3</v>
      </c>
      <c r="V50" s="18" t="s">
        <v>3</v>
      </c>
      <c r="W50" s="18" t="s">
        <v>3</v>
      </c>
      <c r="X50" s="18" t="s">
        <v>3</v>
      </c>
      <c r="Y50" s="18" t="s">
        <v>3</v>
      </c>
      <c r="Z50" s="18" t="s">
        <v>3</v>
      </c>
      <c r="AA50" s="18" t="s">
        <v>3</v>
      </c>
      <c r="AB50" s="18" t="s">
        <v>3</v>
      </c>
      <c r="AC50" s="18" t="s">
        <v>3</v>
      </c>
      <c r="AD50" s="18" t="s">
        <v>3</v>
      </c>
      <c r="AE50" s="18" t="s">
        <v>3</v>
      </c>
      <c r="AF50" s="18" t="s">
        <v>3</v>
      </c>
      <c r="AG50" s="18"/>
      <c r="AH50" s="27">
        <f>COUNTA(月11_212[[#This Row],[1]:[ ]])</f>
        <v>28</v>
      </c>
    </row>
    <row r="51" spans="2:34" ht="30" customHeight="1" x14ac:dyDescent="0.25">
      <c r="B51" s="31" t="s">
        <v>117</v>
      </c>
      <c r="C51" s="18" t="s">
        <v>3</v>
      </c>
      <c r="D51" s="18" t="s">
        <v>3</v>
      </c>
      <c r="E51" s="18" t="s">
        <v>3</v>
      </c>
      <c r="F51" s="18" t="s">
        <v>3</v>
      </c>
      <c r="G51" s="18" t="s">
        <v>3</v>
      </c>
      <c r="H51" s="18"/>
      <c r="I51" s="18"/>
      <c r="J51" s="18" t="s">
        <v>5</v>
      </c>
      <c r="K51" s="18" t="s">
        <v>5</v>
      </c>
      <c r="L51" s="18" t="s">
        <v>5</v>
      </c>
      <c r="M51" s="18" t="s">
        <v>5</v>
      </c>
      <c r="N51" s="18" t="s">
        <v>5</v>
      </c>
      <c r="O51" s="18" t="s">
        <v>3</v>
      </c>
      <c r="P51" s="18" t="s">
        <v>3</v>
      </c>
      <c r="Q51" s="18" t="s">
        <v>3</v>
      </c>
      <c r="R51" s="18" t="s">
        <v>3</v>
      </c>
      <c r="S51" s="18" t="s">
        <v>3</v>
      </c>
      <c r="T51" s="18" t="s">
        <v>3</v>
      </c>
      <c r="U51" s="18" t="s">
        <v>3</v>
      </c>
      <c r="V51" s="18" t="s">
        <v>3</v>
      </c>
      <c r="W51" s="18" t="s">
        <v>3</v>
      </c>
      <c r="X51" s="18" t="s">
        <v>3</v>
      </c>
      <c r="Y51" s="18" t="s">
        <v>3</v>
      </c>
      <c r="Z51" s="18" t="s">
        <v>3</v>
      </c>
      <c r="AA51" s="18" t="s">
        <v>3</v>
      </c>
      <c r="AB51" s="18" t="s">
        <v>3</v>
      </c>
      <c r="AC51" s="18" t="s">
        <v>3</v>
      </c>
      <c r="AD51" s="18" t="s">
        <v>3</v>
      </c>
      <c r="AE51" s="18" t="s">
        <v>3</v>
      </c>
      <c r="AF51" s="18" t="s">
        <v>3</v>
      </c>
      <c r="AG51" s="18"/>
      <c r="AH51" s="27">
        <f>COUNTA(月11_212[[#This Row],[1]:[ ]])</f>
        <v>28</v>
      </c>
    </row>
    <row r="52" spans="2:34" ht="30" customHeight="1" x14ac:dyDescent="0.25">
      <c r="B52" s="31" t="s">
        <v>118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 t="s">
        <v>3</v>
      </c>
      <c r="P52" s="18" t="s">
        <v>3</v>
      </c>
      <c r="Q52" s="18" t="s">
        <v>3</v>
      </c>
      <c r="R52" s="18" t="s">
        <v>3</v>
      </c>
      <c r="S52" s="18" t="s">
        <v>3</v>
      </c>
      <c r="T52" s="18" t="s">
        <v>3</v>
      </c>
      <c r="U52" s="18" t="s">
        <v>3</v>
      </c>
      <c r="V52" s="18" t="s">
        <v>3</v>
      </c>
      <c r="W52" s="18" t="s">
        <v>3</v>
      </c>
      <c r="X52" s="18" t="s">
        <v>3</v>
      </c>
      <c r="Y52" s="18" t="s">
        <v>3</v>
      </c>
      <c r="Z52" s="18" t="s">
        <v>3</v>
      </c>
      <c r="AA52" s="18" t="s">
        <v>3</v>
      </c>
      <c r="AB52" s="18" t="s">
        <v>3</v>
      </c>
      <c r="AC52" s="18" t="s">
        <v>3</v>
      </c>
      <c r="AD52" s="18" t="s">
        <v>3</v>
      </c>
      <c r="AE52" s="18" t="s">
        <v>3</v>
      </c>
      <c r="AF52" s="18" t="s">
        <v>3</v>
      </c>
      <c r="AG52" s="18"/>
      <c r="AH52" s="27">
        <f>COUNTA(月11_212[[#This Row],[1]:[ ]])</f>
        <v>18</v>
      </c>
    </row>
    <row r="53" spans="2:34" ht="30" customHeight="1" x14ac:dyDescent="0.25">
      <c r="B53" s="31" t="s">
        <v>144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 t="s">
        <v>3</v>
      </c>
      <c r="P53" s="18" t="s">
        <v>3</v>
      </c>
      <c r="Q53" s="18" t="s">
        <v>3</v>
      </c>
      <c r="R53" s="18" t="s">
        <v>3</v>
      </c>
      <c r="S53" s="18" t="s">
        <v>3</v>
      </c>
      <c r="T53" s="18" t="s">
        <v>3</v>
      </c>
      <c r="U53" s="18" t="s">
        <v>3</v>
      </c>
      <c r="V53" s="18" t="s">
        <v>3</v>
      </c>
      <c r="W53" s="18" t="s">
        <v>3</v>
      </c>
      <c r="X53" s="18" t="s">
        <v>3</v>
      </c>
      <c r="Y53" s="18" t="s">
        <v>3</v>
      </c>
      <c r="Z53" s="18" t="s">
        <v>3</v>
      </c>
      <c r="AA53" s="18" t="s">
        <v>3</v>
      </c>
      <c r="AB53" s="18" t="s">
        <v>3</v>
      </c>
      <c r="AC53" s="18" t="s">
        <v>3</v>
      </c>
      <c r="AD53" s="18" t="s">
        <v>3</v>
      </c>
      <c r="AE53" s="18" t="s">
        <v>3</v>
      </c>
      <c r="AF53" s="18" t="s">
        <v>3</v>
      </c>
      <c r="AG53" s="18"/>
      <c r="AH53" s="27">
        <f>COUNTA(月11_212[[#This Row],[1]:[ ]])</f>
        <v>18</v>
      </c>
    </row>
    <row r="54" spans="2:34" ht="30" customHeight="1" x14ac:dyDescent="0.25">
      <c r="B54" s="31" t="s">
        <v>145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 t="s">
        <v>3</v>
      </c>
      <c r="P54" s="18" t="s">
        <v>3</v>
      </c>
      <c r="Q54" s="18" t="s">
        <v>3</v>
      </c>
      <c r="R54" s="18" t="s">
        <v>3</v>
      </c>
      <c r="S54" s="18" t="s">
        <v>3</v>
      </c>
      <c r="T54" s="18" t="s">
        <v>3</v>
      </c>
      <c r="U54" s="18" t="s">
        <v>3</v>
      </c>
      <c r="V54" s="18" t="s">
        <v>3</v>
      </c>
      <c r="W54" s="18" t="s">
        <v>3</v>
      </c>
      <c r="X54" s="18" t="s">
        <v>3</v>
      </c>
      <c r="Y54" s="18" t="s">
        <v>3</v>
      </c>
      <c r="Z54" s="18" t="s">
        <v>3</v>
      </c>
      <c r="AA54" s="18" t="s">
        <v>3</v>
      </c>
      <c r="AB54" s="18" t="s">
        <v>3</v>
      </c>
      <c r="AC54" s="18" t="s">
        <v>3</v>
      </c>
      <c r="AD54" s="18" t="s">
        <v>3</v>
      </c>
      <c r="AE54" s="18" t="s">
        <v>3</v>
      </c>
      <c r="AF54" s="18" t="s">
        <v>3</v>
      </c>
      <c r="AG54" s="18"/>
      <c r="AH54" s="27">
        <f>COUNTA(月11_212[[#This Row],[1]:[ ]])</f>
        <v>18</v>
      </c>
    </row>
    <row r="55" spans="2:34" ht="30" customHeight="1" x14ac:dyDescent="0.25">
      <c r="B55" s="32" t="s">
        <v>146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 t="s">
        <v>3</v>
      </c>
      <c r="P55" s="18" t="s">
        <v>3</v>
      </c>
      <c r="Q55" s="18" t="s">
        <v>3</v>
      </c>
      <c r="R55" s="18" t="s">
        <v>3</v>
      </c>
      <c r="S55" s="18" t="s">
        <v>3</v>
      </c>
      <c r="T55" s="18" t="s">
        <v>3</v>
      </c>
      <c r="U55" s="18" t="s">
        <v>3</v>
      </c>
      <c r="V55" s="18" t="s">
        <v>3</v>
      </c>
      <c r="W55" s="18" t="s">
        <v>3</v>
      </c>
      <c r="X55" s="18" t="s">
        <v>3</v>
      </c>
      <c r="Y55" s="18" t="s">
        <v>3</v>
      </c>
      <c r="Z55" s="18" t="s">
        <v>3</v>
      </c>
      <c r="AA55" s="18" t="s">
        <v>3</v>
      </c>
      <c r="AB55" s="18" t="s">
        <v>3</v>
      </c>
      <c r="AC55" s="18" t="s">
        <v>3</v>
      </c>
      <c r="AD55" s="18" t="s">
        <v>3</v>
      </c>
      <c r="AE55" s="18" t="s">
        <v>3</v>
      </c>
      <c r="AF55" s="18" t="s">
        <v>3</v>
      </c>
      <c r="AG55" s="18"/>
      <c r="AH55" s="27">
        <f>COUNTA(月11_212[[#This Row],[1]:[ ]])</f>
        <v>18</v>
      </c>
    </row>
    <row r="56" spans="2:34" ht="30" customHeight="1" x14ac:dyDescent="0.25">
      <c r="B56" s="32" t="s">
        <v>147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 t="s">
        <v>3</v>
      </c>
      <c r="P56" s="18" t="s">
        <v>3</v>
      </c>
      <c r="Q56" s="18" t="s">
        <v>3</v>
      </c>
      <c r="R56" s="18" t="s">
        <v>3</v>
      </c>
      <c r="S56" s="18" t="s">
        <v>3</v>
      </c>
      <c r="T56" s="18" t="s">
        <v>3</v>
      </c>
      <c r="U56" s="18" t="s">
        <v>3</v>
      </c>
      <c r="V56" s="18" t="s">
        <v>3</v>
      </c>
      <c r="W56" s="18" t="s">
        <v>3</v>
      </c>
      <c r="X56" s="18" t="s">
        <v>3</v>
      </c>
      <c r="Y56" s="18" t="s">
        <v>3</v>
      </c>
      <c r="Z56" s="18" t="s">
        <v>3</v>
      </c>
      <c r="AA56" s="18" t="s">
        <v>3</v>
      </c>
      <c r="AB56" s="18" t="s">
        <v>3</v>
      </c>
      <c r="AC56" s="18" t="s">
        <v>3</v>
      </c>
      <c r="AD56" s="18" t="s">
        <v>3</v>
      </c>
      <c r="AE56" s="18" t="s">
        <v>3</v>
      </c>
      <c r="AF56" s="18" t="s">
        <v>3</v>
      </c>
      <c r="AG56" s="18"/>
      <c r="AH56" s="27">
        <f>COUNTA(月11_212[[#This Row],[1]:[ ]])</f>
        <v>18</v>
      </c>
    </row>
    <row r="57" spans="2:34" ht="30" customHeight="1" x14ac:dyDescent="0.25">
      <c r="B57" s="32" t="s">
        <v>148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 t="s">
        <v>3</v>
      </c>
      <c r="P57" s="18" t="s">
        <v>3</v>
      </c>
      <c r="Q57" s="18" t="s">
        <v>3</v>
      </c>
      <c r="R57" s="18" t="s">
        <v>3</v>
      </c>
      <c r="S57" s="18" t="s">
        <v>3</v>
      </c>
      <c r="T57" s="18" t="s">
        <v>3</v>
      </c>
      <c r="U57" s="18" t="s">
        <v>3</v>
      </c>
      <c r="V57" s="18" t="s">
        <v>3</v>
      </c>
      <c r="W57" s="18" t="s">
        <v>3</v>
      </c>
      <c r="X57" s="18" t="s">
        <v>3</v>
      </c>
      <c r="Y57" s="18" t="s">
        <v>3</v>
      </c>
      <c r="Z57" s="18" t="s">
        <v>3</v>
      </c>
      <c r="AA57" s="18" t="s">
        <v>3</v>
      </c>
      <c r="AB57" s="18" t="s">
        <v>3</v>
      </c>
      <c r="AC57" s="18" t="s">
        <v>3</v>
      </c>
      <c r="AD57" s="18" t="s">
        <v>3</v>
      </c>
      <c r="AE57" s="18" t="s">
        <v>3</v>
      </c>
      <c r="AF57" s="18" t="s">
        <v>3</v>
      </c>
      <c r="AG57" s="18"/>
      <c r="AH57" s="27">
        <f>COUNTA(月11_212[[#This Row],[1]:[ ]])</f>
        <v>18</v>
      </c>
    </row>
    <row r="58" spans="2:34" ht="30" customHeight="1" x14ac:dyDescent="0.25">
      <c r="B58" s="32" t="s">
        <v>149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 t="s">
        <v>3</v>
      </c>
      <c r="P58" s="18" t="s">
        <v>3</v>
      </c>
      <c r="Q58" s="18" t="s">
        <v>3</v>
      </c>
      <c r="R58" s="18" t="s">
        <v>3</v>
      </c>
      <c r="S58" s="18" t="s">
        <v>3</v>
      </c>
      <c r="T58" s="18" t="s">
        <v>3</v>
      </c>
      <c r="U58" s="18" t="s">
        <v>3</v>
      </c>
      <c r="V58" s="18" t="s">
        <v>3</v>
      </c>
      <c r="W58" s="18" t="s">
        <v>3</v>
      </c>
      <c r="X58" s="18" t="s">
        <v>3</v>
      </c>
      <c r="Y58" s="18" t="s">
        <v>3</v>
      </c>
      <c r="Z58" s="18" t="s">
        <v>3</v>
      </c>
      <c r="AA58" s="18" t="s">
        <v>3</v>
      </c>
      <c r="AB58" s="18" t="s">
        <v>3</v>
      </c>
      <c r="AC58" s="18" t="s">
        <v>3</v>
      </c>
      <c r="AD58" s="18" t="s">
        <v>3</v>
      </c>
      <c r="AE58" s="18" t="s">
        <v>3</v>
      </c>
      <c r="AF58" s="18" t="s">
        <v>3</v>
      </c>
      <c r="AG58" s="18"/>
      <c r="AH58" s="27">
        <f>COUNTA(月11_212[[#This Row],[1]:[ ]])</f>
        <v>18</v>
      </c>
    </row>
    <row r="59" spans="2:34" ht="30" customHeight="1" x14ac:dyDescent="0.25">
      <c r="B59" s="32" t="s">
        <v>150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 t="s">
        <v>3</v>
      </c>
      <c r="P59" s="18" t="s">
        <v>3</v>
      </c>
      <c r="Q59" s="18" t="s">
        <v>3</v>
      </c>
      <c r="R59" s="18" t="s">
        <v>3</v>
      </c>
      <c r="S59" s="18" t="s">
        <v>3</v>
      </c>
      <c r="T59" s="18" t="s">
        <v>3</v>
      </c>
      <c r="U59" s="18" t="s">
        <v>3</v>
      </c>
      <c r="V59" s="18" t="s">
        <v>3</v>
      </c>
      <c r="W59" s="18" t="s">
        <v>3</v>
      </c>
      <c r="X59" s="18" t="s">
        <v>3</v>
      </c>
      <c r="Y59" s="18" t="s">
        <v>3</v>
      </c>
      <c r="Z59" s="18" t="s">
        <v>3</v>
      </c>
      <c r="AA59" s="18" t="s">
        <v>3</v>
      </c>
      <c r="AB59" s="18" t="s">
        <v>3</v>
      </c>
      <c r="AC59" s="18" t="s">
        <v>3</v>
      </c>
      <c r="AD59" s="18" t="s">
        <v>3</v>
      </c>
      <c r="AE59" s="18" t="s">
        <v>3</v>
      </c>
      <c r="AF59" s="18" t="s">
        <v>3</v>
      </c>
      <c r="AG59" s="18"/>
      <c r="AH59" s="27">
        <f>COUNTA(月11_212[[#This Row],[1]:[ ]])</f>
        <v>18</v>
      </c>
    </row>
    <row r="60" spans="2:34" ht="30" customHeight="1" x14ac:dyDescent="0.25">
      <c r="B60" s="32" t="s">
        <v>151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3</v>
      </c>
      <c r="P60" s="18" t="s">
        <v>3</v>
      </c>
      <c r="Q60" s="18" t="s">
        <v>3</v>
      </c>
      <c r="R60" s="18" t="s">
        <v>3</v>
      </c>
      <c r="S60" s="18" t="s">
        <v>3</v>
      </c>
      <c r="T60" s="18" t="s">
        <v>3</v>
      </c>
      <c r="U60" s="18" t="s">
        <v>3</v>
      </c>
      <c r="V60" s="18" t="s">
        <v>3</v>
      </c>
      <c r="W60" s="18" t="s">
        <v>3</v>
      </c>
      <c r="X60" s="18" t="s">
        <v>3</v>
      </c>
      <c r="Y60" s="18" t="s">
        <v>3</v>
      </c>
      <c r="Z60" s="18" t="s">
        <v>3</v>
      </c>
      <c r="AA60" s="18" t="s">
        <v>3</v>
      </c>
      <c r="AB60" s="18" t="s">
        <v>3</v>
      </c>
      <c r="AC60" s="18" t="s">
        <v>3</v>
      </c>
      <c r="AD60" s="18" t="s">
        <v>3</v>
      </c>
      <c r="AE60" s="18" t="s">
        <v>3</v>
      </c>
      <c r="AF60" s="18" t="s">
        <v>3</v>
      </c>
      <c r="AG60" s="18"/>
      <c r="AH60" s="27">
        <f>COUNTA(月11_212[[#This Row],[1]:[ ]])</f>
        <v>18</v>
      </c>
    </row>
    <row r="61" spans="2:34" ht="30" customHeight="1" x14ac:dyDescent="0.25">
      <c r="B61" s="32" t="s">
        <v>152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3</v>
      </c>
      <c r="P61" s="18" t="s">
        <v>3</v>
      </c>
      <c r="Q61" s="18" t="s">
        <v>3</v>
      </c>
      <c r="R61" s="18" t="s">
        <v>3</v>
      </c>
      <c r="S61" s="18" t="s">
        <v>3</v>
      </c>
      <c r="T61" s="18" t="s">
        <v>3</v>
      </c>
      <c r="U61" s="18" t="s">
        <v>3</v>
      </c>
      <c r="V61" s="18" t="s">
        <v>3</v>
      </c>
      <c r="W61" s="18" t="s">
        <v>3</v>
      </c>
      <c r="X61" s="18" t="s">
        <v>3</v>
      </c>
      <c r="Y61" s="18" t="s">
        <v>3</v>
      </c>
      <c r="Z61" s="18" t="s">
        <v>3</v>
      </c>
      <c r="AA61" s="18" t="s">
        <v>3</v>
      </c>
      <c r="AB61" s="18" t="s">
        <v>3</v>
      </c>
      <c r="AC61" s="18" t="s">
        <v>3</v>
      </c>
      <c r="AD61" s="18" t="s">
        <v>3</v>
      </c>
      <c r="AE61" s="18" t="s">
        <v>3</v>
      </c>
      <c r="AF61" s="18" t="s">
        <v>3</v>
      </c>
      <c r="AG61" s="18"/>
      <c r="AH61" s="27">
        <f>COUNTA(月11_212[[#This Row],[1]:[ ]])</f>
        <v>18</v>
      </c>
    </row>
    <row r="62" spans="2:34" ht="30" customHeight="1" x14ac:dyDescent="0.25">
      <c r="B62" s="32" t="s">
        <v>153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 t="s">
        <v>3</v>
      </c>
      <c r="P62" s="18" t="s">
        <v>3</v>
      </c>
      <c r="Q62" s="18" t="s">
        <v>3</v>
      </c>
      <c r="R62" s="18" t="s">
        <v>3</v>
      </c>
      <c r="S62" s="18" t="s">
        <v>3</v>
      </c>
      <c r="T62" s="18" t="s">
        <v>3</v>
      </c>
      <c r="U62" s="18" t="s">
        <v>3</v>
      </c>
      <c r="V62" s="18" t="s">
        <v>3</v>
      </c>
      <c r="W62" s="18" t="s">
        <v>3</v>
      </c>
      <c r="X62" s="18" t="s">
        <v>3</v>
      </c>
      <c r="Y62" s="18" t="s">
        <v>3</v>
      </c>
      <c r="Z62" s="18" t="s">
        <v>3</v>
      </c>
      <c r="AA62" s="18" t="s">
        <v>3</v>
      </c>
      <c r="AB62" s="18" t="s">
        <v>3</v>
      </c>
      <c r="AC62" s="18" t="s">
        <v>3</v>
      </c>
      <c r="AD62" s="18" t="s">
        <v>3</v>
      </c>
      <c r="AE62" s="18" t="s">
        <v>3</v>
      </c>
      <c r="AF62" s="18" t="s">
        <v>3</v>
      </c>
      <c r="AG62" s="18"/>
      <c r="AH62" s="27">
        <f>COUNTA(月11_212[[#This Row],[1]:[ ]])</f>
        <v>18</v>
      </c>
    </row>
    <row r="63" spans="2:34" ht="30" customHeight="1" x14ac:dyDescent="0.25">
      <c r="B63" s="32" t="s">
        <v>154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27">
        <f>COUNTA(月11_212[[#This Row],[1]:[ ]])</f>
        <v>0</v>
      </c>
    </row>
    <row r="64" spans="2:34" ht="30" customHeight="1" x14ac:dyDescent="0.25">
      <c r="B64" s="32" t="s">
        <v>155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27">
        <f>COUNTA(月11_212[[#This Row],[1]:[ ]])</f>
        <v>0</v>
      </c>
    </row>
    <row r="65" spans="2:34" ht="30" customHeight="1" x14ac:dyDescent="0.25">
      <c r="B65" s="32" t="s">
        <v>156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27">
        <f>COUNTA(月11_212[[#This Row],[1]:[ ]])</f>
        <v>0</v>
      </c>
    </row>
    <row r="66" spans="2:34" ht="30" customHeight="1" x14ac:dyDescent="0.25">
      <c r="B66" s="21" t="str">
        <f>B2&amp;"集計"</f>
        <v>9月集計</v>
      </c>
      <c r="C66" s="22">
        <f>SUBTOTAL(103,月11_212[1])</f>
        <v>22</v>
      </c>
      <c r="D66" s="22">
        <f>SUBTOTAL(103,月11_212[2])</f>
        <v>22</v>
      </c>
      <c r="E66" s="22">
        <f>SUBTOTAL(103,月11_212[3])</f>
        <v>22</v>
      </c>
      <c r="F66" s="22">
        <f>SUBTOTAL(103,月11_212[4])</f>
        <v>22</v>
      </c>
      <c r="G66" s="22">
        <f>SUBTOTAL(103,月11_212[5])</f>
        <v>22</v>
      </c>
      <c r="H66" s="22">
        <f>SUBTOTAL(103,月11_212[6])</f>
        <v>0</v>
      </c>
      <c r="I66" s="22">
        <f>SUBTOTAL(103,月11_212[7])</f>
        <v>0</v>
      </c>
      <c r="J66" s="22">
        <f>SUBTOTAL(103,月11_212[8])</f>
        <v>22</v>
      </c>
      <c r="K66" s="22">
        <f>SUBTOTAL(103,月11_212[9])</f>
        <v>22</v>
      </c>
      <c r="L66" s="22">
        <f>SUBTOTAL(103,月11_212[10])</f>
        <v>22</v>
      </c>
      <c r="M66" s="22">
        <f>SUBTOTAL(103,月11_212[11])</f>
        <v>22</v>
      </c>
      <c r="N66" s="22">
        <f>SUBTOTAL(103,月11_212[12])</f>
        <v>22</v>
      </c>
      <c r="O66" s="22">
        <f>SUBTOTAL(103,月11_212[13])</f>
        <v>44</v>
      </c>
      <c r="P66" s="22">
        <f>SUBTOTAL(103,月11_212[14])</f>
        <v>44</v>
      </c>
      <c r="Q66" s="22">
        <f>SUBTOTAL(103,月11_212[15])</f>
        <v>44</v>
      </c>
      <c r="R66" s="22">
        <f>SUBTOTAL(103,月11_212[16])</f>
        <v>44</v>
      </c>
      <c r="S66" s="22">
        <f>SUBTOTAL(103,月11_212[17])</f>
        <v>44</v>
      </c>
      <c r="T66" s="22">
        <f>SUBTOTAL(103,月11_212[18])</f>
        <v>44</v>
      </c>
      <c r="U66" s="22">
        <f>SUBTOTAL(103,月11_212[19])</f>
        <v>44</v>
      </c>
      <c r="V66" s="22">
        <f>SUBTOTAL(103,月11_212[20])</f>
        <v>44</v>
      </c>
      <c r="W66" s="22">
        <f>SUBTOTAL(103,月11_212[21])</f>
        <v>44</v>
      </c>
      <c r="X66" s="22">
        <f>SUBTOTAL(103,月11_212[22])</f>
        <v>44</v>
      </c>
      <c r="Y66" s="22">
        <f>SUBTOTAL(103,月11_212[23])</f>
        <v>44</v>
      </c>
      <c r="Z66" s="22">
        <f>SUBTOTAL(103,月11_212[24])</f>
        <v>44</v>
      </c>
      <c r="AA66" s="22">
        <f>SUBTOTAL(103,月11_212[25])</f>
        <v>44</v>
      </c>
      <c r="AB66" s="22">
        <f>SUBTOTAL(103,月11_212[26])</f>
        <v>44</v>
      </c>
      <c r="AC66" s="22">
        <f>SUBTOTAL(103,月11_212[27])</f>
        <v>44</v>
      </c>
      <c r="AD66" s="22">
        <f>SUBTOTAL(103,月11_212[28])</f>
        <v>44</v>
      </c>
      <c r="AE66" s="22">
        <f>SUBTOTAL(103,月11_212[29])</f>
        <v>44</v>
      </c>
      <c r="AF66" s="22">
        <f>SUBTOTAL(109,月11_212[30])</f>
        <v>0</v>
      </c>
      <c r="AG66" s="22">
        <f>SUBTOTAL(109,月11_212[[ ]])</f>
        <v>0</v>
      </c>
      <c r="AH66" s="22">
        <f>SUBTOTAL(109,月11_212[合計日数])</f>
        <v>1012</v>
      </c>
    </row>
  </sheetData>
  <mergeCells count="6">
    <mergeCell ref="C6:AG6"/>
    <mergeCell ref="D4:F4"/>
    <mergeCell ref="H4:J4"/>
    <mergeCell ref="L4:M4"/>
    <mergeCell ref="O4:Q4"/>
    <mergeCell ref="S4:U4"/>
  </mergeCells>
  <phoneticPr fontId="10"/>
  <conditionalFormatting sqref="C31:F40">
    <cfRule type="expression" dxfId="114" priority="126" stopIfTrue="1">
      <formula>C31=KeyVacation</formula>
    </cfRule>
    <cfRule type="expression" dxfId="113" priority="125" stopIfTrue="1">
      <formula>C31=KeyPersonal</formula>
    </cfRule>
    <cfRule type="expression" dxfId="112" priority="124" stopIfTrue="1">
      <formula>C31=KeySick</formula>
    </cfRule>
    <cfRule type="expression" dxfId="111" priority="122" stopIfTrue="1">
      <formula>C31=KeyCustom2</formula>
    </cfRule>
    <cfRule type="expression" dxfId="110" priority="123" stopIfTrue="1">
      <formula>C31=KeyCustom1</formula>
    </cfRule>
    <cfRule type="expression" priority="121" stopIfTrue="1">
      <formula>C31=""</formula>
    </cfRule>
  </conditionalFormatting>
  <conditionalFormatting sqref="C9:G19">
    <cfRule type="expression" dxfId="109" priority="10" stopIfTrue="1">
      <formula>C9=KeySick</formula>
    </cfRule>
    <cfRule type="expression" priority="7" stopIfTrue="1">
      <formula>C9=""</formula>
    </cfRule>
    <cfRule type="expression" dxfId="108" priority="8" stopIfTrue="1">
      <formula>C9=KeyCustom2</formula>
    </cfRule>
    <cfRule type="expression" dxfId="107" priority="9" stopIfTrue="1">
      <formula>C9=KeyCustom1</formula>
    </cfRule>
    <cfRule type="expression" dxfId="106" priority="11" stopIfTrue="1">
      <formula>C9=KeyPersonal</formula>
    </cfRule>
    <cfRule type="expression" dxfId="105" priority="12" stopIfTrue="1">
      <formula>C9=KeyVacation</formula>
    </cfRule>
  </conditionalFormatting>
  <conditionalFormatting sqref="C41:G51">
    <cfRule type="expression" dxfId="104" priority="2" stopIfTrue="1">
      <formula>C41=KeyCustom2</formula>
    </cfRule>
    <cfRule type="expression" dxfId="103" priority="3" stopIfTrue="1">
      <formula>C41=KeyCustom1</formula>
    </cfRule>
    <cfRule type="expression" dxfId="102" priority="4" stopIfTrue="1">
      <formula>C41=KeySick</formula>
    </cfRule>
    <cfRule type="expression" dxfId="101" priority="5" stopIfTrue="1">
      <formula>C41=KeyPersonal</formula>
    </cfRule>
    <cfRule type="expression" dxfId="100" priority="6" stopIfTrue="1">
      <formula>C41=KeyVacation</formula>
    </cfRule>
    <cfRule type="expression" priority="1" stopIfTrue="1">
      <formula>C41=""</formula>
    </cfRule>
  </conditionalFormatting>
  <conditionalFormatting sqref="H9:AG19 T9:AF30 C20:AG30 J31:AG32 G31:I39 N33:AG39 J33:M40 O40:AG40 N41:N45 H41:I51 AG41:AG52 C52:N52 H53:I58 O53:S58 C53:G60 H59:N60">
    <cfRule type="expression" dxfId="99" priority="132" stopIfTrue="1">
      <formula>C9=KeyVacation</formula>
    </cfRule>
    <cfRule type="expression" priority="127" stopIfTrue="1">
      <formula>C9=""</formula>
    </cfRule>
    <cfRule type="expression" dxfId="98" priority="128" stopIfTrue="1">
      <formula>C9=KeyCustom2</formula>
    </cfRule>
    <cfRule type="expression" dxfId="97" priority="129" stopIfTrue="1">
      <formula>C9=KeyCustom1</formula>
    </cfRule>
    <cfRule type="expression" dxfId="96" priority="130" stopIfTrue="1">
      <formula>C9=KeySick</formula>
    </cfRule>
    <cfRule type="expression" dxfId="95" priority="131" stopIfTrue="1">
      <formula>C9=KeyPersonal</formula>
    </cfRule>
  </conditionalFormatting>
  <conditionalFormatting sqref="J41:K45">
    <cfRule type="expression" dxfId="94" priority="44" stopIfTrue="1">
      <formula>J41=KeyCustom2</formula>
    </cfRule>
    <cfRule type="expression" dxfId="93" priority="45" stopIfTrue="1">
      <formula>J41=KeyCustom1</formula>
    </cfRule>
    <cfRule type="expression" dxfId="92" priority="47" stopIfTrue="1">
      <formula>J41=KeyPersonal</formula>
    </cfRule>
    <cfRule type="expression" dxfId="91" priority="48" stopIfTrue="1">
      <formula>J41=KeyVacation</formula>
    </cfRule>
    <cfRule type="expression" dxfId="90" priority="46" stopIfTrue="1">
      <formula>J41=KeySick</formula>
    </cfRule>
    <cfRule type="expression" priority="43" stopIfTrue="1">
      <formula>J41=""</formula>
    </cfRule>
  </conditionalFormatting>
  <conditionalFormatting sqref="J46:N51">
    <cfRule type="expression" priority="13" stopIfTrue="1">
      <formula>J46=""</formula>
    </cfRule>
    <cfRule type="expression" dxfId="89" priority="14" stopIfTrue="1">
      <formula>J46=KeyCustom2</formula>
    </cfRule>
    <cfRule type="expression" dxfId="88" priority="15" stopIfTrue="1">
      <formula>J46=KeyCustom1</formula>
    </cfRule>
    <cfRule type="expression" dxfId="87" priority="16" stopIfTrue="1">
      <formula>J46=KeySick</formula>
    </cfRule>
    <cfRule type="expression" dxfId="86" priority="17" stopIfTrue="1">
      <formula>J46=KeyPersonal</formula>
    </cfRule>
    <cfRule type="expression" dxfId="85" priority="18" stopIfTrue="1">
      <formula>J46=KeyVacation</formula>
    </cfRule>
  </conditionalFormatting>
  <conditionalFormatting sqref="L41:M45">
    <cfRule type="expression" priority="37" stopIfTrue="1">
      <formula>L41=""</formula>
    </cfRule>
    <cfRule type="expression" dxfId="84" priority="38" stopIfTrue="1">
      <formula>L41=KeyCustom2</formula>
    </cfRule>
    <cfRule type="expression" dxfId="83" priority="39" stopIfTrue="1">
      <formula>L41=KeyCustom1</formula>
    </cfRule>
    <cfRule type="expression" dxfId="82" priority="40" stopIfTrue="1">
      <formula>L41=KeySick</formula>
    </cfRule>
    <cfRule type="expression" dxfId="81" priority="41" stopIfTrue="1">
      <formula>L41=KeyPersonal</formula>
    </cfRule>
    <cfRule type="expression" dxfId="80" priority="42" stopIfTrue="1">
      <formula>L41=KeyVacation</formula>
    </cfRule>
  </conditionalFormatting>
  <conditionalFormatting sqref="O41:W52">
    <cfRule type="expression" dxfId="79" priority="36" stopIfTrue="1">
      <formula>O41=KeyVacation</formula>
    </cfRule>
    <cfRule type="expression" dxfId="78" priority="35" stopIfTrue="1">
      <formula>O41=KeyPersonal</formula>
    </cfRule>
    <cfRule type="expression" dxfId="77" priority="32" stopIfTrue="1">
      <formula>O41=KeyCustom2</formula>
    </cfRule>
    <cfRule type="expression" dxfId="76" priority="33" stopIfTrue="1">
      <formula>O41=KeyCustom1</formula>
    </cfRule>
    <cfRule type="expression" dxfId="75" priority="34" stopIfTrue="1">
      <formula>O41=KeySick</formula>
    </cfRule>
    <cfRule type="expression" priority="31" stopIfTrue="1">
      <formula>O41=""</formula>
    </cfRule>
  </conditionalFormatting>
  <conditionalFormatting sqref="O59:AF62">
    <cfRule type="expression" priority="19" stopIfTrue="1">
      <formula>O59=""</formula>
    </cfRule>
    <cfRule type="expression" dxfId="74" priority="20" stopIfTrue="1">
      <formula>O59=KeyCustom2</formula>
    </cfRule>
    <cfRule type="expression" dxfId="73" priority="21" stopIfTrue="1">
      <formula>O59=KeyCustom1</formula>
    </cfRule>
    <cfRule type="expression" dxfId="72" priority="22" stopIfTrue="1">
      <formula>O59=KeySick</formula>
    </cfRule>
    <cfRule type="expression" dxfId="71" priority="23" stopIfTrue="1">
      <formula>O59=KeyPersonal</formula>
    </cfRule>
    <cfRule type="expression" dxfId="70" priority="24" stopIfTrue="1">
      <formula>O59=KeyVacation</formula>
    </cfRule>
  </conditionalFormatting>
  <conditionalFormatting sqref="T53:W58">
    <cfRule type="expression" priority="103" stopIfTrue="1">
      <formula>T53=""</formula>
    </cfRule>
    <cfRule type="expression" dxfId="69" priority="102" stopIfTrue="1">
      <formula>T53=KeyVacation</formula>
    </cfRule>
    <cfRule type="expression" dxfId="68" priority="101" stopIfTrue="1">
      <formula>T53=KeyPersonal</formula>
    </cfRule>
    <cfRule type="expression" dxfId="67" priority="100" stopIfTrue="1">
      <formula>T53=KeySick</formula>
    </cfRule>
    <cfRule type="expression" dxfId="66" priority="99" stopIfTrue="1">
      <formula>T53=KeyCustom1</formula>
    </cfRule>
    <cfRule type="expression" priority="97" stopIfTrue="1">
      <formula>T53=""</formula>
    </cfRule>
    <cfRule type="expression" dxfId="65" priority="98" stopIfTrue="1">
      <formula>T53=KeyCustom2</formula>
    </cfRule>
    <cfRule type="expression" dxfId="64" priority="108" stopIfTrue="1">
      <formula>T53=KeyVacation</formula>
    </cfRule>
    <cfRule type="expression" dxfId="63" priority="107" stopIfTrue="1">
      <formula>T53=KeyPersonal</formula>
    </cfRule>
    <cfRule type="expression" dxfId="62" priority="106" stopIfTrue="1">
      <formula>T53=KeySick</formula>
    </cfRule>
    <cfRule type="expression" dxfId="61" priority="105" stopIfTrue="1">
      <formula>T53=KeyCustom1</formula>
    </cfRule>
    <cfRule type="expression" dxfId="60" priority="104" stopIfTrue="1">
      <formula>T53=KeyCustom2</formula>
    </cfRule>
  </conditionalFormatting>
  <conditionalFormatting sqref="X41:AF58">
    <cfRule type="expression" dxfId="59" priority="30" stopIfTrue="1">
      <formula>X41=KeyVacation</formula>
    </cfRule>
    <cfRule type="expression" dxfId="58" priority="29" stopIfTrue="1">
      <formula>X41=KeyPersonal</formula>
    </cfRule>
    <cfRule type="expression" dxfId="57" priority="27" stopIfTrue="1">
      <formula>X41=KeyCustom1</formula>
    </cfRule>
    <cfRule type="expression" dxfId="56" priority="26" stopIfTrue="1">
      <formula>X41=KeyCustom2</formula>
    </cfRule>
    <cfRule type="expression" priority="25" stopIfTrue="1">
      <formula>X41=""</formula>
    </cfRule>
    <cfRule type="expression" dxfId="55" priority="28" stopIfTrue="1">
      <formula>X41=KeySick</formula>
    </cfRule>
  </conditionalFormatting>
  <conditionalFormatting sqref="AH9:AH41 AH43:AH52">
    <cfRule type="dataBar" priority="134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{A80087E2-3627-436A-8CCD-319BD4FC9FFC}</x14:id>
        </ext>
      </extLst>
    </cfRule>
  </conditionalFormatting>
  <conditionalFormatting sqref="AH42">
    <cfRule type="dataBar" priority="133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{878637AB-24FB-4C4D-87A8-BB53F7D962A8}</x14:id>
        </ext>
      </extLst>
    </cfRule>
  </conditionalFormatting>
  <dataValidations count="15">
    <dataValidation allowBlank="1" showInputMessage="1" showErrorMessage="1" prompt="この行の月の日付は、自動的に生成されます。従業員の欠勤と欠勤の種類を月の各日付の各列に入力します。空白は欠勤でないことを示します" sqref="C8" xr:uid="{4958B5B9-03D3-4B4A-954B-678757DE1799}"/>
    <dataValidation allowBlank="1" showInputMessage="1" showErrorMessage="1" prompt="このセルには、この欠勤管理の月の名前が入ります。テーブルの最後のセルには、この月の欠勤日数の合計が表示されます。テーブルの列 B で従業員名を選択します" sqref="B2" xr:uid="{48472EB6-A4DD-4BE7-9EB0-7AD4660A00B7}"/>
    <dataValidation allowBlank="1" showInputMessage="1" showErrorMessage="1" prompt="この行には、テーブルで使用するキーが定義されています。セル C4 は休暇、G4 は私用、K4 は病欠です。セル N4 と R4 はカスタマイズ可能です" sqref="B4" xr:uid="{63A4C0F0-0DF2-46F9-BBA4-4F1BB9E40F7A}"/>
    <dataValidation allowBlank="1" showInputMessage="1" showErrorMessage="1" prompt="左側にカスタム キーを表すラベルを入力します" sqref="O4:Q4 S4:U4" xr:uid="{44193864-29BF-4462-A11C-449713658C2A}"/>
    <dataValidation allowBlank="1" showErrorMessage="1" prompt="右側に文字を入力してラベルをカスタマイズし、別のキー項目を追加します" sqref="R4 N4" xr:uid="{86BD1CAE-5372-4942-B027-E4B352D986EA}"/>
    <dataValidation allowBlank="1" showErrorMessage="1" prompt="文字 &quot;S&quot; は病欠を表します" sqref="K4" xr:uid="{0CEF0F30-A4B5-4D0B-8D2C-F9E9A9EF5F90}"/>
    <dataValidation allowBlank="1" showErrorMessage="1" prompt="文字 &quot;P&quot; は私用による欠勤を表します" sqref="G4 N40 G40:I40" xr:uid="{CAC497A1-B210-47F2-8F77-F2D2D44AA018}"/>
    <dataValidation allowBlank="1" showErrorMessage="1" prompt="文字 &quot;V&quot; は休暇のための欠勤を表します" sqref="C4" xr:uid="{24C1745F-0DD3-4203-A29F-FCF20A55C1B5}"/>
    <dataValidation allowBlank="1" showInputMessage="1" showErrorMessage="1" prompt="自動的に更新されるタイトルが、このセルの内容です。タイトルを変更するには、1 月のワークシートの B1 を更新します" sqref="B2" xr:uid="{35946780-032D-4BCB-974B-F289980713FB}"/>
    <dataValidation errorStyle="warning" allowBlank="1" showInputMessage="1" showErrorMessage="1" error="リストから名前を選択します。[キャンセル] を選択し、Alt キーを押しながら下方向キーを押してから、Enter キーを押して名前を選択します" prompt="従業員名ワークシートに従業員の名前を入力し、この列のリストから名前を選びます。Alt キーを押しながら下矢印キーを押して、Enter キーを押して名前を選択します" sqref="B8" xr:uid="{9048E686-CA3F-4DFE-B29C-7717DACD8E22}"/>
    <dataValidation allowBlank="1" showInputMessage="1" showErrorMessage="1" prompt="このワークシートでは 11 月の欠勤を管理します" sqref="A1" xr:uid="{4C854F15-F866-425C-8830-56A848EF0EA5}"/>
    <dataValidation allowBlank="1" showInputMessage="1" showErrorMessage="1" prompt="この列で、従業員の今月の欠勤日数の合計を自動的に計算します" sqref="AH8" xr:uid="{6ABB84A4-D02B-48A2-8F56-2A0CDE8CA982}"/>
    <dataValidation allowBlank="1" showInputMessage="1" showErrorMessage="1" prompt="1 月のワークシートに入力した年に基づいて自動的に更新される年" sqref="AH6" xr:uid="{01890276-CEDE-4D03-B689-26023FA6FD08}"/>
    <dataValidation allowBlank="1" showInputMessage="1" showErrorMessage="1" prompt="この行の曜日は、AH4 の年に従い当月に応じて自動的に更新されます。月の各日付は、従業員の欠勤と欠勤の種類を記録するための列です" sqref="C7:AF7" xr:uid="{A704C172-2DB0-4177-896F-9E0810851637}"/>
    <dataValidation allowBlank="1" showInputMessage="1" showErrorMessage="1" prompt="このセルには、ワークシートのタイトルが入ります。" sqref="B1" xr:uid="{EFED7443-5C38-452B-B666-FE586DFF9522}"/>
  </dataValidations>
  <pageMargins left="0.7" right="0.7" top="0.75" bottom="0.75" header="0.3" footer="0.3"/>
  <pageSetup paperSize="9" fitToHeight="0" orientation="portrait" verticalDpi="4294967293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0087E2-3627-436A-8CCD-319BD4FC9FFC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AH9:AH41 AH43:AH52</xm:sqref>
        </x14:conditionalFormatting>
        <x14:conditionalFormatting xmlns:xm="http://schemas.microsoft.com/office/excel/2006/main">
          <x14:cfRule type="dataBar" id="{878637AB-24FB-4C4D-87A8-BB53F7D962A8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18B8C4-BA32-4A8A-B449-9EAF03A466C7}">
          <x14:formula1>
            <xm:f>従業員名!$B$4:$B$60</xm:f>
          </x14:formula1>
          <xm:sqref>B9:B54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1BC6-8119-4F32-B2CA-C3DEDD71858D}">
  <sheetPr>
    <tabColor theme="7"/>
  </sheetPr>
  <dimension ref="B1:AH66"/>
  <sheetViews>
    <sheetView showGridLines="0" topLeftCell="A55" zoomScale="85" zoomScaleNormal="85" workbookViewId="0">
      <selection activeCell="D9" sqref="D9"/>
    </sheetView>
  </sheetViews>
  <sheetFormatPr defaultColWidth="8.77734375" defaultRowHeight="30" customHeight="1" x14ac:dyDescent="0.25"/>
  <cols>
    <col min="1" max="1" width="2.88671875" customWidth="1"/>
    <col min="2" max="2" width="25.77734375" customWidth="1"/>
    <col min="3" max="33" width="4.77734375" customWidth="1"/>
    <col min="34" max="34" width="13.44140625" customWidth="1"/>
    <col min="35" max="35" width="2.88671875" customWidth="1"/>
  </cols>
  <sheetData>
    <row r="1" spans="2:34" ht="26.45" customHeight="1" x14ac:dyDescent="0.35">
      <c r="B1" s="2" t="s">
        <v>0</v>
      </c>
    </row>
    <row r="2" spans="2:34" ht="48.6" customHeight="1" x14ac:dyDescent="0.25">
      <c r="B2" s="28" t="s">
        <v>166</v>
      </c>
    </row>
    <row r="3" spans="2:34" ht="8.4499999999999993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2:34" ht="30" customHeight="1" x14ac:dyDescent="0.25">
      <c r="B4" s="8" t="s">
        <v>2</v>
      </c>
      <c r="C4" s="9" t="s">
        <v>3</v>
      </c>
      <c r="D4" s="37" t="s">
        <v>4</v>
      </c>
      <c r="E4" s="37"/>
      <c r="F4" s="37"/>
      <c r="G4" s="10" t="s">
        <v>5</v>
      </c>
      <c r="H4" s="37" t="s">
        <v>6</v>
      </c>
      <c r="I4" s="37"/>
      <c r="J4" s="37"/>
      <c r="K4" s="11"/>
      <c r="L4" s="37"/>
      <c r="M4" s="37"/>
      <c r="N4" s="12"/>
      <c r="O4" s="37" t="s">
        <v>7</v>
      </c>
      <c r="P4" s="37"/>
      <c r="Q4" s="37"/>
      <c r="R4" s="13"/>
      <c r="S4" s="37" t="s">
        <v>8</v>
      </c>
      <c r="T4" s="37"/>
      <c r="U4" s="37"/>
    </row>
    <row r="5" spans="2:34" ht="8.4499999999999993" customHeight="1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2:34" ht="15" customHeight="1" x14ac:dyDescent="0.25">
      <c r="B6" s="1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15">
        <v>2025</v>
      </c>
    </row>
    <row r="7" spans="2:34" ht="30" customHeight="1" x14ac:dyDescent="0.25">
      <c r="B7" s="15"/>
      <c r="C7" s="16" t="str">
        <f>TEXT(WEEKDAY(DATE($AH$6,10,1),1),"aaa")</f>
        <v>水</v>
      </c>
      <c r="D7" s="16" t="str">
        <f>TEXT(WEEKDAY(DATE($AH$6,10,2),1),"aaa")</f>
        <v>木</v>
      </c>
      <c r="E7" s="16" t="str">
        <f>TEXT(WEEKDAY(DATE($AH$6,10,3),1),"aaa")</f>
        <v>金</v>
      </c>
      <c r="F7" s="16" t="str">
        <f>TEXT(WEEKDAY(DATE($AH$6,10,4),1),"aaa")</f>
        <v>土</v>
      </c>
      <c r="G7" s="16" t="str">
        <f>TEXT(WEEKDAY(DATE($AH$6,10,5),1),"aaa")</f>
        <v>日</v>
      </c>
      <c r="H7" s="16" t="str">
        <f>TEXT(WEEKDAY(DATE($AH$6,10,6),1),"aaa")</f>
        <v>月</v>
      </c>
      <c r="I7" s="16" t="str">
        <f>TEXT(WEEKDAY(DATE($AH$6,10,7),1),"aaa")</f>
        <v>火</v>
      </c>
      <c r="J7" s="16" t="str">
        <f>TEXT(WEEKDAY(DATE($AH$6,10,8),1),"aaa")</f>
        <v>水</v>
      </c>
      <c r="K7" s="16" t="str">
        <f>TEXT(WEEKDAY(DATE($AH$6,10,9),1),"aaa")</f>
        <v>木</v>
      </c>
      <c r="L7" s="16" t="str">
        <f>TEXT(WEEKDAY(DATE($AH$6,10,10),1),"aaa")</f>
        <v>金</v>
      </c>
      <c r="M7" s="16" t="str">
        <f>TEXT(WEEKDAY(DATE($AH$6,10,10),1),"aaa")</f>
        <v>金</v>
      </c>
      <c r="N7" s="16" t="str">
        <f>TEXT(WEEKDAY(DATE($AH$6,10,12),1),"aaa")</f>
        <v>日</v>
      </c>
      <c r="O7" s="16" t="str">
        <f>TEXT(WEEKDAY(DATE($AH$6,10,13),1),"aaa")</f>
        <v>月</v>
      </c>
      <c r="P7" s="16" t="str">
        <f>TEXT(WEEKDAY(DATE($AH$6,10,14),1),"aaa")</f>
        <v>火</v>
      </c>
      <c r="Q7" s="16" t="str">
        <f>TEXT(WEEKDAY(DATE($AH$6,10,15),1),"aaa")</f>
        <v>水</v>
      </c>
      <c r="R7" s="16" t="str">
        <f>TEXT(WEEKDAY(DATE($AH$6,10,16),1),"aaa")</f>
        <v>木</v>
      </c>
      <c r="S7" s="16" t="str">
        <f>TEXT(WEEKDAY(DATE($AH$6,10,17),1),"aaa")</f>
        <v>金</v>
      </c>
      <c r="T7" s="16" t="str">
        <f>TEXT(WEEKDAY(DATE($AH$6,10,18),1),"aaa")</f>
        <v>土</v>
      </c>
      <c r="U7" s="16" t="str">
        <f>TEXT(WEEKDAY(DATE($AH$6,10,19),1),"aaa")</f>
        <v>日</v>
      </c>
      <c r="V7" s="16" t="str">
        <f>TEXT(WEEKDAY(DATE($AH$6,10,20),1),"aaa")</f>
        <v>月</v>
      </c>
      <c r="W7" s="16" t="str">
        <f>TEXT(WEEKDAY(DATE($AH$6,10,21),1),"aaa")</f>
        <v>火</v>
      </c>
      <c r="X7" s="16" t="str">
        <f>TEXT(WEEKDAY(DATE($AH$6,10,22),1),"aaa")</f>
        <v>水</v>
      </c>
      <c r="Y7" s="16" t="str">
        <f>TEXT(WEEKDAY(DATE($AH$6,10,23),1),"aaa")</f>
        <v>木</v>
      </c>
      <c r="Z7" s="16" t="str">
        <f>TEXT(WEEKDAY(DATE($AH$6,10,24),1),"aaa")</f>
        <v>金</v>
      </c>
      <c r="AA7" s="16" t="str">
        <f>TEXT(WEEKDAY(DATE($AH$6,10,25),1),"aaa")</f>
        <v>土</v>
      </c>
      <c r="AB7" s="16" t="str">
        <f>TEXT(WEEKDAY(DATE($AH$6,10,26),1),"aaa")</f>
        <v>日</v>
      </c>
      <c r="AC7" s="16" t="str">
        <f>TEXT(WEEKDAY(DATE($AH$6,10,27),1),"aaa")</f>
        <v>月</v>
      </c>
      <c r="AD7" s="16" t="str">
        <f>TEXT(WEEKDAY(DATE($AH$6,10,28),1),"aaa")</f>
        <v>火</v>
      </c>
      <c r="AE7" s="16" t="str">
        <f>TEXT(WEEKDAY(DATE($AH$6,10,29),1),"aaa")</f>
        <v>水</v>
      </c>
      <c r="AF7" s="16" t="str">
        <f>TEXT(WEEKDAY(DATE($AH$6,10,30),1),"aaa")</f>
        <v>木</v>
      </c>
      <c r="AG7" s="16"/>
      <c r="AH7" s="15"/>
    </row>
    <row r="8" spans="2:34" ht="30" customHeight="1" x14ac:dyDescent="0.25">
      <c r="B8" s="17" t="s">
        <v>9</v>
      </c>
      <c r="C8" s="18" t="s">
        <v>10</v>
      </c>
      <c r="D8" s="18" t="s">
        <v>11</v>
      </c>
      <c r="E8" s="18" t="s">
        <v>12</v>
      </c>
      <c r="F8" s="18" t="s">
        <v>13</v>
      </c>
      <c r="G8" s="18" t="s">
        <v>14</v>
      </c>
      <c r="H8" s="18" t="s">
        <v>15</v>
      </c>
      <c r="I8" s="18" t="s">
        <v>16</v>
      </c>
      <c r="J8" s="18" t="s">
        <v>17</v>
      </c>
      <c r="K8" s="18" t="s">
        <v>18</v>
      </c>
      <c r="L8" s="18" t="s">
        <v>19</v>
      </c>
      <c r="M8" s="18" t="s">
        <v>20</v>
      </c>
      <c r="N8" s="18" t="s">
        <v>21</v>
      </c>
      <c r="O8" s="18" t="s">
        <v>22</v>
      </c>
      <c r="P8" s="18" t="s">
        <v>23</v>
      </c>
      <c r="Q8" s="18" t="s">
        <v>24</v>
      </c>
      <c r="R8" s="18" t="s">
        <v>25</v>
      </c>
      <c r="S8" s="18" t="s">
        <v>26</v>
      </c>
      <c r="T8" s="18" t="s">
        <v>27</v>
      </c>
      <c r="U8" s="18" t="s">
        <v>28</v>
      </c>
      <c r="V8" s="18" t="s">
        <v>29</v>
      </c>
      <c r="W8" s="18" t="s">
        <v>30</v>
      </c>
      <c r="X8" s="18" t="s">
        <v>31</v>
      </c>
      <c r="Y8" s="18" t="s">
        <v>32</v>
      </c>
      <c r="Z8" s="18" t="s">
        <v>33</v>
      </c>
      <c r="AA8" s="18" t="s">
        <v>34</v>
      </c>
      <c r="AB8" s="18" t="s">
        <v>35</v>
      </c>
      <c r="AC8" s="18" t="s">
        <v>36</v>
      </c>
      <c r="AD8" s="18" t="s">
        <v>37</v>
      </c>
      <c r="AE8" s="18" t="s">
        <v>38</v>
      </c>
      <c r="AF8" s="18" t="s">
        <v>39</v>
      </c>
      <c r="AG8" s="18" t="s">
        <v>167</v>
      </c>
      <c r="AH8" s="19" t="s">
        <v>41</v>
      </c>
    </row>
    <row r="9" spans="2:34" ht="30" customHeight="1" x14ac:dyDescent="0.25">
      <c r="B9" s="20" t="s">
        <v>75</v>
      </c>
      <c r="C9" s="18" t="s">
        <v>168</v>
      </c>
      <c r="D9" s="18" t="s">
        <v>168</v>
      </c>
      <c r="E9" s="18" t="s">
        <v>168</v>
      </c>
      <c r="F9" s="18" t="s">
        <v>168</v>
      </c>
      <c r="G9" s="18" t="s">
        <v>168</v>
      </c>
      <c r="H9" s="18" t="s">
        <v>168</v>
      </c>
      <c r="I9" s="18" t="s">
        <v>168</v>
      </c>
      <c r="J9" s="18" t="s">
        <v>168</v>
      </c>
      <c r="K9" s="18" t="s">
        <v>168</v>
      </c>
      <c r="L9" s="18" t="s">
        <v>168</v>
      </c>
      <c r="M9" s="18" t="s">
        <v>168</v>
      </c>
      <c r="N9" s="18" t="s">
        <v>168</v>
      </c>
      <c r="O9" s="18" t="s">
        <v>168</v>
      </c>
      <c r="P9" s="18" t="s">
        <v>168</v>
      </c>
      <c r="Q9" s="18" t="s">
        <v>168</v>
      </c>
      <c r="R9" s="18" t="s">
        <v>168</v>
      </c>
      <c r="S9" s="18" t="s">
        <v>168</v>
      </c>
      <c r="T9" s="18" t="s">
        <v>168</v>
      </c>
      <c r="U9" s="18" t="s">
        <v>168</v>
      </c>
      <c r="V9" s="18" t="s">
        <v>168</v>
      </c>
      <c r="W9" s="18" t="s">
        <v>168</v>
      </c>
      <c r="X9" s="18" t="s">
        <v>168</v>
      </c>
      <c r="Y9" s="18" t="s">
        <v>168</v>
      </c>
      <c r="Z9" s="18" t="s">
        <v>168</v>
      </c>
      <c r="AA9" s="18" t="s">
        <v>168</v>
      </c>
      <c r="AB9" s="18" t="s">
        <v>168</v>
      </c>
      <c r="AC9" s="18" t="s">
        <v>168</v>
      </c>
      <c r="AD9" s="18" t="s">
        <v>168</v>
      </c>
      <c r="AE9" s="18" t="s">
        <v>168</v>
      </c>
      <c r="AF9" s="18" t="s">
        <v>168</v>
      </c>
      <c r="AG9" s="18"/>
      <c r="AH9" s="27">
        <f>COUNTA('25年10月'!$C9:$AG9)</f>
        <v>30</v>
      </c>
    </row>
    <row r="10" spans="2:34" ht="30" customHeight="1" x14ac:dyDescent="0.25">
      <c r="B10" s="20" t="s">
        <v>76</v>
      </c>
      <c r="C10" s="18" t="s">
        <v>168</v>
      </c>
      <c r="D10" s="18" t="s">
        <v>168</v>
      </c>
      <c r="E10" s="18" t="s">
        <v>168</v>
      </c>
      <c r="F10" s="18" t="s">
        <v>168</v>
      </c>
      <c r="G10" s="18" t="s">
        <v>168</v>
      </c>
      <c r="H10" s="18" t="s">
        <v>168</v>
      </c>
      <c r="I10" s="18" t="s">
        <v>168</v>
      </c>
      <c r="J10" s="18" t="s">
        <v>168</v>
      </c>
      <c r="K10" s="18" t="s">
        <v>168</v>
      </c>
      <c r="L10" s="18" t="s">
        <v>168</v>
      </c>
      <c r="M10" s="18" t="s">
        <v>168</v>
      </c>
      <c r="N10" s="18" t="s">
        <v>168</v>
      </c>
      <c r="O10" s="18" t="s">
        <v>168</v>
      </c>
      <c r="P10" s="18" t="s">
        <v>168</v>
      </c>
      <c r="Q10" s="18" t="s">
        <v>168</v>
      </c>
      <c r="R10" s="18" t="s">
        <v>168</v>
      </c>
      <c r="S10" s="18" t="s">
        <v>168</v>
      </c>
      <c r="T10" s="18" t="s">
        <v>168</v>
      </c>
      <c r="U10" s="18" t="s">
        <v>168</v>
      </c>
      <c r="V10" s="18" t="s">
        <v>168</v>
      </c>
      <c r="W10" s="18" t="s">
        <v>168</v>
      </c>
      <c r="X10" s="18" t="s">
        <v>168</v>
      </c>
      <c r="Y10" s="18" t="s">
        <v>168</v>
      </c>
      <c r="Z10" s="18" t="s">
        <v>168</v>
      </c>
      <c r="AA10" s="18" t="s">
        <v>168</v>
      </c>
      <c r="AB10" s="18" t="s">
        <v>168</v>
      </c>
      <c r="AC10" s="18" t="s">
        <v>168</v>
      </c>
      <c r="AD10" s="18" t="s">
        <v>168</v>
      </c>
      <c r="AE10" s="18" t="s">
        <v>168</v>
      </c>
      <c r="AF10" s="18" t="s">
        <v>168</v>
      </c>
      <c r="AG10" s="18"/>
      <c r="AH10" s="27">
        <f>COUNTA('25年10月'!$C10:$AG10)</f>
        <v>30</v>
      </c>
    </row>
    <row r="11" spans="2:34" ht="30" customHeight="1" x14ac:dyDescent="0.25">
      <c r="B11" s="20" t="s">
        <v>77</v>
      </c>
      <c r="C11" s="18" t="s">
        <v>168</v>
      </c>
      <c r="D11" s="18" t="s">
        <v>168</v>
      </c>
      <c r="E11" s="18" t="s">
        <v>168</v>
      </c>
      <c r="F11" s="18" t="s">
        <v>168</v>
      </c>
      <c r="G11" s="18" t="s">
        <v>168</v>
      </c>
      <c r="H11" s="18" t="s">
        <v>168</v>
      </c>
      <c r="I11" s="18" t="s">
        <v>168</v>
      </c>
      <c r="J11" s="18" t="s">
        <v>168</v>
      </c>
      <c r="K11" s="18" t="s">
        <v>168</v>
      </c>
      <c r="L11" s="18" t="s">
        <v>168</v>
      </c>
      <c r="M11" s="18" t="s">
        <v>168</v>
      </c>
      <c r="N11" s="18" t="s">
        <v>168</v>
      </c>
      <c r="O11" s="18" t="s">
        <v>168</v>
      </c>
      <c r="P11" s="18" t="s">
        <v>168</v>
      </c>
      <c r="Q11" s="18" t="s">
        <v>168</v>
      </c>
      <c r="R11" s="18" t="s">
        <v>168</v>
      </c>
      <c r="S11" s="18" t="s">
        <v>168</v>
      </c>
      <c r="T11" s="18" t="s">
        <v>168</v>
      </c>
      <c r="U11" s="18" t="s">
        <v>168</v>
      </c>
      <c r="V11" s="18" t="s">
        <v>168</v>
      </c>
      <c r="W11" s="18" t="s">
        <v>168</v>
      </c>
      <c r="X11" s="18" t="s">
        <v>168</v>
      </c>
      <c r="Y11" s="18" t="s">
        <v>168</v>
      </c>
      <c r="Z11" s="18" t="s">
        <v>168</v>
      </c>
      <c r="AA11" s="18" t="s">
        <v>168</v>
      </c>
      <c r="AB11" s="18" t="s">
        <v>168</v>
      </c>
      <c r="AC11" s="18" t="s">
        <v>168</v>
      </c>
      <c r="AD11" s="18" t="s">
        <v>168</v>
      </c>
      <c r="AE11" s="18" t="s">
        <v>168</v>
      </c>
      <c r="AF11" s="18" t="s">
        <v>168</v>
      </c>
      <c r="AG11" s="18"/>
      <c r="AH11" s="27">
        <f>COUNTA('25年10月'!$C11:$AG11)</f>
        <v>30</v>
      </c>
    </row>
    <row r="12" spans="2:34" ht="30" customHeight="1" x14ac:dyDescent="0.25">
      <c r="B12" s="20" t="s">
        <v>78</v>
      </c>
      <c r="C12" s="18" t="s">
        <v>168</v>
      </c>
      <c r="D12" s="18" t="s">
        <v>168</v>
      </c>
      <c r="E12" s="18" t="s">
        <v>168</v>
      </c>
      <c r="F12" s="18" t="s">
        <v>168</v>
      </c>
      <c r="G12" s="18" t="s">
        <v>168</v>
      </c>
      <c r="H12" s="18" t="s">
        <v>168</v>
      </c>
      <c r="I12" s="18" t="s">
        <v>168</v>
      </c>
      <c r="J12" s="18" t="s">
        <v>168</v>
      </c>
      <c r="K12" s="18" t="s">
        <v>168</v>
      </c>
      <c r="L12" s="18" t="s">
        <v>168</v>
      </c>
      <c r="M12" s="18" t="s">
        <v>168</v>
      </c>
      <c r="N12" s="18" t="s">
        <v>168</v>
      </c>
      <c r="O12" s="18" t="s">
        <v>168</v>
      </c>
      <c r="P12" s="18" t="s">
        <v>168</v>
      </c>
      <c r="Q12" s="18" t="s">
        <v>168</v>
      </c>
      <c r="R12" s="18" t="s">
        <v>168</v>
      </c>
      <c r="S12" s="18" t="s">
        <v>168</v>
      </c>
      <c r="T12" s="18" t="s">
        <v>168</v>
      </c>
      <c r="U12" s="18" t="s">
        <v>168</v>
      </c>
      <c r="V12" s="18" t="s">
        <v>168</v>
      </c>
      <c r="W12" s="18" t="s">
        <v>168</v>
      </c>
      <c r="X12" s="18" t="s">
        <v>168</v>
      </c>
      <c r="Y12" s="18" t="s">
        <v>168</v>
      </c>
      <c r="Z12" s="18" t="s">
        <v>168</v>
      </c>
      <c r="AA12" s="18" t="s">
        <v>168</v>
      </c>
      <c r="AB12" s="18" t="s">
        <v>168</v>
      </c>
      <c r="AC12" s="18" t="s">
        <v>168</v>
      </c>
      <c r="AD12" s="18" t="s">
        <v>168</v>
      </c>
      <c r="AE12" s="18" t="s">
        <v>168</v>
      </c>
      <c r="AF12" s="18" t="s">
        <v>168</v>
      </c>
      <c r="AG12" s="18"/>
      <c r="AH12" s="27">
        <f>COUNTA('25年10月'!$C12:$AG12)</f>
        <v>30</v>
      </c>
    </row>
    <row r="13" spans="2:34" ht="30" customHeight="1" x14ac:dyDescent="0.25">
      <c r="B13" s="20" t="s">
        <v>79</v>
      </c>
      <c r="C13" s="18" t="s">
        <v>168</v>
      </c>
      <c r="D13" s="18" t="s">
        <v>168</v>
      </c>
      <c r="E13" s="18" t="s">
        <v>168</v>
      </c>
      <c r="F13" s="18" t="s">
        <v>168</v>
      </c>
      <c r="G13" s="18" t="s">
        <v>168</v>
      </c>
      <c r="H13" s="18" t="s">
        <v>168</v>
      </c>
      <c r="I13" s="18" t="s">
        <v>168</v>
      </c>
      <c r="J13" s="18" t="s">
        <v>168</v>
      </c>
      <c r="K13" s="18" t="s">
        <v>168</v>
      </c>
      <c r="L13" s="18" t="s">
        <v>168</v>
      </c>
      <c r="M13" s="18" t="s">
        <v>168</v>
      </c>
      <c r="N13" s="18" t="s">
        <v>168</v>
      </c>
      <c r="O13" s="18" t="s">
        <v>168</v>
      </c>
      <c r="P13" s="18" t="s">
        <v>168</v>
      </c>
      <c r="Q13" s="18" t="s">
        <v>168</v>
      </c>
      <c r="R13" s="18" t="s">
        <v>168</v>
      </c>
      <c r="S13" s="18" t="s">
        <v>168</v>
      </c>
      <c r="T13" s="18" t="s">
        <v>168</v>
      </c>
      <c r="U13" s="18" t="s">
        <v>168</v>
      </c>
      <c r="V13" s="18" t="s">
        <v>168</v>
      </c>
      <c r="W13" s="18" t="s">
        <v>168</v>
      </c>
      <c r="X13" s="18" t="s">
        <v>168</v>
      </c>
      <c r="Y13" s="18" t="s">
        <v>168</v>
      </c>
      <c r="Z13" s="18" t="s">
        <v>168</v>
      </c>
      <c r="AA13" s="18" t="s">
        <v>168</v>
      </c>
      <c r="AB13" s="18" t="s">
        <v>168</v>
      </c>
      <c r="AC13" s="18" t="s">
        <v>168</v>
      </c>
      <c r="AD13" s="18" t="s">
        <v>168</v>
      </c>
      <c r="AE13" s="18" t="s">
        <v>168</v>
      </c>
      <c r="AF13" s="18" t="s">
        <v>168</v>
      </c>
      <c r="AG13" s="18"/>
      <c r="AH13" s="27">
        <f>COUNTA('25年10月'!$C13:$AG13)</f>
        <v>30</v>
      </c>
    </row>
    <row r="14" spans="2:34" ht="30" customHeight="1" x14ac:dyDescent="0.25">
      <c r="B14" s="20" t="s">
        <v>80</v>
      </c>
      <c r="C14" s="18" t="s">
        <v>168</v>
      </c>
      <c r="D14" s="18" t="s">
        <v>168</v>
      </c>
      <c r="E14" s="18" t="s">
        <v>168</v>
      </c>
      <c r="F14" s="18" t="s">
        <v>168</v>
      </c>
      <c r="G14" s="18" t="s">
        <v>168</v>
      </c>
      <c r="H14" s="18" t="s">
        <v>168</v>
      </c>
      <c r="I14" s="18" t="s">
        <v>168</v>
      </c>
      <c r="J14" s="18" t="s">
        <v>168</v>
      </c>
      <c r="K14" s="18" t="s">
        <v>168</v>
      </c>
      <c r="L14" s="18" t="s">
        <v>168</v>
      </c>
      <c r="M14" s="18" t="s">
        <v>168</v>
      </c>
      <c r="N14" s="18" t="s">
        <v>168</v>
      </c>
      <c r="O14" s="18" t="s">
        <v>168</v>
      </c>
      <c r="P14" s="18" t="s">
        <v>168</v>
      </c>
      <c r="Q14" s="18" t="s">
        <v>168</v>
      </c>
      <c r="R14" s="18" t="s">
        <v>168</v>
      </c>
      <c r="S14" s="18" t="s">
        <v>168</v>
      </c>
      <c r="T14" s="18" t="s">
        <v>168</v>
      </c>
      <c r="U14" s="18" t="s">
        <v>168</v>
      </c>
      <c r="V14" s="18" t="s">
        <v>168</v>
      </c>
      <c r="W14" s="18" t="s">
        <v>168</v>
      </c>
      <c r="X14" s="18" t="s">
        <v>168</v>
      </c>
      <c r="Y14" s="18" t="s">
        <v>168</v>
      </c>
      <c r="Z14" s="18" t="s">
        <v>168</v>
      </c>
      <c r="AA14" s="18" t="s">
        <v>168</v>
      </c>
      <c r="AB14" s="18" t="s">
        <v>168</v>
      </c>
      <c r="AC14" s="18" t="s">
        <v>168</v>
      </c>
      <c r="AD14" s="18" t="s">
        <v>168</v>
      </c>
      <c r="AE14" s="18" t="s">
        <v>168</v>
      </c>
      <c r="AF14" s="18" t="s">
        <v>168</v>
      </c>
      <c r="AG14" s="18"/>
      <c r="AH14" s="27">
        <f>COUNTA('25年10月'!$C14:$AG14)</f>
        <v>30</v>
      </c>
    </row>
    <row r="15" spans="2:34" ht="30" customHeight="1" x14ac:dyDescent="0.25">
      <c r="B15" s="20" t="s">
        <v>81</v>
      </c>
      <c r="C15" s="18" t="s">
        <v>168</v>
      </c>
      <c r="D15" s="18" t="s">
        <v>168</v>
      </c>
      <c r="E15" s="18" t="s">
        <v>168</v>
      </c>
      <c r="F15" s="18" t="s">
        <v>168</v>
      </c>
      <c r="G15" s="18" t="s">
        <v>168</v>
      </c>
      <c r="H15" s="18" t="s">
        <v>168</v>
      </c>
      <c r="I15" s="18" t="s">
        <v>168</v>
      </c>
      <c r="J15" s="18" t="s">
        <v>168</v>
      </c>
      <c r="K15" s="18" t="s">
        <v>168</v>
      </c>
      <c r="L15" s="18" t="s">
        <v>168</v>
      </c>
      <c r="M15" s="18" t="s">
        <v>168</v>
      </c>
      <c r="N15" s="18" t="s">
        <v>168</v>
      </c>
      <c r="O15" s="18" t="s">
        <v>168</v>
      </c>
      <c r="P15" s="18" t="s">
        <v>168</v>
      </c>
      <c r="Q15" s="18" t="s">
        <v>168</v>
      </c>
      <c r="R15" s="18" t="s">
        <v>168</v>
      </c>
      <c r="S15" s="18" t="s">
        <v>168</v>
      </c>
      <c r="T15" s="18" t="s">
        <v>168</v>
      </c>
      <c r="U15" s="18" t="s">
        <v>168</v>
      </c>
      <c r="V15" s="18" t="s">
        <v>168</v>
      </c>
      <c r="W15" s="18" t="s">
        <v>168</v>
      </c>
      <c r="X15" s="18" t="s">
        <v>168</v>
      </c>
      <c r="Y15" s="18" t="s">
        <v>168</v>
      </c>
      <c r="Z15" s="18" t="s">
        <v>168</v>
      </c>
      <c r="AA15" s="18" t="s">
        <v>168</v>
      </c>
      <c r="AB15" s="18" t="s">
        <v>168</v>
      </c>
      <c r="AC15" s="18" t="s">
        <v>168</v>
      </c>
      <c r="AD15" s="18" t="s">
        <v>168</v>
      </c>
      <c r="AE15" s="18" t="s">
        <v>168</v>
      </c>
      <c r="AF15" s="18" t="s">
        <v>168</v>
      </c>
      <c r="AG15" s="18"/>
      <c r="AH15" s="27">
        <f>COUNTA('25年10月'!$C15:$AG15)</f>
        <v>30</v>
      </c>
    </row>
    <row r="16" spans="2:34" ht="30" customHeight="1" x14ac:dyDescent="0.25">
      <c r="B16" s="20" t="s">
        <v>82</v>
      </c>
      <c r="C16" s="18" t="s">
        <v>168</v>
      </c>
      <c r="D16" s="18" t="s">
        <v>168</v>
      </c>
      <c r="E16" s="18" t="s">
        <v>168</v>
      </c>
      <c r="F16" s="18" t="s">
        <v>168</v>
      </c>
      <c r="G16" s="18" t="s">
        <v>168</v>
      </c>
      <c r="H16" s="18" t="s">
        <v>168</v>
      </c>
      <c r="I16" s="18" t="s">
        <v>168</v>
      </c>
      <c r="J16" s="18" t="s">
        <v>168</v>
      </c>
      <c r="K16" s="18" t="s">
        <v>168</v>
      </c>
      <c r="L16" s="18" t="s">
        <v>168</v>
      </c>
      <c r="M16" s="18" t="s">
        <v>168</v>
      </c>
      <c r="N16" s="18" t="s">
        <v>168</v>
      </c>
      <c r="O16" s="18" t="s">
        <v>168</v>
      </c>
      <c r="P16" s="18" t="s">
        <v>168</v>
      </c>
      <c r="Q16" s="18" t="s">
        <v>168</v>
      </c>
      <c r="R16" s="18" t="s">
        <v>168</v>
      </c>
      <c r="S16" s="18" t="s">
        <v>168</v>
      </c>
      <c r="T16" s="18" t="s">
        <v>168</v>
      </c>
      <c r="U16" s="18" t="s">
        <v>168</v>
      </c>
      <c r="V16" s="18" t="s">
        <v>168</v>
      </c>
      <c r="W16" s="18" t="s">
        <v>168</v>
      </c>
      <c r="X16" s="18" t="s">
        <v>168</v>
      </c>
      <c r="Y16" s="18" t="s">
        <v>168</v>
      </c>
      <c r="Z16" s="18" t="s">
        <v>168</v>
      </c>
      <c r="AA16" s="18" t="s">
        <v>168</v>
      </c>
      <c r="AB16" s="18" t="s">
        <v>168</v>
      </c>
      <c r="AC16" s="18" t="s">
        <v>168</v>
      </c>
      <c r="AD16" s="18" t="s">
        <v>168</v>
      </c>
      <c r="AE16" s="18" t="s">
        <v>168</v>
      </c>
      <c r="AF16" s="18" t="s">
        <v>168</v>
      </c>
      <c r="AG16" s="18"/>
      <c r="AH16" s="27">
        <f>COUNTA('25年10月'!$C16:$AG16)</f>
        <v>30</v>
      </c>
    </row>
    <row r="17" spans="2:34" ht="30" customHeight="1" x14ac:dyDescent="0.25">
      <c r="B17" s="20" t="s">
        <v>83</v>
      </c>
      <c r="C17" s="18" t="s">
        <v>168</v>
      </c>
      <c r="D17" s="18" t="s">
        <v>168</v>
      </c>
      <c r="E17" s="18" t="s">
        <v>168</v>
      </c>
      <c r="F17" s="18" t="s">
        <v>168</v>
      </c>
      <c r="G17" s="18" t="s">
        <v>168</v>
      </c>
      <c r="H17" s="18" t="s">
        <v>168</v>
      </c>
      <c r="I17" s="18" t="s">
        <v>168</v>
      </c>
      <c r="J17" s="18" t="s">
        <v>168</v>
      </c>
      <c r="K17" s="18" t="s">
        <v>168</v>
      </c>
      <c r="L17" s="18" t="s">
        <v>168</v>
      </c>
      <c r="M17" s="18" t="s">
        <v>168</v>
      </c>
      <c r="N17" s="18" t="s">
        <v>168</v>
      </c>
      <c r="O17" s="18" t="s">
        <v>168</v>
      </c>
      <c r="P17" s="18" t="s">
        <v>168</v>
      </c>
      <c r="Q17" s="18" t="s">
        <v>168</v>
      </c>
      <c r="R17" s="18" t="s">
        <v>168</v>
      </c>
      <c r="S17" s="18" t="s">
        <v>168</v>
      </c>
      <c r="T17" s="18" t="s">
        <v>168</v>
      </c>
      <c r="U17" s="18" t="s">
        <v>168</v>
      </c>
      <c r="V17" s="18" t="s">
        <v>168</v>
      </c>
      <c r="W17" s="18" t="s">
        <v>168</v>
      </c>
      <c r="X17" s="18" t="s">
        <v>168</v>
      </c>
      <c r="Y17" s="18" t="s">
        <v>168</v>
      </c>
      <c r="Z17" s="18" t="s">
        <v>168</v>
      </c>
      <c r="AA17" s="18" t="s">
        <v>168</v>
      </c>
      <c r="AB17" s="18" t="s">
        <v>168</v>
      </c>
      <c r="AC17" s="18" t="s">
        <v>168</v>
      </c>
      <c r="AD17" s="18" t="s">
        <v>168</v>
      </c>
      <c r="AE17" s="18" t="s">
        <v>168</v>
      </c>
      <c r="AF17" s="18" t="s">
        <v>168</v>
      </c>
      <c r="AG17" s="18"/>
      <c r="AH17" s="27">
        <f>COUNTA('25年10月'!$C17:$AG17)</f>
        <v>30</v>
      </c>
    </row>
    <row r="18" spans="2:34" ht="30" customHeight="1" x14ac:dyDescent="0.25">
      <c r="B18" s="20" t="s">
        <v>84</v>
      </c>
      <c r="C18" s="18" t="s">
        <v>168</v>
      </c>
      <c r="D18" s="18" t="s">
        <v>168</v>
      </c>
      <c r="E18" s="18" t="s">
        <v>168</v>
      </c>
      <c r="F18" s="18" t="s">
        <v>168</v>
      </c>
      <c r="G18" s="18" t="s">
        <v>168</v>
      </c>
      <c r="H18" s="18" t="s">
        <v>168</v>
      </c>
      <c r="I18" s="18" t="s">
        <v>168</v>
      </c>
      <c r="J18" s="18" t="s">
        <v>168</v>
      </c>
      <c r="K18" s="18" t="s">
        <v>168</v>
      </c>
      <c r="L18" s="18" t="s">
        <v>168</v>
      </c>
      <c r="M18" s="18" t="s">
        <v>168</v>
      </c>
      <c r="N18" s="18" t="s">
        <v>168</v>
      </c>
      <c r="O18" s="18" t="s">
        <v>168</v>
      </c>
      <c r="P18" s="18" t="s">
        <v>168</v>
      </c>
      <c r="Q18" s="18" t="s">
        <v>168</v>
      </c>
      <c r="R18" s="18" t="s">
        <v>168</v>
      </c>
      <c r="S18" s="18" t="s">
        <v>168</v>
      </c>
      <c r="T18" s="18" t="s">
        <v>168</v>
      </c>
      <c r="U18" s="18" t="s">
        <v>168</v>
      </c>
      <c r="V18" s="18" t="s">
        <v>168</v>
      </c>
      <c r="W18" s="18" t="s">
        <v>168</v>
      </c>
      <c r="X18" s="18" t="s">
        <v>168</v>
      </c>
      <c r="Y18" s="18" t="s">
        <v>168</v>
      </c>
      <c r="Z18" s="18" t="s">
        <v>168</v>
      </c>
      <c r="AA18" s="18" t="s">
        <v>168</v>
      </c>
      <c r="AB18" s="18" t="s">
        <v>168</v>
      </c>
      <c r="AC18" s="18" t="s">
        <v>168</v>
      </c>
      <c r="AD18" s="18" t="s">
        <v>168</v>
      </c>
      <c r="AE18" s="18" t="s">
        <v>168</v>
      </c>
      <c r="AF18" s="18" t="s">
        <v>168</v>
      </c>
      <c r="AG18" s="18"/>
      <c r="AH18" s="27">
        <f>COUNTA('25年10月'!$C18:$AG18)</f>
        <v>30</v>
      </c>
    </row>
    <row r="19" spans="2:34" ht="30" customHeight="1" x14ac:dyDescent="0.25">
      <c r="B19" s="20" t="s">
        <v>85</v>
      </c>
      <c r="C19" s="18" t="s">
        <v>168</v>
      </c>
      <c r="D19" s="18" t="s">
        <v>168</v>
      </c>
      <c r="E19" s="18" t="s">
        <v>168</v>
      </c>
      <c r="F19" s="18" t="s">
        <v>168</v>
      </c>
      <c r="G19" s="18" t="s">
        <v>168</v>
      </c>
      <c r="H19" s="18" t="s">
        <v>168</v>
      </c>
      <c r="I19" s="18" t="s">
        <v>168</v>
      </c>
      <c r="J19" s="18" t="s">
        <v>168</v>
      </c>
      <c r="K19" s="18" t="s">
        <v>168</v>
      </c>
      <c r="L19" s="18" t="s">
        <v>168</v>
      </c>
      <c r="M19" s="18" t="s">
        <v>168</v>
      </c>
      <c r="N19" s="18" t="s">
        <v>168</v>
      </c>
      <c r="O19" s="18" t="s">
        <v>168</v>
      </c>
      <c r="P19" s="18" t="s">
        <v>168</v>
      </c>
      <c r="Q19" s="18" t="s">
        <v>168</v>
      </c>
      <c r="R19" s="18" t="s">
        <v>168</v>
      </c>
      <c r="S19" s="18" t="s">
        <v>168</v>
      </c>
      <c r="T19" s="18" t="s">
        <v>168</v>
      </c>
      <c r="U19" s="18" t="s">
        <v>168</v>
      </c>
      <c r="V19" s="18" t="s">
        <v>168</v>
      </c>
      <c r="W19" s="18" t="s">
        <v>168</v>
      </c>
      <c r="X19" s="18" t="s">
        <v>168</v>
      </c>
      <c r="Y19" s="18" t="s">
        <v>168</v>
      </c>
      <c r="Z19" s="18" t="s">
        <v>168</v>
      </c>
      <c r="AA19" s="18" t="s">
        <v>168</v>
      </c>
      <c r="AB19" s="18" t="s">
        <v>168</v>
      </c>
      <c r="AC19" s="18" t="s">
        <v>168</v>
      </c>
      <c r="AD19" s="18" t="s">
        <v>168</v>
      </c>
      <c r="AE19" s="18" t="s">
        <v>168</v>
      </c>
      <c r="AF19" s="18" t="s">
        <v>168</v>
      </c>
      <c r="AG19" s="18"/>
      <c r="AH19" s="27">
        <f>COUNTA('25年10月'!$C19:$AG19)</f>
        <v>30</v>
      </c>
    </row>
    <row r="20" spans="2:34" ht="30" customHeight="1" x14ac:dyDescent="0.25">
      <c r="B20" s="31" t="s">
        <v>86</v>
      </c>
      <c r="C20" s="18" t="s">
        <v>168</v>
      </c>
      <c r="D20" s="18" t="s">
        <v>168</v>
      </c>
      <c r="E20" s="18" t="s">
        <v>168</v>
      </c>
      <c r="F20" s="18" t="s">
        <v>168</v>
      </c>
      <c r="G20" s="18" t="s">
        <v>168</v>
      </c>
      <c r="H20" s="18" t="s">
        <v>168</v>
      </c>
      <c r="I20" s="18" t="s">
        <v>168</v>
      </c>
      <c r="J20" s="18" t="s">
        <v>168</v>
      </c>
      <c r="K20" s="18" t="s">
        <v>168</v>
      </c>
      <c r="L20" s="18" t="s">
        <v>168</v>
      </c>
      <c r="M20" s="18" t="s">
        <v>168</v>
      </c>
      <c r="N20" s="18" t="s">
        <v>168</v>
      </c>
      <c r="O20" s="18" t="s">
        <v>168</v>
      </c>
      <c r="P20" s="18" t="s">
        <v>168</v>
      </c>
      <c r="Q20" s="18" t="s">
        <v>168</v>
      </c>
      <c r="R20" s="18" t="s">
        <v>168</v>
      </c>
      <c r="S20" s="18" t="s">
        <v>168</v>
      </c>
      <c r="T20" s="18" t="s">
        <v>168</v>
      </c>
      <c r="U20" s="18" t="s">
        <v>168</v>
      </c>
      <c r="V20" s="18" t="s">
        <v>168</v>
      </c>
      <c r="W20" s="18" t="s">
        <v>168</v>
      </c>
      <c r="X20" s="18" t="s">
        <v>168</v>
      </c>
      <c r="Y20" s="18" t="s">
        <v>168</v>
      </c>
      <c r="Z20" s="18" t="s">
        <v>168</v>
      </c>
      <c r="AA20" s="18" t="s">
        <v>168</v>
      </c>
      <c r="AB20" s="18" t="s">
        <v>168</v>
      </c>
      <c r="AC20" s="18" t="s">
        <v>168</v>
      </c>
      <c r="AD20" s="18" t="s">
        <v>168</v>
      </c>
      <c r="AE20" s="18" t="s">
        <v>168</v>
      </c>
      <c r="AF20" s="18" t="s">
        <v>168</v>
      </c>
      <c r="AG20" s="18"/>
      <c r="AH20" s="27">
        <f>COUNTA(月11_216[[#This Row],[1]:[31]])</f>
        <v>30</v>
      </c>
    </row>
    <row r="21" spans="2:34" ht="30" customHeight="1" x14ac:dyDescent="0.25">
      <c r="B21" s="31" t="s">
        <v>87</v>
      </c>
      <c r="C21" s="18" t="s">
        <v>168</v>
      </c>
      <c r="D21" s="18" t="s">
        <v>168</v>
      </c>
      <c r="E21" s="18" t="s">
        <v>168</v>
      </c>
      <c r="F21" s="18" t="s">
        <v>168</v>
      </c>
      <c r="G21" s="18" t="s">
        <v>168</v>
      </c>
      <c r="H21" s="18" t="s">
        <v>168</v>
      </c>
      <c r="I21" s="18" t="s">
        <v>168</v>
      </c>
      <c r="J21" s="18" t="s">
        <v>168</v>
      </c>
      <c r="K21" s="18" t="s">
        <v>168</v>
      </c>
      <c r="L21" s="18" t="s">
        <v>168</v>
      </c>
      <c r="M21" s="18" t="s">
        <v>168</v>
      </c>
      <c r="N21" s="18" t="s">
        <v>168</v>
      </c>
      <c r="O21" s="18" t="s">
        <v>168</v>
      </c>
      <c r="P21" s="18" t="s">
        <v>168</v>
      </c>
      <c r="Q21" s="18" t="s">
        <v>168</v>
      </c>
      <c r="R21" s="18" t="s">
        <v>168</v>
      </c>
      <c r="S21" s="18" t="s">
        <v>168</v>
      </c>
      <c r="T21" s="18" t="s">
        <v>168</v>
      </c>
      <c r="U21" s="18" t="s">
        <v>168</v>
      </c>
      <c r="V21" s="18" t="s">
        <v>168</v>
      </c>
      <c r="W21" s="18" t="s">
        <v>168</v>
      </c>
      <c r="X21" s="18" t="s">
        <v>168</v>
      </c>
      <c r="Y21" s="18" t="s">
        <v>168</v>
      </c>
      <c r="Z21" s="18" t="s">
        <v>168</v>
      </c>
      <c r="AA21" s="18" t="s">
        <v>168</v>
      </c>
      <c r="AB21" s="18" t="s">
        <v>168</v>
      </c>
      <c r="AC21" s="18" t="s">
        <v>168</v>
      </c>
      <c r="AD21" s="18" t="s">
        <v>168</v>
      </c>
      <c r="AE21" s="18" t="s">
        <v>168</v>
      </c>
      <c r="AF21" s="18" t="s">
        <v>168</v>
      </c>
      <c r="AG21" s="18"/>
      <c r="AH21" s="27">
        <f>COUNTA(月11_216[[#This Row],[1]:[31]])</f>
        <v>30</v>
      </c>
    </row>
    <row r="22" spans="2:34" ht="30" customHeight="1" x14ac:dyDescent="0.25">
      <c r="B22" s="31" t="s">
        <v>88</v>
      </c>
      <c r="C22" s="18" t="s">
        <v>168</v>
      </c>
      <c r="D22" s="18" t="s">
        <v>168</v>
      </c>
      <c r="E22" s="18" t="s">
        <v>168</v>
      </c>
      <c r="F22" s="18" t="s">
        <v>168</v>
      </c>
      <c r="G22" s="18" t="s">
        <v>168</v>
      </c>
      <c r="H22" s="18" t="s">
        <v>168</v>
      </c>
      <c r="I22" s="18" t="s">
        <v>168</v>
      </c>
      <c r="J22" s="18" t="s">
        <v>168</v>
      </c>
      <c r="K22" s="18" t="s">
        <v>168</v>
      </c>
      <c r="L22" s="18" t="s">
        <v>168</v>
      </c>
      <c r="M22" s="18" t="s">
        <v>168</v>
      </c>
      <c r="N22" s="18" t="s">
        <v>168</v>
      </c>
      <c r="O22" s="18" t="s">
        <v>168</v>
      </c>
      <c r="P22" s="18" t="s">
        <v>168</v>
      </c>
      <c r="Q22" s="18" t="s">
        <v>168</v>
      </c>
      <c r="R22" s="18" t="s">
        <v>168</v>
      </c>
      <c r="S22" s="18" t="s">
        <v>168</v>
      </c>
      <c r="T22" s="18" t="s">
        <v>168</v>
      </c>
      <c r="U22" s="18" t="s">
        <v>168</v>
      </c>
      <c r="V22" s="18" t="s">
        <v>168</v>
      </c>
      <c r="W22" s="18" t="s">
        <v>168</v>
      </c>
      <c r="X22" s="18" t="s">
        <v>168</v>
      </c>
      <c r="Y22" s="18" t="s">
        <v>168</v>
      </c>
      <c r="Z22" s="18" t="s">
        <v>168</v>
      </c>
      <c r="AA22" s="18" t="s">
        <v>168</v>
      </c>
      <c r="AB22" s="18" t="s">
        <v>168</v>
      </c>
      <c r="AC22" s="18" t="s">
        <v>168</v>
      </c>
      <c r="AD22" s="18" t="s">
        <v>168</v>
      </c>
      <c r="AE22" s="18" t="s">
        <v>168</v>
      </c>
      <c r="AF22" s="18" t="s">
        <v>168</v>
      </c>
      <c r="AG22" s="18"/>
      <c r="AH22" s="27">
        <f>COUNTA(月11_216[[#This Row],[1]:[31]])</f>
        <v>30</v>
      </c>
    </row>
    <row r="23" spans="2:34" ht="30" customHeight="1" x14ac:dyDescent="0.25">
      <c r="B23" s="31" t="s">
        <v>89</v>
      </c>
      <c r="C23" s="18" t="s">
        <v>168</v>
      </c>
      <c r="D23" s="18" t="s">
        <v>168</v>
      </c>
      <c r="E23" s="18" t="s">
        <v>168</v>
      </c>
      <c r="F23" s="18" t="s">
        <v>168</v>
      </c>
      <c r="G23" s="18" t="s">
        <v>168</v>
      </c>
      <c r="H23" s="18" t="s">
        <v>168</v>
      </c>
      <c r="I23" s="18" t="s">
        <v>168</v>
      </c>
      <c r="J23" s="18" t="s">
        <v>168</v>
      </c>
      <c r="K23" s="18" t="s">
        <v>168</v>
      </c>
      <c r="L23" s="18" t="s">
        <v>168</v>
      </c>
      <c r="M23" s="18" t="s">
        <v>168</v>
      </c>
      <c r="N23" s="18" t="s">
        <v>168</v>
      </c>
      <c r="O23" s="18" t="s">
        <v>168</v>
      </c>
      <c r="P23" s="18" t="s">
        <v>168</v>
      </c>
      <c r="Q23" s="18" t="s">
        <v>168</v>
      </c>
      <c r="R23" s="18" t="s">
        <v>168</v>
      </c>
      <c r="S23" s="18" t="s">
        <v>168</v>
      </c>
      <c r="T23" s="18" t="s">
        <v>168</v>
      </c>
      <c r="U23" s="18" t="s">
        <v>168</v>
      </c>
      <c r="V23" s="18" t="s">
        <v>168</v>
      </c>
      <c r="W23" s="18" t="s">
        <v>168</v>
      </c>
      <c r="X23" s="18" t="s">
        <v>168</v>
      </c>
      <c r="Y23" s="18" t="s">
        <v>168</v>
      </c>
      <c r="Z23" s="18" t="s">
        <v>168</v>
      </c>
      <c r="AA23" s="18" t="s">
        <v>168</v>
      </c>
      <c r="AB23" s="18" t="s">
        <v>168</v>
      </c>
      <c r="AC23" s="18" t="s">
        <v>168</v>
      </c>
      <c r="AD23" s="18" t="s">
        <v>168</v>
      </c>
      <c r="AE23" s="18" t="s">
        <v>168</v>
      </c>
      <c r="AF23" s="18" t="s">
        <v>168</v>
      </c>
      <c r="AG23" s="18"/>
      <c r="AH23" s="27">
        <f>COUNTA(月11_216[[#This Row],[1]:[31]])</f>
        <v>30</v>
      </c>
    </row>
    <row r="24" spans="2:34" ht="30" customHeight="1" x14ac:dyDescent="0.25">
      <c r="B24" s="31" t="s">
        <v>90</v>
      </c>
      <c r="C24" s="18" t="s">
        <v>168</v>
      </c>
      <c r="D24" s="18" t="s">
        <v>168</v>
      </c>
      <c r="E24" s="18" t="s">
        <v>168</v>
      </c>
      <c r="F24" s="18" t="s">
        <v>168</v>
      </c>
      <c r="G24" s="18" t="s">
        <v>168</v>
      </c>
      <c r="H24" s="18" t="s">
        <v>168</v>
      </c>
      <c r="I24" s="18" t="s">
        <v>168</v>
      </c>
      <c r="J24" s="18" t="s">
        <v>168</v>
      </c>
      <c r="K24" s="18" t="s">
        <v>168</v>
      </c>
      <c r="L24" s="18" t="s">
        <v>168</v>
      </c>
      <c r="M24" s="18" t="s">
        <v>168</v>
      </c>
      <c r="N24" s="18" t="s">
        <v>168</v>
      </c>
      <c r="O24" s="18" t="s">
        <v>168</v>
      </c>
      <c r="P24" s="18" t="s">
        <v>168</v>
      </c>
      <c r="Q24" s="18" t="s">
        <v>168</v>
      </c>
      <c r="R24" s="18" t="s">
        <v>168</v>
      </c>
      <c r="S24" s="18" t="s">
        <v>168</v>
      </c>
      <c r="T24" s="18" t="s">
        <v>168</v>
      </c>
      <c r="U24" s="18" t="s">
        <v>168</v>
      </c>
      <c r="V24" s="18" t="s">
        <v>168</v>
      </c>
      <c r="W24" s="18" t="s">
        <v>168</v>
      </c>
      <c r="X24" s="18" t="s">
        <v>168</v>
      </c>
      <c r="Y24" s="18" t="s">
        <v>168</v>
      </c>
      <c r="Z24" s="18" t="s">
        <v>168</v>
      </c>
      <c r="AA24" s="18" t="s">
        <v>168</v>
      </c>
      <c r="AB24" s="18" t="s">
        <v>168</v>
      </c>
      <c r="AC24" s="18" t="s">
        <v>168</v>
      </c>
      <c r="AD24" s="18" t="s">
        <v>168</v>
      </c>
      <c r="AE24" s="18" t="s">
        <v>168</v>
      </c>
      <c r="AF24" s="18" t="s">
        <v>168</v>
      </c>
      <c r="AG24" s="18"/>
      <c r="AH24" s="27">
        <f>COUNTA(月11_216[[#This Row],[1]:[31]])</f>
        <v>30</v>
      </c>
    </row>
    <row r="25" spans="2:34" ht="30" customHeight="1" x14ac:dyDescent="0.25">
      <c r="B25" s="31" t="s">
        <v>91</v>
      </c>
      <c r="C25" s="18" t="s">
        <v>168</v>
      </c>
      <c r="D25" s="18" t="s">
        <v>168</v>
      </c>
      <c r="E25" s="18" t="s">
        <v>168</v>
      </c>
      <c r="F25" s="18" t="s">
        <v>168</v>
      </c>
      <c r="G25" s="18" t="s">
        <v>168</v>
      </c>
      <c r="H25" s="18" t="s">
        <v>168</v>
      </c>
      <c r="I25" s="18" t="s">
        <v>168</v>
      </c>
      <c r="J25" s="18" t="s">
        <v>168</v>
      </c>
      <c r="K25" s="18" t="s">
        <v>168</v>
      </c>
      <c r="L25" s="18" t="s">
        <v>168</v>
      </c>
      <c r="M25" s="18" t="s">
        <v>168</v>
      </c>
      <c r="N25" s="18" t="s">
        <v>168</v>
      </c>
      <c r="O25" s="18" t="s">
        <v>168</v>
      </c>
      <c r="P25" s="18" t="s">
        <v>168</v>
      </c>
      <c r="Q25" s="18" t="s">
        <v>168</v>
      </c>
      <c r="R25" s="18" t="s">
        <v>168</v>
      </c>
      <c r="S25" s="18" t="s">
        <v>168</v>
      </c>
      <c r="T25" s="18" t="s">
        <v>168</v>
      </c>
      <c r="U25" s="18" t="s">
        <v>168</v>
      </c>
      <c r="V25" s="18" t="s">
        <v>168</v>
      </c>
      <c r="W25" s="18" t="s">
        <v>168</v>
      </c>
      <c r="X25" s="18" t="s">
        <v>168</v>
      </c>
      <c r="Y25" s="18" t="s">
        <v>168</v>
      </c>
      <c r="Z25" s="18" t="s">
        <v>168</v>
      </c>
      <c r="AA25" s="18" t="s">
        <v>168</v>
      </c>
      <c r="AB25" s="18" t="s">
        <v>168</v>
      </c>
      <c r="AC25" s="18" t="s">
        <v>168</v>
      </c>
      <c r="AD25" s="18" t="s">
        <v>168</v>
      </c>
      <c r="AE25" s="18" t="s">
        <v>168</v>
      </c>
      <c r="AF25" s="18" t="s">
        <v>168</v>
      </c>
      <c r="AG25" s="18"/>
      <c r="AH25" s="27">
        <f>COUNTA(月11_216[[#This Row],[1]:[31]])</f>
        <v>30</v>
      </c>
    </row>
    <row r="26" spans="2:34" ht="30" customHeight="1" x14ac:dyDescent="0.25">
      <c r="B26" s="31" t="s">
        <v>92</v>
      </c>
      <c r="C26" s="18" t="s">
        <v>168</v>
      </c>
      <c r="D26" s="18" t="s">
        <v>168</v>
      </c>
      <c r="E26" s="18" t="s">
        <v>168</v>
      </c>
      <c r="F26" s="18" t="s">
        <v>168</v>
      </c>
      <c r="G26" s="18" t="s">
        <v>168</v>
      </c>
      <c r="H26" s="18" t="s">
        <v>168</v>
      </c>
      <c r="I26" s="18" t="s">
        <v>168</v>
      </c>
      <c r="J26" s="18" t="s">
        <v>168</v>
      </c>
      <c r="K26" s="18" t="s">
        <v>168</v>
      </c>
      <c r="L26" s="18" t="s">
        <v>168</v>
      </c>
      <c r="M26" s="18" t="s">
        <v>168</v>
      </c>
      <c r="N26" s="18" t="s">
        <v>168</v>
      </c>
      <c r="O26" s="18" t="s">
        <v>168</v>
      </c>
      <c r="P26" s="18" t="s">
        <v>168</v>
      </c>
      <c r="Q26" s="18" t="s">
        <v>168</v>
      </c>
      <c r="R26" s="18" t="s">
        <v>168</v>
      </c>
      <c r="S26" s="18" t="s">
        <v>168</v>
      </c>
      <c r="T26" s="18" t="s">
        <v>168</v>
      </c>
      <c r="U26" s="18" t="s">
        <v>168</v>
      </c>
      <c r="V26" s="18" t="s">
        <v>168</v>
      </c>
      <c r="W26" s="18" t="s">
        <v>168</v>
      </c>
      <c r="X26" s="18" t="s">
        <v>168</v>
      </c>
      <c r="Y26" s="18" t="s">
        <v>168</v>
      </c>
      <c r="Z26" s="18" t="s">
        <v>168</v>
      </c>
      <c r="AA26" s="18" t="s">
        <v>168</v>
      </c>
      <c r="AB26" s="18" t="s">
        <v>168</v>
      </c>
      <c r="AC26" s="18" t="s">
        <v>168</v>
      </c>
      <c r="AD26" s="18" t="s">
        <v>168</v>
      </c>
      <c r="AE26" s="18" t="s">
        <v>168</v>
      </c>
      <c r="AF26" s="18" t="s">
        <v>168</v>
      </c>
      <c r="AG26" s="18"/>
      <c r="AH26" s="27">
        <f>COUNTA(月11_216[[#This Row],[1]:[31]])</f>
        <v>30</v>
      </c>
    </row>
    <row r="27" spans="2:34" ht="30" customHeight="1" x14ac:dyDescent="0.25">
      <c r="B27" s="31" t="s">
        <v>93</v>
      </c>
      <c r="C27" s="18" t="s">
        <v>168</v>
      </c>
      <c r="D27" s="18" t="s">
        <v>168</v>
      </c>
      <c r="E27" s="18" t="s">
        <v>168</v>
      </c>
      <c r="F27" s="18" t="s">
        <v>168</v>
      </c>
      <c r="G27" s="18" t="s">
        <v>168</v>
      </c>
      <c r="H27" s="18" t="s">
        <v>168</v>
      </c>
      <c r="I27" s="18" t="s">
        <v>168</v>
      </c>
      <c r="J27" s="18" t="s">
        <v>168</v>
      </c>
      <c r="K27" s="18" t="s">
        <v>168</v>
      </c>
      <c r="L27" s="18" t="s">
        <v>168</v>
      </c>
      <c r="M27" s="18" t="s">
        <v>168</v>
      </c>
      <c r="N27" s="18" t="s">
        <v>168</v>
      </c>
      <c r="O27" s="18" t="s">
        <v>168</v>
      </c>
      <c r="P27" s="18" t="s">
        <v>168</v>
      </c>
      <c r="Q27" s="18" t="s">
        <v>168</v>
      </c>
      <c r="R27" s="18" t="s">
        <v>168</v>
      </c>
      <c r="S27" s="18" t="s">
        <v>168</v>
      </c>
      <c r="T27" s="18" t="s">
        <v>168</v>
      </c>
      <c r="U27" s="18" t="s">
        <v>168</v>
      </c>
      <c r="V27" s="18" t="s">
        <v>168</v>
      </c>
      <c r="W27" s="18" t="s">
        <v>168</v>
      </c>
      <c r="X27" s="18" t="s">
        <v>168</v>
      </c>
      <c r="Y27" s="18" t="s">
        <v>168</v>
      </c>
      <c r="Z27" s="18" t="s">
        <v>168</v>
      </c>
      <c r="AA27" s="18" t="s">
        <v>168</v>
      </c>
      <c r="AB27" s="18" t="s">
        <v>168</v>
      </c>
      <c r="AC27" s="18" t="s">
        <v>168</v>
      </c>
      <c r="AD27" s="18" t="s">
        <v>168</v>
      </c>
      <c r="AE27" s="18" t="s">
        <v>168</v>
      </c>
      <c r="AF27" s="18" t="s">
        <v>168</v>
      </c>
      <c r="AG27" s="18"/>
      <c r="AH27" s="27">
        <f>COUNTA(月11_216[[#This Row],[1]:[31]])</f>
        <v>30</v>
      </c>
    </row>
    <row r="28" spans="2:34" ht="30" customHeight="1" x14ac:dyDescent="0.25">
      <c r="B28" s="31" t="s">
        <v>94</v>
      </c>
      <c r="C28" s="18" t="s">
        <v>168</v>
      </c>
      <c r="D28" s="18" t="s">
        <v>168</v>
      </c>
      <c r="E28" s="18" t="s">
        <v>168</v>
      </c>
      <c r="F28" s="18" t="s">
        <v>168</v>
      </c>
      <c r="G28" s="18" t="s">
        <v>168</v>
      </c>
      <c r="H28" s="18" t="s">
        <v>168</v>
      </c>
      <c r="I28" s="18" t="s">
        <v>168</v>
      </c>
      <c r="J28" s="18" t="s">
        <v>168</v>
      </c>
      <c r="K28" s="18" t="s">
        <v>168</v>
      </c>
      <c r="L28" s="18" t="s">
        <v>168</v>
      </c>
      <c r="M28" s="18" t="s">
        <v>168</v>
      </c>
      <c r="N28" s="18" t="s">
        <v>168</v>
      </c>
      <c r="O28" s="18" t="s">
        <v>168</v>
      </c>
      <c r="P28" s="18" t="s">
        <v>168</v>
      </c>
      <c r="Q28" s="18" t="s">
        <v>168</v>
      </c>
      <c r="R28" s="18" t="s">
        <v>168</v>
      </c>
      <c r="S28" s="18" t="s">
        <v>168</v>
      </c>
      <c r="T28" s="18" t="s">
        <v>168</v>
      </c>
      <c r="U28" s="18" t="s">
        <v>168</v>
      </c>
      <c r="V28" s="18" t="s">
        <v>168</v>
      </c>
      <c r="W28" s="18" t="s">
        <v>168</v>
      </c>
      <c r="X28" s="18" t="s">
        <v>168</v>
      </c>
      <c r="Y28" s="18" t="s">
        <v>168</v>
      </c>
      <c r="Z28" s="18" t="s">
        <v>168</v>
      </c>
      <c r="AA28" s="18" t="s">
        <v>168</v>
      </c>
      <c r="AB28" s="18" t="s">
        <v>168</v>
      </c>
      <c r="AC28" s="18" t="s">
        <v>168</v>
      </c>
      <c r="AD28" s="18" t="s">
        <v>168</v>
      </c>
      <c r="AE28" s="18" t="s">
        <v>168</v>
      </c>
      <c r="AF28" s="18" t="s">
        <v>168</v>
      </c>
      <c r="AG28" s="18"/>
      <c r="AH28" s="27">
        <f>COUNTA(月11_216[[#This Row],[1]:[31]])</f>
        <v>30</v>
      </c>
    </row>
    <row r="29" spans="2:34" ht="30" customHeight="1" x14ac:dyDescent="0.25">
      <c r="B29" s="31" t="s">
        <v>95</v>
      </c>
      <c r="C29" s="18" t="s">
        <v>168</v>
      </c>
      <c r="D29" s="18" t="s">
        <v>168</v>
      </c>
      <c r="E29" s="18" t="s">
        <v>168</v>
      </c>
      <c r="F29" s="18" t="s">
        <v>168</v>
      </c>
      <c r="G29" s="18" t="s">
        <v>168</v>
      </c>
      <c r="H29" s="18" t="s">
        <v>168</v>
      </c>
      <c r="I29" s="18" t="s">
        <v>168</v>
      </c>
      <c r="J29" s="18" t="s">
        <v>168</v>
      </c>
      <c r="K29" s="18" t="s">
        <v>168</v>
      </c>
      <c r="L29" s="18" t="s">
        <v>168</v>
      </c>
      <c r="M29" s="18" t="s">
        <v>168</v>
      </c>
      <c r="N29" s="18" t="s">
        <v>168</v>
      </c>
      <c r="O29" s="18" t="s">
        <v>168</v>
      </c>
      <c r="P29" s="18" t="s">
        <v>168</v>
      </c>
      <c r="Q29" s="18" t="s">
        <v>168</v>
      </c>
      <c r="R29" s="18" t="s">
        <v>168</v>
      </c>
      <c r="S29" s="18" t="s">
        <v>168</v>
      </c>
      <c r="T29" s="18" t="s">
        <v>168</v>
      </c>
      <c r="U29" s="18" t="s">
        <v>168</v>
      </c>
      <c r="V29" s="18" t="s">
        <v>168</v>
      </c>
      <c r="W29" s="18" t="s">
        <v>168</v>
      </c>
      <c r="X29" s="18" t="s">
        <v>168</v>
      </c>
      <c r="Y29" s="18" t="s">
        <v>168</v>
      </c>
      <c r="Z29" s="18" t="s">
        <v>168</v>
      </c>
      <c r="AA29" s="18" t="s">
        <v>168</v>
      </c>
      <c r="AB29" s="18" t="s">
        <v>168</v>
      </c>
      <c r="AC29" s="18" t="s">
        <v>168</v>
      </c>
      <c r="AD29" s="18" t="s">
        <v>168</v>
      </c>
      <c r="AE29" s="18" t="s">
        <v>168</v>
      </c>
      <c r="AF29" s="18" t="s">
        <v>168</v>
      </c>
      <c r="AG29" s="18"/>
      <c r="AH29" s="27">
        <f>COUNTA(月11_216[[#This Row],[1]:[31]])</f>
        <v>30</v>
      </c>
    </row>
    <row r="30" spans="2:34" ht="30" customHeight="1" x14ac:dyDescent="0.25">
      <c r="B30" s="31" t="s">
        <v>96</v>
      </c>
      <c r="C30" s="18" t="s">
        <v>168</v>
      </c>
      <c r="D30" s="18" t="s">
        <v>168</v>
      </c>
      <c r="E30" s="18" t="s">
        <v>168</v>
      </c>
      <c r="F30" s="18" t="s">
        <v>168</v>
      </c>
      <c r="G30" s="18" t="s">
        <v>168</v>
      </c>
      <c r="H30" s="18" t="s">
        <v>168</v>
      </c>
      <c r="I30" s="18" t="s">
        <v>168</v>
      </c>
      <c r="J30" s="18" t="s">
        <v>168</v>
      </c>
      <c r="K30" s="18" t="s">
        <v>168</v>
      </c>
      <c r="L30" s="18" t="s">
        <v>168</v>
      </c>
      <c r="M30" s="18" t="s">
        <v>168</v>
      </c>
      <c r="N30" s="18" t="s">
        <v>168</v>
      </c>
      <c r="O30" s="18" t="s">
        <v>168</v>
      </c>
      <c r="P30" s="18" t="s">
        <v>168</v>
      </c>
      <c r="Q30" s="18" t="s">
        <v>168</v>
      </c>
      <c r="R30" s="18" t="s">
        <v>168</v>
      </c>
      <c r="S30" s="18" t="s">
        <v>168</v>
      </c>
      <c r="T30" s="18" t="s">
        <v>168</v>
      </c>
      <c r="U30" s="18" t="s">
        <v>168</v>
      </c>
      <c r="V30" s="18" t="s">
        <v>168</v>
      </c>
      <c r="W30" s="18" t="s">
        <v>168</v>
      </c>
      <c r="X30" s="18" t="s">
        <v>168</v>
      </c>
      <c r="Y30" s="18" t="s">
        <v>168</v>
      </c>
      <c r="Z30" s="18" t="s">
        <v>168</v>
      </c>
      <c r="AA30" s="18" t="s">
        <v>168</v>
      </c>
      <c r="AB30" s="18" t="s">
        <v>168</v>
      </c>
      <c r="AC30" s="18" t="s">
        <v>168</v>
      </c>
      <c r="AD30" s="18" t="s">
        <v>168</v>
      </c>
      <c r="AE30" s="18" t="s">
        <v>168</v>
      </c>
      <c r="AF30" s="18" t="s">
        <v>168</v>
      </c>
      <c r="AG30" s="18"/>
      <c r="AH30" s="27">
        <f>COUNTA(月11_216[[#This Row],[1]:[31]])</f>
        <v>30</v>
      </c>
    </row>
    <row r="31" spans="2:34" ht="30" customHeight="1" x14ac:dyDescent="0.25">
      <c r="B31" s="20" t="s">
        <v>97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7">
        <f>COUNTA('25年10月'!$C31:$AG31)</f>
        <v>0</v>
      </c>
    </row>
    <row r="32" spans="2:34" ht="30" customHeight="1" x14ac:dyDescent="0.25">
      <c r="B32" s="20" t="s">
        <v>98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27">
        <f>COUNTA('25年10月'!$C32:$AG32)</f>
        <v>0</v>
      </c>
    </row>
    <row r="33" spans="2:34" ht="30" customHeight="1" x14ac:dyDescent="0.25">
      <c r="B33" s="20" t="s">
        <v>99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27">
        <f>COUNTA('25年10月'!$C33:$AG33)</f>
        <v>0</v>
      </c>
    </row>
    <row r="34" spans="2:34" ht="30" customHeight="1" x14ac:dyDescent="0.25">
      <c r="B34" s="20" t="s">
        <v>100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7">
        <f>COUNTA('25年10月'!$C34:$AG34)</f>
        <v>0</v>
      </c>
    </row>
    <row r="35" spans="2:34" ht="30" customHeight="1" x14ac:dyDescent="0.25">
      <c r="B35" s="20" t="s">
        <v>101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7">
        <f>COUNTA('25年10月'!$C35:$AG35)</f>
        <v>0</v>
      </c>
    </row>
    <row r="36" spans="2:34" ht="30" customHeight="1" x14ac:dyDescent="0.25">
      <c r="B36" s="20" t="s">
        <v>102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7">
        <f>COUNTA('25年10月'!$C36:$AG36)</f>
        <v>0</v>
      </c>
    </row>
    <row r="37" spans="2:34" ht="30" customHeight="1" x14ac:dyDescent="0.25">
      <c r="B37" s="20" t="s">
        <v>103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27">
        <f>COUNTA('25年10月'!$C37:$AG37)</f>
        <v>0</v>
      </c>
    </row>
    <row r="38" spans="2:34" ht="30" customHeight="1" x14ac:dyDescent="0.25">
      <c r="B38" s="20" t="s">
        <v>104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7">
        <f>COUNTA('25年10月'!$C38:$AG38)</f>
        <v>0</v>
      </c>
    </row>
    <row r="39" spans="2:34" ht="30" customHeight="1" x14ac:dyDescent="0.25">
      <c r="B39" s="20" t="s">
        <v>105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7">
        <f>COUNTA('25年10月'!$C39:$AG39)</f>
        <v>0</v>
      </c>
    </row>
    <row r="40" spans="2:34" ht="30" customHeight="1" x14ac:dyDescent="0.25">
      <c r="B40" s="20" t="s">
        <v>106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27">
        <f>COUNTA('25年10月'!$C40:$AG40)</f>
        <v>0</v>
      </c>
    </row>
    <row r="41" spans="2:34" ht="30" customHeight="1" x14ac:dyDescent="0.25">
      <c r="B41" s="31" t="s">
        <v>107</v>
      </c>
      <c r="C41" s="18" t="s">
        <v>168</v>
      </c>
      <c r="D41" s="18" t="s">
        <v>168</v>
      </c>
      <c r="E41" s="18" t="s">
        <v>168</v>
      </c>
      <c r="F41" s="18" t="s">
        <v>168</v>
      </c>
      <c r="G41" s="18" t="s">
        <v>168</v>
      </c>
      <c r="H41" s="18" t="s">
        <v>168</v>
      </c>
      <c r="I41" s="18" t="s">
        <v>168</v>
      </c>
      <c r="J41" s="18" t="s">
        <v>168</v>
      </c>
      <c r="K41" s="18" t="s">
        <v>168</v>
      </c>
      <c r="L41" s="18" t="s">
        <v>168</v>
      </c>
      <c r="M41" s="18" t="s">
        <v>168</v>
      </c>
      <c r="N41" s="18" t="s">
        <v>168</v>
      </c>
      <c r="O41" s="18" t="s">
        <v>168</v>
      </c>
      <c r="P41" s="18" t="s">
        <v>168</v>
      </c>
      <c r="Q41" s="18" t="s">
        <v>168</v>
      </c>
      <c r="R41" s="18" t="s">
        <v>168</v>
      </c>
      <c r="S41" s="18" t="s">
        <v>168</v>
      </c>
      <c r="T41" s="18" t="s">
        <v>168</v>
      </c>
      <c r="U41" s="18" t="s">
        <v>168</v>
      </c>
      <c r="V41" s="18" t="s">
        <v>168</v>
      </c>
      <c r="W41" s="18" t="s">
        <v>168</v>
      </c>
      <c r="X41" s="18" t="s">
        <v>168</v>
      </c>
      <c r="Y41" s="18" t="s">
        <v>168</v>
      </c>
      <c r="Z41" s="18" t="s">
        <v>168</v>
      </c>
      <c r="AA41" s="18" t="s">
        <v>168</v>
      </c>
      <c r="AB41" s="18" t="s">
        <v>168</v>
      </c>
      <c r="AC41" s="18" t="s">
        <v>168</v>
      </c>
      <c r="AD41" s="18" t="s">
        <v>168</v>
      </c>
      <c r="AE41" s="18" t="s">
        <v>168</v>
      </c>
      <c r="AF41" s="18" t="s">
        <v>168</v>
      </c>
      <c r="AG41" s="18" t="s">
        <v>168</v>
      </c>
      <c r="AH41" s="27">
        <f>COUNTA(月11_216[[#This Row],[1]:[31]])</f>
        <v>31</v>
      </c>
    </row>
    <row r="42" spans="2:34" ht="30" customHeight="1" x14ac:dyDescent="0.25">
      <c r="B42" s="31" t="s">
        <v>158</v>
      </c>
      <c r="C42" s="18" t="s">
        <v>168</v>
      </c>
      <c r="D42" s="18" t="s">
        <v>168</v>
      </c>
      <c r="E42" s="18" t="s">
        <v>168</v>
      </c>
      <c r="F42" s="18" t="s">
        <v>168</v>
      </c>
      <c r="G42" s="18" t="s">
        <v>168</v>
      </c>
      <c r="H42" s="18" t="s">
        <v>168</v>
      </c>
      <c r="I42" s="18" t="s">
        <v>168</v>
      </c>
      <c r="J42" s="18" t="s">
        <v>168</v>
      </c>
      <c r="K42" s="18" t="s">
        <v>168</v>
      </c>
      <c r="L42" s="18" t="s">
        <v>168</v>
      </c>
      <c r="M42" s="18" t="s">
        <v>168</v>
      </c>
      <c r="N42" s="18" t="s">
        <v>168</v>
      </c>
      <c r="O42" s="18" t="s">
        <v>168</v>
      </c>
      <c r="P42" s="18" t="s">
        <v>168</v>
      </c>
      <c r="Q42" s="18" t="s">
        <v>168</v>
      </c>
      <c r="R42" s="18" t="s">
        <v>168</v>
      </c>
      <c r="S42" s="18" t="s">
        <v>168</v>
      </c>
      <c r="T42" s="18" t="s">
        <v>168</v>
      </c>
      <c r="U42" s="18" t="s">
        <v>168</v>
      </c>
      <c r="V42" s="18" t="s">
        <v>168</v>
      </c>
      <c r="W42" s="18" t="s">
        <v>168</v>
      </c>
      <c r="X42" s="18" t="s">
        <v>168</v>
      </c>
      <c r="Y42" s="18" t="s">
        <v>168</v>
      </c>
      <c r="Z42" s="18" t="s">
        <v>168</v>
      </c>
      <c r="AA42" s="18" t="s">
        <v>168</v>
      </c>
      <c r="AB42" s="18" t="s">
        <v>168</v>
      </c>
      <c r="AC42" s="18" t="s">
        <v>168</v>
      </c>
      <c r="AD42" s="18" t="s">
        <v>168</v>
      </c>
      <c r="AE42" s="18" t="s">
        <v>168</v>
      </c>
      <c r="AF42" s="18" t="s">
        <v>168</v>
      </c>
      <c r="AG42" s="18" t="s">
        <v>168</v>
      </c>
      <c r="AH42" s="27">
        <f>COUNTA(月11_216[[#This Row],[1]:[31]])</f>
        <v>31</v>
      </c>
    </row>
    <row r="43" spans="2:34" ht="30" customHeight="1" x14ac:dyDescent="0.25">
      <c r="B43" s="31" t="s">
        <v>109</v>
      </c>
      <c r="C43" s="18" t="s">
        <v>168</v>
      </c>
      <c r="D43" s="18" t="s">
        <v>168</v>
      </c>
      <c r="E43" s="18" t="s">
        <v>168</v>
      </c>
      <c r="F43" s="18" t="s">
        <v>168</v>
      </c>
      <c r="G43" s="18" t="s">
        <v>168</v>
      </c>
      <c r="H43" s="18" t="s">
        <v>168</v>
      </c>
      <c r="I43" s="18" t="s">
        <v>168</v>
      </c>
      <c r="J43" s="18" t="s">
        <v>168</v>
      </c>
      <c r="K43" s="18" t="s">
        <v>168</v>
      </c>
      <c r="L43" s="18" t="s">
        <v>168</v>
      </c>
      <c r="M43" s="18" t="s">
        <v>168</v>
      </c>
      <c r="N43" s="18" t="s">
        <v>168</v>
      </c>
      <c r="O43" s="18" t="s">
        <v>168</v>
      </c>
      <c r="P43" s="18" t="s">
        <v>168</v>
      </c>
      <c r="Q43" s="18" t="s">
        <v>168</v>
      </c>
      <c r="R43" s="18" t="s">
        <v>168</v>
      </c>
      <c r="S43" s="18" t="s">
        <v>168</v>
      </c>
      <c r="T43" s="18" t="s">
        <v>168</v>
      </c>
      <c r="U43" s="18" t="s">
        <v>168</v>
      </c>
      <c r="V43" s="18" t="s">
        <v>168</v>
      </c>
      <c r="W43" s="18" t="s">
        <v>168</v>
      </c>
      <c r="X43" s="18" t="s">
        <v>168</v>
      </c>
      <c r="Y43" s="18" t="s">
        <v>168</v>
      </c>
      <c r="Z43" s="18" t="s">
        <v>168</v>
      </c>
      <c r="AA43" s="18" t="s">
        <v>168</v>
      </c>
      <c r="AB43" s="18" t="s">
        <v>168</v>
      </c>
      <c r="AC43" s="18" t="s">
        <v>168</v>
      </c>
      <c r="AD43" s="18" t="s">
        <v>168</v>
      </c>
      <c r="AE43" s="18" t="s">
        <v>168</v>
      </c>
      <c r="AF43" s="18" t="s">
        <v>168</v>
      </c>
      <c r="AG43" s="18" t="s">
        <v>168</v>
      </c>
      <c r="AH43" s="27">
        <f>COUNTA(月11_216[[#This Row],[1]:[31]])</f>
        <v>31</v>
      </c>
    </row>
    <row r="44" spans="2:34" ht="30" customHeight="1" x14ac:dyDescent="0.25">
      <c r="B44" s="31" t="s">
        <v>110</v>
      </c>
      <c r="C44" s="18" t="s">
        <v>168</v>
      </c>
      <c r="D44" s="18" t="s">
        <v>168</v>
      </c>
      <c r="E44" s="18" t="s">
        <v>168</v>
      </c>
      <c r="F44" s="18" t="s">
        <v>168</v>
      </c>
      <c r="G44" s="18" t="s">
        <v>168</v>
      </c>
      <c r="H44" s="18" t="s">
        <v>168</v>
      </c>
      <c r="I44" s="18" t="s">
        <v>168</v>
      </c>
      <c r="J44" s="18" t="s">
        <v>168</v>
      </c>
      <c r="K44" s="18" t="s">
        <v>168</v>
      </c>
      <c r="L44" s="18" t="s">
        <v>168</v>
      </c>
      <c r="M44" s="18" t="s">
        <v>168</v>
      </c>
      <c r="N44" s="18" t="s">
        <v>168</v>
      </c>
      <c r="O44" s="18" t="s">
        <v>168</v>
      </c>
      <c r="P44" s="18" t="s">
        <v>168</v>
      </c>
      <c r="Q44" s="18" t="s">
        <v>168</v>
      </c>
      <c r="R44" s="18" t="s">
        <v>168</v>
      </c>
      <c r="S44" s="18" t="s">
        <v>168</v>
      </c>
      <c r="T44" s="18" t="s">
        <v>168</v>
      </c>
      <c r="U44" s="18" t="s">
        <v>168</v>
      </c>
      <c r="V44" s="18" t="s">
        <v>168</v>
      </c>
      <c r="W44" s="18" t="s">
        <v>168</v>
      </c>
      <c r="X44" s="18" t="s">
        <v>168</v>
      </c>
      <c r="Y44" s="18" t="s">
        <v>168</v>
      </c>
      <c r="Z44" s="18" t="s">
        <v>168</v>
      </c>
      <c r="AA44" s="18" t="s">
        <v>168</v>
      </c>
      <c r="AB44" s="18" t="s">
        <v>168</v>
      </c>
      <c r="AC44" s="18" t="s">
        <v>168</v>
      </c>
      <c r="AD44" s="18" t="s">
        <v>168</v>
      </c>
      <c r="AE44" s="18" t="s">
        <v>168</v>
      </c>
      <c r="AF44" s="18" t="s">
        <v>168</v>
      </c>
      <c r="AG44" s="18" t="s">
        <v>168</v>
      </c>
      <c r="AH44" s="27">
        <f>COUNTA(月11_216[[#This Row],[1]:[31]])</f>
        <v>31</v>
      </c>
    </row>
    <row r="45" spans="2:34" ht="30" customHeight="1" x14ac:dyDescent="0.25">
      <c r="B45" s="31" t="s">
        <v>111</v>
      </c>
      <c r="C45" s="18" t="s">
        <v>168</v>
      </c>
      <c r="D45" s="18" t="s">
        <v>168</v>
      </c>
      <c r="E45" s="18" t="s">
        <v>168</v>
      </c>
      <c r="F45" s="18" t="s">
        <v>168</v>
      </c>
      <c r="G45" s="18" t="s">
        <v>168</v>
      </c>
      <c r="H45" s="18" t="s">
        <v>168</v>
      </c>
      <c r="I45" s="18" t="s">
        <v>168</v>
      </c>
      <c r="J45" s="18" t="s">
        <v>168</v>
      </c>
      <c r="K45" s="18" t="s">
        <v>168</v>
      </c>
      <c r="L45" s="18" t="s">
        <v>168</v>
      </c>
      <c r="M45" s="18" t="s">
        <v>168</v>
      </c>
      <c r="N45" s="18" t="s">
        <v>168</v>
      </c>
      <c r="O45" s="18" t="s">
        <v>168</v>
      </c>
      <c r="P45" s="18" t="s">
        <v>168</v>
      </c>
      <c r="Q45" s="18" t="s">
        <v>168</v>
      </c>
      <c r="R45" s="18" t="s">
        <v>168</v>
      </c>
      <c r="S45" s="18" t="s">
        <v>168</v>
      </c>
      <c r="T45" s="18" t="s">
        <v>168</v>
      </c>
      <c r="U45" s="18" t="s">
        <v>168</v>
      </c>
      <c r="V45" s="18" t="s">
        <v>168</v>
      </c>
      <c r="W45" s="18" t="s">
        <v>168</v>
      </c>
      <c r="X45" s="18" t="s">
        <v>168</v>
      </c>
      <c r="Y45" s="18" t="s">
        <v>168</v>
      </c>
      <c r="Z45" s="18" t="s">
        <v>168</v>
      </c>
      <c r="AA45" s="18" t="s">
        <v>168</v>
      </c>
      <c r="AB45" s="18" t="s">
        <v>168</v>
      </c>
      <c r="AC45" s="18" t="s">
        <v>168</v>
      </c>
      <c r="AD45" s="18" t="s">
        <v>168</v>
      </c>
      <c r="AE45" s="18" t="s">
        <v>168</v>
      </c>
      <c r="AF45" s="18" t="s">
        <v>168</v>
      </c>
      <c r="AG45" s="18" t="s">
        <v>168</v>
      </c>
      <c r="AH45" s="27">
        <f>COUNTA(月11_216[[#This Row],[1]:[31]])</f>
        <v>31</v>
      </c>
    </row>
    <row r="46" spans="2:34" ht="30" customHeight="1" x14ac:dyDescent="0.25">
      <c r="B46" s="31" t="s">
        <v>112</v>
      </c>
      <c r="C46" s="18" t="s">
        <v>168</v>
      </c>
      <c r="D46" s="18" t="s">
        <v>168</v>
      </c>
      <c r="E46" s="18" t="s">
        <v>168</v>
      </c>
      <c r="F46" s="18" t="s">
        <v>168</v>
      </c>
      <c r="G46" s="18" t="s">
        <v>168</v>
      </c>
      <c r="H46" s="18" t="s">
        <v>168</v>
      </c>
      <c r="I46" s="18" t="s">
        <v>168</v>
      </c>
      <c r="J46" s="18" t="s">
        <v>168</v>
      </c>
      <c r="K46" s="18" t="s">
        <v>168</v>
      </c>
      <c r="L46" s="18" t="s">
        <v>168</v>
      </c>
      <c r="M46" s="18" t="s">
        <v>168</v>
      </c>
      <c r="N46" s="18" t="s">
        <v>168</v>
      </c>
      <c r="O46" s="18" t="s">
        <v>168</v>
      </c>
      <c r="P46" s="18" t="s">
        <v>168</v>
      </c>
      <c r="Q46" s="18" t="s">
        <v>168</v>
      </c>
      <c r="R46" s="18" t="s">
        <v>168</v>
      </c>
      <c r="S46" s="18" t="s">
        <v>168</v>
      </c>
      <c r="T46" s="18" t="s">
        <v>168</v>
      </c>
      <c r="U46" s="18" t="s">
        <v>168</v>
      </c>
      <c r="V46" s="18" t="s">
        <v>168</v>
      </c>
      <c r="W46" s="18" t="s">
        <v>168</v>
      </c>
      <c r="X46" s="18" t="s">
        <v>168</v>
      </c>
      <c r="Y46" s="18" t="s">
        <v>168</v>
      </c>
      <c r="Z46" s="18" t="s">
        <v>168</v>
      </c>
      <c r="AA46" s="18" t="s">
        <v>168</v>
      </c>
      <c r="AB46" s="18" t="s">
        <v>168</v>
      </c>
      <c r="AC46" s="18" t="s">
        <v>168</v>
      </c>
      <c r="AD46" s="18" t="s">
        <v>168</v>
      </c>
      <c r="AE46" s="18" t="s">
        <v>168</v>
      </c>
      <c r="AF46" s="18" t="s">
        <v>168</v>
      </c>
      <c r="AG46" s="18" t="s">
        <v>168</v>
      </c>
      <c r="AH46" s="27">
        <f>COUNTA(月11_216[[#This Row],[1]:[31]])</f>
        <v>31</v>
      </c>
    </row>
    <row r="47" spans="2:34" ht="30" customHeight="1" x14ac:dyDescent="0.25">
      <c r="B47" s="31" t="s">
        <v>113</v>
      </c>
      <c r="C47" s="18" t="s">
        <v>168</v>
      </c>
      <c r="D47" s="18" t="s">
        <v>168</v>
      </c>
      <c r="E47" s="18" t="s">
        <v>168</v>
      </c>
      <c r="F47" s="18" t="s">
        <v>168</v>
      </c>
      <c r="G47" s="18" t="s">
        <v>168</v>
      </c>
      <c r="H47" s="18" t="s">
        <v>168</v>
      </c>
      <c r="I47" s="18" t="s">
        <v>168</v>
      </c>
      <c r="J47" s="18" t="s">
        <v>168</v>
      </c>
      <c r="K47" s="18" t="s">
        <v>168</v>
      </c>
      <c r="L47" s="18" t="s">
        <v>168</v>
      </c>
      <c r="M47" s="18" t="s">
        <v>168</v>
      </c>
      <c r="N47" s="18" t="s">
        <v>168</v>
      </c>
      <c r="O47" s="18" t="s">
        <v>168</v>
      </c>
      <c r="P47" s="18" t="s">
        <v>168</v>
      </c>
      <c r="Q47" s="18" t="s">
        <v>168</v>
      </c>
      <c r="R47" s="18" t="s">
        <v>168</v>
      </c>
      <c r="S47" s="18" t="s">
        <v>168</v>
      </c>
      <c r="T47" s="18" t="s">
        <v>168</v>
      </c>
      <c r="U47" s="18" t="s">
        <v>168</v>
      </c>
      <c r="V47" s="18" t="s">
        <v>168</v>
      </c>
      <c r="W47" s="18" t="s">
        <v>168</v>
      </c>
      <c r="X47" s="18" t="s">
        <v>168</v>
      </c>
      <c r="Y47" s="18" t="s">
        <v>168</v>
      </c>
      <c r="Z47" s="18" t="s">
        <v>168</v>
      </c>
      <c r="AA47" s="18" t="s">
        <v>168</v>
      </c>
      <c r="AB47" s="18" t="s">
        <v>168</v>
      </c>
      <c r="AC47" s="18" t="s">
        <v>168</v>
      </c>
      <c r="AD47" s="18" t="s">
        <v>168</v>
      </c>
      <c r="AE47" s="18" t="s">
        <v>168</v>
      </c>
      <c r="AF47" s="18" t="s">
        <v>168</v>
      </c>
      <c r="AG47" s="18" t="s">
        <v>168</v>
      </c>
      <c r="AH47" s="27">
        <f>COUNTA(月11_216[[#This Row],[1]:[31]])</f>
        <v>31</v>
      </c>
    </row>
    <row r="48" spans="2:34" ht="30" customHeight="1" x14ac:dyDescent="0.25">
      <c r="B48" s="31" t="s">
        <v>114</v>
      </c>
      <c r="C48" s="18" t="s">
        <v>168</v>
      </c>
      <c r="D48" s="18" t="s">
        <v>168</v>
      </c>
      <c r="E48" s="18" t="s">
        <v>168</v>
      </c>
      <c r="F48" s="18" t="s">
        <v>168</v>
      </c>
      <c r="G48" s="18" t="s">
        <v>168</v>
      </c>
      <c r="H48" s="18" t="s">
        <v>168</v>
      </c>
      <c r="I48" s="18" t="s">
        <v>168</v>
      </c>
      <c r="J48" s="18" t="s">
        <v>168</v>
      </c>
      <c r="K48" s="18" t="s">
        <v>168</v>
      </c>
      <c r="L48" s="18" t="s">
        <v>168</v>
      </c>
      <c r="M48" s="18" t="s">
        <v>168</v>
      </c>
      <c r="N48" s="18" t="s">
        <v>168</v>
      </c>
      <c r="O48" s="18" t="s">
        <v>168</v>
      </c>
      <c r="P48" s="18" t="s">
        <v>168</v>
      </c>
      <c r="Q48" s="18" t="s">
        <v>168</v>
      </c>
      <c r="R48" s="18" t="s">
        <v>168</v>
      </c>
      <c r="S48" s="18" t="s">
        <v>168</v>
      </c>
      <c r="T48" s="18" t="s">
        <v>168</v>
      </c>
      <c r="U48" s="18" t="s">
        <v>168</v>
      </c>
      <c r="V48" s="18" t="s">
        <v>168</v>
      </c>
      <c r="W48" s="18" t="s">
        <v>168</v>
      </c>
      <c r="X48" s="18" t="s">
        <v>168</v>
      </c>
      <c r="Y48" s="18" t="s">
        <v>168</v>
      </c>
      <c r="Z48" s="18" t="s">
        <v>168</v>
      </c>
      <c r="AA48" s="18" t="s">
        <v>168</v>
      </c>
      <c r="AB48" s="18" t="s">
        <v>168</v>
      </c>
      <c r="AC48" s="18" t="s">
        <v>168</v>
      </c>
      <c r="AD48" s="18" t="s">
        <v>168</v>
      </c>
      <c r="AE48" s="18" t="s">
        <v>168</v>
      </c>
      <c r="AF48" s="18" t="s">
        <v>168</v>
      </c>
      <c r="AG48" s="18" t="s">
        <v>168</v>
      </c>
      <c r="AH48" s="27">
        <f>COUNTA(月11_216[[#This Row],[1]:[31]])</f>
        <v>31</v>
      </c>
    </row>
    <row r="49" spans="2:34" ht="30" customHeight="1" x14ac:dyDescent="0.25">
      <c r="B49" s="31" t="s">
        <v>115</v>
      </c>
      <c r="C49" s="18" t="s">
        <v>168</v>
      </c>
      <c r="D49" s="18" t="s">
        <v>168</v>
      </c>
      <c r="E49" s="18" t="s">
        <v>168</v>
      </c>
      <c r="F49" s="18" t="s">
        <v>168</v>
      </c>
      <c r="G49" s="18" t="s">
        <v>168</v>
      </c>
      <c r="H49" s="18" t="s">
        <v>168</v>
      </c>
      <c r="I49" s="18" t="s">
        <v>168</v>
      </c>
      <c r="J49" s="18" t="s">
        <v>168</v>
      </c>
      <c r="K49" s="18" t="s">
        <v>168</v>
      </c>
      <c r="L49" s="18" t="s">
        <v>168</v>
      </c>
      <c r="M49" s="18" t="s">
        <v>168</v>
      </c>
      <c r="N49" s="18" t="s">
        <v>168</v>
      </c>
      <c r="O49" s="18" t="s">
        <v>168</v>
      </c>
      <c r="P49" s="18" t="s">
        <v>168</v>
      </c>
      <c r="Q49" s="18" t="s">
        <v>168</v>
      </c>
      <c r="R49" s="18" t="s">
        <v>168</v>
      </c>
      <c r="S49" s="18" t="s">
        <v>168</v>
      </c>
      <c r="T49" s="18" t="s">
        <v>168</v>
      </c>
      <c r="U49" s="18" t="s">
        <v>168</v>
      </c>
      <c r="V49" s="18" t="s">
        <v>168</v>
      </c>
      <c r="W49" s="18" t="s">
        <v>168</v>
      </c>
      <c r="X49" s="18" t="s">
        <v>168</v>
      </c>
      <c r="Y49" s="18" t="s">
        <v>168</v>
      </c>
      <c r="Z49" s="18" t="s">
        <v>168</v>
      </c>
      <c r="AA49" s="18" t="s">
        <v>168</v>
      </c>
      <c r="AB49" s="18" t="s">
        <v>168</v>
      </c>
      <c r="AC49" s="18" t="s">
        <v>168</v>
      </c>
      <c r="AD49" s="18" t="s">
        <v>168</v>
      </c>
      <c r="AE49" s="18" t="s">
        <v>168</v>
      </c>
      <c r="AF49" s="18" t="s">
        <v>168</v>
      </c>
      <c r="AG49" s="18" t="s">
        <v>168</v>
      </c>
      <c r="AH49" s="27">
        <f>COUNTA(月11_216[[#This Row],[1]:[31]])</f>
        <v>31</v>
      </c>
    </row>
    <row r="50" spans="2:34" ht="30" customHeight="1" x14ac:dyDescent="0.25">
      <c r="B50" s="31" t="s">
        <v>116</v>
      </c>
      <c r="C50" s="18" t="s">
        <v>168</v>
      </c>
      <c r="D50" s="18" t="s">
        <v>168</v>
      </c>
      <c r="E50" s="18" t="s">
        <v>168</v>
      </c>
      <c r="F50" s="18" t="s">
        <v>168</v>
      </c>
      <c r="G50" s="18" t="s">
        <v>168</v>
      </c>
      <c r="H50" s="18" t="s">
        <v>168</v>
      </c>
      <c r="I50" s="18" t="s">
        <v>168</v>
      </c>
      <c r="J50" s="18" t="s">
        <v>168</v>
      </c>
      <c r="K50" s="18" t="s">
        <v>168</v>
      </c>
      <c r="L50" s="18" t="s">
        <v>168</v>
      </c>
      <c r="M50" s="18" t="s">
        <v>168</v>
      </c>
      <c r="N50" s="18" t="s">
        <v>168</v>
      </c>
      <c r="O50" s="18" t="s">
        <v>168</v>
      </c>
      <c r="P50" s="18" t="s">
        <v>168</v>
      </c>
      <c r="Q50" s="18" t="s">
        <v>168</v>
      </c>
      <c r="R50" s="18" t="s">
        <v>168</v>
      </c>
      <c r="S50" s="18" t="s">
        <v>168</v>
      </c>
      <c r="T50" s="18" t="s">
        <v>168</v>
      </c>
      <c r="U50" s="18" t="s">
        <v>168</v>
      </c>
      <c r="V50" s="18" t="s">
        <v>168</v>
      </c>
      <c r="W50" s="18" t="s">
        <v>168</v>
      </c>
      <c r="X50" s="18" t="s">
        <v>168</v>
      </c>
      <c r="Y50" s="18" t="s">
        <v>168</v>
      </c>
      <c r="Z50" s="18" t="s">
        <v>168</v>
      </c>
      <c r="AA50" s="18" t="s">
        <v>168</v>
      </c>
      <c r="AB50" s="18" t="s">
        <v>168</v>
      </c>
      <c r="AC50" s="18" t="s">
        <v>168</v>
      </c>
      <c r="AD50" s="18" t="s">
        <v>168</v>
      </c>
      <c r="AE50" s="18" t="s">
        <v>168</v>
      </c>
      <c r="AF50" s="18" t="s">
        <v>168</v>
      </c>
      <c r="AG50" s="18" t="s">
        <v>168</v>
      </c>
      <c r="AH50" s="27">
        <f>COUNTA(月11_216[[#This Row],[1]:[31]])</f>
        <v>31</v>
      </c>
    </row>
    <row r="51" spans="2:34" ht="30" customHeight="1" x14ac:dyDescent="0.25">
      <c r="B51" s="31" t="s">
        <v>117</v>
      </c>
      <c r="C51" s="18" t="s">
        <v>168</v>
      </c>
      <c r="D51" s="18" t="s">
        <v>168</v>
      </c>
      <c r="E51" s="18" t="s">
        <v>168</v>
      </c>
      <c r="F51" s="18" t="s">
        <v>168</v>
      </c>
      <c r="G51" s="18" t="s">
        <v>168</v>
      </c>
      <c r="H51" s="18" t="s">
        <v>168</v>
      </c>
      <c r="I51" s="18" t="s">
        <v>168</v>
      </c>
      <c r="J51" s="18" t="s">
        <v>168</v>
      </c>
      <c r="K51" s="18" t="s">
        <v>168</v>
      </c>
      <c r="L51" s="18" t="s">
        <v>168</v>
      </c>
      <c r="M51" s="18" t="s">
        <v>168</v>
      </c>
      <c r="N51" s="18" t="s">
        <v>168</v>
      </c>
      <c r="O51" s="18" t="s">
        <v>168</v>
      </c>
      <c r="P51" s="18" t="s">
        <v>168</v>
      </c>
      <c r="Q51" s="18" t="s">
        <v>168</v>
      </c>
      <c r="R51" s="18" t="s">
        <v>168</v>
      </c>
      <c r="S51" s="18" t="s">
        <v>168</v>
      </c>
      <c r="T51" s="18" t="s">
        <v>168</v>
      </c>
      <c r="U51" s="18" t="s">
        <v>168</v>
      </c>
      <c r="V51" s="18" t="s">
        <v>168</v>
      </c>
      <c r="W51" s="18" t="s">
        <v>168</v>
      </c>
      <c r="X51" s="18" t="s">
        <v>168</v>
      </c>
      <c r="Y51" s="18" t="s">
        <v>168</v>
      </c>
      <c r="Z51" s="18" t="s">
        <v>168</v>
      </c>
      <c r="AA51" s="18" t="s">
        <v>168</v>
      </c>
      <c r="AB51" s="18" t="s">
        <v>168</v>
      </c>
      <c r="AC51" s="18" t="s">
        <v>168</v>
      </c>
      <c r="AD51" s="18" t="s">
        <v>168</v>
      </c>
      <c r="AE51" s="18" t="s">
        <v>168</v>
      </c>
      <c r="AF51" s="18" t="s">
        <v>168</v>
      </c>
      <c r="AG51" s="18" t="s">
        <v>168</v>
      </c>
      <c r="AH51" s="27">
        <f>COUNTA(月11_216[[#This Row],[1]:[31]])</f>
        <v>31</v>
      </c>
    </row>
    <row r="52" spans="2:34" ht="30" customHeight="1" x14ac:dyDescent="0.25">
      <c r="B52" s="31" t="s">
        <v>118</v>
      </c>
      <c r="C52" s="18" t="s">
        <v>168</v>
      </c>
      <c r="D52" s="18" t="s">
        <v>168</v>
      </c>
      <c r="E52" s="18" t="s">
        <v>168</v>
      </c>
      <c r="F52" s="18" t="s">
        <v>168</v>
      </c>
      <c r="G52" s="18" t="s">
        <v>168</v>
      </c>
      <c r="H52" s="18" t="s">
        <v>168</v>
      </c>
      <c r="I52" s="18" t="s">
        <v>168</v>
      </c>
      <c r="J52" s="18" t="s">
        <v>168</v>
      </c>
      <c r="K52" s="18" t="s">
        <v>168</v>
      </c>
      <c r="L52" s="18" t="s">
        <v>168</v>
      </c>
      <c r="M52" s="18" t="s">
        <v>168</v>
      </c>
      <c r="N52" s="18" t="s">
        <v>168</v>
      </c>
      <c r="O52" s="18" t="s">
        <v>168</v>
      </c>
      <c r="P52" s="18" t="s">
        <v>168</v>
      </c>
      <c r="Q52" s="18" t="s">
        <v>168</v>
      </c>
      <c r="R52" s="18" t="s">
        <v>168</v>
      </c>
      <c r="S52" s="18" t="s">
        <v>168</v>
      </c>
      <c r="T52" s="18" t="s">
        <v>168</v>
      </c>
      <c r="U52" s="18" t="s">
        <v>168</v>
      </c>
      <c r="V52" s="18" t="s">
        <v>168</v>
      </c>
      <c r="W52" s="18" t="s">
        <v>168</v>
      </c>
      <c r="X52" s="18" t="s">
        <v>168</v>
      </c>
      <c r="Y52" s="18" t="s">
        <v>168</v>
      </c>
      <c r="Z52" s="18" t="s">
        <v>168</v>
      </c>
      <c r="AA52" s="18" t="s">
        <v>168</v>
      </c>
      <c r="AB52" s="18" t="s">
        <v>168</v>
      </c>
      <c r="AC52" s="18" t="s">
        <v>168</v>
      </c>
      <c r="AD52" s="18" t="s">
        <v>168</v>
      </c>
      <c r="AE52" s="18" t="s">
        <v>168</v>
      </c>
      <c r="AF52" s="18" t="s">
        <v>168</v>
      </c>
      <c r="AG52" s="18" t="s">
        <v>168</v>
      </c>
      <c r="AH52" s="27">
        <f>COUNTA(月11_216[[#This Row],[1]:[31]])</f>
        <v>31</v>
      </c>
    </row>
    <row r="53" spans="2:34" ht="30" customHeight="1" x14ac:dyDescent="0.25">
      <c r="B53" s="31" t="s">
        <v>144</v>
      </c>
      <c r="C53" s="18" t="s">
        <v>168</v>
      </c>
      <c r="D53" s="18" t="s">
        <v>168</v>
      </c>
      <c r="E53" s="18" t="s">
        <v>168</v>
      </c>
      <c r="F53" s="18" t="s">
        <v>168</v>
      </c>
      <c r="G53" s="18" t="s">
        <v>168</v>
      </c>
      <c r="H53" s="18" t="s">
        <v>168</v>
      </c>
      <c r="I53" s="18" t="s">
        <v>168</v>
      </c>
      <c r="J53" s="18" t="s">
        <v>168</v>
      </c>
      <c r="K53" s="18" t="s">
        <v>168</v>
      </c>
      <c r="L53" s="18" t="s">
        <v>168</v>
      </c>
      <c r="M53" s="18" t="s">
        <v>168</v>
      </c>
      <c r="N53" s="18" t="s">
        <v>168</v>
      </c>
      <c r="O53" s="18" t="s">
        <v>168</v>
      </c>
      <c r="P53" s="18" t="s">
        <v>168</v>
      </c>
      <c r="Q53" s="18" t="s">
        <v>168</v>
      </c>
      <c r="R53" s="18" t="s">
        <v>168</v>
      </c>
      <c r="S53" s="18" t="s">
        <v>168</v>
      </c>
      <c r="T53" s="18" t="s">
        <v>168</v>
      </c>
      <c r="U53" s="18" t="s">
        <v>168</v>
      </c>
      <c r="V53" s="18" t="s">
        <v>168</v>
      </c>
      <c r="W53" s="18" t="s">
        <v>168</v>
      </c>
      <c r="X53" s="18" t="s">
        <v>168</v>
      </c>
      <c r="Y53" s="18" t="s">
        <v>168</v>
      </c>
      <c r="Z53" s="18" t="s">
        <v>168</v>
      </c>
      <c r="AA53" s="18" t="s">
        <v>168</v>
      </c>
      <c r="AB53" s="18" t="s">
        <v>168</v>
      </c>
      <c r="AC53" s="18" t="s">
        <v>168</v>
      </c>
      <c r="AD53" s="18" t="s">
        <v>168</v>
      </c>
      <c r="AE53" s="18" t="s">
        <v>168</v>
      </c>
      <c r="AF53" s="18" t="s">
        <v>168</v>
      </c>
      <c r="AG53" s="18" t="s">
        <v>168</v>
      </c>
      <c r="AH53" s="27">
        <f>COUNTA(月11_216[[#This Row],[1]:[31]])</f>
        <v>31</v>
      </c>
    </row>
    <row r="54" spans="2:34" ht="30" customHeight="1" x14ac:dyDescent="0.25">
      <c r="B54" s="31" t="s">
        <v>145</v>
      </c>
      <c r="C54" s="18" t="s">
        <v>168</v>
      </c>
      <c r="D54" s="18" t="s">
        <v>168</v>
      </c>
      <c r="E54" s="18" t="s">
        <v>168</v>
      </c>
      <c r="F54" s="18" t="s">
        <v>168</v>
      </c>
      <c r="G54" s="18" t="s">
        <v>168</v>
      </c>
      <c r="H54" s="18" t="s">
        <v>168</v>
      </c>
      <c r="I54" s="18" t="s">
        <v>168</v>
      </c>
      <c r="J54" s="18" t="s">
        <v>168</v>
      </c>
      <c r="K54" s="18" t="s">
        <v>168</v>
      </c>
      <c r="L54" s="18" t="s">
        <v>168</v>
      </c>
      <c r="M54" s="18" t="s">
        <v>168</v>
      </c>
      <c r="N54" s="18" t="s">
        <v>168</v>
      </c>
      <c r="O54" s="18" t="s">
        <v>168</v>
      </c>
      <c r="P54" s="18" t="s">
        <v>168</v>
      </c>
      <c r="Q54" s="18" t="s">
        <v>168</v>
      </c>
      <c r="R54" s="18" t="s">
        <v>168</v>
      </c>
      <c r="S54" s="18" t="s">
        <v>168</v>
      </c>
      <c r="T54" s="18" t="s">
        <v>168</v>
      </c>
      <c r="U54" s="18" t="s">
        <v>168</v>
      </c>
      <c r="V54" s="18" t="s">
        <v>168</v>
      </c>
      <c r="W54" s="18" t="s">
        <v>168</v>
      </c>
      <c r="X54" s="18" t="s">
        <v>168</v>
      </c>
      <c r="Y54" s="18" t="s">
        <v>168</v>
      </c>
      <c r="Z54" s="18" t="s">
        <v>168</v>
      </c>
      <c r="AA54" s="18" t="s">
        <v>168</v>
      </c>
      <c r="AB54" s="18" t="s">
        <v>168</v>
      </c>
      <c r="AC54" s="18" t="s">
        <v>168</v>
      </c>
      <c r="AD54" s="18" t="s">
        <v>168</v>
      </c>
      <c r="AE54" s="18" t="s">
        <v>168</v>
      </c>
      <c r="AF54" s="18" t="s">
        <v>168</v>
      </c>
      <c r="AG54" s="18" t="s">
        <v>168</v>
      </c>
      <c r="AH54" s="27">
        <f>COUNTA(月11_216[[#This Row],[1]:[31]])</f>
        <v>31</v>
      </c>
    </row>
    <row r="55" spans="2:34" ht="30" customHeight="1" x14ac:dyDescent="0.25">
      <c r="B55" s="32" t="s">
        <v>146</v>
      </c>
      <c r="C55" s="18" t="s">
        <v>168</v>
      </c>
      <c r="D55" s="18" t="s">
        <v>168</v>
      </c>
      <c r="E55" s="18" t="s">
        <v>168</v>
      </c>
      <c r="F55" s="18" t="s">
        <v>168</v>
      </c>
      <c r="G55" s="18" t="s">
        <v>168</v>
      </c>
      <c r="H55" s="18" t="s">
        <v>168</v>
      </c>
      <c r="I55" s="18" t="s">
        <v>168</v>
      </c>
      <c r="J55" s="18" t="s">
        <v>168</v>
      </c>
      <c r="K55" s="18" t="s">
        <v>168</v>
      </c>
      <c r="L55" s="18" t="s">
        <v>168</v>
      </c>
      <c r="M55" s="18" t="s">
        <v>168</v>
      </c>
      <c r="N55" s="18" t="s">
        <v>168</v>
      </c>
      <c r="O55" s="18" t="s">
        <v>168</v>
      </c>
      <c r="P55" s="18" t="s">
        <v>168</v>
      </c>
      <c r="Q55" s="18" t="s">
        <v>168</v>
      </c>
      <c r="R55" s="18" t="s">
        <v>168</v>
      </c>
      <c r="S55" s="18" t="s">
        <v>168</v>
      </c>
      <c r="T55" s="18" t="s">
        <v>168</v>
      </c>
      <c r="U55" s="18" t="s">
        <v>168</v>
      </c>
      <c r="V55" s="18" t="s">
        <v>168</v>
      </c>
      <c r="W55" s="18" t="s">
        <v>168</v>
      </c>
      <c r="X55" s="18" t="s">
        <v>168</v>
      </c>
      <c r="Y55" s="18" t="s">
        <v>168</v>
      </c>
      <c r="Z55" s="18" t="s">
        <v>168</v>
      </c>
      <c r="AA55" s="18" t="s">
        <v>168</v>
      </c>
      <c r="AB55" s="18" t="s">
        <v>168</v>
      </c>
      <c r="AC55" s="18" t="s">
        <v>168</v>
      </c>
      <c r="AD55" s="18" t="s">
        <v>168</v>
      </c>
      <c r="AE55" s="18" t="s">
        <v>168</v>
      </c>
      <c r="AF55" s="18" t="s">
        <v>168</v>
      </c>
      <c r="AG55" s="18" t="s">
        <v>168</v>
      </c>
      <c r="AH55" s="27">
        <f>COUNTA(月11_216[[#This Row],[1]:[31]])</f>
        <v>31</v>
      </c>
    </row>
    <row r="56" spans="2:34" ht="30" customHeight="1" x14ac:dyDescent="0.25">
      <c r="B56" s="32" t="s">
        <v>147</v>
      </c>
      <c r="C56" s="18" t="s">
        <v>168</v>
      </c>
      <c r="D56" s="18" t="s">
        <v>168</v>
      </c>
      <c r="E56" s="18" t="s">
        <v>168</v>
      </c>
      <c r="F56" s="18" t="s">
        <v>168</v>
      </c>
      <c r="G56" s="18" t="s">
        <v>168</v>
      </c>
      <c r="H56" s="18" t="s">
        <v>168</v>
      </c>
      <c r="I56" s="18" t="s">
        <v>168</v>
      </c>
      <c r="J56" s="18" t="s">
        <v>168</v>
      </c>
      <c r="K56" s="18" t="s">
        <v>168</v>
      </c>
      <c r="L56" s="18" t="s">
        <v>168</v>
      </c>
      <c r="M56" s="18" t="s">
        <v>168</v>
      </c>
      <c r="N56" s="18" t="s">
        <v>168</v>
      </c>
      <c r="O56" s="18" t="s">
        <v>168</v>
      </c>
      <c r="P56" s="18" t="s">
        <v>168</v>
      </c>
      <c r="Q56" s="18" t="s">
        <v>168</v>
      </c>
      <c r="R56" s="18" t="s">
        <v>168</v>
      </c>
      <c r="S56" s="18" t="s">
        <v>168</v>
      </c>
      <c r="T56" s="18" t="s">
        <v>168</v>
      </c>
      <c r="U56" s="18" t="s">
        <v>168</v>
      </c>
      <c r="V56" s="18" t="s">
        <v>168</v>
      </c>
      <c r="W56" s="18" t="s">
        <v>168</v>
      </c>
      <c r="X56" s="18" t="s">
        <v>168</v>
      </c>
      <c r="Y56" s="18" t="s">
        <v>168</v>
      </c>
      <c r="Z56" s="18" t="s">
        <v>168</v>
      </c>
      <c r="AA56" s="18" t="s">
        <v>168</v>
      </c>
      <c r="AB56" s="18" t="s">
        <v>168</v>
      </c>
      <c r="AC56" s="18" t="s">
        <v>168</v>
      </c>
      <c r="AD56" s="18" t="s">
        <v>168</v>
      </c>
      <c r="AE56" s="18" t="s">
        <v>168</v>
      </c>
      <c r="AF56" s="18" t="s">
        <v>168</v>
      </c>
      <c r="AG56" s="18" t="s">
        <v>168</v>
      </c>
      <c r="AH56" s="27">
        <f>COUNTA(月11_216[[#This Row],[1]:[31]])</f>
        <v>31</v>
      </c>
    </row>
    <row r="57" spans="2:34" ht="30" customHeight="1" x14ac:dyDescent="0.25">
      <c r="B57" s="32" t="s">
        <v>148</v>
      </c>
      <c r="C57" s="18" t="s">
        <v>168</v>
      </c>
      <c r="D57" s="18" t="s">
        <v>168</v>
      </c>
      <c r="E57" s="18" t="s">
        <v>168</v>
      </c>
      <c r="F57" s="18" t="s">
        <v>168</v>
      </c>
      <c r="G57" s="18" t="s">
        <v>168</v>
      </c>
      <c r="H57" s="18" t="s">
        <v>168</v>
      </c>
      <c r="I57" s="18" t="s">
        <v>168</v>
      </c>
      <c r="J57" s="18" t="s">
        <v>168</v>
      </c>
      <c r="K57" s="18" t="s">
        <v>168</v>
      </c>
      <c r="L57" s="18" t="s">
        <v>168</v>
      </c>
      <c r="M57" s="18" t="s">
        <v>168</v>
      </c>
      <c r="N57" s="18" t="s">
        <v>168</v>
      </c>
      <c r="O57" s="18" t="s">
        <v>168</v>
      </c>
      <c r="P57" s="18" t="s">
        <v>168</v>
      </c>
      <c r="Q57" s="18" t="s">
        <v>168</v>
      </c>
      <c r="R57" s="18" t="s">
        <v>168</v>
      </c>
      <c r="S57" s="18" t="s">
        <v>168</v>
      </c>
      <c r="T57" s="18" t="s">
        <v>168</v>
      </c>
      <c r="U57" s="18" t="s">
        <v>168</v>
      </c>
      <c r="V57" s="18" t="s">
        <v>168</v>
      </c>
      <c r="W57" s="18" t="s">
        <v>168</v>
      </c>
      <c r="X57" s="18" t="s">
        <v>168</v>
      </c>
      <c r="Y57" s="18" t="s">
        <v>168</v>
      </c>
      <c r="Z57" s="18" t="s">
        <v>168</v>
      </c>
      <c r="AA57" s="18" t="s">
        <v>168</v>
      </c>
      <c r="AB57" s="18" t="s">
        <v>168</v>
      </c>
      <c r="AC57" s="18" t="s">
        <v>168</v>
      </c>
      <c r="AD57" s="18" t="s">
        <v>168</v>
      </c>
      <c r="AE57" s="18" t="s">
        <v>168</v>
      </c>
      <c r="AF57" s="18" t="s">
        <v>168</v>
      </c>
      <c r="AG57" s="18" t="s">
        <v>168</v>
      </c>
      <c r="AH57" s="27">
        <f>COUNTA(月11_216[[#This Row],[1]:[31]])</f>
        <v>31</v>
      </c>
    </row>
    <row r="58" spans="2:34" ht="30" customHeight="1" x14ac:dyDescent="0.25">
      <c r="B58" s="32" t="s">
        <v>149</v>
      </c>
      <c r="C58" s="18" t="s">
        <v>168</v>
      </c>
      <c r="D58" s="18" t="s">
        <v>168</v>
      </c>
      <c r="E58" s="18" t="s">
        <v>168</v>
      </c>
      <c r="F58" s="18" t="s">
        <v>168</v>
      </c>
      <c r="G58" s="18" t="s">
        <v>168</v>
      </c>
      <c r="H58" s="18" t="s">
        <v>168</v>
      </c>
      <c r="I58" s="18" t="s">
        <v>168</v>
      </c>
      <c r="J58" s="18" t="s">
        <v>168</v>
      </c>
      <c r="K58" s="18" t="s">
        <v>168</v>
      </c>
      <c r="L58" s="18" t="s">
        <v>168</v>
      </c>
      <c r="M58" s="18" t="s">
        <v>168</v>
      </c>
      <c r="N58" s="18" t="s">
        <v>168</v>
      </c>
      <c r="O58" s="18" t="s">
        <v>168</v>
      </c>
      <c r="P58" s="18" t="s">
        <v>168</v>
      </c>
      <c r="Q58" s="18" t="s">
        <v>168</v>
      </c>
      <c r="R58" s="18" t="s">
        <v>168</v>
      </c>
      <c r="S58" s="18" t="s">
        <v>168</v>
      </c>
      <c r="T58" s="18" t="s">
        <v>168</v>
      </c>
      <c r="U58" s="18" t="s">
        <v>168</v>
      </c>
      <c r="V58" s="18" t="s">
        <v>168</v>
      </c>
      <c r="W58" s="18" t="s">
        <v>168</v>
      </c>
      <c r="X58" s="18" t="s">
        <v>168</v>
      </c>
      <c r="Y58" s="18" t="s">
        <v>168</v>
      </c>
      <c r="Z58" s="18" t="s">
        <v>168</v>
      </c>
      <c r="AA58" s="18" t="s">
        <v>168</v>
      </c>
      <c r="AB58" s="18" t="s">
        <v>168</v>
      </c>
      <c r="AC58" s="18" t="s">
        <v>168</v>
      </c>
      <c r="AD58" s="18" t="s">
        <v>168</v>
      </c>
      <c r="AE58" s="18" t="s">
        <v>168</v>
      </c>
      <c r="AF58" s="18" t="s">
        <v>168</v>
      </c>
      <c r="AG58" s="18" t="s">
        <v>168</v>
      </c>
      <c r="AH58" s="27">
        <f>COUNTA(月11_216[[#This Row],[1]:[31]])</f>
        <v>31</v>
      </c>
    </row>
    <row r="59" spans="2:34" ht="30" customHeight="1" x14ac:dyDescent="0.25">
      <c r="B59" s="32" t="s">
        <v>150</v>
      </c>
      <c r="C59" s="18" t="s">
        <v>168</v>
      </c>
      <c r="D59" s="18" t="s">
        <v>168</v>
      </c>
      <c r="E59" s="18" t="s">
        <v>168</v>
      </c>
      <c r="F59" s="18" t="s">
        <v>168</v>
      </c>
      <c r="G59" s="18" t="s">
        <v>168</v>
      </c>
      <c r="H59" s="18" t="s">
        <v>168</v>
      </c>
      <c r="I59" s="18" t="s">
        <v>168</v>
      </c>
      <c r="J59" s="18" t="s">
        <v>168</v>
      </c>
      <c r="K59" s="18" t="s">
        <v>168</v>
      </c>
      <c r="L59" s="18" t="s">
        <v>168</v>
      </c>
      <c r="M59" s="18" t="s">
        <v>168</v>
      </c>
      <c r="N59" s="18" t="s">
        <v>168</v>
      </c>
      <c r="O59" s="18" t="s">
        <v>168</v>
      </c>
      <c r="P59" s="18" t="s">
        <v>168</v>
      </c>
      <c r="Q59" s="18" t="s">
        <v>168</v>
      </c>
      <c r="R59" s="18" t="s">
        <v>168</v>
      </c>
      <c r="S59" s="18" t="s">
        <v>168</v>
      </c>
      <c r="T59" s="18" t="s">
        <v>168</v>
      </c>
      <c r="U59" s="18" t="s">
        <v>168</v>
      </c>
      <c r="V59" s="18" t="s">
        <v>168</v>
      </c>
      <c r="W59" s="18" t="s">
        <v>168</v>
      </c>
      <c r="X59" s="18" t="s">
        <v>168</v>
      </c>
      <c r="Y59" s="18" t="s">
        <v>168</v>
      </c>
      <c r="Z59" s="18" t="s">
        <v>168</v>
      </c>
      <c r="AA59" s="18" t="s">
        <v>168</v>
      </c>
      <c r="AB59" s="18" t="s">
        <v>168</v>
      </c>
      <c r="AC59" s="18" t="s">
        <v>168</v>
      </c>
      <c r="AD59" s="18" t="s">
        <v>168</v>
      </c>
      <c r="AE59" s="18" t="s">
        <v>168</v>
      </c>
      <c r="AF59" s="18" t="s">
        <v>168</v>
      </c>
      <c r="AG59" s="18" t="s">
        <v>168</v>
      </c>
      <c r="AH59" s="27">
        <f>COUNTA(月11_216[[#This Row],[1]:[31]])</f>
        <v>31</v>
      </c>
    </row>
    <row r="60" spans="2:34" ht="30" customHeight="1" x14ac:dyDescent="0.25">
      <c r="B60" s="32" t="s">
        <v>151</v>
      </c>
      <c r="C60" s="18" t="s">
        <v>168</v>
      </c>
      <c r="D60" s="18" t="s">
        <v>168</v>
      </c>
      <c r="E60" s="18" t="s">
        <v>168</v>
      </c>
      <c r="F60" s="18" t="s">
        <v>168</v>
      </c>
      <c r="G60" s="18" t="s">
        <v>168</v>
      </c>
      <c r="H60" s="18" t="s">
        <v>168</v>
      </c>
      <c r="I60" s="18" t="s">
        <v>168</v>
      </c>
      <c r="J60" s="18" t="s">
        <v>168</v>
      </c>
      <c r="K60" s="18" t="s">
        <v>168</v>
      </c>
      <c r="L60" s="18" t="s">
        <v>168</v>
      </c>
      <c r="M60" s="18" t="s">
        <v>168</v>
      </c>
      <c r="N60" s="18" t="s">
        <v>168</v>
      </c>
      <c r="O60" s="18" t="s">
        <v>168</v>
      </c>
      <c r="P60" s="18" t="s">
        <v>168</v>
      </c>
      <c r="Q60" s="18" t="s">
        <v>168</v>
      </c>
      <c r="R60" s="18" t="s">
        <v>168</v>
      </c>
      <c r="S60" s="18" t="s">
        <v>168</v>
      </c>
      <c r="T60" s="18" t="s">
        <v>168</v>
      </c>
      <c r="U60" s="18" t="s">
        <v>168</v>
      </c>
      <c r="V60" s="18" t="s">
        <v>168</v>
      </c>
      <c r="W60" s="18" t="s">
        <v>168</v>
      </c>
      <c r="X60" s="18" t="s">
        <v>168</v>
      </c>
      <c r="Y60" s="18" t="s">
        <v>168</v>
      </c>
      <c r="Z60" s="18" t="s">
        <v>168</v>
      </c>
      <c r="AA60" s="18" t="s">
        <v>168</v>
      </c>
      <c r="AB60" s="18" t="s">
        <v>168</v>
      </c>
      <c r="AC60" s="18" t="s">
        <v>168</v>
      </c>
      <c r="AD60" s="18" t="s">
        <v>168</v>
      </c>
      <c r="AE60" s="18" t="s">
        <v>168</v>
      </c>
      <c r="AF60" s="18" t="s">
        <v>168</v>
      </c>
      <c r="AG60" s="18" t="s">
        <v>168</v>
      </c>
      <c r="AH60" s="27">
        <f>COUNTA(月11_216[[#This Row],[1]:[31]])</f>
        <v>31</v>
      </c>
    </row>
    <row r="61" spans="2:34" ht="30" customHeight="1" x14ac:dyDescent="0.25">
      <c r="B61" s="32" t="s">
        <v>152</v>
      </c>
      <c r="C61" s="18" t="s">
        <v>168</v>
      </c>
      <c r="D61" s="18" t="s">
        <v>168</v>
      </c>
      <c r="E61" s="18" t="s">
        <v>168</v>
      </c>
      <c r="F61" s="18" t="s">
        <v>168</v>
      </c>
      <c r="G61" s="18" t="s">
        <v>168</v>
      </c>
      <c r="H61" s="18" t="s">
        <v>168</v>
      </c>
      <c r="I61" s="18" t="s">
        <v>168</v>
      </c>
      <c r="J61" s="18" t="s">
        <v>168</v>
      </c>
      <c r="K61" s="18" t="s">
        <v>168</v>
      </c>
      <c r="L61" s="18" t="s">
        <v>168</v>
      </c>
      <c r="M61" s="18" t="s">
        <v>168</v>
      </c>
      <c r="N61" s="18" t="s">
        <v>168</v>
      </c>
      <c r="O61" s="18" t="s">
        <v>168</v>
      </c>
      <c r="P61" s="18" t="s">
        <v>168</v>
      </c>
      <c r="Q61" s="18" t="s">
        <v>168</v>
      </c>
      <c r="R61" s="18" t="s">
        <v>168</v>
      </c>
      <c r="S61" s="18" t="s">
        <v>168</v>
      </c>
      <c r="T61" s="18" t="s">
        <v>168</v>
      </c>
      <c r="U61" s="18" t="s">
        <v>168</v>
      </c>
      <c r="V61" s="18" t="s">
        <v>168</v>
      </c>
      <c r="W61" s="18" t="s">
        <v>168</v>
      </c>
      <c r="X61" s="18" t="s">
        <v>168</v>
      </c>
      <c r="Y61" s="18" t="s">
        <v>168</v>
      </c>
      <c r="Z61" s="18" t="s">
        <v>168</v>
      </c>
      <c r="AA61" s="18" t="s">
        <v>168</v>
      </c>
      <c r="AB61" s="18" t="s">
        <v>168</v>
      </c>
      <c r="AC61" s="18" t="s">
        <v>168</v>
      </c>
      <c r="AD61" s="18" t="s">
        <v>168</v>
      </c>
      <c r="AE61" s="18" t="s">
        <v>168</v>
      </c>
      <c r="AF61" s="18" t="s">
        <v>168</v>
      </c>
      <c r="AG61" s="18" t="s">
        <v>168</v>
      </c>
      <c r="AH61" s="27">
        <f>COUNTA(月11_216[[#This Row],[1]:[31]])</f>
        <v>31</v>
      </c>
    </row>
    <row r="62" spans="2:34" ht="30" customHeight="1" x14ac:dyDescent="0.25">
      <c r="B62" s="32" t="s">
        <v>153</v>
      </c>
      <c r="C62" s="18" t="s">
        <v>168</v>
      </c>
      <c r="D62" s="18" t="s">
        <v>168</v>
      </c>
      <c r="E62" s="18" t="s">
        <v>168</v>
      </c>
      <c r="F62" s="18" t="s">
        <v>168</v>
      </c>
      <c r="G62" s="18" t="s">
        <v>168</v>
      </c>
      <c r="H62" s="18" t="s">
        <v>168</v>
      </c>
      <c r="I62" s="18" t="s">
        <v>168</v>
      </c>
      <c r="J62" s="18" t="s">
        <v>168</v>
      </c>
      <c r="K62" s="18" t="s">
        <v>168</v>
      </c>
      <c r="L62" s="18" t="s">
        <v>168</v>
      </c>
      <c r="M62" s="18" t="s">
        <v>168</v>
      </c>
      <c r="N62" s="18" t="s">
        <v>168</v>
      </c>
      <c r="O62" s="18" t="s">
        <v>168</v>
      </c>
      <c r="P62" s="18" t="s">
        <v>168</v>
      </c>
      <c r="Q62" s="18" t="s">
        <v>168</v>
      </c>
      <c r="R62" s="18" t="s">
        <v>168</v>
      </c>
      <c r="S62" s="18" t="s">
        <v>168</v>
      </c>
      <c r="T62" s="18" t="s">
        <v>168</v>
      </c>
      <c r="U62" s="18" t="s">
        <v>168</v>
      </c>
      <c r="V62" s="18" t="s">
        <v>168</v>
      </c>
      <c r="W62" s="18" t="s">
        <v>168</v>
      </c>
      <c r="X62" s="18" t="s">
        <v>168</v>
      </c>
      <c r="Y62" s="18" t="s">
        <v>168</v>
      </c>
      <c r="Z62" s="18" t="s">
        <v>168</v>
      </c>
      <c r="AA62" s="18" t="s">
        <v>168</v>
      </c>
      <c r="AB62" s="18" t="s">
        <v>168</v>
      </c>
      <c r="AC62" s="18" t="s">
        <v>168</v>
      </c>
      <c r="AD62" s="18" t="s">
        <v>168</v>
      </c>
      <c r="AE62" s="18" t="s">
        <v>168</v>
      </c>
      <c r="AF62" s="18" t="s">
        <v>168</v>
      </c>
      <c r="AG62" s="18" t="s">
        <v>168</v>
      </c>
      <c r="AH62" s="27">
        <f>COUNTA(月11_216[[#This Row],[1]:[31]])</f>
        <v>31</v>
      </c>
    </row>
    <row r="63" spans="2:34" ht="30" customHeight="1" x14ac:dyDescent="0.25">
      <c r="B63" s="32" t="s">
        <v>154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27">
        <f>COUNTA(月11_216[[#This Row],[1]:[31]])</f>
        <v>0</v>
      </c>
    </row>
    <row r="64" spans="2:34" ht="30" customHeight="1" x14ac:dyDescent="0.25">
      <c r="B64" s="32" t="s">
        <v>155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27">
        <f>COUNTA(月11_216[[#This Row],[1]:[31]])</f>
        <v>0</v>
      </c>
    </row>
    <row r="65" spans="2:34" ht="30" customHeight="1" x14ac:dyDescent="0.25">
      <c r="B65" s="32" t="s">
        <v>156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27">
        <f>COUNTA(月11_216[[#This Row],[1]:[31]])</f>
        <v>0</v>
      </c>
    </row>
    <row r="66" spans="2:34" ht="30" customHeight="1" x14ac:dyDescent="0.25">
      <c r="B66" s="21" t="str">
        <f>MonthName&amp;"集計"</f>
        <v>10月集計</v>
      </c>
      <c r="C66" s="22">
        <f>SUBTOTAL(103,月11_216[1])</f>
        <v>44</v>
      </c>
      <c r="D66" s="22">
        <f>SUBTOTAL(103,月11_216[2])</f>
        <v>44</v>
      </c>
      <c r="E66" s="22">
        <f>SUBTOTAL(103,月11_216[3])</f>
        <v>44</v>
      </c>
      <c r="F66" s="22">
        <f>SUBTOTAL(103,月11_216[4])</f>
        <v>44</v>
      </c>
      <c r="G66" s="22">
        <f>SUBTOTAL(103,月11_216[5])</f>
        <v>44</v>
      </c>
      <c r="H66" s="22">
        <f>SUBTOTAL(103,月11_216[6])</f>
        <v>44</v>
      </c>
      <c r="I66" s="22">
        <f>SUBTOTAL(103,月11_216[7])</f>
        <v>44</v>
      </c>
      <c r="J66" s="22">
        <f>SUBTOTAL(103,月11_216[8])</f>
        <v>44</v>
      </c>
      <c r="K66" s="22">
        <f>SUBTOTAL(103,月11_216[9])</f>
        <v>44</v>
      </c>
      <c r="L66" s="22">
        <f>SUBTOTAL(103,月11_216[10])</f>
        <v>44</v>
      </c>
      <c r="M66" s="22">
        <f>SUBTOTAL(103,月11_216[11])</f>
        <v>44</v>
      </c>
      <c r="N66" s="22">
        <f>SUBTOTAL(103,月11_216[12])</f>
        <v>44</v>
      </c>
      <c r="O66" s="22">
        <f>SUBTOTAL(103,月11_216[13])</f>
        <v>44</v>
      </c>
      <c r="P66" s="22">
        <f>SUBTOTAL(103,月11_216[14])</f>
        <v>44</v>
      </c>
      <c r="Q66" s="22">
        <f>SUBTOTAL(103,月11_216[15])</f>
        <v>44</v>
      </c>
      <c r="R66" s="22">
        <f>SUBTOTAL(103,月11_216[16])</f>
        <v>44</v>
      </c>
      <c r="S66" s="22">
        <f>SUBTOTAL(103,月11_216[17])</f>
        <v>44</v>
      </c>
      <c r="T66" s="22">
        <f>SUBTOTAL(103,月11_216[18])</f>
        <v>44</v>
      </c>
      <c r="U66" s="22">
        <f>SUBTOTAL(103,月11_216[19])</f>
        <v>44</v>
      </c>
      <c r="V66" s="22">
        <f>SUBTOTAL(103,月11_216[20])</f>
        <v>44</v>
      </c>
      <c r="W66" s="22">
        <f>SUBTOTAL(103,月11_216[21])</f>
        <v>44</v>
      </c>
      <c r="X66" s="22">
        <f>SUBTOTAL(103,月11_216[22])</f>
        <v>44</v>
      </c>
      <c r="Y66" s="22">
        <f>SUBTOTAL(103,月11_216[23])</f>
        <v>44</v>
      </c>
      <c r="Z66" s="22">
        <f>SUBTOTAL(103,月11_216[24])</f>
        <v>44</v>
      </c>
      <c r="AA66" s="22">
        <f>SUBTOTAL(103,月11_216[25])</f>
        <v>44</v>
      </c>
      <c r="AB66" s="22">
        <f>SUBTOTAL(103,月11_216[26])</f>
        <v>44</v>
      </c>
      <c r="AC66" s="22">
        <f>SUBTOTAL(103,月11_216[27])</f>
        <v>44</v>
      </c>
      <c r="AD66" s="22">
        <f>SUBTOTAL(103,月11_216[28])</f>
        <v>44</v>
      </c>
      <c r="AE66" s="22">
        <f>SUBTOTAL(103,月11_216[29])</f>
        <v>44</v>
      </c>
      <c r="AF66" s="22">
        <f>SUBTOTAL(109,月11_216[30])</f>
        <v>0</v>
      </c>
      <c r="AG66" s="22">
        <f>SUBTOTAL(109,月11_216[31])</f>
        <v>0</v>
      </c>
      <c r="AH66" s="22">
        <f>SUBTOTAL(109,月11_216[合計日数])</f>
        <v>1342</v>
      </c>
    </row>
  </sheetData>
  <mergeCells count="6">
    <mergeCell ref="C6:AG6"/>
    <mergeCell ref="D4:F4"/>
    <mergeCell ref="H4:J4"/>
    <mergeCell ref="L4:M4"/>
    <mergeCell ref="O4:Q4"/>
    <mergeCell ref="S4:U4"/>
  </mergeCells>
  <phoneticPr fontId="10"/>
  <conditionalFormatting sqref="C9:AF30">
    <cfRule type="expression" priority="7" stopIfTrue="1">
      <formula>C9=""</formula>
    </cfRule>
    <cfRule type="expression" dxfId="54" priority="8" stopIfTrue="1">
      <formula>C9=KeyCustom2</formula>
    </cfRule>
    <cfRule type="expression" dxfId="53" priority="9" stopIfTrue="1">
      <formula>C9=KeyCustom1</formula>
    </cfRule>
    <cfRule type="expression" dxfId="52" priority="10" stopIfTrue="1">
      <formula>C9=KeySick</formula>
    </cfRule>
    <cfRule type="expression" dxfId="51" priority="11" stopIfTrue="1">
      <formula>C9=KeyPersonal</formula>
    </cfRule>
    <cfRule type="expression" dxfId="50" priority="12" stopIfTrue="1">
      <formula>C9=KeyVacation</formula>
    </cfRule>
  </conditionalFormatting>
  <conditionalFormatting sqref="C31:AG62">
    <cfRule type="expression" priority="1" stopIfTrue="1">
      <formula>C31=""</formula>
    </cfRule>
    <cfRule type="expression" dxfId="49" priority="2" stopIfTrue="1">
      <formula>C31=KeyCustom2</formula>
    </cfRule>
    <cfRule type="expression" dxfId="48" priority="3" stopIfTrue="1">
      <formula>C31=KeyCustom1</formula>
    </cfRule>
    <cfRule type="expression" dxfId="47" priority="4" stopIfTrue="1">
      <formula>C31=KeySick</formula>
    </cfRule>
    <cfRule type="expression" dxfId="46" priority="5" stopIfTrue="1">
      <formula>C31=KeyPersonal</formula>
    </cfRule>
    <cfRule type="expression" dxfId="45" priority="6" stopIfTrue="1">
      <formula>C31=KeyVacation</formula>
    </cfRule>
  </conditionalFormatting>
  <conditionalFormatting sqref="AG9:AG30">
    <cfRule type="expression" priority="13" stopIfTrue="1">
      <formula>AG9=""</formula>
    </cfRule>
    <cfRule type="expression" dxfId="44" priority="14" stopIfTrue="1">
      <formula>AG9=KeyCustom2</formula>
    </cfRule>
    <cfRule type="expression" dxfId="43" priority="15" stopIfTrue="1">
      <formula>AG9=KeyCustom1</formula>
    </cfRule>
    <cfRule type="expression" dxfId="42" priority="16" stopIfTrue="1">
      <formula>AG9=KeySick</formula>
    </cfRule>
    <cfRule type="expression" dxfId="41" priority="17" stopIfTrue="1">
      <formula>AG9=KeyPersonal</formula>
    </cfRule>
    <cfRule type="expression" dxfId="40" priority="18" stopIfTrue="1">
      <formula>AG9=KeyVacation</formula>
    </cfRule>
  </conditionalFormatting>
  <conditionalFormatting sqref="AH9:AH41 AH43:AH52">
    <cfRule type="dataBar" priority="20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{D075CE3E-F193-42B5-BE04-E4AB13E748D9}</x14:id>
        </ext>
      </extLst>
    </cfRule>
  </conditionalFormatting>
  <conditionalFormatting sqref="AH42">
    <cfRule type="dataBar" priority="19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{39842B0D-0B61-44FC-9105-E7178560EA14}</x14:id>
        </ext>
      </extLst>
    </cfRule>
  </conditionalFormatting>
  <dataValidations count="15">
    <dataValidation allowBlank="1" showInputMessage="1" showErrorMessage="1" prompt="この行の月の日付は、自動的に生成されます。従業員の欠勤と欠勤の種類を月の各日付の各列に入力します。空白は欠勤でないことを示します" sqref="C8" xr:uid="{FD1EBD59-0442-48F5-ACDC-DB2725910259}"/>
    <dataValidation allowBlank="1" showInputMessage="1" showErrorMessage="1" prompt="このセルには、この欠勤管理の月の名前が入ります。テーブルの最後のセルには、この月の欠勤日数の合計が表示されます。テーブルの列 B で従業員名を選択します" sqref="B2" xr:uid="{F012E305-D8EE-4E92-B652-3C7565130147}"/>
    <dataValidation allowBlank="1" showInputMessage="1" showErrorMessage="1" prompt="この行には、テーブルで使用するキーが定義されています。セル C4 は休暇、G4 は私用、K4 は病欠です。セル N4 と R4 はカスタマイズ可能です" sqref="B4" xr:uid="{8EBE3102-E636-4C42-826B-5C8C860B4DCC}"/>
    <dataValidation allowBlank="1" showInputMessage="1" showErrorMessage="1" prompt="左側にカスタム キーを表すラベルを入力します" sqref="O4:Q4 S4:U4" xr:uid="{1B1477CE-098D-44EE-9C8C-ED6EC719DCB7}"/>
    <dataValidation allowBlank="1" showErrorMessage="1" prompt="右側に文字を入力してラベルをカスタマイズし、別のキー項目を追加します" sqref="R4 N4" xr:uid="{AF4C4CAC-154A-4860-ABD9-8489A76C4B6A}"/>
    <dataValidation allowBlank="1" showErrorMessage="1" prompt="文字 &quot;S&quot; は病欠を表します" sqref="K4" xr:uid="{6554869F-2AFB-4444-ABB5-C8B26078101D}"/>
    <dataValidation allowBlank="1" showErrorMessage="1" prompt="文字 &quot;P&quot; は私用による欠勤を表します" sqref="G4" xr:uid="{B0B3E661-7EDC-470A-8C84-226D2B05B368}"/>
    <dataValidation allowBlank="1" showErrorMessage="1" prompt="文字 &quot;V&quot; は休暇のための欠勤を表します" sqref="C4" xr:uid="{22003A18-0157-4116-BED7-B63C25F593BF}"/>
    <dataValidation allowBlank="1" showInputMessage="1" showErrorMessage="1" prompt="自動的に更新されるタイトルが、このセルの内容です。タイトルを変更するには、1 月のワークシートの B1 を更新します" sqref="B2" xr:uid="{0B18E3F5-68A2-43C7-B4A3-DD2E2C6C7F85}"/>
    <dataValidation errorStyle="warning" allowBlank="1" showInputMessage="1" showErrorMessage="1" error="リストから名前を選択します。[キャンセル] を選択し、Alt キーを押しながら下方向キーを押してから、Enter キーを押して名前を選択します" prompt="従業員名ワークシートに従業員の名前を入力し、この列のリストから名前を選びます。Alt キーを押しながら下矢印キーを押して、Enter キーを押して名前を選択します" sqref="B8" xr:uid="{A096FE8C-D0AB-437D-ABA6-214D996C50D2}"/>
    <dataValidation allowBlank="1" showInputMessage="1" showErrorMessage="1" prompt="このワークシートでは 11 月の欠勤を管理します" sqref="A1" xr:uid="{A90C7631-47D6-4FB2-A00F-E538AFC4CB2A}"/>
    <dataValidation allowBlank="1" showInputMessage="1" showErrorMessage="1" prompt="この列で、従業員の今月の欠勤日数の合計を自動的に計算します" sqref="AH8" xr:uid="{3A59AAB6-16EA-4DF4-BFFA-FFE26316454D}"/>
    <dataValidation allowBlank="1" showInputMessage="1" showErrorMessage="1" prompt="1 月のワークシートに入力した年に基づいて自動的に更新される年" sqref="AH6" xr:uid="{F619DA55-16C6-4F3B-B871-F138DDD137C8}"/>
    <dataValidation allowBlank="1" showInputMessage="1" showErrorMessage="1" prompt="この行の曜日は、AH4 の年に従い当月に応じて自動的に更新されます。月の各日付は、従業員の欠勤と欠勤の種類を記録するための列です" sqref="C7" xr:uid="{14DBD986-7974-4CD9-9A07-0120E3A5F867}"/>
    <dataValidation allowBlank="1" showInputMessage="1" showErrorMessage="1" prompt="このセルには、ワークシートのタイトルが入ります。" sqref="B1" xr:uid="{2D58C724-D709-48E8-8B57-60477A55FA5C}"/>
  </dataValidations>
  <pageMargins left="0.7" right="0.7" top="0.75" bottom="0.75" header="0.3" footer="0.3"/>
  <pageSetup paperSize="9" fitToHeight="0" orientation="portrait" verticalDpi="429496729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75CE3E-F193-42B5-BE04-E4AB13E748D9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AH9:AH41 AH43:AH52</xm:sqref>
        </x14:conditionalFormatting>
        <x14:conditionalFormatting xmlns:xm="http://schemas.microsoft.com/office/excel/2006/main">
          <x14:cfRule type="dataBar" id="{39842B0D-0B61-44FC-9105-E7178560EA14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4A23B-CD04-4CB2-97B8-1ECEF8A121B9}">
          <x14:formula1>
            <xm:f>従業員名!$B$4:$B$60</xm:f>
          </x14:formula1>
          <xm:sqref>B9:B54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4" tint="0.499984740745262"/>
  </sheetPr>
  <dimension ref="B1:AH30"/>
  <sheetViews>
    <sheetView showGridLines="0" zoomScaleNormal="100" workbookViewId="0">
      <selection activeCell="AH7" sqref="AH7"/>
    </sheetView>
  </sheetViews>
  <sheetFormatPr defaultColWidth="8.77734375" defaultRowHeight="30" customHeight="1" x14ac:dyDescent="0.25"/>
  <cols>
    <col min="1" max="1" width="2.88671875" customWidth="1"/>
    <col min="2" max="2" width="25.77734375" customWidth="1"/>
    <col min="3" max="33" width="4.77734375" customWidth="1"/>
    <col min="34" max="34" width="13.44140625" customWidth="1"/>
    <col min="35" max="35" width="2.88671875" customWidth="1"/>
  </cols>
  <sheetData>
    <row r="1" spans="2:34" ht="26.45" customHeight="1" x14ac:dyDescent="0.35">
      <c r="B1" s="2" t="s">
        <v>0</v>
      </c>
    </row>
    <row r="2" spans="2:34" ht="48.6" customHeight="1" x14ac:dyDescent="0.25">
      <c r="B2" s="28" t="s">
        <v>63</v>
      </c>
    </row>
    <row r="3" spans="2:34" ht="8.4499999999999993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2:34" ht="30" customHeight="1" x14ac:dyDescent="0.25">
      <c r="B4" s="8" t="s">
        <v>2</v>
      </c>
      <c r="C4" s="9" t="s">
        <v>3</v>
      </c>
      <c r="D4" s="37" t="s">
        <v>4</v>
      </c>
      <c r="E4" s="37"/>
      <c r="F4" s="37"/>
      <c r="G4" s="10" t="s">
        <v>5</v>
      </c>
      <c r="H4" s="37" t="s">
        <v>6</v>
      </c>
      <c r="I4" s="37"/>
      <c r="J4" s="37"/>
      <c r="K4" s="11"/>
      <c r="L4" s="37"/>
      <c r="M4" s="37"/>
      <c r="N4" s="12"/>
      <c r="O4" s="37" t="s">
        <v>7</v>
      </c>
      <c r="P4" s="37"/>
      <c r="Q4" s="37"/>
      <c r="R4" s="13"/>
      <c r="S4" s="37" t="s">
        <v>8</v>
      </c>
      <c r="T4" s="37"/>
      <c r="U4" s="37"/>
    </row>
    <row r="5" spans="2:34" ht="8.4499999999999993" customHeight="1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2:34" ht="15" customHeight="1" x14ac:dyDescent="0.25">
      <c r="B6" s="1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15">
        <v>2024</v>
      </c>
    </row>
    <row r="7" spans="2:34" ht="30" customHeight="1" x14ac:dyDescent="0.25">
      <c r="B7" s="15"/>
      <c r="C7" s="16" t="str">
        <f>TEXT(WEEKDAY(DATE($AH$6,5,1),1),"aaa")</f>
        <v>水</v>
      </c>
      <c r="D7" s="16" t="str">
        <f>TEXT(WEEKDAY(DATE($AH$6,5,2),1),"aaa")</f>
        <v>木</v>
      </c>
      <c r="E7" s="16" t="str">
        <f>TEXT(WEEKDAY(DATE($AH$6,5,3),1),"aaa")</f>
        <v>金</v>
      </c>
      <c r="F7" s="16" t="str">
        <f>TEXT(WEEKDAY(DATE($AH$6,5,4),1),"aaa")</f>
        <v>土</v>
      </c>
      <c r="G7" s="16" t="str">
        <f>TEXT(WEEKDAY(DATE($AH$6,5,5),1),"aaa")</f>
        <v>日</v>
      </c>
      <c r="H7" s="16" t="str">
        <f>TEXT(WEEKDAY(DATE($AH$6,5,6),1),"aaa")</f>
        <v>月</v>
      </c>
      <c r="I7" s="16" t="str">
        <f>TEXT(WEEKDAY(DATE($AH$6,5,7),1),"aaa")</f>
        <v>火</v>
      </c>
      <c r="J7" s="16" t="str">
        <f>TEXT(WEEKDAY(DATE($AH$6,5,8),1),"aaa")</f>
        <v>水</v>
      </c>
      <c r="K7" s="16" t="str">
        <f>TEXT(WEEKDAY(DATE($AH$6,5,9),1),"aaa")</f>
        <v>木</v>
      </c>
      <c r="L7" s="16" t="str">
        <f>TEXT(WEEKDAY(DATE($AH$6,5,10),1),"aaa")</f>
        <v>金</v>
      </c>
      <c r="M7" s="16" t="str">
        <f>TEXT(WEEKDAY(DATE($AH$6,5,11),1),"aaa")</f>
        <v>土</v>
      </c>
      <c r="N7" s="16" t="str">
        <f>TEXT(WEEKDAY(DATE($AH$6,5,12),1),"aaa")</f>
        <v>日</v>
      </c>
      <c r="O7" s="16" t="str">
        <f>TEXT(WEEKDAY(DATE($AH$6,5,13),1),"aaa")</f>
        <v>月</v>
      </c>
      <c r="P7" s="16" t="str">
        <f>TEXT(WEEKDAY(DATE($AH$6,5,14),1),"aaa")</f>
        <v>火</v>
      </c>
      <c r="Q7" s="16" t="str">
        <f>TEXT(WEEKDAY(DATE($AH$6,5,15),1),"aaa")</f>
        <v>水</v>
      </c>
      <c r="R7" s="16" t="str">
        <f>TEXT(WEEKDAY(DATE($AH$6,5,16),1),"aaa")</f>
        <v>木</v>
      </c>
      <c r="S7" s="16" t="str">
        <f>TEXT(WEEKDAY(DATE($AH$6,5,17),1),"aaa")</f>
        <v>金</v>
      </c>
      <c r="T7" s="16" t="str">
        <f>TEXT(WEEKDAY(DATE($AH$6,5,18),1),"aaa")</f>
        <v>土</v>
      </c>
      <c r="U7" s="16" t="str">
        <f>TEXT(WEEKDAY(DATE($AH$6,5,19),1),"aaa")</f>
        <v>日</v>
      </c>
      <c r="V7" s="16" t="str">
        <f>TEXT(WEEKDAY(DATE($AH$6,5,20),1),"aaa")</f>
        <v>月</v>
      </c>
      <c r="W7" s="16" t="str">
        <f>TEXT(WEEKDAY(DATE($AH$6,5,21),1),"aaa")</f>
        <v>火</v>
      </c>
      <c r="X7" s="16" t="str">
        <f>TEXT(WEEKDAY(DATE($AH$6,5,22),1),"aaa")</f>
        <v>水</v>
      </c>
      <c r="Y7" s="16" t="str">
        <f>TEXT(WEEKDAY(DATE($AH$6,5,23),1),"aaa")</f>
        <v>木</v>
      </c>
      <c r="Z7" s="16" t="str">
        <f>TEXT(WEEKDAY(DATE($AH$6,5,24),1),"aaa")</f>
        <v>金</v>
      </c>
      <c r="AA7" s="16" t="str">
        <f>TEXT(WEEKDAY(DATE($AH$6,5,25),1),"aaa")</f>
        <v>土</v>
      </c>
      <c r="AB7" s="16" t="str">
        <f>TEXT(WEEKDAY(DATE($AH$6,5,26),1),"aaa")</f>
        <v>日</v>
      </c>
      <c r="AC7" s="16" t="str">
        <f>TEXT(WEEKDAY(DATE($AH$6,5,27),1),"aaa")</f>
        <v>月</v>
      </c>
      <c r="AD7" s="16" t="str">
        <f>TEXT(WEEKDAY(DATE($AH$6,5,28),1),"aaa")</f>
        <v>火</v>
      </c>
      <c r="AE7" s="16" t="str">
        <f>TEXT(WEEKDAY(DATE($AH$6,5,29),1),"aaa")</f>
        <v>水</v>
      </c>
      <c r="AF7" s="16" t="str">
        <f>TEXT(WEEKDAY(DATE($AH$6,5,30),1),"aaa")</f>
        <v>木</v>
      </c>
      <c r="AG7" s="16" t="str">
        <f>TEXT(WEEKDAY(DATE($AH$6,5,31),1),"aaa")</f>
        <v>金</v>
      </c>
      <c r="AH7" s="15"/>
    </row>
    <row r="8" spans="2:34" ht="30" customHeight="1" x14ac:dyDescent="0.25">
      <c r="B8" s="17" t="s">
        <v>9</v>
      </c>
      <c r="C8" s="18" t="s">
        <v>10</v>
      </c>
      <c r="D8" s="18" t="s">
        <v>11</v>
      </c>
      <c r="E8" s="18" t="s">
        <v>12</v>
      </c>
      <c r="F8" s="18" t="s">
        <v>13</v>
      </c>
      <c r="G8" s="18" t="s">
        <v>14</v>
      </c>
      <c r="H8" s="18" t="s">
        <v>15</v>
      </c>
      <c r="I8" s="18" t="s">
        <v>16</v>
      </c>
      <c r="J8" s="18" t="s">
        <v>17</v>
      </c>
      <c r="K8" s="18" t="s">
        <v>18</v>
      </c>
      <c r="L8" s="18" t="s">
        <v>19</v>
      </c>
      <c r="M8" s="18" t="s">
        <v>20</v>
      </c>
      <c r="N8" s="18" t="s">
        <v>21</v>
      </c>
      <c r="O8" s="18" t="s">
        <v>22</v>
      </c>
      <c r="P8" s="18" t="s">
        <v>23</v>
      </c>
      <c r="Q8" s="18" t="s">
        <v>24</v>
      </c>
      <c r="R8" s="18" t="s">
        <v>25</v>
      </c>
      <c r="S8" s="18" t="s">
        <v>26</v>
      </c>
      <c r="T8" s="18" t="s">
        <v>27</v>
      </c>
      <c r="U8" s="18" t="s">
        <v>28</v>
      </c>
      <c r="V8" s="18" t="s">
        <v>29</v>
      </c>
      <c r="W8" s="18" t="s">
        <v>30</v>
      </c>
      <c r="X8" s="18" t="s">
        <v>31</v>
      </c>
      <c r="Y8" s="18" t="s">
        <v>32</v>
      </c>
      <c r="Z8" s="18" t="s">
        <v>33</v>
      </c>
      <c r="AA8" s="18" t="s">
        <v>34</v>
      </c>
      <c r="AB8" s="18" t="s">
        <v>35</v>
      </c>
      <c r="AC8" s="18" t="s">
        <v>36</v>
      </c>
      <c r="AD8" s="18" t="s">
        <v>37</v>
      </c>
      <c r="AE8" s="18" t="s">
        <v>38</v>
      </c>
      <c r="AF8" s="18" t="s">
        <v>39</v>
      </c>
      <c r="AG8" s="18" t="s">
        <v>64</v>
      </c>
      <c r="AH8" s="19" t="s">
        <v>41</v>
      </c>
    </row>
    <row r="9" spans="2:34" ht="30" customHeight="1" x14ac:dyDescent="0.25">
      <c r="B9" s="20" t="s">
        <v>42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27">
        <f>COUNTA('1月'!$C9:$AG9)</f>
        <v>17</v>
      </c>
    </row>
    <row r="10" spans="2:34" ht="30" customHeight="1" x14ac:dyDescent="0.25">
      <c r="B10" s="20" t="s">
        <v>43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27">
        <f>COUNTA('1月'!$C10:$AG10)</f>
        <v>17</v>
      </c>
    </row>
    <row r="11" spans="2:34" ht="30" customHeight="1" x14ac:dyDescent="0.25">
      <c r="B11" s="20" t="s">
        <v>44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27">
        <f>COUNTA('1月'!$C11:$AG11)</f>
        <v>17</v>
      </c>
    </row>
    <row r="12" spans="2:34" ht="30" customHeight="1" x14ac:dyDescent="0.25">
      <c r="B12" s="20" t="s">
        <v>45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27">
        <f>COUNTA('1月'!$C12:$AG12)</f>
        <v>17</v>
      </c>
    </row>
    <row r="13" spans="2:34" ht="30" customHeight="1" x14ac:dyDescent="0.25">
      <c r="B13" s="20" t="s">
        <v>46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27">
        <f>COUNTA('1月'!$C13:$AG13)</f>
        <v>17</v>
      </c>
    </row>
    <row r="14" spans="2:34" ht="30" customHeight="1" x14ac:dyDescent="0.25">
      <c r="B14" s="20" t="s">
        <v>47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27">
        <f>COUNTA('1月'!$C14:$AG14)</f>
        <v>17</v>
      </c>
    </row>
    <row r="15" spans="2:34" ht="30" customHeight="1" x14ac:dyDescent="0.25">
      <c r="B15" s="20" t="s">
        <v>48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27">
        <f>COUNTA('1月'!$C15:$AG15)</f>
        <v>17</v>
      </c>
    </row>
    <row r="16" spans="2:34" ht="30" customHeight="1" x14ac:dyDescent="0.25">
      <c r="B16" s="20" t="s">
        <v>49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27">
        <f>COUNTA('1月'!$C16:$AG16)</f>
        <v>17</v>
      </c>
    </row>
    <row r="17" spans="2:34" ht="30" customHeight="1" x14ac:dyDescent="0.25">
      <c r="B17" s="20" t="s">
        <v>50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27">
        <f>COUNTA('1月'!$C17:$AG17)</f>
        <v>17</v>
      </c>
    </row>
    <row r="18" spans="2:34" ht="30" customHeight="1" x14ac:dyDescent="0.25">
      <c r="B18" s="20" t="s">
        <v>51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27">
        <f>COUNTA('1月'!$C18:$AG18)</f>
        <v>17</v>
      </c>
    </row>
    <row r="19" spans="2:34" ht="30" customHeight="1" x14ac:dyDescent="0.25">
      <c r="B19" s="20" t="s">
        <v>52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7">
        <f>COUNTA('1月'!$C19:$AG19)</f>
        <v>17</v>
      </c>
    </row>
    <row r="20" spans="2:34" ht="30" customHeight="1" x14ac:dyDescent="0.25">
      <c r="B20" s="20" t="s">
        <v>53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7">
        <f>COUNTA('1月'!$C31:$AG31)</f>
        <v>17</v>
      </c>
    </row>
    <row r="21" spans="2:34" ht="30" customHeight="1" x14ac:dyDescent="0.25">
      <c r="B21" s="20" t="s">
        <v>54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7">
        <f>COUNTA('1月'!$C32:$AG32)</f>
        <v>17</v>
      </c>
    </row>
    <row r="22" spans="2:34" ht="30" customHeight="1" x14ac:dyDescent="0.25">
      <c r="B22" s="20" t="s">
        <v>55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7">
        <f>COUNTA('1月'!$C33:$AG33)</f>
        <v>17</v>
      </c>
    </row>
    <row r="23" spans="2:34" ht="30" customHeight="1" x14ac:dyDescent="0.25">
      <c r="B23" s="20" t="s">
        <v>56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7">
        <f>COUNTA('1月'!$C34:$AG34)</f>
        <v>17</v>
      </c>
    </row>
    <row r="24" spans="2:34" ht="30" customHeight="1" x14ac:dyDescent="0.25">
      <c r="B24" s="20" t="s">
        <v>57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7">
        <f>COUNTA('1月'!$C35:$AG35)</f>
        <v>17</v>
      </c>
    </row>
    <row r="25" spans="2:34" ht="30" customHeight="1" x14ac:dyDescent="0.25">
      <c r="B25" s="20" t="s">
        <v>58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7">
        <f>COUNTA('1月'!$C36:$AG36)</f>
        <v>17</v>
      </c>
    </row>
    <row r="26" spans="2:34" ht="30" customHeight="1" x14ac:dyDescent="0.25">
      <c r="B26" s="20" t="s">
        <v>59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27">
        <f>COUNTA('1月'!$C37:$AG37)</f>
        <v>17</v>
      </c>
    </row>
    <row r="27" spans="2:34" ht="30" customHeight="1" x14ac:dyDescent="0.25">
      <c r="B27" s="20" t="s">
        <v>60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7">
        <f>COUNTA('1月'!$C38:$AG38)</f>
        <v>17</v>
      </c>
    </row>
    <row r="28" spans="2:34" ht="30" customHeight="1" x14ac:dyDescent="0.25">
      <c r="B28" s="20" t="s">
        <v>61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27">
        <f>COUNTA('1月'!$C39:$AG39)</f>
        <v>17</v>
      </c>
    </row>
    <row r="29" spans="2:34" ht="30" customHeight="1" x14ac:dyDescent="0.25">
      <c r="B29" s="20" t="s">
        <v>62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7">
        <f>COUNTA('1月'!$C40:$AG40)</f>
        <v>17</v>
      </c>
    </row>
    <row r="30" spans="2:34" ht="30" customHeight="1" x14ac:dyDescent="0.25">
      <c r="B30" s="21" t="str">
        <f>MonthName&amp;"集計"</f>
        <v>欠勤の種類キー集計</v>
      </c>
      <c r="C30" s="22">
        <f>SUBTOTAL(103,_3月_58[1])</f>
        <v>0</v>
      </c>
      <c r="D30" s="22">
        <f>SUBTOTAL(103,_3月_58[2])</f>
        <v>0</v>
      </c>
      <c r="E30" s="22">
        <f>SUBTOTAL(103,_3月_58[3])</f>
        <v>0</v>
      </c>
      <c r="F30" s="22">
        <f>SUBTOTAL(103,_3月_58[4])</f>
        <v>0</v>
      </c>
      <c r="G30" s="22">
        <f>SUBTOTAL(103,_3月_58[5])</f>
        <v>0</v>
      </c>
      <c r="H30" s="22">
        <f>SUBTOTAL(103,_3月_58[6])</f>
        <v>0</v>
      </c>
      <c r="I30" s="22">
        <f>SUBTOTAL(103,_3月_58[7])</f>
        <v>0</v>
      </c>
      <c r="J30" s="22">
        <f>SUBTOTAL(103,_3月_58[8])</f>
        <v>0</v>
      </c>
      <c r="K30" s="22">
        <f>SUBTOTAL(103,_3月_58[9])</f>
        <v>0</v>
      </c>
      <c r="L30" s="22">
        <f>SUBTOTAL(103,_3月_58[10])</f>
        <v>0</v>
      </c>
      <c r="M30" s="22">
        <f>SUBTOTAL(103,_3月_58[11])</f>
        <v>0</v>
      </c>
      <c r="N30" s="22">
        <f>SUBTOTAL(103,_3月_58[12])</f>
        <v>0</v>
      </c>
      <c r="O30" s="22">
        <f>SUBTOTAL(103,_3月_58[13])</f>
        <v>0</v>
      </c>
      <c r="P30" s="22">
        <f>SUBTOTAL(103,_3月_58[14])</f>
        <v>0</v>
      </c>
      <c r="Q30" s="22">
        <f>SUBTOTAL(103,_3月_58[15])</f>
        <v>0</v>
      </c>
      <c r="R30" s="22">
        <f>SUBTOTAL(103,_3月_58[16])</f>
        <v>0</v>
      </c>
      <c r="S30" s="22">
        <f>SUBTOTAL(103,_3月_58[17])</f>
        <v>0</v>
      </c>
      <c r="T30" s="22">
        <f>SUBTOTAL(103,_3月_58[18])</f>
        <v>0</v>
      </c>
      <c r="U30" s="22">
        <f>SUBTOTAL(103,_3月_58[19])</f>
        <v>0</v>
      </c>
      <c r="V30" s="22">
        <f>SUBTOTAL(103,_3月_58[20])</f>
        <v>0</v>
      </c>
      <c r="W30" s="22">
        <f>SUBTOTAL(103,_3月_58[21])</f>
        <v>0</v>
      </c>
      <c r="X30" s="22">
        <f>SUBTOTAL(103,_3月_58[22])</f>
        <v>0</v>
      </c>
      <c r="Y30" s="22">
        <f>SUBTOTAL(103,_3月_58[23])</f>
        <v>0</v>
      </c>
      <c r="Z30" s="22">
        <f>SUBTOTAL(103,_3月_58[24])</f>
        <v>0</v>
      </c>
      <c r="AA30" s="22">
        <f>SUBTOTAL(103,_3月_58[25])</f>
        <v>0</v>
      </c>
      <c r="AB30" s="22">
        <f>SUBTOTAL(103,_3月_58[26])</f>
        <v>0</v>
      </c>
      <c r="AC30" s="22">
        <f>SUBTOTAL(103,_3月_58[27])</f>
        <v>0</v>
      </c>
      <c r="AD30" s="22">
        <f>SUBTOTAL(103,_3月_58[28])</f>
        <v>0</v>
      </c>
      <c r="AE30" s="22">
        <f>SUBTOTAL(103,_3月_58[29])</f>
        <v>0</v>
      </c>
      <c r="AF30" s="22">
        <f>SUBTOTAL(109,_3月_58[30])</f>
        <v>0</v>
      </c>
      <c r="AG30" s="22">
        <f>SUBTOTAL(109,_3月_58[31])</f>
        <v>0</v>
      </c>
      <c r="AH30" s="22">
        <f>SUBTOTAL(109,_3月_58[合計日数])</f>
        <v>357</v>
      </c>
    </row>
  </sheetData>
  <mergeCells count="6">
    <mergeCell ref="C6:AG6"/>
    <mergeCell ref="D4:F4"/>
    <mergeCell ref="H4:J4"/>
    <mergeCell ref="L4:M4"/>
    <mergeCell ref="O4:Q4"/>
    <mergeCell ref="S4:U4"/>
  </mergeCells>
  <phoneticPr fontId="10"/>
  <conditionalFormatting sqref="C9:AG29">
    <cfRule type="expression" priority="1" stopIfTrue="1">
      <formula>C9=""</formula>
    </cfRule>
    <cfRule type="expression" dxfId="651" priority="2" stopIfTrue="1">
      <formula>C9=KeyCustom2</formula>
    </cfRule>
    <cfRule type="expression" dxfId="650" priority="3" stopIfTrue="1">
      <formula>C9=KeyCustom1</formula>
    </cfRule>
    <cfRule type="expression" dxfId="649" priority="4" stopIfTrue="1">
      <formula>C9=KeySick</formula>
    </cfRule>
    <cfRule type="expression" dxfId="648" priority="5" stopIfTrue="1">
      <formula>C9=KeyPersonal</formula>
    </cfRule>
    <cfRule type="expression" dxfId="647" priority="6" stopIfTrue="1">
      <formula>C9=KeyVacation</formula>
    </cfRule>
  </conditionalFormatting>
  <conditionalFormatting sqref="AH9:AH29">
    <cfRule type="dataBar" priority="7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{31E89225-464E-4AFD-8477-67AA572B71E9}</x14:id>
        </ext>
      </extLst>
    </cfRule>
  </conditionalFormatting>
  <dataValidations count="15">
    <dataValidation allowBlank="1" showInputMessage="1" showErrorMessage="1" prompt="この行の月の日付は、自動的に生成されます。従業員の欠勤と欠勤の種類を月の各日付の各列に入力します。空白は欠勤でないことを示します" sqref="C8" xr:uid="{335D4725-041B-2E47-BBA9-5D657DA932CD}"/>
    <dataValidation allowBlank="1" showInputMessage="1" showErrorMessage="1" prompt="左側にカスタム キーを表すラベルを入力します" sqref="O4:Q4 S4:U4" xr:uid="{F2F4B9BA-4CA6-A143-BE13-C064DBB63530}"/>
    <dataValidation allowBlank="1" showInputMessage="1" showErrorMessage="1" prompt="右側に文字を入力してラベルをカスタマイズし、別のキー項目を追加します" sqref="N4 R4" xr:uid="{CF766EB9-3E0D-684E-A12B-CB8F4BAD775E}"/>
    <dataValidation allowBlank="1" showInputMessage="1" showErrorMessage="1" prompt="文字 &quot;S&quot; は病欠を表します" sqref="K4" xr:uid="{3537E7A5-9E96-464A-B5FE-F2820F66FFBD}"/>
    <dataValidation allowBlank="1" showInputMessage="1" showErrorMessage="1" prompt="文字 &quot;P&quot; は私用による欠勤を表します" sqref="G4" xr:uid="{6ADF4CD3-D63B-E545-894D-A95EAB7AA9C6}"/>
    <dataValidation allowBlank="1" showInputMessage="1" showErrorMessage="1" prompt="文字 &quot;V&quot; は休暇のための欠勤を表します" sqref="C4" xr:uid="{71A4EE94-BDAB-1543-9622-ADA5E60EF442}"/>
    <dataValidation allowBlank="1" showInputMessage="1" showErrorMessage="1" prompt="自動的に更新されるタイトルが、このセルの内容です。タイトルを変更するには、1 月のワークシートの B1 を更新します" sqref="B2" xr:uid="{AF65042B-CFA9-EE45-B22D-BF607EFD23A2}"/>
    <dataValidation errorStyle="warning" allowBlank="1" showInputMessage="1" showErrorMessage="1" error="リストから名前を選択します。[キャンセル] を選択し、Alt キーを押しながら下方向キーを押してから、Enter キーを押して名前を選択します" prompt="従業員名ワークシートに従業員の名前を入力し、この列のリストから名前を選びます。Alt キーを押しながら下矢印キーを押して、Enter キーを押して名前を選択します" sqref="B8" xr:uid="{5151223E-F15A-CC42-BB59-D2CDBDCF3261}"/>
    <dataValidation allowBlank="1" showInputMessage="1" showErrorMessage="1" prompt="この列で、従業員の今月の欠勤日数の合計を自動的に計算します" sqref="AH8" xr:uid="{AA6AB7B7-5D91-F64F-B211-A848209375D2}"/>
    <dataValidation allowBlank="1" showInputMessage="1" showErrorMessage="1" prompt="1 月のワークシートに入力した年に基づいて自動的に更新される年" sqref="AH6" xr:uid="{B487DEDD-C1B1-7244-96C6-F378FEF21F51}"/>
    <dataValidation allowBlank="1" showInputMessage="1" showErrorMessage="1" prompt="この行の曜日は、AH4 の年に従い当月に応じて自動的に更新されます。月の各日付は、従業員の欠勤と欠勤の種類を記録するための列です" sqref="C7" xr:uid="{01F3DA31-27D6-FF4D-B48B-4013BF344DCF}"/>
    <dataValidation allowBlank="1" showInputMessage="1" showErrorMessage="1" prompt="このワークシートで 3 月の欠勤を管理します" sqref="A1" xr:uid="{13CF1C37-090E-F24B-AF68-CAE6199B19CC}"/>
    <dataValidation allowBlank="1" showInputMessage="1" showErrorMessage="1" prompt="このセルには、この欠勤管理の月の名前が入ります。テーブルの最後のセルには、この月の欠勤日数の合計が表示されます。テーブルの列 B で従業員名を選択します" sqref="B2" xr:uid="{B5AA8D04-FE35-8C4F-90FD-347160FC6301}"/>
    <dataValidation allowBlank="1" showInputMessage="1" showErrorMessage="1" prompt="この行には、テーブルで使用するキーが定義されています。セル C4 は休暇、G4 は私用、K4 は病欠です。セル N4 と R4 はカスタマイズ可能です" sqref="B4" xr:uid="{E5AF47AE-EACF-4382-8995-97EA4D653F4A}"/>
    <dataValidation allowBlank="1" showInputMessage="1" showErrorMessage="1" prompt="このセルには、ワークシートのタイトルが入ります。" sqref="B1" xr:uid="{4D27037E-22EB-41BF-ADB4-C8AA9DFC0B36}"/>
  </dataValidations>
  <pageMargins left="0.7" right="0.7" top="0.75" bottom="0.75" header="0.3" footer="0.3"/>
  <pageSetup paperSize="9" fitToHeight="0" orientation="portrait" verticalDpi="4294967293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E89225-464E-4AFD-8477-67AA572B71E9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AH9:AH29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4DD0123-194B-453E-B476-859346A85252}">
          <x14:formula1>
            <xm:f>従業員名!$B$4:$B$35</xm:f>
          </x14:formula1>
          <xm:sqref>B9:B29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7E73E-BBDA-489E-A37A-101979746DF2}">
  <sheetPr>
    <tabColor theme="7"/>
  </sheetPr>
  <dimension ref="B1:AH66"/>
  <sheetViews>
    <sheetView showGridLines="0" topLeftCell="A22" zoomScale="85" zoomScaleNormal="85" workbookViewId="0">
      <selection activeCell="F11" sqref="F11"/>
    </sheetView>
  </sheetViews>
  <sheetFormatPr defaultColWidth="8.77734375" defaultRowHeight="30" customHeight="1" x14ac:dyDescent="0.25"/>
  <cols>
    <col min="1" max="1" width="2.88671875" customWidth="1"/>
    <col min="2" max="2" width="25.77734375" customWidth="1"/>
    <col min="3" max="33" width="4.77734375" customWidth="1"/>
    <col min="34" max="34" width="13.44140625" customWidth="1"/>
    <col min="35" max="35" width="2.88671875" customWidth="1"/>
  </cols>
  <sheetData>
    <row r="1" spans="2:34" ht="26.45" customHeight="1" x14ac:dyDescent="0.35">
      <c r="B1" s="2" t="s">
        <v>0</v>
      </c>
    </row>
    <row r="2" spans="2:34" ht="48.6" customHeight="1" x14ac:dyDescent="0.25">
      <c r="B2" s="28" t="s">
        <v>169</v>
      </c>
    </row>
    <row r="3" spans="2:34" ht="8.4499999999999993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2:34" ht="30" customHeight="1" x14ac:dyDescent="0.25">
      <c r="B4" s="8" t="s">
        <v>2</v>
      </c>
      <c r="C4" s="9" t="s">
        <v>3</v>
      </c>
      <c r="D4" s="37" t="s">
        <v>4</v>
      </c>
      <c r="E4" s="37"/>
      <c r="F4" s="37"/>
      <c r="G4" s="10" t="s">
        <v>5</v>
      </c>
      <c r="H4" s="37" t="s">
        <v>6</v>
      </c>
      <c r="I4" s="37"/>
      <c r="J4" s="37"/>
      <c r="K4" s="11"/>
      <c r="L4" s="37"/>
      <c r="M4" s="37"/>
      <c r="N4" s="12"/>
      <c r="O4" s="37" t="s">
        <v>7</v>
      </c>
      <c r="P4" s="37"/>
      <c r="Q4" s="37"/>
      <c r="R4" s="13"/>
      <c r="S4" s="37" t="s">
        <v>8</v>
      </c>
      <c r="T4" s="37"/>
      <c r="U4" s="37"/>
    </row>
    <row r="5" spans="2:34" ht="8.4499999999999993" customHeight="1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2:34" ht="15" customHeight="1" x14ac:dyDescent="0.25">
      <c r="B6" s="1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15">
        <v>2025</v>
      </c>
    </row>
    <row r="7" spans="2:34" ht="30" customHeight="1" x14ac:dyDescent="0.25">
      <c r="B7" s="15"/>
      <c r="C7" s="16" t="str">
        <f>TEXT(WEEKDAY(DATE($AH$6,11,1),1),"aaa")</f>
        <v>土</v>
      </c>
      <c r="D7" s="16" t="str">
        <f>TEXT(WEEKDAY(DATE($AH$6,11,2),1),"aaa")</f>
        <v>日</v>
      </c>
      <c r="E7" s="16" t="str">
        <f>TEXT(WEEKDAY(DATE($AH$6,11,3),1),"aaa")</f>
        <v>月</v>
      </c>
      <c r="F7" s="16" t="str">
        <f>TEXT(WEEKDAY(DATE($AH$6,11,4),1),"aaa")</f>
        <v>火</v>
      </c>
      <c r="G7" s="16" t="str">
        <f>TEXT(WEEKDAY(DATE($AH$6,11,5),1),"aaa")</f>
        <v>水</v>
      </c>
      <c r="H7" s="16" t="str">
        <f>TEXT(WEEKDAY(DATE($AH$6,11,6),1),"aaa")</f>
        <v>木</v>
      </c>
      <c r="I7" s="16" t="str">
        <f>TEXT(WEEKDAY(DATE($AH$6,11,7),1),"aaa")</f>
        <v>金</v>
      </c>
      <c r="J7" s="16" t="str">
        <f>TEXT(WEEKDAY(DATE($AH$6,11,8),1),"aaa")</f>
        <v>土</v>
      </c>
      <c r="K7" s="16" t="str">
        <f>TEXT(WEEKDAY(DATE($AH$6,11,9),1),"aaa")</f>
        <v>日</v>
      </c>
      <c r="L7" s="16" t="str">
        <f>TEXT(WEEKDAY(DATE($AH$6,11,10),1),"aaa")</f>
        <v>月</v>
      </c>
      <c r="M7" s="16" t="str">
        <f>TEXT(WEEKDAY(DATE($AH$6,11,11),1),"aaa")</f>
        <v>火</v>
      </c>
      <c r="N7" s="16" t="str">
        <f>TEXT(WEEKDAY(DATE($AH$6,11,12),1),"aaa")</f>
        <v>水</v>
      </c>
      <c r="O7" s="16" t="str">
        <f>TEXT(WEEKDAY(DATE($AH$6,11,13),1),"aaa")</f>
        <v>木</v>
      </c>
      <c r="P7" s="16" t="str">
        <f>TEXT(WEEKDAY(DATE($AH$6,11,14),1),"aaa")</f>
        <v>金</v>
      </c>
      <c r="Q7" s="16" t="str">
        <f>TEXT(WEEKDAY(DATE($AH$6,11,15),1),"aaa")</f>
        <v>土</v>
      </c>
      <c r="R7" s="16" t="str">
        <f>TEXT(WEEKDAY(DATE($AH$6,11,16),1),"aaa")</f>
        <v>日</v>
      </c>
      <c r="S7" s="16" t="str">
        <f>TEXT(WEEKDAY(DATE($AH$6,11,17),1),"aaa")</f>
        <v>月</v>
      </c>
      <c r="T7" s="16" t="str">
        <f>TEXT(WEEKDAY(DATE($AH$6,11,18),1),"aaa")</f>
        <v>火</v>
      </c>
      <c r="U7" s="16" t="str">
        <f>TEXT(WEEKDAY(DATE($AH$6,11,19),1),"aaa")</f>
        <v>水</v>
      </c>
      <c r="V7" s="16" t="str">
        <f>TEXT(WEEKDAY(DATE($AH$6,11,20),1),"aaa")</f>
        <v>木</v>
      </c>
      <c r="W7" s="16" t="str">
        <f>TEXT(WEEKDAY(DATE($AH$6,11,21),1),"aaa")</f>
        <v>金</v>
      </c>
      <c r="X7" s="16" t="str">
        <f>TEXT(WEEKDAY(DATE($AH$6,11,22),1),"aaa")</f>
        <v>土</v>
      </c>
      <c r="Y7" s="16" t="str">
        <f>TEXT(WEEKDAY(DATE($AH$6,11,23),1),"aaa")</f>
        <v>日</v>
      </c>
      <c r="Z7" s="16" t="str">
        <f>TEXT(WEEKDAY(DATE($AH$6,11,24),1),"aaa")</f>
        <v>月</v>
      </c>
      <c r="AA7" s="16" t="str">
        <f>TEXT(WEEKDAY(DATE($AH$6,11,25),1),"aaa")</f>
        <v>火</v>
      </c>
      <c r="AB7" s="16" t="str">
        <f>TEXT(WEEKDAY(DATE($AH$6,11,26),1),"aaa")</f>
        <v>水</v>
      </c>
      <c r="AC7" s="16" t="str">
        <f>TEXT(WEEKDAY(DATE($AH$6,11,27),1),"aaa")</f>
        <v>木</v>
      </c>
      <c r="AD7" s="16" t="str">
        <f>TEXT(WEEKDAY(DATE($AH$6,11,28),1),"aaa")</f>
        <v>金</v>
      </c>
      <c r="AE7" s="16" t="str">
        <f>TEXT(WEEKDAY(DATE($AH$6,11,29),1),"aaa")</f>
        <v>土</v>
      </c>
      <c r="AF7" s="16" t="str">
        <f>TEXT(WEEKDAY(DATE($AH$6,11,30),1),"aaa")</f>
        <v>日</v>
      </c>
      <c r="AG7" s="16"/>
      <c r="AH7" s="15"/>
    </row>
    <row r="8" spans="2:34" ht="30" customHeight="1" x14ac:dyDescent="0.25">
      <c r="B8" s="17" t="s">
        <v>9</v>
      </c>
      <c r="C8" s="18" t="s">
        <v>10</v>
      </c>
      <c r="D8" s="18" t="s">
        <v>11</v>
      </c>
      <c r="E8" s="18" t="s">
        <v>12</v>
      </c>
      <c r="F8" s="18" t="s">
        <v>13</v>
      </c>
      <c r="G8" s="18" t="s">
        <v>14</v>
      </c>
      <c r="H8" s="18" t="s">
        <v>15</v>
      </c>
      <c r="I8" s="18" t="s">
        <v>16</v>
      </c>
      <c r="J8" s="18" t="s">
        <v>17</v>
      </c>
      <c r="K8" s="18" t="s">
        <v>18</v>
      </c>
      <c r="L8" s="18" t="s">
        <v>19</v>
      </c>
      <c r="M8" s="18" t="s">
        <v>20</v>
      </c>
      <c r="N8" s="18" t="s">
        <v>21</v>
      </c>
      <c r="O8" s="18" t="s">
        <v>22</v>
      </c>
      <c r="P8" s="18" t="s">
        <v>23</v>
      </c>
      <c r="Q8" s="18" t="s">
        <v>24</v>
      </c>
      <c r="R8" s="18" t="s">
        <v>25</v>
      </c>
      <c r="S8" s="18" t="s">
        <v>26</v>
      </c>
      <c r="T8" s="18" t="s">
        <v>27</v>
      </c>
      <c r="U8" s="18" t="s">
        <v>28</v>
      </c>
      <c r="V8" s="18" t="s">
        <v>29</v>
      </c>
      <c r="W8" s="18" t="s">
        <v>30</v>
      </c>
      <c r="X8" s="18" t="s">
        <v>31</v>
      </c>
      <c r="Y8" s="18" t="s">
        <v>32</v>
      </c>
      <c r="Z8" s="18" t="s">
        <v>33</v>
      </c>
      <c r="AA8" s="18" t="s">
        <v>34</v>
      </c>
      <c r="AB8" s="18" t="s">
        <v>35</v>
      </c>
      <c r="AC8" s="18" t="s">
        <v>36</v>
      </c>
      <c r="AD8" s="18" t="s">
        <v>37</v>
      </c>
      <c r="AE8" s="18" t="s">
        <v>38</v>
      </c>
      <c r="AF8" s="18" t="s">
        <v>39</v>
      </c>
      <c r="AG8" s="18" t="s">
        <v>40</v>
      </c>
      <c r="AH8" s="19" t="s">
        <v>41</v>
      </c>
    </row>
    <row r="9" spans="2:34" ht="30" customHeight="1" x14ac:dyDescent="0.25">
      <c r="B9" s="20" t="s">
        <v>75</v>
      </c>
      <c r="C9" s="18"/>
      <c r="D9" s="18"/>
      <c r="E9" s="18"/>
      <c r="F9" s="18" t="s">
        <v>66</v>
      </c>
      <c r="G9" s="18" t="s">
        <v>66</v>
      </c>
      <c r="H9" s="18" t="s">
        <v>66</v>
      </c>
      <c r="I9" s="18" t="s">
        <v>66</v>
      </c>
      <c r="J9" s="18" t="s">
        <v>66</v>
      </c>
      <c r="K9" s="18" t="s">
        <v>66</v>
      </c>
      <c r="L9" s="18" t="s">
        <v>66</v>
      </c>
      <c r="M9" s="18" t="s">
        <v>168</v>
      </c>
      <c r="N9" s="18" t="s">
        <v>168</v>
      </c>
      <c r="O9" s="18" t="s">
        <v>168</v>
      </c>
      <c r="P9" s="18" t="s">
        <v>168</v>
      </c>
      <c r="Q9" s="18" t="s">
        <v>168</v>
      </c>
      <c r="R9" s="18" t="s">
        <v>168</v>
      </c>
      <c r="S9" s="18" t="s">
        <v>168</v>
      </c>
      <c r="T9" s="18" t="s">
        <v>168</v>
      </c>
      <c r="U9" s="18" t="s">
        <v>168</v>
      </c>
      <c r="V9" s="18" t="s">
        <v>168</v>
      </c>
      <c r="W9" s="18" t="s">
        <v>168</v>
      </c>
      <c r="X9" s="18" t="s">
        <v>168</v>
      </c>
      <c r="Y9" s="18" t="s">
        <v>168</v>
      </c>
      <c r="Z9" s="18" t="s">
        <v>168</v>
      </c>
      <c r="AA9" s="18" t="s">
        <v>168</v>
      </c>
      <c r="AB9" s="18" t="s">
        <v>168</v>
      </c>
      <c r="AC9" s="18" t="s">
        <v>168</v>
      </c>
      <c r="AD9" s="18" t="s">
        <v>168</v>
      </c>
      <c r="AE9" s="18" t="s">
        <v>168</v>
      </c>
      <c r="AF9" s="18" t="s">
        <v>168</v>
      </c>
      <c r="AG9" s="18" t="s">
        <v>168</v>
      </c>
      <c r="AH9" s="27">
        <f>COUNTA('25年11月'!$C9:$AG9)</f>
        <v>28</v>
      </c>
    </row>
    <row r="10" spans="2:34" ht="30" customHeight="1" x14ac:dyDescent="0.25">
      <c r="B10" s="20" t="s">
        <v>76</v>
      </c>
      <c r="C10" s="18"/>
      <c r="D10" s="18"/>
      <c r="E10" s="18"/>
      <c r="F10" s="18" t="s">
        <v>66</v>
      </c>
      <c r="G10" s="18" t="s">
        <v>66</v>
      </c>
      <c r="H10" s="18" t="s">
        <v>66</v>
      </c>
      <c r="I10" s="18" t="s">
        <v>66</v>
      </c>
      <c r="J10" s="18" t="s">
        <v>66</v>
      </c>
      <c r="K10" s="18" t="s">
        <v>66</v>
      </c>
      <c r="L10" s="18" t="s">
        <v>66</v>
      </c>
      <c r="M10" s="18" t="s">
        <v>168</v>
      </c>
      <c r="N10" s="18" t="s">
        <v>168</v>
      </c>
      <c r="O10" s="18" t="s">
        <v>168</v>
      </c>
      <c r="P10" s="18" t="s">
        <v>168</v>
      </c>
      <c r="Q10" s="18" t="s">
        <v>168</v>
      </c>
      <c r="R10" s="18" t="s">
        <v>168</v>
      </c>
      <c r="S10" s="18" t="s">
        <v>168</v>
      </c>
      <c r="T10" s="18" t="s">
        <v>168</v>
      </c>
      <c r="U10" s="18" t="s">
        <v>168</v>
      </c>
      <c r="V10" s="18" t="s">
        <v>168</v>
      </c>
      <c r="W10" s="18" t="s">
        <v>168</v>
      </c>
      <c r="X10" s="18" t="s">
        <v>168</v>
      </c>
      <c r="Y10" s="18" t="s">
        <v>168</v>
      </c>
      <c r="Z10" s="18" t="s">
        <v>168</v>
      </c>
      <c r="AA10" s="18" t="s">
        <v>168</v>
      </c>
      <c r="AB10" s="18" t="s">
        <v>168</v>
      </c>
      <c r="AC10" s="18" t="s">
        <v>168</v>
      </c>
      <c r="AD10" s="18" t="s">
        <v>168</v>
      </c>
      <c r="AE10" s="18" t="s">
        <v>168</v>
      </c>
      <c r="AF10" s="18" t="s">
        <v>168</v>
      </c>
      <c r="AG10" s="18" t="s">
        <v>168</v>
      </c>
      <c r="AH10" s="27">
        <f>COUNTA('25年11月'!$C10:$AG10)</f>
        <v>28</v>
      </c>
    </row>
    <row r="11" spans="2:34" ht="30" customHeight="1" x14ac:dyDescent="0.25">
      <c r="B11" s="20" t="s">
        <v>77</v>
      </c>
      <c r="C11" s="18"/>
      <c r="D11" s="18"/>
      <c r="E11" s="18"/>
      <c r="F11" s="18" t="s">
        <v>66</v>
      </c>
      <c r="G11" s="18" t="s">
        <v>66</v>
      </c>
      <c r="H11" s="18" t="s">
        <v>66</v>
      </c>
      <c r="I11" s="18" t="s">
        <v>66</v>
      </c>
      <c r="J11" s="18" t="s">
        <v>66</v>
      </c>
      <c r="K11" s="18" t="s">
        <v>66</v>
      </c>
      <c r="L11" s="18" t="s">
        <v>66</v>
      </c>
      <c r="M11" s="18" t="s">
        <v>168</v>
      </c>
      <c r="N11" s="18" t="s">
        <v>168</v>
      </c>
      <c r="O11" s="18" t="s">
        <v>168</v>
      </c>
      <c r="P11" s="18" t="s">
        <v>168</v>
      </c>
      <c r="Q11" s="18" t="s">
        <v>168</v>
      </c>
      <c r="R11" s="18" t="s">
        <v>168</v>
      </c>
      <c r="S11" s="18" t="s">
        <v>168</v>
      </c>
      <c r="T11" s="18" t="s">
        <v>168</v>
      </c>
      <c r="U11" s="18" t="s">
        <v>168</v>
      </c>
      <c r="V11" s="18" t="s">
        <v>168</v>
      </c>
      <c r="W11" s="18" t="s">
        <v>168</v>
      </c>
      <c r="X11" s="18" t="s">
        <v>168</v>
      </c>
      <c r="Y11" s="18" t="s">
        <v>168</v>
      </c>
      <c r="Z11" s="18" t="s">
        <v>168</v>
      </c>
      <c r="AA11" s="18" t="s">
        <v>168</v>
      </c>
      <c r="AB11" s="18" t="s">
        <v>168</v>
      </c>
      <c r="AC11" s="18" t="s">
        <v>168</v>
      </c>
      <c r="AD11" s="18" t="s">
        <v>168</v>
      </c>
      <c r="AE11" s="18" t="s">
        <v>168</v>
      </c>
      <c r="AF11" s="18" t="s">
        <v>168</v>
      </c>
      <c r="AG11" s="18" t="s">
        <v>168</v>
      </c>
      <c r="AH11" s="27">
        <f>COUNTA('25年11月'!$C11:$AG11)</f>
        <v>28</v>
      </c>
    </row>
    <row r="12" spans="2:34" ht="30" customHeight="1" x14ac:dyDescent="0.25">
      <c r="B12" s="20" t="s">
        <v>78</v>
      </c>
      <c r="C12" s="18"/>
      <c r="D12" s="18"/>
      <c r="E12" s="18"/>
      <c r="F12" s="18" t="s">
        <v>66</v>
      </c>
      <c r="G12" s="18" t="s">
        <v>66</v>
      </c>
      <c r="H12" s="18" t="s">
        <v>66</v>
      </c>
      <c r="I12" s="18" t="s">
        <v>66</v>
      </c>
      <c r="J12" s="18" t="s">
        <v>66</v>
      </c>
      <c r="K12" s="18" t="s">
        <v>66</v>
      </c>
      <c r="L12" s="18" t="s">
        <v>66</v>
      </c>
      <c r="M12" s="18" t="s">
        <v>168</v>
      </c>
      <c r="N12" s="18" t="s">
        <v>168</v>
      </c>
      <c r="O12" s="18" t="s">
        <v>168</v>
      </c>
      <c r="P12" s="18" t="s">
        <v>168</v>
      </c>
      <c r="Q12" s="18" t="s">
        <v>168</v>
      </c>
      <c r="R12" s="18" t="s">
        <v>168</v>
      </c>
      <c r="S12" s="18" t="s">
        <v>168</v>
      </c>
      <c r="T12" s="18" t="s">
        <v>168</v>
      </c>
      <c r="U12" s="18" t="s">
        <v>168</v>
      </c>
      <c r="V12" s="18" t="s">
        <v>168</v>
      </c>
      <c r="W12" s="18" t="s">
        <v>168</v>
      </c>
      <c r="X12" s="18" t="s">
        <v>168</v>
      </c>
      <c r="Y12" s="18" t="s">
        <v>168</v>
      </c>
      <c r="Z12" s="18" t="s">
        <v>168</v>
      </c>
      <c r="AA12" s="18" t="s">
        <v>168</v>
      </c>
      <c r="AB12" s="18" t="s">
        <v>168</v>
      </c>
      <c r="AC12" s="18" t="s">
        <v>168</v>
      </c>
      <c r="AD12" s="18" t="s">
        <v>168</v>
      </c>
      <c r="AE12" s="18" t="s">
        <v>168</v>
      </c>
      <c r="AF12" s="18" t="s">
        <v>168</v>
      </c>
      <c r="AG12" s="18" t="s">
        <v>168</v>
      </c>
      <c r="AH12" s="27">
        <f>COUNTA('25年11月'!$C12:$AG12)</f>
        <v>28</v>
      </c>
    </row>
    <row r="13" spans="2:34" ht="30" customHeight="1" x14ac:dyDescent="0.25">
      <c r="B13" s="20" t="s">
        <v>79</v>
      </c>
      <c r="C13" s="18"/>
      <c r="D13" s="18"/>
      <c r="E13" s="18"/>
      <c r="F13" s="18" t="s">
        <v>66</v>
      </c>
      <c r="G13" s="18" t="s">
        <v>66</v>
      </c>
      <c r="H13" s="18" t="s">
        <v>66</v>
      </c>
      <c r="I13" s="18" t="s">
        <v>66</v>
      </c>
      <c r="J13" s="18" t="s">
        <v>66</v>
      </c>
      <c r="K13" s="18" t="s">
        <v>66</v>
      </c>
      <c r="L13" s="18" t="s">
        <v>66</v>
      </c>
      <c r="M13" s="18" t="s">
        <v>168</v>
      </c>
      <c r="N13" s="18" t="s">
        <v>168</v>
      </c>
      <c r="O13" s="18" t="s">
        <v>168</v>
      </c>
      <c r="P13" s="18" t="s">
        <v>168</v>
      </c>
      <c r="Q13" s="18" t="s">
        <v>168</v>
      </c>
      <c r="R13" s="18" t="s">
        <v>168</v>
      </c>
      <c r="S13" s="18" t="s">
        <v>168</v>
      </c>
      <c r="T13" s="18" t="s">
        <v>168</v>
      </c>
      <c r="U13" s="18" t="s">
        <v>168</v>
      </c>
      <c r="V13" s="18" t="s">
        <v>168</v>
      </c>
      <c r="W13" s="18" t="s">
        <v>168</v>
      </c>
      <c r="X13" s="18" t="s">
        <v>168</v>
      </c>
      <c r="Y13" s="18" t="s">
        <v>168</v>
      </c>
      <c r="Z13" s="18" t="s">
        <v>168</v>
      </c>
      <c r="AA13" s="18" t="s">
        <v>168</v>
      </c>
      <c r="AB13" s="18" t="s">
        <v>168</v>
      </c>
      <c r="AC13" s="18" t="s">
        <v>168</v>
      </c>
      <c r="AD13" s="18" t="s">
        <v>168</v>
      </c>
      <c r="AE13" s="18" t="s">
        <v>168</v>
      </c>
      <c r="AF13" s="18" t="s">
        <v>168</v>
      </c>
      <c r="AG13" s="18" t="s">
        <v>168</v>
      </c>
      <c r="AH13" s="27">
        <f>COUNTA('25年11月'!$C13:$AG13)</f>
        <v>28</v>
      </c>
    </row>
    <row r="14" spans="2:34" ht="30" customHeight="1" x14ac:dyDescent="0.25">
      <c r="B14" s="20" t="s">
        <v>80</v>
      </c>
      <c r="C14" s="18"/>
      <c r="D14" s="18"/>
      <c r="E14" s="18"/>
      <c r="F14" s="18" t="s">
        <v>66</v>
      </c>
      <c r="G14" s="18" t="s">
        <v>66</v>
      </c>
      <c r="H14" s="18" t="s">
        <v>66</v>
      </c>
      <c r="I14" s="18" t="s">
        <v>66</v>
      </c>
      <c r="J14" s="18" t="s">
        <v>66</v>
      </c>
      <c r="K14" s="18" t="s">
        <v>66</v>
      </c>
      <c r="L14" s="18" t="s">
        <v>66</v>
      </c>
      <c r="M14" s="18" t="s">
        <v>168</v>
      </c>
      <c r="N14" s="18" t="s">
        <v>168</v>
      </c>
      <c r="O14" s="18" t="s">
        <v>168</v>
      </c>
      <c r="P14" s="18" t="s">
        <v>168</v>
      </c>
      <c r="Q14" s="18" t="s">
        <v>168</v>
      </c>
      <c r="R14" s="18" t="s">
        <v>168</v>
      </c>
      <c r="S14" s="18" t="s">
        <v>168</v>
      </c>
      <c r="T14" s="18" t="s">
        <v>168</v>
      </c>
      <c r="U14" s="18" t="s">
        <v>168</v>
      </c>
      <c r="V14" s="18" t="s">
        <v>168</v>
      </c>
      <c r="W14" s="18" t="s">
        <v>168</v>
      </c>
      <c r="X14" s="18" t="s">
        <v>168</v>
      </c>
      <c r="Y14" s="18" t="s">
        <v>168</v>
      </c>
      <c r="Z14" s="18" t="s">
        <v>168</v>
      </c>
      <c r="AA14" s="18" t="s">
        <v>168</v>
      </c>
      <c r="AB14" s="18" t="s">
        <v>168</v>
      </c>
      <c r="AC14" s="18" t="s">
        <v>168</v>
      </c>
      <c r="AD14" s="18" t="s">
        <v>168</v>
      </c>
      <c r="AE14" s="18" t="s">
        <v>168</v>
      </c>
      <c r="AF14" s="18" t="s">
        <v>168</v>
      </c>
      <c r="AG14" s="18" t="s">
        <v>168</v>
      </c>
      <c r="AH14" s="27">
        <f>COUNTA('25年11月'!$C14:$AG14)</f>
        <v>28</v>
      </c>
    </row>
    <row r="15" spans="2:34" ht="30" customHeight="1" x14ac:dyDescent="0.25">
      <c r="B15" s="20" t="s">
        <v>81</v>
      </c>
      <c r="C15" s="18"/>
      <c r="D15" s="18"/>
      <c r="E15" s="18"/>
      <c r="F15" s="18" t="s">
        <v>66</v>
      </c>
      <c r="G15" s="18" t="s">
        <v>66</v>
      </c>
      <c r="H15" s="18" t="s">
        <v>66</v>
      </c>
      <c r="I15" s="18" t="s">
        <v>66</v>
      </c>
      <c r="J15" s="18" t="s">
        <v>66</v>
      </c>
      <c r="K15" s="18" t="s">
        <v>66</v>
      </c>
      <c r="L15" s="18" t="s">
        <v>66</v>
      </c>
      <c r="M15" s="18" t="s">
        <v>168</v>
      </c>
      <c r="N15" s="18" t="s">
        <v>168</v>
      </c>
      <c r="O15" s="18" t="s">
        <v>168</v>
      </c>
      <c r="P15" s="18" t="s">
        <v>168</v>
      </c>
      <c r="Q15" s="18" t="s">
        <v>168</v>
      </c>
      <c r="R15" s="18" t="s">
        <v>168</v>
      </c>
      <c r="S15" s="18" t="s">
        <v>168</v>
      </c>
      <c r="T15" s="18" t="s">
        <v>168</v>
      </c>
      <c r="U15" s="18" t="s">
        <v>168</v>
      </c>
      <c r="V15" s="18" t="s">
        <v>168</v>
      </c>
      <c r="W15" s="18" t="s">
        <v>168</v>
      </c>
      <c r="X15" s="18" t="s">
        <v>168</v>
      </c>
      <c r="Y15" s="18" t="s">
        <v>168</v>
      </c>
      <c r="Z15" s="18" t="s">
        <v>168</v>
      </c>
      <c r="AA15" s="18" t="s">
        <v>168</v>
      </c>
      <c r="AB15" s="18" t="s">
        <v>168</v>
      </c>
      <c r="AC15" s="18" t="s">
        <v>168</v>
      </c>
      <c r="AD15" s="18" t="s">
        <v>168</v>
      </c>
      <c r="AE15" s="18" t="s">
        <v>168</v>
      </c>
      <c r="AF15" s="18" t="s">
        <v>168</v>
      </c>
      <c r="AG15" s="18" t="s">
        <v>168</v>
      </c>
      <c r="AH15" s="27">
        <f>COUNTA('25年11月'!$C15:$AG15)</f>
        <v>28</v>
      </c>
    </row>
    <row r="16" spans="2:34" ht="30" customHeight="1" x14ac:dyDescent="0.25">
      <c r="B16" s="20" t="s">
        <v>82</v>
      </c>
      <c r="C16" s="18"/>
      <c r="D16" s="18"/>
      <c r="E16" s="18"/>
      <c r="F16" s="18" t="s">
        <v>66</v>
      </c>
      <c r="G16" s="18" t="s">
        <v>66</v>
      </c>
      <c r="H16" s="18" t="s">
        <v>66</v>
      </c>
      <c r="I16" s="18" t="s">
        <v>66</v>
      </c>
      <c r="J16" s="18" t="s">
        <v>66</v>
      </c>
      <c r="K16" s="18" t="s">
        <v>66</v>
      </c>
      <c r="L16" s="18" t="s">
        <v>66</v>
      </c>
      <c r="M16" s="18" t="s">
        <v>168</v>
      </c>
      <c r="N16" s="18" t="s">
        <v>168</v>
      </c>
      <c r="O16" s="18" t="s">
        <v>168</v>
      </c>
      <c r="P16" s="18" t="s">
        <v>168</v>
      </c>
      <c r="Q16" s="18" t="s">
        <v>168</v>
      </c>
      <c r="R16" s="18" t="s">
        <v>168</v>
      </c>
      <c r="S16" s="18" t="s">
        <v>168</v>
      </c>
      <c r="T16" s="18" t="s">
        <v>168</v>
      </c>
      <c r="U16" s="18" t="s">
        <v>168</v>
      </c>
      <c r="V16" s="18" t="s">
        <v>168</v>
      </c>
      <c r="W16" s="18" t="s">
        <v>168</v>
      </c>
      <c r="X16" s="18" t="s">
        <v>168</v>
      </c>
      <c r="Y16" s="18" t="s">
        <v>168</v>
      </c>
      <c r="Z16" s="18" t="s">
        <v>168</v>
      </c>
      <c r="AA16" s="18" t="s">
        <v>168</v>
      </c>
      <c r="AB16" s="18" t="s">
        <v>168</v>
      </c>
      <c r="AC16" s="18" t="s">
        <v>168</v>
      </c>
      <c r="AD16" s="18" t="s">
        <v>168</v>
      </c>
      <c r="AE16" s="18" t="s">
        <v>168</v>
      </c>
      <c r="AF16" s="18" t="s">
        <v>168</v>
      </c>
      <c r="AG16" s="18" t="s">
        <v>168</v>
      </c>
      <c r="AH16" s="27">
        <f>COUNTA('25年11月'!$C16:$AG16)</f>
        <v>28</v>
      </c>
    </row>
    <row r="17" spans="2:34" ht="30" customHeight="1" x14ac:dyDescent="0.25">
      <c r="B17" s="20" t="s">
        <v>83</v>
      </c>
      <c r="C17" s="18"/>
      <c r="D17" s="18"/>
      <c r="E17" s="18"/>
      <c r="F17" s="18" t="s">
        <v>66</v>
      </c>
      <c r="G17" s="18" t="s">
        <v>66</v>
      </c>
      <c r="H17" s="18" t="s">
        <v>66</v>
      </c>
      <c r="I17" s="18" t="s">
        <v>66</v>
      </c>
      <c r="J17" s="18" t="s">
        <v>66</v>
      </c>
      <c r="K17" s="18" t="s">
        <v>66</v>
      </c>
      <c r="L17" s="18" t="s">
        <v>66</v>
      </c>
      <c r="M17" s="18" t="s">
        <v>168</v>
      </c>
      <c r="N17" s="18" t="s">
        <v>168</v>
      </c>
      <c r="O17" s="18" t="s">
        <v>168</v>
      </c>
      <c r="P17" s="18" t="s">
        <v>168</v>
      </c>
      <c r="Q17" s="18" t="s">
        <v>168</v>
      </c>
      <c r="R17" s="18" t="s">
        <v>168</v>
      </c>
      <c r="S17" s="18" t="s">
        <v>168</v>
      </c>
      <c r="T17" s="18" t="s">
        <v>168</v>
      </c>
      <c r="U17" s="18" t="s">
        <v>168</v>
      </c>
      <c r="V17" s="18" t="s">
        <v>168</v>
      </c>
      <c r="W17" s="18" t="s">
        <v>168</v>
      </c>
      <c r="X17" s="18" t="s">
        <v>168</v>
      </c>
      <c r="Y17" s="18" t="s">
        <v>168</v>
      </c>
      <c r="Z17" s="18" t="s">
        <v>168</v>
      </c>
      <c r="AA17" s="18" t="s">
        <v>168</v>
      </c>
      <c r="AB17" s="18" t="s">
        <v>168</v>
      </c>
      <c r="AC17" s="18" t="s">
        <v>168</v>
      </c>
      <c r="AD17" s="18" t="s">
        <v>168</v>
      </c>
      <c r="AE17" s="18" t="s">
        <v>168</v>
      </c>
      <c r="AF17" s="18" t="s">
        <v>168</v>
      </c>
      <c r="AG17" s="18" t="s">
        <v>168</v>
      </c>
      <c r="AH17" s="27">
        <f>COUNTA('25年11月'!$C17:$AG17)</f>
        <v>28</v>
      </c>
    </row>
    <row r="18" spans="2:34" ht="30" customHeight="1" x14ac:dyDescent="0.25">
      <c r="B18" s="20" t="s">
        <v>84</v>
      </c>
      <c r="C18" s="18"/>
      <c r="D18" s="18"/>
      <c r="E18" s="18"/>
      <c r="F18" s="18" t="s">
        <v>66</v>
      </c>
      <c r="G18" s="18" t="s">
        <v>66</v>
      </c>
      <c r="H18" s="18" t="s">
        <v>66</v>
      </c>
      <c r="I18" s="18" t="s">
        <v>66</v>
      </c>
      <c r="J18" s="18" t="s">
        <v>66</v>
      </c>
      <c r="K18" s="18" t="s">
        <v>66</v>
      </c>
      <c r="L18" s="18" t="s">
        <v>66</v>
      </c>
      <c r="M18" s="18" t="s">
        <v>168</v>
      </c>
      <c r="N18" s="18" t="s">
        <v>168</v>
      </c>
      <c r="O18" s="18" t="s">
        <v>168</v>
      </c>
      <c r="P18" s="18" t="s">
        <v>168</v>
      </c>
      <c r="Q18" s="18" t="s">
        <v>168</v>
      </c>
      <c r="R18" s="18" t="s">
        <v>168</v>
      </c>
      <c r="S18" s="18" t="s">
        <v>168</v>
      </c>
      <c r="T18" s="18" t="s">
        <v>168</v>
      </c>
      <c r="U18" s="18" t="s">
        <v>168</v>
      </c>
      <c r="V18" s="18" t="s">
        <v>168</v>
      </c>
      <c r="W18" s="18" t="s">
        <v>168</v>
      </c>
      <c r="X18" s="18" t="s">
        <v>168</v>
      </c>
      <c r="Y18" s="18" t="s">
        <v>168</v>
      </c>
      <c r="Z18" s="18" t="s">
        <v>168</v>
      </c>
      <c r="AA18" s="18" t="s">
        <v>168</v>
      </c>
      <c r="AB18" s="18" t="s">
        <v>168</v>
      </c>
      <c r="AC18" s="18" t="s">
        <v>168</v>
      </c>
      <c r="AD18" s="18" t="s">
        <v>168</v>
      </c>
      <c r="AE18" s="18" t="s">
        <v>168</v>
      </c>
      <c r="AF18" s="18" t="s">
        <v>168</v>
      </c>
      <c r="AG18" s="18" t="s">
        <v>168</v>
      </c>
      <c r="AH18" s="27">
        <f>COUNTA('25年11月'!$C18:$AG18)</f>
        <v>28</v>
      </c>
    </row>
    <row r="19" spans="2:34" ht="30" customHeight="1" x14ac:dyDescent="0.25">
      <c r="B19" s="20" t="s">
        <v>85</v>
      </c>
      <c r="C19" s="18"/>
      <c r="D19" s="18"/>
      <c r="E19" s="18"/>
      <c r="F19" s="18" t="s">
        <v>66</v>
      </c>
      <c r="G19" s="18" t="s">
        <v>66</v>
      </c>
      <c r="H19" s="18" t="s">
        <v>66</v>
      </c>
      <c r="I19" s="18" t="s">
        <v>66</v>
      </c>
      <c r="J19" s="18" t="s">
        <v>66</v>
      </c>
      <c r="K19" s="18" t="s">
        <v>66</v>
      </c>
      <c r="L19" s="18" t="s">
        <v>66</v>
      </c>
      <c r="M19" s="18" t="s">
        <v>168</v>
      </c>
      <c r="N19" s="18" t="s">
        <v>168</v>
      </c>
      <c r="O19" s="18" t="s">
        <v>168</v>
      </c>
      <c r="P19" s="18" t="s">
        <v>168</v>
      </c>
      <c r="Q19" s="18" t="s">
        <v>168</v>
      </c>
      <c r="R19" s="18" t="s">
        <v>168</v>
      </c>
      <c r="S19" s="18" t="s">
        <v>168</v>
      </c>
      <c r="T19" s="18" t="s">
        <v>168</v>
      </c>
      <c r="U19" s="18" t="s">
        <v>168</v>
      </c>
      <c r="V19" s="18" t="s">
        <v>168</v>
      </c>
      <c r="W19" s="18" t="s">
        <v>168</v>
      </c>
      <c r="X19" s="18" t="s">
        <v>168</v>
      </c>
      <c r="Y19" s="18" t="s">
        <v>168</v>
      </c>
      <c r="Z19" s="18" t="s">
        <v>168</v>
      </c>
      <c r="AA19" s="18" t="s">
        <v>168</v>
      </c>
      <c r="AB19" s="18" t="s">
        <v>168</v>
      </c>
      <c r="AC19" s="18" t="s">
        <v>168</v>
      </c>
      <c r="AD19" s="18" t="s">
        <v>168</v>
      </c>
      <c r="AE19" s="18" t="s">
        <v>168</v>
      </c>
      <c r="AF19" s="18" t="s">
        <v>168</v>
      </c>
      <c r="AG19" s="18" t="s">
        <v>168</v>
      </c>
      <c r="AH19" s="27">
        <f>COUNTA('25年11月'!$C19:$AG19)</f>
        <v>28</v>
      </c>
    </row>
    <row r="20" spans="2:34" ht="30" customHeight="1" x14ac:dyDescent="0.25">
      <c r="B20" s="31" t="s">
        <v>86</v>
      </c>
      <c r="C20" s="18" t="s">
        <v>168</v>
      </c>
      <c r="D20" s="18" t="s">
        <v>168</v>
      </c>
      <c r="E20" s="18" t="s">
        <v>168</v>
      </c>
      <c r="F20" s="18" t="s">
        <v>168</v>
      </c>
      <c r="G20" s="18" t="s">
        <v>168</v>
      </c>
      <c r="H20" s="18" t="s">
        <v>168</v>
      </c>
      <c r="I20" s="18" t="s">
        <v>168</v>
      </c>
      <c r="J20" s="18" t="s">
        <v>168</v>
      </c>
      <c r="K20" s="18" t="s">
        <v>168</v>
      </c>
      <c r="L20" s="18" t="s">
        <v>168</v>
      </c>
      <c r="M20" s="18" t="s">
        <v>168</v>
      </c>
      <c r="N20" s="18" t="s">
        <v>168</v>
      </c>
      <c r="O20" s="18" t="s">
        <v>168</v>
      </c>
      <c r="P20" s="18" t="s">
        <v>168</v>
      </c>
      <c r="Q20" s="18" t="s">
        <v>168</v>
      </c>
      <c r="R20" s="18" t="s">
        <v>168</v>
      </c>
      <c r="S20" s="18" t="s">
        <v>168</v>
      </c>
      <c r="T20" s="18" t="s">
        <v>168</v>
      </c>
      <c r="U20" s="18" t="s">
        <v>168</v>
      </c>
      <c r="V20" s="18" t="s">
        <v>168</v>
      </c>
      <c r="W20" s="18" t="s">
        <v>168</v>
      </c>
      <c r="X20" s="18" t="s">
        <v>168</v>
      </c>
      <c r="Y20" s="18" t="s">
        <v>168</v>
      </c>
      <c r="Z20" s="18" t="s">
        <v>168</v>
      </c>
      <c r="AA20" s="18" t="s">
        <v>168</v>
      </c>
      <c r="AB20" s="18" t="s">
        <v>168</v>
      </c>
      <c r="AC20" s="18" t="s">
        <v>168</v>
      </c>
      <c r="AD20" s="18" t="s">
        <v>168</v>
      </c>
      <c r="AE20" s="18" t="s">
        <v>168</v>
      </c>
      <c r="AF20" s="18" t="s">
        <v>168</v>
      </c>
      <c r="AG20" s="18" t="s">
        <v>168</v>
      </c>
      <c r="AH20" s="27">
        <f>COUNTA(月11_217[[#This Row],[1]:[ ]])</f>
        <v>31</v>
      </c>
    </row>
    <row r="21" spans="2:34" ht="30" customHeight="1" x14ac:dyDescent="0.25">
      <c r="B21" s="31" t="s">
        <v>87</v>
      </c>
      <c r="C21" s="18" t="s">
        <v>168</v>
      </c>
      <c r="D21" s="18" t="s">
        <v>168</v>
      </c>
      <c r="E21" s="18" t="s">
        <v>168</v>
      </c>
      <c r="F21" s="18" t="s">
        <v>168</v>
      </c>
      <c r="G21" s="18" t="s">
        <v>168</v>
      </c>
      <c r="H21" s="18" t="s">
        <v>168</v>
      </c>
      <c r="I21" s="18" t="s">
        <v>168</v>
      </c>
      <c r="J21" s="18" t="s">
        <v>168</v>
      </c>
      <c r="K21" s="18" t="s">
        <v>168</v>
      </c>
      <c r="L21" s="18" t="s">
        <v>168</v>
      </c>
      <c r="M21" s="18" t="s">
        <v>168</v>
      </c>
      <c r="N21" s="18" t="s">
        <v>168</v>
      </c>
      <c r="O21" s="18" t="s">
        <v>168</v>
      </c>
      <c r="P21" s="18" t="s">
        <v>168</v>
      </c>
      <c r="Q21" s="18" t="s">
        <v>168</v>
      </c>
      <c r="R21" s="18" t="s">
        <v>168</v>
      </c>
      <c r="S21" s="18" t="s">
        <v>168</v>
      </c>
      <c r="T21" s="18" t="s">
        <v>168</v>
      </c>
      <c r="U21" s="18" t="s">
        <v>168</v>
      </c>
      <c r="V21" s="18" t="s">
        <v>168</v>
      </c>
      <c r="W21" s="18" t="s">
        <v>168</v>
      </c>
      <c r="X21" s="18" t="s">
        <v>168</v>
      </c>
      <c r="Y21" s="18" t="s">
        <v>168</v>
      </c>
      <c r="Z21" s="18" t="s">
        <v>168</v>
      </c>
      <c r="AA21" s="18" t="s">
        <v>168</v>
      </c>
      <c r="AB21" s="18" t="s">
        <v>168</v>
      </c>
      <c r="AC21" s="18" t="s">
        <v>168</v>
      </c>
      <c r="AD21" s="18" t="s">
        <v>168</v>
      </c>
      <c r="AE21" s="18" t="s">
        <v>168</v>
      </c>
      <c r="AF21" s="18" t="s">
        <v>168</v>
      </c>
      <c r="AG21" s="18" t="s">
        <v>168</v>
      </c>
      <c r="AH21" s="27">
        <f>COUNTA(月11_217[[#This Row],[1]:[ ]])</f>
        <v>31</v>
      </c>
    </row>
    <row r="22" spans="2:34" ht="30" customHeight="1" x14ac:dyDescent="0.25">
      <c r="B22" s="31" t="s">
        <v>88</v>
      </c>
      <c r="C22" s="18" t="s">
        <v>168</v>
      </c>
      <c r="D22" s="18" t="s">
        <v>168</v>
      </c>
      <c r="E22" s="18" t="s">
        <v>168</v>
      </c>
      <c r="F22" s="18" t="s">
        <v>168</v>
      </c>
      <c r="G22" s="18" t="s">
        <v>168</v>
      </c>
      <c r="H22" s="18" t="s">
        <v>168</v>
      </c>
      <c r="I22" s="18" t="s">
        <v>168</v>
      </c>
      <c r="J22" s="18" t="s">
        <v>168</v>
      </c>
      <c r="K22" s="18" t="s">
        <v>168</v>
      </c>
      <c r="L22" s="18" t="s">
        <v>168</v>
      </c>
      <c r="M22" s="18" t="s">
        <v>168</v>
      </c>
      <c r="N22" s="18" t="s">
        <v>168</v>
      </c>
      <c r="O22" s="18" t="s">
        <v>168</v>
      </c>
      <c r="P22" s="18" t="s">
        <v>168</v>
      </c>
      <c r="Q22" s="18" t="s">
        <v>168</v>
      </c>
      <c r="R22" s="18" t="s">
        <v>168</v>
      </c>
      <c r="S22" s="18" t="s">
        <v>168</v>
      </c>
      <c r="T22" s="18" t="s">
        <v>168</v>
      </c>
      <c r="U22" s="18" t="s">
        <v>168</v>
      </c>
      <c r="V22" s="18" t="s">
        <v>168</v>
      </c>
      <c r="W22" s="18" t="s">
        <v>168</v>
      </c>
      <c r="X22" s="18" t="s">
        <v>168</v>
      </c>
      <c r="Y22" s="18" t="s">
        <v>168</v>
      </c>
      <c r="Z22" s="18" t="s">
        <v>168</v>
      </c>
      <c r="AA22" s="18" t="s">
        <v>168</v>
      </c>
      <c r="AB22" s="18" t="s">
        <v>168</v>
      </c>
      <c r="AC22" s="18" t="s">
        <v>168</v>
      </c>
      <c r="AD22" s="18" t="s">
        <v>168</v>
      </c>
      <c r="AE22" s="18" t="s">
        <v>168</v>
      </c>
      <c r="AF22" s="18" t="s">
        <v>168</v>
      </c>
      <c r="AG22" s="18" t="s">
        <v>168</v>
      </c>
      <c r="AH22" s="27">
        <f>COUNTA(月11_217[[#This Row],[1]:[ ]])</f>
        <v>31</v>
      </c>
    </row>
    <row r="23" spans="2:34" ht="30" customHeight="1" x14ac:dyDescent="0.25">
      <c r="B23" s="31" t="s">
        <v>89</v>
      </c>
      <c r="C23" s="18" t="s">
        <v>168</v>
      </c>
      <c r="D23" s="18" t="s">
        <v>168</v>
      </c>
      <c r="E23" s="18" t="s">
        <v>168</v>
      </c>
      <c r="F23" s="18" t="s">
        <v>168</v>
      </c>
      <c r="G23" s="18" t="s">
        <v>168</v>
      </c>
      <c r="H23" s="18" t="s">
        <v>168</v>
      </c>
      <c r="I23" s="18" t="s">
        <v>168</v>
      </c>
      <c r="J23" s="18" t="s">
        <v>168</v>
      </c>
      <c r="K23" s="18" t="s">
        <v>168</v>
      </c>
      <c r="L23" s="18" t="s">
        <v>168</v>
      </c>
      <c r="M23" s="18" t="s">
        <v>168</v>
      </c>
      <c r="N23" s="18" t="s">
        <v>168</v>
      </c>
      <c r="O23" s="18" t="s">
        <v>168</v>
      </c>
      <c r="P23" s="18" t="s">
        <v>168</v>
      </c>
      <c r="Q23" s="18" t="s">
        <v>168</v>
      </c>
      <c r="R23" s="18" t="s">
        <v>168</v>
      </c>
      <c r="S23" s="18" t="s">
        <v>168</v>
      </c>
      <c r="T23" s="18" t="s">
        <v>168</v>
      </c>
      <c r="U23" s="18" t="s">
        <v>168</v>
      </c>
      <c r="V23" s="18" t="s">
        <v>168</v>
      </c>
      <c r="W23" s="18" t="s">
        <v>168</v>
      </c>
      <c r="X23" s="18" t="s">
        <v>168</v>
      </c>
      <c r="Y23" s="18" t="s">
        <v>168</v>
      </c>
      <c r="Z23" s="18" t="s">
        <v>168</v>
      </c>
      <c r="AA23" s="18" t="s">
        <v>168</v>
      </c>
      <c r="AB23" s="18" t="s">
        <v>168</v>
      </c>
      <c r="AC23" s="18" t="s">
        <v>168</v>
      </c>
      <c r="AD23" s="18" t="s">
        <v>168</v>
      </c>
      <c r="AE23" s="18" t="s">
        <v>168</v>
      </c>
      <c r="AF23" s="18" t="s">
        <v>168</v>
      </c>
      <c r="AG23" s="18" t="s">
        <v>168</v>
      </c>
      <c r="AH23" s="27">
        <f>COUNTA(月11_217[[#This Row],[1]:[ ]])</f>
        <v>31</v>
      </c>
    </row>
    <row r="24" spans="2:34" ht="30" customHeight="1" x14ac:dyDescent="0.25">
      <c r="B24" s="31" t="s">
        <v>90</v>
      </c>
      <c r="C24" s="18" t="s">
        <v>168</v>
      </c>
      <c r="D24" s="18" t="s">
        <v>168</v>
      </c>
      <c r="E24" s="18" t="s">
        <v>168</v>
      </c>
      <c r="F24" s="18" t="s">
        <v>168</v>
      </c>
      <c r="G24" s="18" t="s">
        <v>168</v>
      </c>
      <c r="H24" s="18" t="s">
        <v>168</v>
      </c>
      <c r="I24" s="18" t="s">
        <v>168</v>
      </c>
      <c r="J24" s="18" t="s">
        <v>168</v>
      </c>
      <c r="K24" s="18" t="s">
        <v>168</v>
      </c>
      <c r="L24" s="18" t="s">
        <v>168</v>
      </c>
      <c r="M24" s="18" t="s">
        <v>168</v>
      </c>
      <c r="N24" s="18" t="s">
        <v>168</v>
      </c>
      <c r="O24" s="18" t="s">
        <v>168</v>
      </c>
      <c r="P24" s="18" t="s">
        <v>168</v>
      </c>
      <c r="Q24" s="18" t="s">
        <v>168</v>
      </c>
      <c r="R24" s="18" t="s">
        <v>168</v>
      </c>
      <c r="S24" s="18" t="s">
        <v>168</v>
      </c>
      <c r="T24" s="18" t="s">
        <v>168</v>
      </c>
      <c r="U24" s="18" t="s">
        <v>168</v>
      </c>
      <c r="V24" s="18" t="s">
        <v>168</v>
      </c>
      <c r="W24" s="18" t="s">
        <v>168</v>
      </c>
      <c r="X24" s="18" t="s">
        <v>168</v>
      </c>
      <c r="Y24" s="18" t="s">
        <v>168</v>
      </c>
      <c r="Z24" s="18" t="s">
        <v>168</v>
      </c>
      <c r="AA24" s="18" t="s">
        <v>168</v>
      </c>
      <c r="AB24" s="18" t="s">
        <v>168</v>
      </c>
      <c r="AC24" s="18" t="s">
        <v>168</v>
      </c>
      <c r="AD24" s="18" t="s">
        <v>168</v>
      </c>
      <c r="AE24" s="18" t="s">
        <v>168</v>
      </c>
      <c r="AF24" s="18" t="s">
        <v>168</v>
      </c>
      <c r="AG24" s="18" t="s">
        <v>168</v>
      </c>
      <c r="AH24" s="27">
        <f>COUNTA(月11_217[[#This Row],[1]:[ ]])</f>
        <v>31</v>
      </c>
    </row>
    <row r="25" spans="2:34" ht="30" customHeight="1" x14ac:dyDescent="0.25">
      <c r="B25" s="31" t="s">
        <v>91</v>
      </c>
      <c r="C25" s="18" t="s">
        <v>168</v>
      </c>
      <c r="D25" s="18" t="s">
        <v>168</v>
      </c>
      <c r="E25" s="18" t="s">
        <v>168</v>
      </c>
      <c r="F25" s="18" t="s">
        <v>168</v>
      </c>
      <c r="G25" s="18" t="s">
        <v>168</v>
      </c>
      <c r="H25" s="18" t="s">
        <v>168</v>
      </c>
      <c r="I25" s="18" t="s">
        <v>168</v>
      </c>
      <c r="J25" s="18" t="s">
        <v>168</v>
      </c>
      <c r="K25" s="18" t="s">
        <v>168</v>
      </c>
      <c r="L25" s="18" t="s">
        <v>168</v>
      </c>
      <c r="M25" s="18" t="s">
        <v>168</v>
      </c>
      <c r="N25" s="18" t="s">
        <v>168</v>
      </c>
      <c r="O25" s="18" t="s">
        <v>168</v>
      </c>
      <c r="P25" s="18" t="s">
        <v>168</v>
      </c>
      <c r="Q25" s="18" t="s">
        <v>168</v>
      </c>
      <c r="R25" s="18" t="s">
        <v>168</v>
      </c>
      <c r="S25" s="18" t="s">
        <v>168</v>
      </c>
      <c r="T25" s="18" t="s">
        <v>168</v>
      </c>
      <c r="U25" s="18" t="s">
        <v>168</v>
      </c>
      <c r="V25" s="18" t="s">
        <v>168</v>
      </c>
      <c r="W25" s="18" t="s">
        <v>168</v>
      </c>
      <c r="X25" s="18" t="s">
        <v>168</v>
      </c>
      <c r="Y25" s="18" t="s">
        <v>168</v>
      </c>
      <c r="Z25" s="18" t="s">
        <v>168</v>
      </c>
      <c r="AA25" s="18" t="s">
        <v>168</v>
      </c>
      <c r="AB25" s="18" t="s">
        <v>168</v>
      </c>
      <c r="AC25" s="18" t="s">
        <v>168</v>
      </c>
      <c r="AD25" s="18" t="s">
        <v>168</v>
      </c>
      <c r="AE25" s="18" t="s">
        <v>168</v>
      </c>
      <c r="AF25" s="18" t="s">
        <v>168</v>
      </c>
      <c r="AG25" s="18" t="s">
        <v>168</v>
      </c>
      <c r="AH25" s="27">
        <f>COUNTA(月11_217[[#This Row],[1]:[ ]])</f>
        <v>31</v>
      </c>
    </row>
    <row r="26" spans="2:34" ht="30" customHeight="1" x14ac:dyDescent="0.25">
      <c r="B26" s="31" t="s">
        <v>92</v>
      </c>
      <c r="C26" s="18" t="s">
        <v>168</v>
      </c>
      <c r="D26" s="18" t="s">
        <v>168</v>
      </c>
      <c r="E26" s="18" t="s">
        <v>168</v>
      </c>
      <c r="F26" s="18" t="s">
        <v>168</v>
      </c>
      <c r="G26" s="18" t="s">
        <v>168</v>
      </c>
      <c r="H26" s="18" t="s">
        <v>168</v>
      </c>
      <c r="I26" s="18" t="s">
        <v>168</v>
      </c>
      <c r="J26" s="18" t="s">
        <v>168</v>
      </c>
      <c r="K26" s="18" t="s">
        <v>168</v>
      </c>
      <c r="L26" s="18" t="s">
        <v>168</v>
      </c>
      <c r="M26" s="18" t="s">
        <v>168</v>
      </c>
      <c r="N26" s="18" t="s">
        <v>168</v>
      </c>
      <c r="O26" s="18" t="s">
        <v>168</v>
      </c>
      <c r="P26" s="18" t="s">
        <v>168</v>
      </c>
      <c r="Q26" s="18" t="s">
        <v>168</v>
      </c>
      <c r="R26" s="18" t="s">
        <v>168</v>
      </c>
      <c r="S26" s="18" t="s">
        <v>168</v>
      </c>
      <c r="T26" s="18" t="s">
        <v>168</v>
      </c>
      <c r="U26" s="18" t="s">
        <v>168</v>
      </c>
      <c r="V26" s="18" t="s">
        <v>168</v>
      </c>
      <c r="W26" s="18" t="s">
        <v>168</v>
      </c>
      <c r="X26" s="18" t="s">
        <v>168</v>
      </c>
      <c r="Y26" s="18" t="s">
        <v>168</v>
      </c>
      <c r="Z26" s="18" t="s">
        <v>168</v>
      </c>
      <c r="AA26" s="18" t="s">
        <v>168</v>
      </c>
      <c r="AB26" s="18" t="s">
        <v>168</v>
      </c>
      <c r="AC26" s="18" t="s">
        <v>168</v>
      </c>
      <c r="AD26" s="18" t="s">
        <v>168</v>
      </c>
      <c r="AE26" s="18" t="s">
        <v>168</v>
      </c>
      <c r="AF26" s="18" t="s">
        <v>168</v>
      </c>
      <c r="AG26" s="18" t="s">
        <v>168</v>
      </c>
      <c r="AH26" s="27">
        <f>COUNTA(月11_217[[#This Row],[1]:[ ]])</f>
        <v>31</v>
      </c>
    </row>
    <row r="27" spans="2:34" ht="30" customHeight="1" x14ac:dyDescent="0.25">
      <c r="B27" s="31" t="s">
        <v>93</v>
      </c>
      <c r="C27" s="18" t="s">
        <v>168</v>
      </c>
      <c r="D27" s="18" t="s">
        <v>168</v>
      </c>
      <c r="E27" s="18" t="s">
        <v>168</v>
      </c>
      <c r="F27" s="18" t="s">
        <v>168</v>
      </c>
      <c r="G27" s="18" t="s">
        <v>168</v>
      </c>
      <c r="H27" s="18" t="s">
        <v>168</v>
      </c>
      <c r="I27" s="18" t="s">
        <v>168</v>
      </c>
      <c r="J27" s="18" t="s">
        <v>168</v>
      </c>
      <c r="K27" s="18" t="s">
        <v>168</v>
      </c>
      <c r="L27" s="18" t="s">
        <v>168</v>
      </c>
      <c r="M27" s="18" t="s">
        <v>168</v>
      </c>
      <c r="N27" s="18" t="s">
        <v>168</v>
      </c>
      <c r="O27" s="18" t="s">
        <v>168</v>
      </c>
      <c r="P27" s="18" t="s">
        <v>168</v>
      </c>
      <c r="Q27" s="18" t="s">
        <v>168</v>
      </c>
      <c r="R27" s="18" t="s">
        <v>168</v>
      </c>
      <c r="S27" s="18" t="s">
        <v>168</v>
      </c>
      <c r="T27" s="18" t="s">
        <v>168</v>
      </c>
      <c r="U27" s="18" t="s">
        <v>168</v>
      </c>
      <c r="V27" s="18" t="s">
        <v>168</v>
      </c>
      <c r="W27" s="18" t="s">
        <v>168</v>
      </c>
      <c r="X27" s="18" t="s">
        <v>168</v>
      </c>
      <c r="Y27" s="18" t="s">
        <v>168</v>
      </c>
      <c r="Z27" s="18" t="s">
        <v>168</v>
      </c>
      <c r="AA27" s="18" t="s">
        <v>168</v>
      </c>
      <c r="AB27" s="18" t="s">
        <v>168</v>
      </c>
      <c r="AC27" s="18" t="s">
        <v>168</v>
      </c>
      <c r="AD27" s="18" t="s">
        <v>168</v>
      </c>
      <c r="AE27" s="18" t="s">
        <v>168</v>
      </c>
      <c r="AF27" s="18" t="s">
        <v>168</v>
      </c>
      <c r="AG27" s="18" t="s">
        <v>168</v>
      </c>
      <c r="AH27" s="27">
        <f>COUNTA(月11_217[[#This Row],[1]:[ ]])</f>
        <v>31</v>
      </c>
    </row>
    <row r="28" spans="2:34" ht="30" customHeight="1" x14ac:dyDescent="0.25">
      <c r="B28" s="31" t="s">
        <v>94</v>
      </c>
      <c r="C28" s="18" t="s">
        <v>168</v>
      </c>
      <c r="D28" s="18" t="s">
        <v>168</v>
      </c>
      <c r="E28" s="18" t="s">
        <v>168</v>
      </c>
      <c r="F28" s="18" t="s">
        <v>168</v>
      </c>
      <c r="G28" s="18" t="s">
        <v>168</v>
      </c>
      <c r="H28" s="18" t="s">
        <v>168</v>
      </c>
      <c r="I28" s="18" t="s">
        <v>168</v>
      </c>
      <c r="J28" s="18" t="s">
        <v>168</v>
      </c>
      <c r="K28" s="18" t="s">
        <v>168</v>
      </c>
      <c r="L28" s="18" t="s">
        <v>168</v>
      </c>
      <c r="M28" s="18" t="s">
        <v>168</v>
      </c>
      <c r="N28" s="18" t="s">
        <v>168</v>
      </c>
      <c r="O28" s="18" t="s">
        <v>168</v>
      </c>
      <c r="P28" s="18" t="s">
        <v>168</v>
      </c>
      <c r="Q28" s="18" t="s">
        <v>168</v>
      </c>
      <c r="R28" s="18" t="s">
        <v>168</v>
      </c>
      <c r="S28" s="18" t="s">
        <v>168</v>
      </c>
      <c r="T28" s="18" t="s">
        <v>168</v>
      </c>
      <c r="U28" s="18" t="s">
        <v>168</v>
      </c>
      <c r="V28" s="18" t="s">
        <v>168</v>
      </c>
      <c r="W28" s="18" t="s">
        <v>168</v>
      </c>
      <c r="X28" s="18" t="s">
        <v>168</v>
      </c>
      <c r="Y28" s="18" t="s">
        <v>168</v>
      </c>
      <c r="Z28" s="18" t="s">
        <v>168</v>
      </c>
      <c r="AA28" s="18" t="s">
        <v>168</v>
      </c>
      <c r="AB28" s="18" t="s">
        <v>168</v>
      </c>
      <c r="AC28" s="18" t="s">
        <v>168</v>
      </c>
      <c r="AD28" s="18" t="s">
        <v>168</v>
      </c>
      <c r="AE28" s="18" t="s">
        <v>168</v>
      </c>
      <c r="AF28" s="18" t="s">
        <v>168</v>
      </c>
      <c r="AG28" s="18" t="s">
        <v>168</v>
      </c>
      <c r="AH28" s="27">
        <f>COUNTA(月11_217[[#This Row],[1]:[ ]])</f>
        <v>31</v>
      </c>
    </row>
    <row r="29" spans="2:34" ht="30" customHeight="1" x14ac:dyDescent="0.25">
      <c r="B29" s="31" t="s">
        <v>95</v>
      </c>
      <c r="C29" s="18" t="s">
        <v>168</v>
      </c>
      <c r="D29" s="18" t="s">
        <v>168</v>
      </c>
      <c r="E29" s="18" t="s">
        <v>168</v>
      </c>
      <c r="F29" s="18" t="s">
        <v>168</v>
      </c>
      <c r="G29" s="18" t="s">
        <v>168</v>
      </c>
      <c r="H29" s="18" t="s">
        <v>168</v>
      </c>
      <c r="I29" s="18" t="s">
        <v>168</v>
      </c>
      <c r="J29" s="18" t="s">
        <v>168</v>
      </c>
      <c r="K29" s="18" t="s">
        <v>168</v>
      </c>
      <c r="L29" s="18" t="s">
        <v>168</v>
      </c>
      <c r="M29" s="18" t="s">
        <v>168</v>
      </c>
      <c r="N29" s="18" t="s">
        <v>168</v>
      </c>
      <c r="O29" s="18" t="s">
        <v>168</v>
      </c>
      <c r="P29" s="18" t="s">
        <v>168</v>
      </c>
      <c r="Q29" s="18" t="s">
        <v>168</v>
      </c>
      <c r="R29" s="18" t="s">
        <v>168</v>
      </c>
      <c r="S29" s="18" t="s">
        <v>168</v>
      </c>
      <c r="T29" s="18" t="s">
        <v>168</v>
      </c>
      <c r="U29" s="18" t="s">
        <v>168</v>
      </c>
      <c r="V29" s="18" t="s">
        <v>168</v>
      </c>
      <c r="W29" s="18" t="s">
        <v>168</v>
      </c>
      <c r="X29" s="18" t="s">
        <v>168</v>
      </c>
      <c r="Y29" s="18" t="s">
        <v>168</v>
      </c>
      <c r="Z29" s="18" t="s">
        <v>168</v>
      </c>
      <c r="AA29" s="18" t="s">
        <v>168</v>
      </c>
      <c r="AB29" s="18" t="s">
        <v>168</v>
      </c>
      <c r="AC29" s="18" t="s">
        <v>168</v>
      </c>
      <c r="AD29" s="18" t="s">
        <v>168</v>
      </c>
      <c r="AE29" s="18" t="s">
        <v>168</v>
      </c>
      <c r="AF29" s="18" t="s">
        <v>168</v>
      </c>
      <c r="AG29" s="18" t="s">
        <v>168</v>
      </c>
      <c r="AH29" s="27">
        <f>COUNTA(月11_217[[#This Row],[1]:[ ]])</f>
        <v>31</v>
      </c>
    </row>
    <row r="30" spans="2:34" ht="30" customHeight="1" x14ac:dyDescent="0.25">
      <c r="B30" s="31" t="s">
        <v>96</v>
      </c>
      <c r="C30" s="18" t="s">
        <v>168</v>
      </c>
      <c r="D30" s="18" t="s">
        <v>168</v>
      </c>
      <c r="E30" s="18" t="s">
        <v>168</v>
      </c>
      <c r="F30" s="18" t="s">
        <v>168</v>
      </c>
      <c r="G30" s="18" t="s">
        <v>168</v>
      </c>
      <c r="H30" s="18" t="s">
        <v>168</v>
      </c>
      <c r="I30" s="18" t="s">
        <v>168</v>
      </c>
      <c r="J30" s="18" t="s">
        <v>168</v>
      </c>
      <c r="K30" s="18" t="s">
        <v>168</v>
      </c>
      <c r="L30" s="18" t="s">
        <v>168</v>
      </c>
      <c r="M30" s="18" t="s">
        <v>168</v>
      </c>
      <c r="N30" s="18" t="s">
        <v>168</v>
      </c>
      <c r="O30" s="18" t="s">
        <v>168</v>
      </c>
      <c r="P30" s="18" t="s">
        <v>168</v>
      </c>
      <c r="Q30" s="18" t="s">
        <v>168</v>
      </c>
      <c r="R30" s="18" t="s">
        <v>168</v>
      </c>
      <c r="S30" s="18" t="s">
        <v>168</v>
      </c>
      <c r="T30" s="18" t="s">
        <v>168</v>
      </c>
      <c r="U30" s="18" t="s">
        <v>168</v>
      </c>
      <c r="V30" s="18" t="s">
        <v>168</v>
      </c>
      <c r="W30" s="18" t="s">
        <v>168</v>
      </c>
      <c r="X30" s="18" t="s">
        <v>168</v>
      </c>
      <c r="Y30" s="18" t="s">
        <v>168</v>
      </c>
      <c r="Z30" s="18" t="s">
        <v>168</v>
      </c>
      <c r="AA30" s="18" t="s">
        <v>168</v>
      </c>
      <c r="AB30" s="18" t="s">
        <v>168</v>
      </c>
      <c r="AC30" s="18" t="s">
        <v>168</v>
      </c>
      <c r="AD30" s="18" t="s">
        <v>168</v>
      </c>
      <c r="AE30" s="18" t="s">
        <v>168</v>
      </c>
      <c r="AF30" s="18" t="s">
        <v>168</v>
      </c>
      <c r="AG30" s="18" t="s">
        <v>168</v>
      </c>
      <c r="AH30" s="27">
        <f>COUNTA(月11_217[[#This Row],[1]:[ ]])</f>
        <v>31</v>
      </c>
    </row>
    <row r="31" spans="2:34" ht="30" customHeight="1" x14ac:dyDescent="0.25">
      <c r="B31" s="20" t="s">
        <v>97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7">
        <f>COUNTA('25年11月'!$C31:$AG31)</f>
        <v>0</v>
      </c>
    </row>
    <row r="32" spans="2:34" ht="30" customHeight="1" x14ac:dyDescent="0.25">
      <c r="B32" s="20" t="s">
        <v>98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27">
        <f>COUNTA('25年11月'!$C32:$AG32)</f>
        <v>0</v>
      </c>
    </row>
    <row r="33" spans="2:34" ht="30" customHeight="1" x14ac:dyDescent="0.25">
      <c r="B33" s="20" t="s">
        <v>99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27">
        <f>COUNTA('25年11月'!$C33:$AG33)</f>
        <v>0</v>
      </c>
    </row>
    <row r="34" spans="2:34" ht="30" customHeight="1" x14ac:dyDescent="0.25">
      <c r="B34" s="20" t="s">
        <v>100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7">
        <f>COUNTA('25年11月'!$C34:$AG34)</f>
        <v>0</v>
      </c>
    </row>
    <row r="35" spans="2:34" ht="30" customHeight="1" x14ac:dyDescent="0.25">
      <c r="B35" s="20" t="s">
        <v>101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7">
        <f>COUNTA('25年11月'!$C35:$AG35)</f>
        <v>0</v>
      </c>
    </row>
    <row r="36" spans="2:34" ht="30" customHeight="1" x14ac:dyDescent="0.25">
      <c r="B36" s="20" t="s">
        <v>102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7">
        <f>COUNTA('25年11月'!$C36:$AG36)</f>
        <v>0</v>
      </c>
    </row>
    <row r="37" spans="2:34" ht="30" customHeight="1" x14ac:dyDescent="0.25">
      <c r="B37" s="20" t="s">
        <v>103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27">
        <f>COUNTA('25年11月'!$C37:$AG37)</f>
        <v>0</v>
      </c>
    </row>
    <row r="38" spans="2:34" ht="30" customHeight="1" x14ac:dyDescent="0.25">
      <c r="B38" s="20" t="s">
        <v>104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7">
        <f>COUNTA('25年11月'!$C38:$AG38)</f>
        <v>0</v>
      </c>
    </row>
    <row r="39" spans="2:34" ht="30" customHeight="1" x14ac:dyDescent="0.25">
      <c r="B39" s="20" t="s">
        <v>105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7">
        <f>COUNTA('25年11月'!$C39:$AG39)</f>
        <v>0</v>
      </c>
    </row>
    <row r="40" spans="2:34" ht="30" customHeight="1" x14ac:dyDescent="0.25">
      <c r="B40" s="20" t="s">
        <v>106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27">
        <f>COUNTA('25年11月'!$C40:$AG40)</f>
        <v>0</v>
      </c>
    </row>
    <row r="41" spans="2:34" ht="30" customHeight="1" x14ac:dyDescent="0.25">
      <c r="B41" s="31" t="s">
        <v>107</v>
      </c>
      <c r="C41" s="18"/>
      <c r="D41" s="18"/>
      <c r="E41" s="18"/>
      <c r="F41" s="18" t="s">
        <v>66</v>
      </c>
      <c r="G41" s="18" t="s">
        <v>66</v>
      </c>
      <c r="H41" s="18" t="s">
        <v>66</v>
      </c>
      <c r="I41" s="18" t="s">
        <v>66</v>
      </c>
      <c r="J41" s="18" t="s">
        <v>66</v>
      </c>
      <c r="K41" s="18" t="s">
        <v>66</v>
      </c>
      <c r="L41" s="18" t="s">
        <v>66</v>
      </c>
      <c r="M41" s="18" t="s">
        <v>168</v>
      </c>
      <c r="N41" s="18" t="s">
        <v>168</v>
      </c>
      <c r="O41" s="18" t="s">
        <v>168</v>
      </c>
      <c r="P41" s="18" t="s">
        <v>168</v>
      </c>
      <c r="Q41" s="18" t="s">
        <v>168</v>
      </c>
      <c r="R41" s="18" t="s">
        <v>168</v>
      </c>
      <c r="S41" s="18" t="s">
        <v>168</v>
      </c>
      <c r="T41" s="18" t="s">
        <v>168</v>
      </c>
      <c r="U41" s="18" t="s">
        <v>168</v>
      </c>
      <c r="V41" s="18" t="s">
        <v>168</v>
      </c>
      <c r="W41" s="18" t="s">
        <v>168</v>
      </c>
      <c r="X41" s="18" t="s">
        <v>168</v>
      </c>
      <c r="Y41" s="18" t="s">
        <v>168</v>
      </c>
      <c r="Z41" s="18" t="s">
        <v>168</v>
      </c>
      <c r="AA41" s="18" t="s">
        <v>168</v>
      </c>
      <c r="AB41" s="18" t="s">
        <v>168</v>
      </c>
      <c r="AC41" s="18" t="s">
        <v>168</v>
      </c>
      <c r="AD41" s="18" t="s">
        <v>168</v>
      </c>
      <c r="AE41" s="18" t="s">
        <v>168</v>
      </c>
      <c r="AF41" s="18" t="s">
        <v>168</v>
      </c>
      <c r="AG41" s="18"/>
      <c r="AH41" s="27">
        <f>COUNTA(月11_217[[#This Row],[1]:[ ]])</f>
        <v>27</v>
      </c>
    </row>
    <row r="42" spans="2:34" ht="30" customHeight="1" x14ac:dyDescent="0.25">
      <c r="B42" s="31" t="s">
        <v>158</v>
      </c>
      <c r="C42" s="18"/>
      <c r="D42" s="18"/>
      <c r="E42" s="18"/>
      <c r="F42" s="18" t="s">
        <v>66</v>
      </c>
      <c r="G42" s="18" t="s">
        <v>66</v>
      </c>
      <c r="H42" s="18" t="s">
        <v>66</v>
      </c>
      <c r="I42" s="18" t="s">
        <v>66</v>
      </c>
      <c r="J42" s="18" t="s">
        <v>66</v>
      </c>
      <c r="K42" s="18" t="s">
        <v>66</v>
      </c>
      <c r="L42" s="18" t="s">
        <v>66</v>
      </c>
      <c r="M42" s="18" t="s">
        <v>168</v>
      </c>
      <c r="N42" s="18" t="s">
        <v>168</v>
      </c>
      <c r="O42" s="18" t="s">
        <v>168</v>
      </c>
      <c r="P42" s="18" t="s">
        <v>168</v>
      </c>
      <c r="Q42" s="18" t="s">
        <v>168</v>
      </c>
      <c r="R42" s="18" t="s">
        <v>168</v>
      </c>
      <c r="S42" s="18" t="s">
        <v>168</v>
      </c>
      <c r="T42" s="18" t="s">
        <v>168</v>
      </c>
      <c r="U42" s="18" t="s">
        <v>168</v>
      </c>
      <c r="V42" s="18" t="s">
        <v>168</v>
      </c>
      <c r="W42" s="18" t="s">
        <v>168</v>
      </c>
      <c r="X42" s="18" t="s">
        <v>168</v>
      </c>
      <c r="Y42" s="18" t="s">
        <v>168</v>
      </c>
      <c r="Z42" s="18" t="s">
        <v>168</v>
      </c>
      <c r="AA42" s="18" t="s">
        <v>168</v>
      </c>
      <c r="AB42" s="18" t="s">
        <v>168</v>
      </c>
      <c r="AC42" s="18" t="s">
        <v>168</v>
      </c>
      <c r="AD42" s="18" t="s">
        <v>168</v>
      </c>
      <c r="AE42" s="18" t="s">
        <v>168</v>
      </c>
      <c r="AF42" s="18" t="s">
        <v>168</v>
      </c>
      <c r="AG42" s="18"/>
      <c r="AH42" s="27">
        <f>COUNTA(月11_217[[#This Row],[1]:[ ]])</f>
        <v>27</v>
      </c>
    </row>
    <row r="43" spans="2:34" ht="30" customHeight="1" x14ac:dyDescent="0.25">
      <c r="B43" s="31" t="s">
        <v>109</v>
      </c>
      <c r="C43" s="18"/>
      <c r="D43" s="18"/>
      <c r="E43" s="18"/>
      <c r="F43" s="18" t="s">
        <v>66</v>
      </c>
      <c r="G43" s="18" t="s">
        <v>66</v>
      </c>
      <c r="H43" s="18" t="s">
        <v>66</v>
      </c>
      <c r="I43" s="18" t="s">
        <v>66</v>
      </c>
      <c r="J43" s="18" t="s">
        <v>66</v>
      </c>
      <c r="K43" s="18" t="s">
        <v>66</v>
      </c>
      <c r="L43" s="18" t="s">
        <v>66</v>
      </c>
      <c r="M43" s="18" t="s">
        <v>168</v>
      </c>
      <c r="N43" s="18" t="s">
        <v>168</v>
      </c>
      <c r="O43" s="18" t="s">
        <v>168</v>
      </c>
      <c r="P43" s="18" t="s">
        <v>168</v>
      </c>
      <c r="Q43" s="18" t="s">
        <v>168</v>
      </c>
      <c r="R43" s="18" t="s">
        <v>168</v>
      </c>
      <c r="S43" s="18" t="s">
        <v>168</v>
      </c>
      <c r="T43" s="18" t="s">
        <v>168</v>
      </c>
      <c r="U43" s="18" t="s">
        <v>168</v>
      </c>
      <c r="V43" s="18" t="s">
        <v>168</v>
      </c>
      <c r="W43" s="18" t="s">
        <v>168</v>
      </c>
      <c r="X43" s="18" t="s">
        <v>168</v>
      </c>
      <c r="Y43" s="18" t="s">
        <v>168</v>
      </c>
      <c r="Z43" s="18" t="s">
        <v>168</v>
      </c>
      <c r="AA43" s="18" t="s">
        <v>168</v>
      </c>
      <c r="AB43" s="18" t="s">
        <v>168</v>
      </c>
      <c r="AC43" s="18" t="s">
        <v>168</v>
      </c>
      <c r="AD43" s="18" t="s">
        <v>168</v>
      </c>
      <c r="AE43" s="18" t="s">
        <v>168</v>
      </c>
      <c r="AF43" s="18" t="s">
        <v>168</v>
      </c>
      <c r="AG43" s="18"/>
      <c r="AH43" s="27">
        <f>COUNTA(月11_217[[#This Row],[1]:[ ]])</f>
        <v>27</v>
      </c>
    </row>
    <row r="44" spans="2:34" ht="30" customHeight="1" x14ac:dyDescent="0.25">
      <c r="B44" s="31" t="s">
        <v>110</v>
      </c>
      <c r="C44" s="18"/>
      <c r="D44" s="18"/>
      <c r="E44" s="18"/>
      <c r="F44" s="18" t="s">
        <v>66</v>
      </c>
      <c r="G44" s="18" t="s">
        <v>66</v>
      </c>
      <c r="H44" s="18" t="s">
        <v>66</v>
      </c>
      <c r="I44" s="18" t="s">
        <v>66</v>
      </c>
      <c r="J44" s="18" t="s">
        <v>66</v>
      </c>
      <c r="K44" s="18" t="s">
        <v>66</v>
      </c>
      <c r="L44" s="18" t="s">
        <v>66</v>
      </c>
      <c r="M44" s="18" t="s">
        <v>168</v>
      </c>
      <c r="N44" s="18" t="s">
        <v>168</v>
      </c>
      <c r="O44" s="18" t="s">
        <v>168</v>
      </c>
      <c r="P44" s="18" t="s">
        <v>168</v>
      </c>
      <c r="Q44" s="18" t="s">
        <v>168</v>
      </c>
      <c r="R44" s="18" t="s">
        <v>168</v>
      </c>
      <c r="S44" s="18" t="s">
        <v>168</v>
      </c>
      <c r="T44" s="18" t="s">
        <v>168</v>
      </c>
      <c r="U44" s="18" t="s">
        <v>168</v>
      </c>
      <c r="V44" s="18" t="s">
        <v>168</v>
      </c>
      <c r="W44" s="18" t="s">
        <v>168</v>
      </c>
      <c r="X44" s="18" t="s">
        <v>168</v>
      </c>
      <c r="Y44" s="18" t="s">
        <v>168</v>
      </c>
      <c r="Z44" s="18" t="s">
        <v>168</v>
      </c>
      <c r="AA44" s="18" t="s">
        <v>168</v>
      </c>
      <c r="AB44" s="18" t="s">
        <v>168</v>
      </c>
      <c r="AC44" s="18" t="s">
        <v>168</v>
      </c>
      <c r="AD44" s="18" t="s">
        <v>168</v>
      </c>
      <c r="AE44" s="18" t="s">
        <v>168</v>
      </c>
      <c r="AF44" s="18" t="s">
        <v>168</v>
      </c>
      <c r="AG44" s="18"/>
      <c r="AH44" s="27">
        <f>COUNTA(月11_217[[#This Row],[1]:[ ]])</f>
        <v>27</v>
      </c>
    </row>
    <row r="45" spans="2:34" ht="30" customHeight="1" x14ac:dyDescent="0.25">
      <c r="B45" s="31" t="s">
        <v>111</v>
      </c>
      <c r="C45" s="18"/>
      <c r="D45" s="18"/>
      <c r="E45" s="18"/>
      <c r="F45" s="18" t="s">
        <v>66</v>
      </c>
      <c r="G45" s="18" t="s">
        <v>66</v>
      </c>
      <c r="H45" s="18" t="s">
        <v>66</v>
      </c>
      <c r="I45" s="18" t="s">
        <v>66</v>
      </c>
      <c r="J45" s="18" t="s">
        <v>66</v>
      </c>
      <c r="K45" s="18" t="s">
        <v>66</v>
      </c>
      <c r="L45" s="18" t="s">
        <v>66</v>
      </c>
      <c r="M45" s="18" t="s">
        <v>168</v>
      </c>
      <c r="N45" s="18" t="s">
        <v>168</v>
      </c>
      <c r="O45" s="18" t="s">
        <v>168</v>
      </c>
      <c r="P45" s="18" t="s">
        <v>168</v>
      </c>
      <c r="Q45" s="18" t="s">
        <v>168</v>
      </c>
      <c r="R45" s="18" t="s">
        <v>168</v>
      </c>
      <c r="S45" s="18" t="s">
        <v>168</v>
      </c>
      <c r="T45" s="18" t="s">
        <v>168</v>
      </c>
      <c r="U45" s="18" t="s">
        <v>168</v>
      </c>
      <c r="V45" s="18" t="s">
        <v>168</v>
      </c>
      <c r="W45" s="18" t="s">
        <v>168</v>
      </c>
      <c r="X45" s="18" t="s">
        <v>168</v>
      </c>
      <c r="Y45" s="18" t="s">
        <v>168</v>
      </c>
      <c r="Z45" s="18" t="s">
        <v>168</v>
      </c>
      <c r="AA45" s="18" t="s">
        <v>168</v>
      </c>
      <c r="AB45" s="18" t="s">
        <v>168</v>
      </c>
      <c r="AC45" s="18" t="s">
        <v>168</v>
      </c>
      <c r="AD45" s="18" t="s">
        <v>168</v>
      </c>
      <c r="AE45" s="18" t="s">
        <v>168</v>
      </c>
      <c r="AF45" s="18" t="s">
        <v>168</v>
      </c>
      <c r="AG45" s="18"/>
      <c r="AH45" s="27">
        <f>COUNTA(月11_217[[#This Row],[1]:[ ]])</f>
        <v>27</v>
      </c>
    </row>
    <row r="46" spans="2:34" ht="30" customHeight="1" x14ac:dyDescent="0.25">
      <c r="B46" s="31" t="s">
        <v>112</v>
      </c>
      <c r="C46" s="18"/>
      <c r="D46" s="18"/>
      <c r="E46" s="18"/>
      <c r="F46" s="18" t="s">
        <v>66</v>
      </c>
      <c r="G46" s="18" t="s">
        <v>66</v>
      </c>
      <c r="H46" s="18" t="s">
        <v>66</v>
      </c>
      <c r="I46" s="18" t="s">
        <v>66</v>
      </c>
      <c r="J46" s="18" t="s">
        <v>66</v>
      </c>
      <c r="K46" s="18" t="s">
        <v>66</v>
      </c>
      <c r="L46" s="18" t="s">
        <v>66</v>
      </c>
      <c r="M46" s="18" t="s">
        <v>168</v>
      </c>
      <c r="N46" s="18" t="s">
        <v>168</v>
      </c>
      <c r="O46" s="18" t="s">
        <v>168</v>
      </c>
      <c r="P46" s="18" t="s">
        <v>168</v>
      </c>
      <c r="Q46" s="18" t="s">
        <v>168</v>
      </c>
      <c r="R46" s="18" t="s">
        <v>168</v>
      </c>
      <c r="S46" s="18" t="s">
        <v>168</v>
      </c>
      <c r="T46" s="18" t="s">
        <v>168</v>
      </c>
      <c r="U46" s="18" t="s">
        <v>168</v>
      </c>
      <c r="V46" s="18" t="s">
        <v>168</v>
      </c>
      <c r="W46" s="18" t="s">
        <v>168</v>
      </c>
      <c r="X46" s="18" t="s">
        <v>168</v>
      </c>
      <c r="Y46" s="18" t="s">
        <v>168</v>
      </c>
      <c r="Z46" s="18" t="s">
        <v>168</v>
      </c>
      <c r="AA46" s="18" t="s">
        <v>168</v>
      </c>
      <c r="AB46" s="18" t="s">
        <v>168</v>
      </c>
      <c r="AC46" s="18" t="s">
        <v>168</v>
      </c>
      <c r="AD46" s="18" t="s">
        <v>168</v>
      </c>
      <c r="AE46" s="18" t="s">
        <v>168</v>
      </c>
      <c r="AF46" s="18" t="s">
        <v>168</v>
      </c>
      <c r="AG46" s="18"/>
      <c r="AH46" s="27">
        <f>COUNTA(月11_217[[#This Row],[1]:[ ]])</f>
        <v>27</v>
      </c>
    </row>
    <row r="47" spans="2:34" ht="30" customHeight="1" x14ac:dyDescent="0.25">
      <c r="B47" s="31" t="s">
        <v>113</v>
      </c>
      <c r="C47" s="18"/>
      <c r="D47" s="18"/>
      <c r="E47" s="18"/>
      <c r="F47" s="18" t="s">
        <v>66</v>
      </c>
      <c r="G47" s="18" t="s">
        <v>66</v>
      </c>
      <c r="H47" s="18" t="s">
        <v>66</v>
      </c>
      <c r="I47" s="18" t="s">
        <v>66</v>
      </c>
      <c r="J47" s="18" t="s">
        <v>66</v>
      </c>
      <c r="K47" s="18" t="s">
        <v>66</v>
      </c>
      <c r="L47" s="18" t="s">
        <v>66</v>
      </c>
      <c r="M47" s="18" t="s">
        <v>168</v>
      </c>
      <c r="N47" s="18" t="s">
        <v>168</v>
      </c>
      <c r="O47" s="18" t="s">
        <v>168</v>
      </c>
      <c r="P47" s="18" t="s">
        <v>168</v>
      </c>
      <c r="Q47" s="18" t="s">
        <v>168</v>
      </c>
      <c r="R47" s="18" t="s">
        <v>168</v>
      </c>
      <c r="S47" s="18" t="s">
        <v>168</v>
      </c>
      <c r="T47" s="18" t="s">
        <v>168</v>
      </c>
      <c r="U47" s="18" t="s">
        <v>168</v>
      </c>
      <c r="V47" s="18" t="s">
        <v>168</v>
      </c>
      <c r="W47" s="18" t="s">
        <v>168</v>
      </c>
      <c r="X47" s="18" t="s">
        <v>168</v>
      </c>
      <c r="Y47" s="18" t="s">
        <v>168</v>
      </c>
      <c r="Z47" s="18" t="s">
        <v>168</v>
      </c>
      <c r="AA47" s="18" t="s">
        <v>168</v>
      </c>
      <c r="AB47" s="18" t="s">
        <v>168</v>
      </c>
      <c r="AC47" s="18" t="s">
        <v>168</v>
      </c>
      <c r="AD47" s="18" t="s">
        <v>168</v>
      </c>
      <c r="AE47" s="18" t="s">
        <v>168</v>
      </c>
      <c r="AF47" s="18" t="s">
        <v>168</v>
      </c>
      <c r="AG47" s="18"/>
      <c r="AH47" s="27">
        <f>COUNTA(月11_217[[#This Row],[1]:[ ]])</f>
        <v>27</v>
      </c>
    </row>
    <row r="48" spans="2:34" ht="30" customHeight="1" x14ac:dyDescent="0.25">
      <c r="B48" s="31" t="s">
        <v>114</v>
      </c>
      <c r="C48" s="18"/>
      <c r="D48" s="18"/>
      <c r="E48" s="18"/>
      <c r="F48" s="18" t="s">
        <v>66</v>
      </c>
      <c r="G48" s="18" t="s">
        <v>66</v>
      </c>
      <c r="H48" s="18" t="s">
        <v>66</v>
      </c>
      <c r="I48" s="18" t="s">
        <v>66</v>
      </c>
      <c r="J48" s="18" t="s">
        <v>66</v>
      </c>
      <c r="K48" s="18" t="s">
        <v>66</v>
      </c>
      <c r="L48" s="18" t="s">
        <v>66</v>
      </c>
      <c r="M48" s="18" t="s">
        <v>168</v>
      </c>
      <c r="N48" s="18" t="s">
        <v>168</v>
      </c>
      <c r="O48" s="18" t="s">
        <v>168</v>
      </c>
      <c r="P48" s="18" t="s">
        <v>168</v>
      </c>
      <c r="Q48" s="18" t="s">
        <v>168</v>
      </c>
      <c r="R48" s="18" t="s">
        <v>168</v>
      </c>
      <c r="S48" s="18" t="s">
        <v>168</v>
      </c>
      <c r="T48" s="18" t="s">
        <v>168</v>
      </c>
      <c r="U48" s="18" t="s">
        <v>168</v>
      </c>
      <c r="V48" s="18" t="s">
        <v>168</v>
      </c>
      <c r="W48" s="18" t="s">
        <v>168</v>
      </c>
      <c r="X48" s="18" t="s">
        <v>168</v>
      </c>
      <c r="Y48" s="18" t="s">
        <v>168</v>
      </c>
      <c r="Z48" s="18" t="s">
        <v>168</v>
      </c>
      <c r="AA48" s="18" t="s">
        <v>168</v>
      </c>
      <c r="AB48" s="18" t="s">
        <v>168</v>
      </c>
      <c r="AC48" s="18" t="s">
        <v>168</v>
      </c>
      <c r="AD48" s="18" t="s">
        <v>168</v>
      </c>
      <c r="AE48" s="18" t="s">
        <v>168</v>
      </c>
      <c r="AF48" s="18" t="s">
        <v>168</v>
      </c>
      <c r="AG48" s="18"/>
      <c r="AH48" s="27">
        <f>COUNTA(月11_217[[#This Row],[1]:[ ]])</f>
        <v>27</v>
      </c>
    </row>
    <row r="49" spans="2:34" ht="30" customHeight="1" x14ac:dyDescent="0.25">
      <c r="B49" s="31" t="s">
        <v>115</v>
      </c>
      <c r="C49" s="18"/>
      <c r="D49" s="18"/>
      <c r="E49" s="18"/>
      <c r="F49" s="18" t="s">
        <v>66</v>
      </c>
      <c r="G49" s="18" t="s">
        <v>66</v>
      </c>
      <c r="H49" s="18" t="s">
        <v>66</v>
      </c>
      <c r="I49" s="18" t="s">
        <v>66</v>
      </c>
      <c r="J49" s="18" t="s">
        <v>66</v>
      </c>
      <c r="K49" s="18" t="s">
        <v>66</v>
      </c>
      <c r="L49" s="18" t="s">
        <v>66</v>
      </c>
      <c r="M49" s="18" t="s">
        <v>168</v>
      </c>
      <c r="N49" s="18" t="s">
        <v>168</v>
      </c>
      <c r="O49" s="18" t="s">
        <v>168</v>
      </c>
      <c r="P49" s="18" t="s">
        <v>168</v>
      </c>
      <c r="Q49" s="18" t="s">
        <v>168</v>
      </c>
      <c r="R49" s="18" t="s">
        <v>168</v>
      </c>
      <c r="S49" s="18" t="s">
        <v>168</v>
      </c>
      <c r="T49" s="18" t="s">
        <v>168</v>
      </c>
      <c r="U49" s="18" t="s">
        <v>168</v>
      </c>
      <c r="V49" s="18" t="s">
        <v>168</v>
      </c>
      <c r="W49" s="18" t="s">
        <v>168</v>
      </c>
      <c r="X49" s="18" t="s">
        <v>168</v>
      </c>
      <c r="Y49" s="18" t="s">
        <v>168</v>
      </c>
      <c r="Z49" s="18" t="s">
        <v>168</v>
      </c>
      <c r="AA49" s="18" t="s">
        <v>168</v>
      </c>
      <c r="AB49" s="18" t="s">
        <v>168</v>
      </c>
      <c r="AC49" s="18" t="s">
        <v>168</v>
      </c>
      <c r="AD49" s="18" t="s">
        <v>168</v>
      </c>
      <c r="AE49" s="18" t="s">
        <v>168</v>
      </c>
      <c r="AF49" s="18" t="s">
        <v>168</v>
      </c>
      <c r="AG49" s="18"/>
      <c r="AH49" s="27">
        <f>COUNTA(月11_217[[#This Row],[1]:[ ]])</f>
        <v>27</v>
      </c>
    </row>
    <row r="50" spans="2:34" ht="30" customHeight="1" x14ac:dyDescent="0.25">
      <c r="B50" s="31" t="s">
        <v>116</v>
      </c>
      <c r="C50" s="18"/>
      <c r="D50" s="18"/>
      <c r="E50" s="18"/>
      <c r="F50" s="18" t="s">
        <v>66</v>
      </c>
      <c r="G50" s="18" t="s">
        <v>66</v>
      </c>
      <c r="H50" s="18" t="s">
        <v>66</v>
      </c>
      <c r="I50" s="18" t="s">
        <v>66</v>
      </c>
      <c r="J50" s="18" t="s">
        <v>66</v>
      </c>
      <c r="K50" s="18" t="s">
        <v>66</v>
      </c>
      <c r="L50" s="18" t="s">
        <v>66</v>
      </c>
      <c r="M50" s="18" t="s">
        <v>168</v>
      </c>
      <c r="N50" s="18" t="s">
        <v>168</v>
      </c>
      <c r="O50" s="18" t="s">
        <v>168</v>
      </c>
      <c r="P50" s="18" t="s">
        <v>168</v>
      </c>
      <c r="Q50" s="18" t="s">
        <v>168</v>
      </c>
      <c r="R50" s="18" t="s">
        <v>168</v>
      </c>
      <c r="S50" s="18" t="s">
        <v>168</v>
      </c>
      <c r="T50" s="18" t="s">
        <v>168</v>
      </c>
      <c r="U50" s="18" t="s">
        <v>168</v>
      </c>
      <c r="V50" s="18" t="s">
        <v>168</v>
      </c>
      <c r="W50" s="18" t="s">
        <v>168</v>
      </c>
      <c r="X50" s="18" t="s">
        <v>168</v>
      </c>
      <c r="Y50" s="18" t="s">
        <v>168</v>
      </c>
      <c r="Z50" s="18" t="s">
        <v>168</v>
      </c>
      <c r="AA50" s="18" t="s">
        <v>168</v>
      </c>
      <c r="AB50" s="18" t="s">
        <v>168</v>
      </c>
      <c r="AC50" s="18" t="s">
        <v>168</v>
      </c>
      <c r="AD50" s="18" t="s">
        <v>168</v>
      </c>
      <c r="AE50" s="18" t="s">
        <v>168</v>
      </c>
      <c r="AF50" s="18" t="s">
        <v>168</v>
      </c>
      <c r="AG50" s="18"/>
      <c r="AH50" s="27">
        <f>COUNTA(月11_217[[#This Row],[1]:[ ]])</f>
        <v>27</v>
      </c>
    </row>
    <row r="51" spans="2:34" ht="30" customHeight="1" x14ac:dyDescent="0.25">
      <c r="B51" s="31" t="s">
        <v>117</v>
      </c>
      <c r="C51" s="18"/>
      <c r="D51" s="18"/>
      <c r="E51" s="18"/>
      <c r="F51" s="18" t="s">
        <v>66</v>
      </c>
      <c r="G51" s="18" t="s">
        <v>66</v>
      </c>
      <c r="H51" s="18" t="s">
        <v>66</v>
      </c>
      <c r="I51" s="18" t="s">
        <v>66</v>
      </c>
      <c r="J51" s="18" t="s">
        <v>66</v>
      </c>
      <c r="K51" s="18" t="s">
        <v>66</v>
      </c>
      <c r="L51" s="18" t="s">
        <v>66</v>
      </c>
      <c r="M51" s="18" t="s">
        <v>168</v>
      </c>
      <c r="N51" s="18" t="s">
        <v>168</v>
      </c>
      <c r="O51" s="18" t="s">
        <v>168</v>
      </c>
      <c r="P51" s="18" t="s">
        <v>168</v>
      </c>
      <c r="Q51" s="18" t="s">
        <v>168</v>
      </c>
      <c r="R51" s="18" t="s">
        <v>168</v>
      </c>
      <c r="S51" s="18" t="s">
        <v>168</v>
      </c>
      <c r="T51" s="18" t="s">
        <v>168</v>
      </c>
      <c r="U51" s="18" t="s">
        <v>168</v>
      </c>
      <c r="V51" s="18" t="s">
        <v>168</v>
      </c>
      <c r="W51" s="18" t="s">
        <v>168</v>
      </c>
      <c r="X51" s="18" t="s">
        <v>168</v>
      </c>
      <c r="Y51" s="18" t="s">
        <v>168</v>
      </c>
      <c r="Z51" s="18" t="s">
        <v>168</v>
      </c>
      <c r="AA51" s="18" t="s">
        <v>168</v>
      </c>
      <c r="AB51" s="18" t="s">
        <v>168</v>
      </c>
      <c r="AC51" s="18" t="s">
        <v>168</v>
      </c>
      <c r="AD51" s="18" t="s">
        <v>168</v>
      </c>
      <c r="AE51" s="18" t="s">
        <v>168</v>
      </c>
      <c r="AF51" s="18" t="s">
        <v>168</v>
      </c>
      <c r="AG51" s="18"/>
      <c r="AH51" s="27">
        <f>COUNTA(月11_217[[#This Row],[1]:[ ]])</f>
        <v>27</v>
      </c>
    </row>
    <row r="52" spans="2:34" ht="30" customHeight="1" x14ac:dyDescent="0.25">
      <c r="B52" s="31" t="s">
        <v>118</v>
      </c>
      <c r="C52" s="18" t="s">
        <v>168</v>
      </c>
      <c r="D52" s="18" t="s">
        <v>168</v>
      </c>
      <c r="E52" s="18" t="s">
        <v>168</v>
      </c>
      <c r="F52" s="18" t="s">
        <v>168</v>
      </c>
      <c r="G52" s="18" t="s">
        <v>168</v>
      </c>
      <c r="H52" s="18" t="s">
        <v>168</v>
      </c>
      <c r="I52" s="18" t="s">
        <v>168</v>
      </c>
      <c r="J52" s="18" t="s">
        <v>168</v>
      </c>
      <c r="K52" s="18" t="s">
        <v>168</v>
      </c>
      <c r="L52" s="18" t="s">
        <v>168</v>
      </c>
      <c r="M52" s="18" t="s">
        <v>168</v>
      </c>
      <c r="N52" s="18" t="s">
        <v>168</v>
      </c>
      <c r="O52" s="18" t="s">
        <v>168</v>
      </c>
      <c r="P52" s="18" t="s">
        <v>168</v>
      </c>
      <c r="Q52" s="18" t="s">
        <v>168</v>
      </c>
      <c r="R52" s="18" t="s">
        <v>168</v>
      </c>
      <c r="S52" s="18" t="s">
        <v>168</v>
      </c>
      <c r="T52" s="18" t="s">
        <v>168</v>
      </c>
      <c r="U52" s="18" t="s">
        <v>168</v>
      </c>
      <c r="V52" s="18" t="s">
        <v>168</v>
      </c>
      <c r="W52" s="18" t="s">
        <v>168</v>
      </c>
      <c r="X52" s="18" t="s">
        <v>168</v>
      </c>
      <c r="Y52" s="18" t="s">
        <v>168</v>
      </c>
      <c r="Z52" s="18" t="s">
        <v>168</v>
      </c>
      <c r="AA52" s="18" t="s">
        <v>168</v>
      </c>
      <c r="AB52" s="18" t="s">
        <v>168</v>
      </c>
      <c r="AC52" s="18" t="s">
        <v>168</v>
      </c>
      <c r="AD52" s="18" t="s">
        <v>168</v>
      </c>
      <c r="AE52" s="18" t="s">
        <v>168</v>
      </c>
      <c r="AF52" s="18" t="s">
        <v>168</v>
      </c>
      <c r="AG52" s="18"/>
      <c r="AH52" s="27">
        <f>COUNTA(月11_217[[#This Row],[1]:[ ]])</f>
        <v>30</v>
      </c>
    </row>
    <row r="53" spans="2:34" ht="30" customHeight="1" x14ac:dyDescent="0.25">
      <c r="B53" s="31" t="s">
        <v>144</v>
      </c>
      <c r="C53" s="18" t="s">
        <v>168</v>
      </c>
      <c r="D53" s="18" t="s">
        <v>168</v>
      </c>
      <c r="E53" s="18" t="s">
        <v>168</v>
      </c>
      <c r="F53" s="18" t="s">
        <v>168</v>
      </c>
      <c r="G53" s="18" t="s">
        <v>168</v>
      </c>
      <c r="H53" s="18" t="s">
        <v>168</v>
      </c>
      <c r="I53" s="18" t="s">
        <v>168</v>
      </c>
      <c r="J53" s="18" t="s">
        <v>168</v>
      </c>
      <c r="K53" s="18" t="s">
        <v>168</v>
      </c>
      <c r="L53" s="18" t="s">
        <v>168</v>
      </c>
      <c r="M53" s="18" t="s">
        <v>168</v>
      </c>
      <c r="N53" s="18" t="s">
        <v>168</v>
      </c>
      <c r="O53" s="18" t="s">
        <v>168</v>
      </c>
      <c r="P53" s="18" t="s">
        <v>168</v>
      </c>
      <c r="Q53" s="18" t="s">
        <v>168</v>
      </c>
      <c r="R53" s="18" t="s">
        <v>168</v>
      </c>
      <c r="S53" s="18" t="s">
        <v>168</v>
      </c>
      <c r="T53" s="18" t="s">
        <v>168</v>
      </c>
      <c r="U53" s="18" t="s">
        <v>168</v>
      </c>
      <c r="V53" s="18" t="s">
        <v>168</v>
      </c>
      <c r="W53" s="18" t="s">
        <v>168</v>
      </c>
      <c r="X53" s="18" t="s">
        <v>168</v>
      </c>
      <c r="Y53" s="18" t="s">
        <v>168</v>
      </c>
      <c r="Z53" s="18" t="s">
        <v>168</v>
      </c>
      <c r="AA53" s="18" t="s">
        <v>168</v>
      </c>
      <c r="AB53" s="18" t="s">
        <v>168</v>
      </c>
      <c r="AC53" s="18" t="s">
        <v>168</v>
      </c>
      <c r="AD53" s="18" t="s">
        <v>168</v>
      </c>
      <c r="AE53" s="18" t="s">
        <v>168</v>
      </c>
      <c r="AF53" s="18" t="s">
        <v>168</v>
      </c>
      <c r="AG53" s="18"/>
      <c r="AH53" s="27">
        <f>COUNTA(月11_217[[#This Row],[1]:[ ]])</f>
        <v>30</v>
      </c>
    </row>
    <row r="54" spans="2:34" ht="30" customHeight="1" x14ac:dyDescent="0.25">
      <c r="B54" s="31" t="s">
        <v>145</v>
      </c>
      <c r="C54" s="18" t="s">
        <v>168</v>
      </c>
      <c r="D54" s="18" t="s">
        <v>168</v>
      </c>
      <c r="E54" s="18" t="s">
        <v>168</v>
      </c>
      <c r="F54" s="18" t="s">
        <v>168</v>
      </c>
      <c r="G54" s="18" t="s">
        <v>168</v>
      </c>
      <c r="H54" s="18" t="s">
        <v>168</v>
      </c>
      <c r="I54" s="18" t="s">
        <v>168</v>
      </c>
      <c r="J54" s="18" t="s">
        <v>168</v>
      </c>
      <c r="K54" s="18" t="s">
        <v>168</v>
      </c>
      <c r="L54" s="18" t="s">
        <v>168</v>
      </c>
      <c r="M54" s="18" t="s">
        <v>168</v>
      </c>
      <c r="N54" s="18" t="s">
        <v>168</v>
      </c>
      <c r="O54" s="18" t="s">
        <v>168</v>
      </c>
      <c r="P54" s="18" t="s">
        <v>168</v>
      </c>
      <c r="Q54" s="18" t="s">
        <v>168</v>
      </c>
      <c r="R54" s="18" t="s">
        <v>168</v>
      </c>
      <c r="S54" s="18" t="s">
        <v>168</v>
      </c>
      <c r="T54" s="18" t="s">
        <v>168</v>
      </c>
      <c r="U54" s="18" t="s">
        <v>168</v>
      </c>
      <c r="V54" s="18" t="s">
        <v>168</v>
      </c>
      <c r="W54" s="18" t="s">
        <v>168</v>
      </c>
      <c r="X54" s="18" t="s">
        <v>168</v>
      </c>
      <c r="Y54" s="18" t="s">
        <v>168</v>
      </c>
      <c r="Z54" s="18" t="s">
        <v>168</v>
      </c>
      <c r="AA54" s="18" t="s">
        <v>168</v>
      </c>
      <c r="AB54" s="18" t="s">
        <v>168</v>
      </c>
      <c r="AC54" s="18" t="s">
        <v>168</v>
      </c>
      <c r="AD54" s="18" t="s">
        <v>168</v>
      </c>
      <c r="AE54" s="18" t="s">
        <v>168</v>
      </c>
      <c r="AF54" s="18" t="s">
        <v>168</v>
      </c>
      <c r="AG54" s="18"/>
      <c r="AH54" s="27">
        <f>COUNTA(月11_217[[#This Row],[1]:[ ]])</f>
        <v>30</v>
      </c>
    </row>
    <row r="55" spans="2:34" ht="30" customHeight="1" x14ac:dyDescent="0.25">
      <c r="B55" s="32" t="s">
        <v>146</v>
      </c>
      <c r="C55" s="18" t="s">
        <v>168</v>
      </c>
      <c r="D55" s="18" t="s">
        <v>168</v>
      </c>
      <c r="E55" s="18" t="s">
        <v>168</v>
      </c>
      <c r="F55" s="18" t="s">
        <v>168</v>
      </c>
      <c r="G55" s="18" t="s">
        <v>168</v>
      </c>
      <c r="H55" s="18" t="s">
        <v>168</v>
      </c>
      <c r="I55" s="18" t="s">
        <v>168</v>
      </c>
      <c r="J55" s="18" t="s">
        <v>168</v>
      </c>
      <c r="K55" s="18" t="s">
        <v>168</v>
      </c>
      <c r="L55" s="18" t="s">
        <v>168</v>
      </c>
      <c r="M55" s="18" t="s">
        <v>168</v>
      </c>
      <c r="N55" s="18" t="s">
        <v>168</v>
      </c>
      <c r="O55" s="18" t="s">
        <v>168</v>
      </c>
      <c r="P55" s="18" t="s">
        <v>168</v>
      </c>
      <c r="Q55" s="18" t="s">
        <v>168</v>
      </c>
      <c r="R55" s="18" t="s">
        <v>168</v>
      </c>
      <c r="S55" s="18" t="s">
        <v>168</v>
      </c>
      <c r="T55" s="18" t="s">
        <v>168</v>
      </c>
      <c r="U55" s="18" t="s">
        <v>168</v>
      </c>
      <c r="V55" s="18" t="s">
        <v>168</v>
      </c>
      <c r="W55" s="18" t="s">
        <v>168</v>
      </c>
      <c r="X55" s="18" t="s">
        <v>168</v>
      </c>
      <c r="Y55" s="18" t="s">
        <v>168</v>
      </c>
      <c r="Z55" s="18" t="s">
        <v>168</v>
      </c>
      <c r="AA55" s="18" t="s">
        <v>168</v>
      </c>
      <c r="AB55" s="18" t="s">
        <v>168</v>
      </c>
      <c r="AC55" s="18" t="s">
        <v>168</v>
      </c>
      <c r="AD55" s="18" t="s">
        <v>168</v>
      </c>
      <c r="AE55" s="18" t="s">
        <v>168</v>
      </c>
      <c r="AF55" s="18" t="s">
        <v>168</v>
      </c>
      <c r="AG55" s="18"/>
      <c r="AH55" s="27">
        <f>COUNTA(月11_217[[#This Row],[1]:[ ]])</f>
        <v>30</v>
      </c>
    </row>
    <row r="56" spans="2:34" ht="30" customHeight="1" x14ac:dyDescent="0.25">
      <c r="B56" s="32" t="s">
        <v>147</v>
      </c>
      <c r="C56" s="18" t="s">
        <v>168</v>
      </c>
      <c r="D56" s="18" t="s">
        <v>168</v>
      </c>
      <c r="E56" s="18" t="s">
        <v>168</v>
      </c>
      <c r="F56" s="18" t="s">
        <v>168</v>
      </c>
      <c r="G56" s="18" t="s">
        <v>168</v>
      </c>
      <c r="H56" s="18" t="s">
        <v>168</v>
      </c>
      <c r="I56" s="18" t="s">
        <v>168</v>
      </c>
      <c r="J56" s="18" t="s">
        <v>168</v>
      </c>
      <c r="K56" s="18" t="s">
        <v>168</v>
      </c>
      <c r="L56" s="18" t="s">
        <v>168</v>
      </c>
      <c r="M56" s="18" t="s">
        <v>168</v>
      </c>
      <c r="N56" s="18" t="s">
        <v>168</v>
      </c>
      <c r="O56" s="18" t="s">
        <v>168</v>
      </c>
      <c r="P56" s="18" t="s">
        <v>168</v>
      </c>
      <c r="Q56" s="18" t="s">
        <v>168</v>
      </c>
      <c r="R56" s="18" t="s">
        <v>168</v>
      </c>
      <c r="S56" s="18" t="s">
        <v>168</v>
      </c>
      <c r="T56" s="18" t="s">
        <v>168</v>
      </c>
      <c r="U56" s="18" t="s">
        <v>168</v>
      </c>
      <c r="V56" s="18" t="s">
        <v>168</v>
      </c>
      <c r="W56" s="18" t="s">
        <v>168</v>
      </c>
      <c r="X56" s="18" t="s">
        <v>168</v>
      </c>
      <c r="Y56" s="18" t="s">
        <v>168</v>
      </c>
      <c r="Z56" s="18" t="s">
        <v>168</v>
      </c>
      <c r="AA56" s="18" t="s">
        <v>168</v>
      </c>
      <c r="AB56" s="18" t="s">
        <v>168</v>
      </c>
      <c r="AC56" s="18" t="s">
        <v>168</v>
      </c>
      <c r="AD56" s="18" t="s">
        <v>168</v>
      </c>
      <c r="AE56" s="18" t="s">
        <v>168</v>
      </c>
      <c r="AF56" s="18" t="s">
        <v>168</v>
      </c>
      <c r="AG56" s="18"/>
      <c r="AH56" s="27">
        <f>COUNTA(月11_217[[#This Row],[1]:[ ]])</f>
        <v>30</v>
      </c>
    </row>
    <row r="57" spans="2:34" ht="30" customHeight="1" x14ac:dyDescent="0.25">
      <c r="B57" s="32" t="s">
        <v>148</v>
      </c>
      <c r="C57" s="18" t="s">
        <v>168</v>
      </c>
      <c r="D57" s="18" t="s">
        <v>168</v>
      </c>
      <c r="E57" s="18" t="s">
        <v>168</v>
      </c>
      <c r="F57" s="18" t="s">
        <v>168</v>
      </c>
      <c r="G57" s="18" t="s">
        <v>168</v>
      </c>
      <c r="H57" s="18" t="s">
        <v>168</v>
      </c>
      <c r="I57" s="18" t="s">
        <v>168</v>
      </c>
      <c r="J57" s="18" t="s">
        <v>168</v>
      </c>
      <c r="K57" s="18" t="s">
        <v>168</v>
      </c>
      <c r="L57" s="18" t="s">
        <v>168</v>
      </c>
      <c r="M57" s="18" t="s">
        <v>168</v>
      </c>
      <c r="N57" s="18" t="s">
        <v>168</v>
      </c>
      <c r="O57" s="18" t="s">
        <v>168</v>
      </c>
      <c r="P57" s="18" t="s">
        <v>168</v>
      </c>
      <c r="Q57" s="18" t="s">
        <v>168</v>
      </c>
      <c r="R57" s="18" t="s">
        <v>168</v>
      </c>
      <c r="S57" s="18" t="s">
        <v>168</v>
      </c>
      <c r="T57" s="18" t="s">
        <v>168</v>
      </c>
      <c r="U57" s="18" t="s">
        <v>168</v>
      </c>
      <c r="V57" s="18" t="s">
        <v>168</v>
      </c>
      <c r="W57" s="18" t="s">
        <v>168</v>
      </c>
      <c r="X57" s="18" t="s">
        <v>168</v>
      </c>
      <c r="Y57" s="18" t="s">
        <v>168</v>
      </c>
      <c r="Z57" s="18" t="s">
        <v>168</v>
      </c>
      <c r="AA57" s="18" t="s">
        <v>168</v>
      </c>
      <c r="AB57" s="18" t="s">
        <v>168</v>
      </c>
      <c r="AC57" s="18" t="s">
        <v>168</v>
      </c>
      <c r="AD57" s="18" t="s">
        <v>168</v>
      </c>
      <c r="AE57" s="18" t="s">
        <v>168</v>
      </c>
      <c r="AF57" s="18" t="s">
        <v>168</v>
      </c>
      <c r="AG57" s="18"/>
      <c r="AH57" s="27">
        <f>COUNTA(月11_217[[#This Row],[1]:[ ]])</f>
        <v>30</v>
      </c>
    </row>
    <row r="58" spans="2:34" ht="30" customHeight="1" x14ac:dyDescent="0.25">
      <c r="B58" s="32" t="s">
        <v>149</v>
      </c>
      <c r="C58" s="18" t="s">
        <v>168</v>
      </c>
      <c r="D58" s="18" t="s">
        <v>168</v>
      </c>
      <c r="E58" s="18" t="s">
        <v>168</v>
      </c>
      <c r="F58" s="18" t="s">
        <v>168</v>
      </c>
      <c r="G58" s="18" t="s">
        <v>168</v>
      </c>
      <c r="H58" s="18" t="s">
        <v>168</v>
      </c>
      <c r="I58" s="18" t="s">
        <v>168</v>
      </c>
      <c r="J58" s="18" t="s">
        <v>168</v>
      </c>
      <c r="K58" s="18" t="s">
        <v>168</v>
      </c>
      <c r="L58" s="18" t="s">
        <v>168</v>
      </c>
      <c r="M58" s="18" t="s">
        <v>168</v>
      </c>
      <c r="N58" s="18" t="s">
        <v>168</v>
      </c>
      <c r="O58" s="18" t="s">
        <v>168</v>
      </c>
      <c r="P58" s="18" t="s">
        <v>168</v>
      </c>
      <c r="Q58" s="18" t="s">
        <v>168</v>
      </c>
      <c r="R58" s="18" t="s">
        <v>168</v>
      </c>
      <c r="S58" s="18" t="s">
        <v>168</v>
      </c>
      <c r="T58" s="18" t="s">
        <v>168</v>
      </c>
      <c r="U58" s="18" t="s">
        <v>168</v>
      </c>
      <c r="V58" s="18" t="s">
        <v>168</v>
      </c>
      <c r="W58" s="18" t="s">
        <v>168</v>
      </c>
      <c r="X58" s="18" t="s">
        <v>168</v>
      </c>
      <c r="Y58" s="18" t="s">
        <v>168</v>
      </c>
      <c r="Z58" s="18" t="s">
        <v>168</v>
      </c>
      <c r="AA58" s="18" t="s">
        <v>168</v>
      </c>
      <c r="AB58" s="18" t="s">
        <v>168</v>
      </c>
      <c r="AC58" s="18" t="s">
        <v>168</v>
      </c>
      <c r="AD58" s="18" t="s">
        <v>168</v>
      </c>
      <c r="AE58" s="18" t="s">
        <v>168</v>
      </c>
      <c r="AF58" s="18" t="s">
        <v>168</v>
      </c>
      <c r="AG58" s="18"/>
      <c r="AH58" s="27">
        <f>COUNTA(月11_217[[#This Row],[1]:[ ]])</f>
        <v>30</v>
      </c>
    </row>
    <row r="59" spans="2:34" ht="30" customHeight="1" x14ac:dyDescent="0.25">
      <c r="B59" s="32" t="s">
        <v>150</v>
      </c>
      <c r="C59" s="18" t="s">
        <v>168</v>
      </c>
      <c r="D59" s="18" t="s">
        <v>168</v>
      </c>
      <c r="E59" s="18" t="s">
        <v>168</v>
      </c>
      <c r="F59" s="18" t="s">
        <v>168</v>
      </c>
      <c r="G59" s="18" t="s">
        <v>168</v>
      </c>
      <c r="H59" s="18" t="s">
        <v>168</v>
      </c>
      <c r="I59" s="18" t="s">
        <v>168</v>
      </c>
      <c r="J59" s="18" t="s">
        <v>168</v>
      </c>
      <c r="K59" s="18" t="s">
        <v>168</v>
      </c>
      <c r="L59" s="18" t="s">
        <v>168</v>
      </c>
      <c r="M59" s="18" t="s">
        <v>168</v>
      </c>
      <c r="N59" s="18" t="s">
        <v>168</v>
      </c>
      <c r="O59" s="18" t="s">
        <v>168</v>
      </c>
      <c r="P59" s="18" t="s">
        <v>168</v>
      </c>
      <c r="Q59" s="18" t="s">
        <v>168</v>
      </c>
      <c r="R59" s="18" t="s">
        <v>168</v>
      </c>
      <c r="S59" s="18" t="s">
        <v>168</v>
      </c>
      <c r="T59" s="18" t="s">
        <v>168</v>
      </c>
      <c r="U59" s="18" t="s">
        <v>168</v>
      </c>
      <c r="V59" s="18" t="s">
        <v>168</v>
      </c>
      <c r="W59" s="18" t="s">
        <v>168</v>
      </c>
      <c r="X59" s="18" t="s">
        <v>168</v>
      </c>
      <c r="Y59" s="18" t="s">
        <v>168</v>
      </c>
      <c r="Z59" s="18" t="s">
        <v>168</v>
      </c>
      <c r="AA59" s="18" t="s">
        <v>168</v>
      </c>
      <c r="AB59" s="18" t="s">
        <v>168</v>
      </c>
      <c r="AC59" s="18" t="s">
        <v>168</v>
      </c>
      <c r="AD59" s="18" t="s">
        <v>168</v>
      </c>
      <c r="AE59" s="18" t="s">
        <v>168</v>
      </c>
      <c r="AF59" s="18" t="s">
        <v>168</v>
      </c>
      <c r="AG59" s="18"/>
      <c r="AH59" s="27">
        <f>COUNTA(月11_217[[#This Row],[1]:[ ]])</f>
        <v>30</v>
      </c>
    </row>
    <row r="60" spans="2:34" ht="30" customHeight="1" x14ac:dyDescent="0.25">
      <c r="B60" s="32" t="s">
        <v>151</v>
      </c>
      <c r="C60" s="18" t="s">
        <v>168</v>
      </c>
      <c r="D60" s="18" t="s">
        <v>168</v>
      </c>
      <c r="E60" s="18" t="s">
        <v>168</v>
      </c>
      <c r="F60" s="18" t="s">
        <v>168</v>
      </c>
      <c r="G60" s="18" t="s">
        <v>168</v>
      </c>
      <c r="H60" s="18" t="s">
        <v>168</v>
      </c>
      <c r="I60" s="18" t="s">
        <v>168</v>
      </c>
      <c r="J60" s="18" t="s">
        <v>168</v>
      </c>
      <c r="K60" s="18" t="s">
        <v>168</v>
      </c>
      <c r="L60" s="18" t="s">
        <v>168</v>
      </c>
      <c r="M60" s="18" t="s">
        <v>168</v>
      </c>
      <c r="N60" s="18" t="s">
        <v>168</v>
      </c>
      <c r="O60" s="18" t="s">
        <v>168</v>
      </c>
      <c r="P60" s="18" t="s">
        <v>168</v>
      </c>
      <c r="Q60" s="18" t="s">
        <v>168</v>
      </c>
      <c r="R60" s="18" t="s">
        <v>168</v>
      </c>
      <c r="S60" s="18" t="s">
        <v>168</v>
      </c>
      <c r="T60" s="18" t="s">
        <v>168</v>
      </c>
      <c r="U60" s="18" t="s">
        <v>168</v>
      </c>
      <c r="V60" s="18" t="s">
        <v>168</v>
      </c>
      <c r="W60" s="18" t="s">
        <v>168</v>
      </c>
      <c r="X60" s="18" t="s">
        <v>168</v>
      </c>
      <c r="Y60" s="18" t="s">
        <v>168</v>
      </c>
      <c r="Z60" s="18" t="s">
        <v>168</v>
      </c>
      <c r="AA60" s="18" t="s">
        <v>168</v>
      </c>
      <c r="AB60" s="18" t="s">
        <v>168</v>
      </c>
      <c r="AC60" s="18" t="s">
        <v>168</v>
      </c>
      <c r="AD60" s="18" t="s">
        <v>168</v>
      </c>
      <c r="AE60" s="18" t="s">
        <v>168</v>
      </c>
      <c r="AF60" s="18" t="s">
        <v>168</v>
      </c>
      <c r="AG60" s="18"/>
      <c r="AH60" s="27">
        <f>COUNTA(月11_217[[#This Row],[1]:[ ]])</f>
        <v>30</v>
      </c>
    </row>
    <row r="61" spans="2:34" ht="30" customHeight="1" x14ac:dyDescent="0.25">
      <c r="B61" s="32" t="s">
        <v>152</v>
      </c>
      <c r="C61" s="18" t="s">
        <v>168</v>
      </c>
      <c r="D61" s="18" t="s">
        <v>168</v>
      </c>
      <c r="E61" s="18" t="s">
        <v>168</v>
      </c>
      <c r="F61" s="18" t="s">
        <v>168</v>
      </c>
      <c r="G61" s="18" t="s">
        <v>168</v>
      </c>
      <c r="H61" s="18" t="s">
        <v>168</v>
      </c>
      <c r="I61" s="18" t="s">
        <v>168</v>
      </c>
      <c r="J61" s="18" t="s">
        <v>168</v>
      </c>
      <c r="K61" s="18" t="s">
        <v>168</v>
      </c>
      <c r="L61" s="18" t="s">
        <v>168</v>
      </c>
      <c r="M61" s="18" t="s">
        <v>168</v>
      </c>
      <c r="N61" s="18" t="s">
        <v>168</v>
      </c>
      <c r="O61" s="18" t="s">
        <v>168</v>
      </c>
      <c r="P61" s="18" t="s">
        <v>168</v>
      </c>
      <c r="Q61" s="18" t="s">
        <v>168</v>
      </c>
      <c r="R61" s="18" t="s">
        <v>168</v>
      </c>
      <c r="S61" s="18" t="s">
        <v>168</v>
      </c>
      <c r="T61" s="18" t="s">
        <v>168</v>
      </c>
      <c r="U61" s="18" t="s">
        <v>168</v>
      </c>
      <c r="V61" s="18" t="s">
        <v>168</v>
      </c>
      <c r="W61" s="18" t="s">
        <v>168</v>
      </c>
      <c r="X61" s="18" t="s">
        <v>168</v>
      </c>
      <c r="Y61" s="18" t="s">
        <v>168</v>
      </c>
      <c r="Z61" s="18" t="s">
        <v>168</v>
      </c>
      <c r="AA61" s="18" t="s">
        <v>168</v>
      </c>
      <c r="AB61" s="18" t="s">
        <v>168</v>
      </c>
      <c r="AC61" s="18" t="s">
        <v>168</v>
      </c>
      <c r="AD61" s="18" t="s">
        <v>168</v>
      </c>
      <c r="AE61" s="18" t="s">
        <v>168</v>
      </c>
      <c r="AF61" s="18" t="s">
        <v>168</v>
      </c>
      <c r="AG61" s="18"/>
      <c r="AH61" s="27">
        <f>COUNTA(月11_217[[#This Row],[1]:[ ]])</f>
        <v>30</v>
      </c>
    </row>
    <row r="62" spans="2:34" ht="30" customHeight="1" x14ac:dyDescent="0.25">
      <c r="B62" s="32" t="s">
        <v>153</v>
      </c>
      <c r="C62" s="18" t="s">
        <v>168</v>
      </c>
      <c r="D62" s="18" t="s">
        <v>168</v>
      </c>
      <c r="E62" s="18" t="s">
        <v>168</v>
      </c>
      <c r="F62" s="18" t="s">
        <v>168</v>
      </c>
      <c r="G62" s="18" t="s">
        <v>168</v>
      </c>
      <c r="H62" s="18" t="s">
        <v>168</v>
      </c>
      <c r="I62" s="18" t="s">
        <v>168</v>
      </c>
      <c r="J62" s="18" t="s">
        <v>168</v>
      </c>
      <c r="K62" s="18" t="s">
        <v>168</v>
      </c>
      <c r="L62" s="18" t="s">
        <v>168</v>
      </c>
      <c r="M62" s="18" t="s">
        <v>168</v>
      </c>
      <c r="N62" s="18" t="s">
        <v>168</v>
      </c>
      <c r="O62" s="18" t="s">
        <v>168</v>
      </c>
      <c r="P62" s="18" t="s">
        <v>168</v>
      </c>
      <c r="Q62" s="18" t="s">
        <v>168</v>
      </c>
      <c r="R62" s="18" t="s">
        <v>168</v>
      </c>
      <c r="S62" s="18" t="s">
        <v>168</v>
      </c>
      <c r="T62" s="18" t="s">
        <v>168</v>
      </c>
      <c r="U62" s="18" t="s">
        <v>168</v>
      </c>
      <c r="V62" s="18" t="s">
        <v>168</v>
      </c>
      <c r="W62" s="18" t="s">
        <v>168</v>
      </c>
      <c r="X62" s="18" t="s">
        <v>168</v>
      </c>
      <c r="Y62" s="18" t="s">
        <v>168</v>
      </c>
      <c r="Z62" s="18" t="s">
        <v>168</v>
      </c>
      <c r="AA62" s="18" t="s">
        <v>168</v>
      </c>
      <c r="AB62" s="18" t="s">
        <v>168</v>
      </c>
      <c r="AC62" s="18" t="s">
        <v>168</v>
      </c>
      <c r="AD62" s="18" t="s">
        <v>168</v>
      </c>
      <c r="AE62" s="18" t="s">
        <v>168</v>
      </c>
      <c r="AF62" s="18" t="s">
        <v>168</v>
      </c>
      <c r="AG62" s="18"/>
      <c r="AH62" s="27">
        <f>COUNTA(月11_217[[#This Row],[1]:[ ]])</f>
        <v>30</v>
      </c>
    </row>
    <row r="63" spans="2:34" ht="30" customHeight="1" x14ac:dyDescent="0.25">
      <c r="B63" s="32" t="s">
        <v>154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27">
        <f>COUNTA(月11_217[[#This Row],[1]:[ ]])</f>
        <v>0</v>
      </c>
    </row>
    <row r="64" spans="2:34" ht="30" customHeight="1" x14ac:dyDescent="0.25">
      <c r="B64" s="32" t="s">
        <v>155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27">
        <f>COUNTA(月11_217[[#This Row],[1]:[ ]])</f>
        <v>0</v>
      </c>
    </row>
    <row r="65" spans="2:34" ht="30" customHeight="1" x14ac:dyDescent="0.25">
      <c r="B65" s="32" t="s">
        <v>156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27">
        <f>COUNTA(月11_217[[#This Row],[1]:[ ]])</f>
        <v>0</v>
      </c>
    </row>
    <row r="66" spans="2:34" ht="30" customHeight="1" x14ac:dyDescent="0.25">
      <c r="B66" s="21" t="str">
        <f>MonthName&amp;"集計"</f>
        <v>コピー元集計</v>
      </c>
      <c r="C66" s="22">
        <f>SUBTOTAL(103,月11_217[1])</f>
        <v>22</v>
      </c>
      <c r="D66" s="22">
        <f>SUBTOTAL(103,月11_217[2])</f>
        <v>22</v>
      </c>
      <c r="E66" s="22">
        <f>SUBTOTAL(103,月11_217[3])</f>
        <v>22</v>
      </c>
      <c r="F66" s="22">
        <f>SUBTOTAL(103,月11_217[4])</f>
        <v>44</v>
      </c>
      <c r="G66" s="22">
        <f>SUBTOTAL(103,月11_217[5])</f>
        <v>44</v>
      </c>
      <c r="H66" s="22">
        <f>SUBTOTAL(103,月11_217[6])</f>
        <v>44</v>
      </c>
      <c r="I66" s="22">
        <f>SUBTOTAL(103,月11_217[7])</f>
        <v>44</v>
      </c>
      <c r="J66" s="22">
        <f>SUBTOTAL(103,月11_217[8])</f>
        <v>44</v>
      </c>
      <c r="K66" s="22">
        <f>SUBTOTAL(103,月11_217[9])</f>
        <v>44</v>
      </c>
      <c r="L66" s="22">
        <f>SUBTOTAL(103,月11_217[10])</f>
        <v>44</v>
      </c>
      <c r="M66" s="22">
        <f>SUBTOTAL(103,月11_217[11])</f>
        <v>44</v>
      </c>
      <c r="N66" s="22">
        <f>SUBTOTAL(103,月11_217[12])</f>
        <v>44</v>
      </c>
      <c r="O66" s="22">
        <f>SUBTOTAL(103,月11_217[13])</f>
        <v>44</v>
      </c>
      <c r="P66" s="22">
        <f>SUBTOTAL(103,月11_217[14])</f>
        <v>44</v>
      </c>
      <c r="Q66" s="22">
        <f>SUBTOTAL(103,月11_217[15])</f>
        <v>44</v>
      </c>
      <c r="R66" s="22">
        <f>SUBTOTAL(103,月11_217[16])</f>
        <v>44</v>
      </c>
      <c r="S66" s="22">
        <f>SUBTOTAL(103,月11_217[17])</f>
        <v>44</v>
      </c>
      <c r="T66" s="22">
        <f>SUBTOTAL(103,月11_217[18])</f>
        <v>44</v>
      </c>
      <c r="U66" s="22">
        <f>SUBTOTAL(103,月11_217[19])</f>
        <v>44</v>
      </c>
      <c r="V66" s="22">
        <f>SUBTOTAL(103,月11_217[20])</f>
        <v>44</v>
      </c>
      <c r="W66" s="22">
        <f>SUBTOTAL(103,月11_217[21])</f>
        <v>44</v>
      </c>
      <c r="X66" s="22">
        <f>SUBTOTAL(103,月11_217[22])</f>
        <v>44</v>
      </c>
      <c r="Y66" s="22">
        <f>SUBTOTAL(103,月11_217[23])</f>
        <v>44</v>
      </c>
      <c r="Z66" s="22">
        <f>SUBTOTAL(103,月11_217[24])</f>
        <v>44</v>
      </c>
      <c r="AA66" s="22">
        <f>SUBTOTAL(103,月11_217[25])</f>
        <v>44</v>
      </c>
      <c r="AB66" s="22">
        <f>SUBTOTAL(103,月11_217[26])</f>
        <v>44</v>
      </c>
      <c r="AC66" s="22">
        <f>SUBTOTAL(103,月11_217[27])</f>
        <v>44</v>
      </c>
      <c r="AD66" s="22">
        <f>SUBTOTAL(103,月11_217[28])</f>
        <v>44</v>
      </c>
      <c r="AE66" s="22">
        <f>SUBTOTAL(103,月11_217[29])</f>
        <v>44</v>
      </c>
      <c r="AF66" s="22">
        <f>SUBTOTAL(109,月11_217[30])</f>
        <v>0</v>
      </c>
      <c r="AG66" s="22">
        <f>SUBTOTAL(109,月11_217[[ ]])</f>
        <v>0</v>
      </c>
      <c r="AH66" s="22">
        <f>SUBTOTAL(109,月11_217[合計日数])</f>
        <v>1276</v>
      </c>
    </row>
  </sheetData>
  <mergeCells count="6">
    <mergeCell ref="C6:AG6"/>
    <mergeCell ref="D4:F4"/>
    <mergeCell ref="H4:J4"/>
    <mergeCell ref="L4:M4"/>
    <mergeCell ref="O4:Q4"/>
    <mergeCell ref="S4:U4"/>
  </mergeCells>
  <phoneticPr fontId="10"/>
  <conditionalFormatting sqref="C52:E62">
    <cfRule type="expression" priority="1" stopIfTrue="1">
      <formula>C52=""</formula>
    </cfRule>
    <cfRule type="expression" dxfId="39" priority="2" stopIfTrue="1">
      <formula>C52=KeyCustom2</formula>
    </cfRule>
    <cfRule type="expression" dxfId="38" priority="3" stopIfTrue="1">
      <formula>C52=KeyCustom1</formula>
    </cfRule>
    <cfRule type="expression" dxfId="37" priority="4" stopIfTrue="1">
      <formula>C52=KeySick</formula>
    </cfRule>
    <cfRule type="expression" dxfId="36" priority="5" stopIfTrue="1">
      <formula>C52=KeyPersonal</formula>
    </cfRule>
    <cfRule type="expression" dxfId="35" priority="6" stopIfTrue="1">
      <formula>C52=KeyVacation</formula>
    </cfRule>
  </conditionalFormatting>
  <conditionalFormatting sqref="C9:L19 C41:L51 AG41:AG52">
    <cfRule type="expression" dxfId="34" priority="40" stopIfTrue="1">
      <formula>C9=KeySick</formula>
    </cfRule>
    <cfRule type="expression" dxfId="33" priority="38" stopIfTrue="1">
      <formula>C9=KeyCustom2</formula>
    </cfRule>
    <cfRule type="expression" priority="37" stopIfTrue="1">
      <formula>C9=""</formula>
    </cfRule>
    <cfRule type="expression" dxfId="32" priority="39" stopIfTrue="1">
      <formula>C9=KeyCustom1</formula>
    </cfRule>
    <cfRule type="expression" dxfId="31" priority="42" stopIfTrue="1">
      <formula>C9=KeyVacation</formula>
    </cfRule>
    <cfRule type="expression" dxfId="30" priority="41" stopIfTrue="1">
      <formula>C9=KeyPersonal</formula>
    </cfRule>
  </conditionalFormatting>
  <conditionalFormatting sqref="C20:AG40">
    <cfRule type="expression" dxfId="29" priority="32" stopIfTrue="1">
      <formula>C20=KeyCustom2</formula>
    </cfRule>
    <cfRule type="expression" dxfId="28" priority="33" stopIfTrue="1">
      <formula>C20=KeyCustom1</formula>
    </cfRule>
    <cfRule type="expression" dxfId="27" priority="35" stopIfTrue="1">
      <formula>C20=KeyPersonal</formula>
    </cfRule>
    <cfRule type="expression" dxfId="26" priority="36" stopIfTrue="1">
      <formula>C20=KeyVacation</formula>
    </cfRule>
    <cfRule type="expression" dxfId="25" priority="34" stopIfTrue="1">
      <formula>C20=KeySick</formula>
    </cfRule>
    <cfRule type="expression" priority="31" stopIfTrue="1">
      <formula>C20=""</formula>
    </cfRule>
  </conditionalFormatting>
  <conditionalFormatting sqref="F52:L62">
    <cfRule type="expression" priority="7" stopIfTrue="1">
      <formula>F52=""</formula>
    </cfRule>
    <cfRule type="expression" dxfId="24" priority="8" stopIfTrue="1">
      <formula>F52=KeyCustom2</formula>
    </cfRule>
    <cfRule type="expression" dxfId="23" priority="9" stopIfTrue="1">
      <formula>F52=KeyCustom1</formula>
    </cfRule>
    <cfRule type="expression" dxfId="22" priority="10" stopIfTrue="1">
      <formula>F52=KeySick</formula>
    </cfRule>
    <cfRule type="expression" dxfId="21" priority="11" stopIfTrue="1">
      <formula>F52=KeyPersonal</formula>
    </cfRule>
    <cfRule type="expression" dxfId="20" priority="12" stopIfTrue="1">
      <formula>F52=KeyVacation</formula>
    </cfRule>
  </conditionalFormatting>
  <conditionalFormatting sqref="M9:AD19">
    <cfRule type="expression" dxfId="19" priority="29" stopIfTrue="1">
      <formula>M9=KeyPersonal</formula>
    </cfRule>
    <cfRule type="expression" dxfId="18" priority="30" stopIfTrue="1">
      <formula>M9=KeyVacation</formula>
    </cfRule>
    <cfRule type="expression" priority="25" stopIfTrue="1">
      <formula>M9=""</formula>
    </cfRule>
    <cfRule type="expression" dxfId="17" priority="26" stopIfTrue="1">
      <formula>M9=KeyCustom2</formula>
    </cfRule>
    <cfRule type="expression" dxfId="16" priority="27" stopIfTrue="1">
      <formula>M9=KeyCustom1</formula>
    </cfRule>
    <cfRule type="expression" dxfId="15" priority="28" stopIfTrue="1">
      <formula>M9=KeySick</formula>
    </cfRule>
  </conditionalFormatting>
  <conditionalFormatting sqref="M41:AF62">
    <cfRule type="expression" priority="13" stopIfTrue="1">
      <formula>M41=""</formula>
    </cfRule>
    <cfRule type="expression" dxfId="14" priority="14" stopIfTrue="1">
      <formula>M41=KeyCustom2</formula>
    </cfRule>
    <cfRule type="expression" dxfId="13" priority="15" stopIfTrue="1">
      <formula>M41=KeyCustom1</formula>
    </cfRule>
    <cfRule type="expression" dxfId="12" priority="16" stopIfTrue="1">
      <formula>M41=KeySick</formula>
    </cfRule>
    <cfRule type="expression" dxfId="11" priority="18" stopIfTrue="1">
      <formula>M41=KeyVacation</formula>
    </cfRule>
    <cfRule type="expression" dxfId="10" priority="17" stopIfTrue="1">
      <formula>M41=KeyPersonal</formula>
    </cfRule>
  </conditionalFormatting>
  <conditionalFormatting sqref="AE9:AG19">
    <cfRule type="expression" dxfId="9" priority="24" stopIfTrue="1">
      <formula>AE9=KeyVacation</formula>
    </cfRule>
    <cfRule type="expression" dxfId="8" priority="22" stopIfTrue="1">
      <formula>AE9=KeySick</formula>
    </cfRule>
    <cfRule type="expression" dxfId="7" priority="23" stopIfTrue="1">
      <formula>AE9=KeyPersonal</formula>
    </cfRule>
    <cfRule type="expression" dxfId="6" priority="21" stopIfTrue="1">
      <formula>AE9=KeyCustom1</formula>
    </cfRule>
    <cfRule type="expression" dxfId="5" priority="20" stopIfTrue="1">
      <formula>AE9=KeyCustom2</formula>
    </cfRule>
    <cfRule type="expression" priority="19" stopIfTrue="1">
      <formula>AE9=""</formula>
    </cfRule>
  </conditionalFormatting>
  <conditionalFormatting sqref="AH9:AH41 AH43:AH52">
    <cfRule type="dataBar" priority="44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{C59F2FE2-D00B-42D6-B458-3EEF27B1F632}</x14:id>
        </ext>
      </extLst>
    </cfRule>
  </conditionalFormatting>
  <conditionalFormatting sqref="AH42">
    <cfRule type="dataBar" priority="43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{F00DD287-DA6A-412D-9D02-FA9D8CDB854F}</x14:id>
        </ext>
      </extLst>
    </cfRule>
  </conditionalFormatting>
  <dataValidations count="15">
    <dataValidation allowBlank="1" showInputMessage="1" showErrorMessage="1" prompt="この行の月の日付は、自動的に生成されます。従業員の欠勤と欠勤の種類を月の各日付の各列に入力します。空白は欠勤でないことを示します" sqref="C8" xr:uid="{CD485F11-A0B7-4A33-9AAE-6F0049E1D7D7}"/>
    <dataValidation allowBlank="1" showInputMessage="1" showErrorMessage="1" prompt="このセルには、この欠勤管理の月の名前が入ります。テーブルの最後のセルには、この月の欠勤日数の合計が表示されます。テーブルの列 B で従業員名を選択します" sqref="B2" xr:uid="{3DD0D099-02DB-4725-AAB6-C0D04D9F5E69}"/>
    <dataValidation allowBlank="1" showInputMessage="1" showErrorMessage="1" prompt="この行には、テーブルで使用するキーが定義されています。セル C4 は休暇、G4 は私用、K4 は病欠です。セル N4 と R4 はカスタマイズ可能です" sqref="B4" xr:uid="{471F96A3-12D6-441A-B392-0416A00228BD}"/>
    <dataValidation allowBlank="1" showInputMessage="1" showErrorMessage="1" prompt="左側にカスタム キーを表すラベルを入力します" sqref="O4:Q4 S4:U4" xr:uid="{3A91175D-BDCE-4AAA-8206-1B8C46FD7A4F}"/>
    <dataValidation allowBlank="1" showErrorMessage="1" prompt="右側に文字を入力してラベルをカスタマイズし、別のキー項目を追加します" sqref="R4 N4" xr:uid="{336BE329-5F72-41E6-9EA6-FDB70A4168DC}"/>
    <dataValidation allowBlank="1" showErrorMessage="1" prompt="文字 &quot;S&quot; は病欠を表します" sqref="K4" xr:uid="{5CEC1F89-5882-4750-ACF8-C5BF7C4CAF11}"/>
    <dataValidation allowBlank="1" showErrorMessage="1" prompt="文字 &quot;P&quot; は私用による欠勤を表します" sqref="G4" xr:uid="{A8F20650-1040-4035-9DCA-84BFD2E88FC9}"/>
    <dataValidation allowBlank="1" showErrorMessage="1" prompt="文字 &quot;V&quot; は休暇のための欠勤を表します" sqref="C4" xr:uid="{D374FDCA-3FF0-4551-A36F-9E98BEF34996}"/>
    <dataValidation allowBlank="1" showInputMessage="1" showErrorMessage="1" prompt="自動的に更新されるタイトルが、このセルの内容です。タイトルを変更するには、1 月のワークシートの B1 を更新します" sqref="B2" xr:uid="{FFE5A1A1-C022-47E9-9E6A-76F3B69C79BC}"/>
    <dataValidation errorStyle="warning" allowBlank="1" showInputMessage="1" showErrorMessage="1" error="リストから名前を選択します。[キャンセル] を選択し、Alt キーを押しながら下方向キーを押してから、Enter キーを押して名前を選択します" prompt="従業員名ワークシートに従業員の名前を入力し、この列のリストから名前を選びます。Alt キーを押しながら下矢印キーを押して、Enter キーを押して名前を選択します" sqref="B8" xr:uid="{7D8A5EDA-3E54-4C88-BB1E-82D429DCC07D}"/>
    <dataValidation allowBlank="1" showInputMessage="1" showErrorMessage="1" prompt="このワークシートでは 11 月の欠勤を管理します" sqref="A1" xr:uid="{C6C29CA3-26A6-4D46-A912-68C959DA2F43}"/>
    <dataValidation allowBlank="1" showInputMessage="1" showErrorMessage="1" prompt="この列で、従業員の今月の欠勤日数の合計を自動的に計算します" sqref="AH8" xr:uid="{3C3C2C2F-F159-49FD-8F9A-0DAAA3814966}"/>
    <dataValidation allowBlank="1" showInputMessage="1" showErrorMessage="1" prompt="1 月のワークシートに入力した年に基づいて自動的に更新される年" sqref="AH6" xr:uid="{D37EA043-DF50-485D-BFE9-414B0BD67906}"/>
    <dataValidation allowBlank="1" showInputMessage="1" showErrorMessage="1" prompt="この行の曜日は、AH4 の年に従い当月に応じて自動的に更新されます。月の各日付は、従業員の欠勤と欠勤の種類を記録するための列です" sqref="C7" xr:uid="{0F3FF8A5-7A2D-4050-980D-6E88D5FBBA35}"/>
    <dataValidation allowBlank="1" showInputMessage="1" showErrorMessage="1" prompt="このセルには、ワークシートのタイトルが入ります。" sqref="B1" xr:uid="{3012585D-515C-4830-985E-24DF3EE25D22}"/>
  </dataValidations>
  <pageMargins left="0.7" right="0.7" top="0.75" bottom="0.75" header="0.3" footer="0.3"/>
  <pageSetup paperSize="9" fitToHeight="0" orientation="portrait" verticalDpi="429496729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9F2FE2-D00B-42D6-B458-3EEF27B1F632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AH9:AH41 AH43:AH52</xm:sqref>
        </x14:conditionalFormatting>
        <x14:conditionalFormatting xmlns:xm="http://schemas.microsoft.com/office/excel/2006/main">
          <x14:cfRule type="dataBar" id="{F00DD287-DA6A-412D-9D02-FA9D8CDB854F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6F35D7-03C3-4C9B-A023-E268205CD9EC}">
          <x14:formula1>
            <xm:f>従業員名!$B$4:$B$60</xm:f>
          </x14:formula1>
          <xm:sqref>B9:B54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D84B-6046-46B7-B76D-9D2E94263D93}">
  <sheetPr>
    <tabColor theme="7"/>
  </sheetPr>
  <dimension ref="B1:AH66"/>
  <sheetViews>
    <sheetView showGridLines="0" zoomScale="85" zoomScaleNormal="85" workbookViewId="0">
      <selection activeCell="N44" sqref="N44"/>
    </sheetView>
  </sheetViews>
  <sheetFormatPr defaultColWidth="8.77734375" defaultRowHeight="30" customHeight="1" x14ac:dyDescent="0.25"/>
  <cols>
    <col min="1" max="1" width="2.88671875" customWidth="1"/>
    <col min="2" max="2" width="25.77734375" customWidth="1"/>
    <col min="3" max="33" width="4.77734375" customWidth="1"/>
    <col min="34" max="34" width="13.44140625" customWidth="1"/>
    <col min="35" max="35" width="2.88671875" customWidth="1"/>
  </cols>
  <sheetData>
    <row r="1" spans="2:34" ht="26.45" customHeight="1" x14ac:dyDescent="0.35">
      <c r="B1" s="2" t="s">
        <v>0</v>
      </c>
    </row>
    <row r="2" spans="2:34" ht="48.6" customHeight="1" x14ac:dyDescent="0.25">
      <c r="B2" s="28" t="s">
        <v>170</v>
      </c>
    </row>
    <row r="3" spans="2:34" ht="8.4499999999999993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2:34" ht="30" customHeight="1" x14ac:dyDescent="0.25">
      <c r="B4" s="8" t="s">
        <v>2</v>
      </c>
      <c r="C4" s="9" t="s">
        <v>3</v>
      </c>
      <c r="D4" s="37" t="s">
        <v>4</v>
      </c>
      <c r="E4" s="37"/>
      <c r="F4" s="37"/>
      <c r="G4" s="10" t="s">
        <v>5</v>
      </c>
      <c r="H4" s="37" t="s">
        <v>6</v>
      </c>
      <c r="I4" s="37"/>
      <c r="J4" s="37"/>
      <c r="K4" s="11"/>
      <c r="L4" s="37"/>
      <c r="M4" s="37"/>
      <c r="N4" s="12"/>
      <c r="O4" s="37" t="s">
        <v>7</v>
      </c>
      <c r="P4" s="37"/>
      <c r="Q4" s="37"/>
      <c r="R4" s="13"/>
      <c r="S4" s="37" t="s">
        <v>8</v>
      </c>
      <c r="T4" s="37"/>
      <c r="U4" s="37"/>
    </row>
    <row r="5" spans="2:34" ht="8.4499999999999993" customHeight="1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2:34" ht="15" customHeight="1" x14ac:dyDescent="0.25">
      <c r="B6" s="1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15">
        <v>2024</v>
      </c>
    </row>
    <row r="7" spans="2:34" ht="30" customHeight="1" x14ac:dyDescent="0.25">
      <c r="B7" s="15"/>
      <c r="C7" s="16" t="str">
        <f>TEXT(WEEKDAY(DATE($AH$6,11,1),1),"aaa")</f>
        <v>金</v>
      </c>
      <c r="D7" s="16" t="str">
        <f>TEXT(WEEKDAY(DATE($AH$6,11,2),1),"aaa")</f>
        <v>土</v>
      </c>
      <c r="E7" s="16" t="str">
        <f>TEXT(WEEKDAY(DATE($AH$6,11,3),1),"aaa")</f>
        <v>日</v>
      </c>
      <c r="F7" s="16" t="str">
        <f>TEXT(WEEKDAY(DATE($AH$6,11,4),1),"aaa")</f>
        <v>月</v>
      </c>
      <c r="G7" s="16" t="str">
        <f>TEXT(WEEKDAY(DATE($AH$6,11,5),1),"aaa")</f>
        <v>火</v>
      </c>
      <c r="H7" s="16" t="str">
        <f>TEXT(WEEKDAY(DATE($AH$6,11,6),1),"aaa")</f>
        <v>水</v>
      </c>
      <c r="I7" s="16" t="str">
        <f>TEXT(WEEKDAY(DATE($AH$6,11,7),1),"aaa")</f>
        <v>木</v>
      </c>
      <c r="J7" s="16" t="str">
        <f>TEXT(WEEKDAY(DATE($AH$6,11,8),1),"aaa")</f>
        <v>金</v>
      </c>
      <c r="K7" s="16" t="str">
        <f>TEXT(WEEKDAY(DATE($AH$6,11,9),1),"aaa")</f>
        <v>土</v>
      </c>
      <c r="L7" s="16" t="str">
        <f>TEXT(WEEKDAY(DATE($AH$6,11,10),1),"aaa")</f>
        <v>日</v>
      </c>
      <c r="M7" s="16" t="str">
        <f>TEXT(WEEKDAY(DATE($AH$6,11,11),1),"aaa")</f>
        <v>月</v>
      </c>
      <c r="N7" s="16" t="str">
        <f>TEXT(WEEKDAY(DATE($AH$6,11,12),1),"aaa")</f>
        <v>火</v>
      </c>
      <c r="O7" s="16" t="str">
        <f>TEXT(WEEKDAY(DATE($AH$6,11,13),1),"aaa")</f>
        <v>水</v>
      </c>
      <c r="P7" s="16" t="str">
        <f>TEXT(WEEKDAY(DATE($AH$6,11,14),1),"aaa")</f>
        <v>木</v>
      </c>
      <c r="Q7" s="16" t="str">
        <f>TEXT(WEEKDAY(DATE($AH$6,11,15),1),"aaa")</f>
        <v>金</v>
      </c>
      <c r="R7" s="16" t="str">
        <f>TEXT(WEEKDAY(DATE($AH$6,11,16),1),"aaa")</f>
        <v>土</v>
      </c>
      <c r="S7" s="16" t="str">
        <f>TEXT(WEEKDAY(DATE($AH$6,11,17),1),"aaa")</f>
        <v>日</v>
      </c>
      <c r="T7" s="16" t="str">
        <f>TEXT(WEEKDAY(DATE($AH$6,11,18),1),"aaa")</f>
        <v>月</v>
      </c>
      <c r="U7" s="16" t="str">
        <f>TEXT(WEEKDAY(DATE($AH$6,11,19),1),"aaa")</f>
        <v>火</v>
      </c>
      <c r="V7" s="16" t="str">
        <f>TEXT(WEEKDAY(DATE($AH$6,11,20),1),"aaa")</f>
        <v>水</v>
      </c>
      <c r="W7" s="16" t="str">
        <f>TEXT(WEEKDAY(DATE($AH$6,11,21),1),"aaa")</f>
        <v>木</v>
      </c>
      <c r="X7" s="16" t="str">
        <f>TEXT(WEEKDAY(DATE($AH$6,11,22),1),"aaa")</f>
        <v>金</v>
      </c>
      <c r="Y7" s="16" t="str">
        <f>TEXT(WEEKDAY(DATE($AH$6,11,23),1),"aaa")</f>
        <v>土</v>
      </c>
      <c r="Z7" s="16" t="str">
        <f>TEXT(WEEKDAY(DATE($AH$6,11,24),1),"aaa")</f>
        <v>日</v>
      </c>
      <c r="AA7" s="16" t="str">
        <f>TEXT(WEEKDAY(DATE($AH$6,11,25),1),"aaa")</f>
        <v>月</v>
      </c>
      <c r="AB7" s="16" t="str">
        <f>TEXT(WEEKDAY(DATE($AH$6,11,26),1),"aaa")</f>
        <v>火</v>
      </c>
      <c r="AC7" s="16" t="str">
        <f>TEXT(WEEKDAY(DATE($AH$6,11,27),1),"aaa")</f>
        <v>水</v>
      </c>
      <c r="AD7" s="16" t="str">
        <f>TEXT(WEEKDAY(DATE($AH$6,11,28),1),"aaa")</f>
        <v>木</v>
      </c>
      <c r="AE7" s="16" t="str">
        <f>TEXT(WEEKDAY(DATE($AH$6,11,29),1),"aaa")</f>
        <v>金</v>
      </c>
      <c r="AF7" s="16" t="str">
        <f>TEXT(WEEKDAY(DATE($AH$6,11,30),1),"aaa")</f>
        <v>土</v>
      </c>
      <c r="AG7" s="16"/>
      <c r="AH7" s="15"/>
    </row>
    <row r="8" spans="2:34" ht="30" customHeight="1" x14ac:dyDescent="0.25">
      <c r="B8" s="17" t="s">
        <v>9</v>
      </c>
      <c r="C8" s="18" t="s">
        <v>10</v>
      </c>
      <c r="D8" s="18" t="s">
        <v>11</v>
      </c>
      <c r="E8" s="18" t="s">
        <v>12</v>
      </c>
      <c r="F8" s="18" t="s">
        <v>13</v>
      </c>
      <c r="G8" s="18" t="s">
        <v>14</v>
      </c>
      <c r="H8" s="18" t="s">
        <v>15</v>
      </c>
      <c r="I8" s="18" t="s">
        <v>16</v>
      </c>
      <c r="J8" s="18" t="s">
        <v>17</v>
      </c>
      <c r="K8" s="18" t="s">
        <v>18</v>
      </c>
      <c r="L8" s="18" t="s">
        <v>19</v>
      </c>
      <c r="M8" s="18" t="s">
        <v>20</v>
      </c>
      <c r="N8" s="18" t="s">
        <v>21</v>
      </c>
      <c r="O8" s="18" t="s">
        <v>22</v>
      </c>
      <c r="P8" s="18" t="s">
        <v>23</v>
      </c>
      <c r="Q8" s="18" t="s">
        <v>24</v>
      </c>
      <c r="R8" s="18" t="s">
        <v>25</v>
      </c>
      <c r="S8" s="18" t="s">
        <v>26</v>
      </c>
      <c r="T8" s="18" t="s">
        <v>27</v>
      </c>
      <c r="U8" s="18" t="s">
        <v>28</v>
      </c>
      <c r="V8" s="18" t="s">
        <v>29</v>
      </c>
      <c r="W8" s="18" t="s">
        <v>30</v>
      </c>
      <c r="X8" s="18" t="s">
        <v>31</v>
      </c>
      <c r="Y8" s="18" t="s">
        <v>32</v>
      </c>
      <c r="Z8" s="18" t="s">
        <v>33</v>
      </c>
      <c r="AA8" s="18" t="s">
        <v>34</v>
      </c>
      <c r="AB8" s="18" t="s">
        <v>35</v>
      </c>
      <c r="AC8" s="18" t="s">
        <v>36</v>
      </c>
      <c r="AD8" s="18" t="s">
        <v>37</v>
      </c>
      <c r="AE8" s="18" t="s">
        <v>38</v>
      </c>
      <c r="AF8" s="18" t="s">
        <v>39</v>
      </c>
      <c r="AG8" s="18" t="s">
        <v>40</v>
      </c>
      <c r="AH8" s="19" t="s">
        <v>41</v>
      </c>
    </row>
    <row r="9" spans="2:34" ht="30" customHeight="1" x14ac:dyDescent="0.25">
      <c r="B9" s="20" t="s">
        <v>75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27">
        <f>COUNTA(コピー元!$C9:$AG9)</f>
        <v>0</v>
      </c>
    </row>
    <row r="10" spans="2:34" ht="30" customHeight="1" x14ac:dyDescent="0.25">
      <c r="B10" s="20" t="s">
        <v>76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27">
        <f>COUNTA(コピー元!$C10:$AG10)</f>
        <v>0</v>
      </c>
    </row>
    <row r="11" spans="2:34" ht="30" customHeight="1" x14ac:dyDescent="0.25">
      <c r="B11" s="20" t="s">
        <v>77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27">
        <f>COUNTA(コピー元!$C11:$AG11)</f>
        <v>0</v>
      </c>
    </row>
    <row r="12" spans="2:34" ht="30" customHeight="1" x14ac:dyDescent="0.25">
      <c r="B12" s="20" t="s">
        <v>78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27">
        <f>COUNTA(コピー元!$C12:$AG12)</f>
        <v>0</v>
      </c>
    </row>
    <row r="13" spans="2:34" ht="30" customHeight="1" x14ac:dyDescent="0.25">
      <c r="B13" s="20" t="s">
        <v>79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27">
        <f>COUNTA(コピー元!$C13:$AG13)</f>
        <v>0</v>
      </c>
    </row>
    <row r="14" spans="2:34" ht="30" customHeight="1" x14ac:dyDescent="0.25">
      <c r="B14" s="20" t="s">
        <v>80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27">
        <f>COUNTA(コピー元!$C14:$AG14)</f>
        <v>0</v>
      </c>
    </row>
    <row r="15" spans="2:34" ht="30" customHeight="1" x14ac:dyDescent="0.25">
      <c r="B15" s="20" t="s">
        <v>81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27">
        <f>COUNTA(コピー元!$C15:$AG15)</f>
        <v>0</v>
      </c>
    </row>
    <row r="16" spans="2:34" ht="30" customHeight="1" x14ac:dyDescent="0.25">
      <c r="B16" s="20" t="s">
        <v>82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27">
        <f>COUNTA(コピー元!$C16:$AG16)</f>
        <v>0</v>
      </c>
    </row>
    <row r="17" spans="2:34" ht="30" customHeight="1" x14ac:dyDescent="0.25">
      <c r="B17" s="20" t="s">
        <v>83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27">
        <f>COUNTA(コピー元!$C17:$AG17)</f>
        <v>0</v>
      </c>
    </row>
    <row r="18" spans="2:34" ht="30" customHeight="1" x14ac:dyDescent="0.25">
      <c r="B18" s="20" t="s">
        <v>84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27">
        <f>COUNTA(コピー元!$C18:$AG18)</f>
        <v>0</v>
      </c>
    </row>
    <row r="19" spans="2:34" ht="30" customHeight="1" x14ac:dyDescent="0.25">
      <c r="B19" s="20" t="s">
        <v>85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7">
        <f>COUNTA(コピー元!$C19:$AG19)</f>
        <v>0</v>
      </c>
    </row>
    <row r="20" spans="2:34" ht="30" customHeight="1" x14ac:dyDescent="0.25">
      <c r="B20" s="31" t="s">
        <v>86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7">
        <f>COUNTA(月11_2[[#This Row],[1]:[ ]])</f>
        <v>0</v>
      </c>
    </row>
    <row r="21" spans="2:34" ht="30" customHeight="1" x14ac:dyDescent="0.25">
      <c r="B21" s="31" t="s">
        <v>87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7">
        <f>COUNTA(月11_2[[#This Row],[1]:[ ]])</f>
        <v>0</v>
      </c>
    </row>
    <row r="22" spans="2:34" ht="30" customHeight="1" x14ac:dyDescent="0.25">
      <c r="B22" s="31" t="s">
        <v>88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7">
        <f>COUNTA(月11_2[[#This Row],[1]:[ ]])</f>
        <v>0</v>
      </c>
    </row>
    <row r="23" spans="2:34" ht="30" customHeight="1" x14ac:dyDescent="0.25">
      <c r="B23" s="31" t="s">
        <v>89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7">
        <f>COUNTA(月11_2[[#This Row],[1]:[ ]])</f>
        <v>0</v>
      </c>
    </row>
    <row r="24" spans="2:34" ht="30" customHeight="1" x14ac:dyDescent="0.25">
      <c r="B24" s="31" t="s">
        <v>90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7">
        <f>COUNTA(月11_2[[#This Row],[1]:[ ]])</f>
        <v>0</v>
      </c>
    </row>
    <row r="25" spans="2:34" ht="30" customHeight="1" x14ac:dyDescent="0.25">
      <c r="B25" s="31" t="s">
        <v>91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7">
        <f>COUNTA(月11_2[[#This Row],[1]:[ ]])</f>
        <v>0</v>
      </c>
    </row>
    <row r="26" spans="2:34" ht="30" customHeight="1" x14ac:dyDescent="0.25">
      <c r="B26" s="31" t="s">
        <v>92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27">
        <f>COUNTA(月11_2[[#This Row],[1]:[ ]])</f>
        <v>0</v>
      </c>
    </row>
    <row r="27" spans="2:34" ht="30" customHeight="1" x14ac:dyDescent="0.25">
      <c r="B27" s="31" t="s">
        <v>93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7">
        <f>COUNTA(月11_2[[#This Row],[1]:[ ]])</f>
        <v>0</v>
      </c>
    </row>
    <row r="28" spans="2:34" ht="30" customHeight="1" x14ac:dyDescent="0.25">
      <c r="B28" s="31" t="s">
        <v>94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27">
        <f>COUNTA(月11_2[[#This Row],[1]:[ ]])</f>
        <v>0</v>
      </c>
    </row>
    <row r="29" spans="2:34" ht="30" customHeight="1" x14ac:dyDescent="0.25">
      <c r="B29" s="31" t="s">
        <v>95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7">
        <f>COUNTA(月11_2[[#This Row],[1]:[ ]])</f>
        <v>0</v>
      </c>
    </row>
    <row r="30" spans="2:34" ht="30" customHeight="1" x14ac:dyDescent="0.25">
      <c r="B30" s="31" t="s">
        <v>96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27">
        <f>COUNTA(月11_2[[#This Row],[1]:[ ]])</f>
        <v>0</v>
      </c>
    </row>
    <row r="31" spans="2:34" ht="30" customHeight="1" x14ac:dyDescent="0.25">
      <c r="B31" s="20" t="s">
        <v>97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7">
        <f>COUNTA(コピー元!$C31:$AG31)</f>
        <v>0</v>
      </c>
    </row>
    <row r="32" spans="2:34" ht="30" customHeight="1" x14ac:dyDescent="0.25">
      <c r="B32" s="20" t="s">
        <v>98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27">
        <f>COUNTA(コピー元!$C32:$AG32)</f>
        <v>0</v>
      </c>
    </row>
    <row r="33" spans="2:34" ht="30" customHeight="1" x14ac:dyDescent="0.25">
      <c r="B33" s="20" t="s">
        <v>99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27">
        <f>COUNTA(コピー元!$C33:$AG33)</f>
        <v>0</v>
      </c>
    </row>
    <row r="34" spans="2:34" ht="30" customHeight="1" x14ac:dyDescent="0.25">
      <c r="B34" s="20" t="s">
        <v>100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7">
        <f>COUNTA(コピー元!$C34:$AG34)</f>
        <v>0</v>
      </c>
    </row>
    <row r="35" spans="2:34" ht="30" customHeight="1" x14ac:dyDescent="0.25">
      <c r="B35" s="20" t="s">
        <v>101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7">
        <f>COUNTA(コピー元!$C35:$AG35)</f>
        <v>0</v>
      </c>
    </row>
    <row r="36" spans="2:34" ht="30" customHeight="1" x14ac:dyDescent="0.25">
      <c r="B36" s="20" t="s">
        <v>102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7">
        <f>COUNTA(コピー元!$C36:$AG36)</f>
        <v>0</v>
      </c>
    </row>
    <row r="37" spans="2:34" ht="30" customHeight="1" x14ac:dyDescent="0.25">
      <c r="B37" s="20" t="s">
        <v>103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27">
        <f>COUNTA(コピー元!$C37:$AG37)</f>
        <v>0</v>
      </c>
    </row>
    <row r="38" spans="2:34" ht="30" customHeight="1" x14ac:dyDescent="0.25">
      <c r="B38" s="20" t="s">
        <v>104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7">
        <f>COUNTA(コピー元!$C38:$AG38)</f>
        <v>0</v>
      </c>
    </row>
    <row r="39" spans="2:34" ht="30" customHeight="1" x14ac:dyDescent="0.25">
      <c r="B39" s="20" t="s">
        <v>105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7">
        <f>COUNTA(コピー元!$C39:$AG39)</f>
        <v>0</v>
      </c>
    </row>
    <row r="40" spans="2:34" ht="30" customHeight="1" x14ac:dyDescent="0.25">
      <c r="B40" s="20" t="s">
        <v>106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27">
        <f>COUNTA(コピー元!$C40:$AG40)</f>
        <v>0</v>
      </c>
    </row>
    <row r="41" spans="2:34" ht="30" customHeight="1" x14ac:dyDescent="0.25">
      <c r="B41" s="31" t="s">
        <v>107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27">
        <f>COUNTA(月11_2[[#This Row],[1]:[ ]])</f>
        <v>0</v>
      </c>
    </row>
    <row r="42" spans="2:34" ht="30" customHeight="1" x14ac:dyDescent="0.25">
      <c r="B42" s="31" t="s">
        <v>158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27">
        <f>COUNTA(月11_2[[#This Row],[1]:[ ]])</f>
        <v>0</v>
      </c>
    </row>
    <row r="43" spans="2:34" ht="30" customHeight="1" x14ac:dyDescent="0.25">
      <c r="B43" s="31" t="s">
        <v>109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27">
        <f>COUNTA(月11_2[[#This Row],[1]:[ ]])</f>
        <v>0</v>
      </c>
    </row>
    <row r="44" spans="2:34" ht="30" customHeight="1" x14ac:dyDescent="0.25">
      <c r="B44" s="31" t="s">
        <v>110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27">
        <f>COUNTA(月11_2[[#This Row],[1]:[ ]])</f>
        <v>0</v>
      </c>
    </row>
    <row r="45" spans="2:34" ht="30" customHeight="1" x14ac:dyDescent="0.25">
      <c r="B45" s="31" t="s">
        <v>111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27">
        <f>COUNTA(月11_2[[#This Row],[1]:[ ]])</f>
        <v>0</v>
      </c>
    </row>
    <row r="46" spans="2:34" ht="30" customHeight="1" x14ac:dyDescent="0.25">
      <c r="B46" s="31" t="s">
        <v>112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27">
        <f>COUNTA(月11_2[[#This Row],[1]:[ ]])</f>
        <v>0</v>
      </c>
    </row>
    <row r="47" spans="2:34" ht="30" customHeight="1" x14ac:dyDescent="0.25">
      <c r="B47" s="31" t="s">
        <v>113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27">
        <f>COUNTA(月11_2[[#This Row],[1]:[ ]])</f>
        <v>0</v>
      </c>
    </row>
    <row r="48" spans="2:34" ht="30" customHeight="1" x14ac:dyDescent="0.25">
      <c r="B48" s="31" t="s">
        <v>114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27">
        <f>COUNTA(月11_2[[#This Row],[1]:[ ]])</f>
        <v>0</v>
      </c>
    </row>
    <row r="49" spans="2:34" ht="30" customHeight="1" x14ac:dyDescent="0.25">
      <c r="B49" s="31" t="s">
        <v>115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27">
        <f>COUNTA(月11_2[[#This Row],[1]:[ ]])</f>
        <v>0</v>
      </c>
    </row>
    <row r="50" spans="2:34" ht="30" customHeight="1" x14ac:dyDescent="0.25">
      <c r="B50" s="31" t="s">
        <v>116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27">
        <f>COUNTA(月11_2[[#This Row],[1]:[ ]])</f>
        <v>0</v>
      </c>
    </row>
    <row r="51" spans="2:34" ht="30" customHeight="1" x14ac:dyDescent="0.25">
      <c r="B51" s="31" t="s">
        <v>117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27">
        <f>COUNTA(月11_2[[#This Row],[1]:[ ]])</f>
        <v>0</v>
      </c>
    </row>
    <row r="52" spans="2:34" ht="30" customHeight="1" x14ac:dyDescent="0.25">
      <c r="B52" s="31" t="s">
        <v>118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27">
        <f>COUNTA(月11_2[[#This Row],[1]:[ ]])</f>
        <v>0</v>
      </c>
    </row>
    <row r="53" spans="2:34" ht="30" customHeight="1" x14ac:dyDescent="0.25">
      <c r="B53" s="31" t="s">
        <v>144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27">
        <f>COUNTA(月11_2[[#This Row],[1]:[ ]])</f>
        <v>0</v>
      </c>
    </row>
    <row r="54" spans="2:34" ht="30" customHeight="1" x14ac:dyDescent="0.25">
      <c r="B54" s="31" t="s">
        <v>145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27">
        <f>COUNTA(月11_2[[#This Row],[1]:[ ]])</f>
        <v>0</v>
      </c>
    </row>
    <row r="55" spans="2:34" ht="30" customHeight="1" x14ac:dyDescent="0.25">
      <c r="B55" s="32" t="s">
        <v>146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27">
        <f>COUNTA(月11_2[[#This Row],[1]:[ ]])</f>
        <v>0</v>
      </c>
    </row>
    <row r="56" spans="2:34" ht="30" customHeight="1" x14ac:dyDescent="0.25">
      <c r="B56" s="32" t="s">
        <v>147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27">
        <f>COUNTA(月11_2[[#This Row],[1]:[ ]])</f>
        <v>0</v>
      </c>
    </row>
    <row r="57" spans="2:34" ht="30" customHeight="1" x14ac:dyDescent="0.25">
      <c r="B57" s="32" t="s">
        <v>148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27">
        <f>COUNTA(月11_2[[#This Row],[1]:[ ]])</f>
        <v>0</v>
      </c>
    </row>
    <row r="58" spans="2:34" ht="30" customHeight="1" x14ac:dyDescent="0.25">
      <c r="B58" s="32" t="s">
        <v>149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27">
        <f>COUNTA(月11_2[[#This Row],[1]:[ ]])</f>
        <v>0</v>
      </c>
    </row>
    <row r="59" spans="2:34" ht="30" customHeight="1" x14ac:dyDescent="0.25">
      <c r="B59" s="32" t="s">
        <v>150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27">
        <f>COUNTA(月11_2[[#This Row],[1]:[ ]])</f>
        <v>0</v>
      </c>
    </row>
    <row r="60" spans="2:34" ht="30" customHeight="1" x14ac:dyDescent="0.25">
      <c r="B60" s="32" t="s">
        <v>151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27">
        <f>COUNTA(月11_2[[#This Row],[1]:[ ]])</f>
        <v>0</v>
      </c>
    </row>
    <row r="61" spans="2:34" ht="30" customHeight="1" x14ac:dyDescent="0.25">
      <c r="B61" s="32" t="s">
        <v>152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27">
        <f>COUNTA(月11_2[[#This Row],[1]:[ ]])</f>
        <v>0</v>
      </c>
    </row>
    <row r="62" spans="2:34" ht="30" customHeight="1" x14ac:dyDescent="0.25">
      <c r="B62" s="32" t="s">
        <v>153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27">
        <f>COUNTA(月11_2[[#This Row],[1]:[ ]])</f>
        <v>0</v>
      </c>
    </row>
    <row r="63" spans="2:34" ht="30" customHeight="1" x14ac:dyDescent="0.25">
      <c r="B63" s="32" t="s">
        <v>154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27">
        <f>COUNTA(月11_2[[#This Row],[1]:[ ]])</f>
        <v>0</v>
      </c>
    </row>
    <row r="64" spans="2:34" ht="30" customHeight="1" x14ac:dyDescent="0.25">
      <c r="B64" s="32" t="s">
        <v>155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27">
        <f>COUNTA(月11_2[[#This Row],[1]:[ ]])</f>
        <v>0</v>
      </c>
    </row>
    <row r="65" spans="2:34" ht="30" customHeight="1" x14ac:dyDescent="0.25">
      <c r="B65" s="32" t="s">
        <v>156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27">
        <f>COUNTA(月11_2[[#This Row],[1]:[ ]])</f>
        <v>0</v>
      </c>
    </row>
    <row r="66" spans="2:34" ht="30" customHeight="1" x14ac:dyDescent="0.25">
      <c r="B66" s="21" t="str">
        <f>MonthName&amp;"集計"</f>
        <v>コピー元集計</v>
      </c>
      <c r="C66" s="22">
        <f>SUBTOTAL(103,月11_2[1])</f>
        <v>0</v>
      </c>
      <c r="D66" s="22">
        <f>SUBTOTAL(103,月11_2[2])</f>
        <v>0</v>
      </c>
      <c r="E66" s="22">
        <f>SUBTOTAL(103,月11_2[3])</f>
        <v>0</v>
      </c>
      <c r="F66" s="22">
        <f>SUBTOTAL(103,月11_2[4])</f>
        <v>0</v>
      </c>
      <c r="G66" s="22">
        <f>SUBTOTAL(103,月11_2[5])</f>
        <v>0</v>
      </c>
      <c r="H66" s="22">
        <f>SUBTOTAL(103,月11_2[6])</f>
        <v>0</v>
      </c>
      <c r="I66" s="22">
        <f>SUBTOTAL(103,月11_2[7])</f>
        <v>0</v>
      </c>
      <c r="J66" s="22">
        <f>SUBTOTAL(103,月11_2[8])</f>
        <v>0</v>
      </c>
      <c r="K66" s="22">
        <f>SUBTOTAL(103,月11_2[9])</f>
        <v>0</v>
      </c>
      <c r="L66" s="22">
        <f>SUBTOTAL(103,月11_2[10])</f>
        <v>0</v>
      </c>
      <c r="M66" s="22">
        <f>SUBTOTAL(103,月11_2[11])</f>
        <v>0</v>
      </c>
      <c r="N66" s="22">
        <f>SUBTOTAL(103,月11_2[12])</f>
        <v>0</v>
      </c>
      <c r="O66" s="22">
        <f>SUBTOTAL(103,月11_2[13])</f>
        <v>0</v>
      </c>
      <c r="P66" s="22">
        <f>SUBTOTAL(103,月11_2[14])</f>
        <v>0</v>
      </c>
      <c r="Q66" s="22">
        <f>SUBTOTAL(103,月11_2[15])</f>
        <v>0</v>
      </c>
      <c r="R66" s="22">
        <f>SUBTOTAL(103,月11_2[16])</f>
        <v>0</v>
      </c>
      <c r="S66" s="22">
        <f>SUBTOTAL(103,月11_2[17])</f>
        <v>0</v>
      </c>
      <c r="T66" s="22">
        <f>SUBTOTAL(103,月11_2[18])</f>
        <v>0</v>
      </c>
      <c r="U66" s="22">
        <f>SUBTOTAL(103,月11_2[19])</f>
        <v>0</v>
      </c>
      <c r="V66" s="22">
        <f>SUBTOTAL(103,月11_2[20])</f>
        <v>0</v>
      </c>
      <c r="W66" s="22">
        <f>SUBTOTAL(103,月11_2[21])</f>
        <v>0</v>
      </c>
      <c r="X66" s="22">
        <f>SUBTOTAL(103,月11_2[22])</f>
        <v>0</v>
      </c>
      <c r="Y66" s="22">
        <f>SUBTOTAL(103,月11_2[23])</f>
        <v>0</v>
      </c>
      <c r="Z66" s="22">
        <f>SUBTOTAL(103,月11_2[24])</f>
        <v>0</v>
      </c>
      <c r="AA66" s="22">
        <f>SUBTOTAL(103,月11_2[25])</f>
        <v>0</v>
      </c>
      <c r="AB66" s="22">
        <f>SUBTOTAL(103,月11_2[26])</f>
        <v>0</v>
      </c>
      <c r="AC66" s="22">
        <f>SUBTOTAL(103,月11_2[27])</f>
        <v>0</v>
      </c>
      <c r="AD66" s="22">
        <f>SUBTOTAL(103,月11_2[28])</f>
        <v>0</v>
      </c>
      <c r="AE66" s="22">
        <f>SUBTOTAL(103,月11_2[29])</f>
        <v>0</v>
      </c>
      <c r="AF66" s="22">
        <f>SUBTOTAL(109,月11_2[30])</f>
        <v>0</v>
      </c>
      <c r="AG66" s="22">
        <f>SUBTOTAL(109,月11_2[[ ]])</f>
        <v>0</v>
      </c>
      <c r="AH66" s="22">
        <f>SUBTOTAL(109,月11_2[合計日数])</f>
        <v>0</v>
      </c>
    </row>
  </sheetData>
  <mergeCells count="6">
    <mergeCell ref="C6:AG6"/>
    <mergeCell ref="D4:F4"/>
    <mergeCell ref="H4:J4"/>
    <mergeCell ref="L4:M4"/>
    <mergeCell ref="O4:Q4"/>
    <mergeCell ref="S4:U4"/>
  </mergeCells>
  <phoneticPr fontId="10"/>
  <conditionalFormatting sqref="C9:AG52">
    <cfRule type="expression" priority="1" stopIfTrue="1">
      <formula>C9=""</formula>
    </cfRule>
    <cfRule type="expression" dxfId="4" priority="2" stopIfTrue="1">
      <formula>C9=KeyCustom2</formula>
    </cfRule>
    <cfRule type="expression" dxfId="3" priority="3" stopIfTrue="1">
      <formula>C9=KeyCustom1</formula>
    </cfRule>
    <cfRule type="expression" dxfId="2" priority="4" stopIfTrue="1">
      <formula>C9=KeySick</formula>
    </cfRule>
    <cfRule type="expression" dxfId="1" priority="5" stopIfTrue="1">
      <formula>C9=KeyPersonal</formula>
    </cfRule>
    <cfRule type="expression" dxfId="0" priority="6" stopIfTrue="1">
      <formula>C9=KeyVacation</formula>
    </cfRule>
  </conditionalFormatting>
  <conditionalFormatting sqref="AH9:AH41 AH43:AH52">
    <cfRule type="dataBar" priority="21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{E479EAEB-DB46-4AE7-8E9F-C206B547B7C6}</x14:id>
        </ext>
      </extLst>
    </cfRule>
  </conditionalFormatting>
  <conditionalFormatting sqref="AH42">
    <cfRule type="dataBar" priority="7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{C51BBDBD-3536-4987-80A2-E8C77A2C8BD3}</x14:id>
        </ext>
      </extLst>
    </cfRule>
  </conditionalFormatting>
  <dataValidations count="15">
    <dataValidation allowBlank="1" showInputMessage="1" showErrorMessage="1" prompt="このセルには、ワークシートのタイトルが入ります。" sqref="B1" xr:uid="{D512046F-040A-4A39-8781-0695FF3B97A1}"/>
    <dataValidation allowBlank="1" showInputMessage="1" showErrorMessage="1" prompt="この行の曜日は、AH4 の年に従い当月に応じて自動的に更新されます。月の各日付は、従業員の欠勤と欠勤の種類を記録するための列です" sqref="C7" xr:uid="{0826FE28-E2BA-44F9-A8A4-EDDE6C261E43}"/>
    <dataValidation allowBlank="1" showInputMessage="1" showErrorMessage="1" prompt="1 月のワークシートに入力した年に基づいて自動的に更新される年" sqref="AH6" xr:uid="{3520DB59-373F-462C-8826-6EBD3D5D56EE}"/>
    <dataValidation allowBlank="1" showInputMessage="1" showErrorMessage="1" prompt="この列で、従業員の今月の欠勤日数の合計を自動的に計算します" sqref="AH8" xr:uid="{B47127F8-8235-4252-B5F5-82CD19D9B6E2}"/>
    <dataValidation allowBlank="1" showInputMessage="1" showErrorMessage="1" prompt="このワークシートでは 11 月の欠勤を管理します" sqref="A1" xr:uid="{FD58235E-28BC-49A4-8EC8-3884FBA00920}"/>
    <dataValidation errorStyle="warning" allowBlank="1" showInputMessage="1" showErrorMessage="1" error="リストから名前を選択します。[キャンセル] を選択し、Alt キーを押しながら下方向キーを押してから、Enter キーを押して名前を選択します" prompt="従業員名ワークシートに従業員の名前を入力し、この列のリストから名前を選びます。Alt キーを押しながら下矢印キーを押して、Enter キーを押して名前を選択します" sqref="B8" xr:uid="{7B998413-14FE-4ABD-9BB2-BC64E7A8A676}"/>
    <dataValidation allowBlank="1" showInputMessage="1" showErrorMessage="1" prompt="自動的に更新されるタイトルが、このセルの内容です。タイトルを変更するには、1 月のワークシートの B1 を更新します" sqref="B2" xr:uid="{7279B70C-5E5D-4B1E-AD01-CD3CD92D3DF8}"/>
    <dataValidation allowBlank="1" showErrorMessage="1" prompt="文字 &quot;V&quot; は休暇のための欠勤を表します" sqref="C4" xr:uid="{C95D35D9-31CE-462B-B888-6CDA69CAF1CA}"/>
    <dataValidation allowBlank="1" showErrorMessage="1" prompt="文字 &quot;P&quot; は私用による欠勤を表します" sqref="G4" xr:uid="{52974D8A-FAAC-461F-80DC-483A28D2462C}"/>
    <dataValidation allowBlank="1" showErrorMessage="1" prompt="文字 &quot;S&quot; は病欠を表します" sqref="K4" xr:uid="{DAE22FB4-5A68-428D-91D7-40C5BF1DD6DC}"/>
    <dataValidation allowBlank="1" showErrorMessage="1" prompt="右側に文字を入力してラベルをカスタマイズし、別のキー項目を追加します" sqref="R4 N4" xr:uid="{34142947-629C-4917-8788-62A1EF80ACCB}"/>
    <dataValidation allowBlank="1" showInputMessage="1" showErrorMessage="1" prompt="左側にカスタム キーを表すラベルを入力します" sqref="O4:Q4 S4:U4" xr:uid="{440D268A-C08F-4D3D-AD91-503FEEDAC7BC}"/>
    <dataValidation allowBlank="1" showInputMessage="1" showErrorMessage="1" prompt="この行には、テーブルで使用するキーが定義されています。セル C4 は休暇、G4 は私用、K4 は病欠です。セル N4 と R4 はカスタマイズ可能です" sqref="B4" xr:uid="{8C659E60-D3FD-4459-84C9-4E7F69429AFE}"/>
    <dataValidation allowBlank="1" showInputMessage="1" showErrorMessage="1" prompt="このセルには、この欠勤管理の月の名前が入ります。テーブルの最後のセルには、この月の欠勤日数の合計が表示されます。テーブルの列 B で従業員名を選択します" sqref="B2" xr:uid="{A02CD7CD-309D-43F6-88BB-1D529FAD9C79}"/>
    <dataValidation allowBlank="1" showInputMessage="1" showErrorMessage="1" prompt="この行の月の日付は、自動的に生成されます。従業員の欠勤と欠勤の種類を月の各日付の各列に入力します。空白は欠勤でないことを示します" sqref="C8" xr:uid="{8852C746-C745-4BC5-BC10-0F88D78EEAD8}"/>
  </dataValidations>
  <pageMargins left="0.7" right="0.7" top="0.75" bottom="0.75" header="0.3" footer="0.3"/>
  <pageSetup paperSize="9" fitToHeight="0" orientation="portrait" verticalDpi="4294967293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9EAEB-DB46-4AE7-8E9F-C206B547B7C6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AH9:AH41 AH43:AH52</xm:sqref>
        </x14:conditionalFormatting>
        <x14:conditionalFormatting xmlns:xm="http://schemas.microsoft.com/office/excel/2006/main">
          <x14:cfRule type="dataBar" id="{C51BBDBD-3536-4987-80A2-E8C77A2C8BD3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B4E0A2-7DFB-46C7-A533-85AA1AF46C10}">
          <x14:formula1>
            <xm:f>従業員名!$B$4:$B$60</xm:f>
          </x14:formula1>
          <xm:sqref>B9:B54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1"/>
  </sheetPr>
  <dimension ref="B1:B61"/>
  <sheetViews>
    <sheetView showGridLines="0" workbookViewId="0">
      <selection activeCell="C57" sqref="C57"/>
    </sheetView>
  </sheetViews>
  <sheetFormatPr defaultColWidth="8.77734375" defaultRowHeight="30" customHeight="1" x14ac:dyDescent="0.25"/>
  <cols>
    <col min="1" max="1" width="2.88671875" customWidth="1"/>
    <col min="2" max="2" width="30.88671875" customWidth="1"/>
    <col min="3" max="3" width="2.88671875" customWidth="1"/>
  </cols>
  <sheetData>
    <row r="1" spans="2:2" ht="49.5" customHeight="1" x14ac:dyDescent="0.35">
      <c r="B1" s="1" t="s">
        <v>122</v>
      </c>
    </row>
    <row r="2" spans="2:2" ht="15" customHeight="1" x14ac:dyDescent="0.25"/>
    <row r="3" spans="2:2" ht="30" customHeight="1" x14ac:dyDescent="0.25">
      <c r="B3" t="s">
        <v>171</v>
      </c>
    </row>
    <row r="4" spans="2:2" ht="30" customHeight="1" x14ac:dyDescent="0.25">
      <c r="B4" s="5" t="s">
        <v>75</v>
      </c>
    </row>
    <row r="5" spans="2:2" ht="30" customHeight="1" x14ac:dyDescent="0.25">
      <c r="B5" s="5" t="s">
        <v>76</v>
      </c>
    </row>
    <row r="6" spans="2:2" ht="30" customHeight="1" x14ac:dyDescent="0.25">
      <c r="B6" s="5" t="s">
        <v>77</v>
      </c>
    </row>
    <row r="7" spans="2:2" ht="30" customHeight="1" x14ac:dyDescent="0.25">
      <c r="B7" s="5" t="s">
        <v>78</v>
      </c>
    </row>
    <row r="8" spans="2:2" ht="30" customHeight="1" x14ac:dyDescent="0.25">
      <c r="B8" s="5" t="s">
        <v>79</v>
      </c>
    </row>
    <row r="9" spans="2:2" ht="30" customHeight="1" x14ac:dyDescent="0.25">
      <c r="B9" s="5" t="s">
        <v>80</v>
      </c>
    </row>
    <row r="10" spans="2:2" ht="30" customHeight="1" x14ac:dyDescent="0.25">
      <c r="B10" s="5" t="s">
        <v>81</v>
      </c>
    </row>
    <row r="11" spans="2:2" ht="30" customHeight="1" x14ac:dyDescent="0.25">
      <c r="B11" s="5" t="s">
        <v>82</v>
      </c>
    </row>
    <row r="12" spans="2:2" ht="30" customHeight="1" x14ac:dyDescent="0.25">
      <c r="B12" s="5" t="s">
        <v>83</v>
      </c>
    </row>
    <row r="13" spans="2:2" ht="30" customHeight="1" x14ac:dyDescent="0.25">
      <c r="B13" s="5" t="s">
        <v>84</v>
      </c>
    </row>
    <row r="14" spans="2:2" ht="30" customHeight="1" x14ac:dyDescent="0.25">
      <c r="B14" s="5" t="s">
        <v>85</v>
      </c>
    </row>
    <row r="15" spans="2:2" ht="30" customHeight="1" x14ac:dyDescent="0.25">
      <c r="B15" s="5" t="s">
        <v>86</v>
      </c>
    </row>
    <row r="16" spans="2:2" ht="30" customHeight="1" x14ac:dyDescent="0.25">
      <c r="B16" s="5" t="s">
        <v>87</v>
      </c>
    </row>
    <row r="17" spans="2:2" ht="30" customHeight="1" x14ac:dyDescent="0.25">
      <c r="B17" s="5" t="s">
        <v>88</v>
      </c>
    </row>
    <row r="18" spans="2:2" ht="30" customHeight="1" x14ac:dyDescent="0.25">
      <c r="B18" s="5" t="s">
        <v>89</v>
      </c>
    </row>
    <row r="19" spans="2:2" ht="30" customHeight="1" x14ac:dyDescent="0.25">
      <c r="B19" s="5" t="s">
        <v>90</v>
      </c>
    </row>
    <row r="20" spans="2:2" ht="30" customHeight="1" x14ac:dyDescent="0.25">
      <c r="B20" s="5" t="s">
        <v>91</v>
      </c>
    </row>
    <row r="21" spans="2:2" ht="30" customHeight="1" x14ac:dyDescent="0.25">
      <c r="B21" s="5" t="s">
        <v>92</v>
      </c>
    </row>
    <row r="22" spans="2:2" ht="30" customHeight="1" x14ac:dyDescent="0.25">
      <c r="B22" s="5" t="s">
        <v>93</v>
      </c>
    </row>
    <row r="23" spans="2:2" ht="30" customHeight="1" x14ac:dyDescent="0.25">
      <c r="B23" s="5" t="s">
        <v>94</v>
      </c>
    </row>
    <row r="24" spans="2:2" ht="30" customHeight="1" x14ac:dyDescent="0.25">
      <c r="B24" s="5" t="s">
        <v>95</v>
      </c>
    </row>
    <row r="25" spans="2:2" ht="30" customHeight="1" x14ac:dyDescent="0.25">
      <c r="B25" s="5" t="s">
        <v>96</v>
      </c>
    </row>
    <row r="26" spans="2:2" ht="30" customHeight="1" x14ac:dyDescent="0.25">
      <c r="B26" s="5" t="s">
        <v>123</v>
      </c>
    </row>
    <row r="27" spans="2:2" ht="30" customHeight="1" x14ac:dyDescent="0.25">
      <c r="B27" s="5" t="s">
        <v>124</v>
      </c>
    </row>
    <row r="28" spans="2:2" ht="30" customHeight="1" x14ac:dyDescent="0.25">
      <c r="B28" s="5" t="s">
        <v>125</v>
      </c>
    </row>
    <row r="29" spans="2:2" ht="30" customHeight="1" x14ac:dyDescent="0.25">
      <c r="B29" s="5" t="s">
        <v>126</v>
      </c>
    </row>
    <row r="30" spans="2:2" ht="30" customHeight="1" x14ac:dyDescent="0.25">
      <c r="B30" s="5" t="s">
        <v>127</v>
      </c>
    </row>
    <row r="31" spans="2:2" ht="30" customHeight="1" x14ac:dyDescent="0.25">
      <c r="B31" s="5" t="s">
        <v>128</v>
      </c>
    </row>
    <row r="32" spans="2:2" ht="30" customHeight="1" x14ac:dyDescent="0.25">
      <c r="B32" s="5" t="s">
        <v>129</v>
      </c>
    </row>
    <row r="33" spans="2:2" ht="30" customHeight="1" x14ac:dyDescent="0.25">
      <c r="B33" s="5" t="s">
        <v>130</v>
      </c>
    </row>
    <row r="34" spans="2:2" ht="30" customHeight="1" x14ac:dyDescent="0.25">
      <c r="B34" s="5" t="s">
        <v>131</v>
      </c>
    </row>
    <row r="35" spans="2:2" ht="30" customHeight="1" x14ac:dyDescent="0.25">
      <c r="B35" s="5" t="s">
        <v>132</v>
      </c>
    </row>
    <row r="36" spans="2:2" ht="30" customHeight="1" x14ac:dyDescent="0.25">
      <c r="B36" s="32" t="s">
        <v>158</v>
      </c>
    </row>
    <row r="37" spans="2:2" ht="30" customHeight="1" x14ac:dyDescent="0.25">
      <c r="B37" s="32" t="s">
        <v>172</v>
      </c>
    </row>
    <row r="38" spans="2:2" ht="30" customHeight="1" x14ac:dyDescent="0.25">
      <c r="B38" s="32" t="s">
        <v>173</v>
      </c>
    </row>
    <row r="39" spans="2:2" ht="30" customHeight="1" x14ac:dyDescent="0.25">
      <c r="B39" s="32" t="s">
        <v>174</v>
      </c>
    </row>
    <row r="40" spans="2:2" ht="30" customHeight="1" x14ac:dyDescent="0.25">
      <c r="B40" s="32" t="s">
        <v>175</v>
      </c>
    </row>
    <row r="41" spans="2:2" ht="30" customHeight="1" x14ac:dyDescent="0.25">
      <c r="B41" s="32" t="s">
        <v>176</v>
      </c>
    </row>
    <row r="42" spans="2:2" ht="30" customHeight="1" x14ac:dyDescent="0.25">
      <c r="B42" s="32" t="s">
        <v>177</v>
      </c>
    </row>
    <row r="43" spans="2:2" ht="30" customHeight="1" x14ac:dyDescent="0.25">
      <c r="B43" s="32" t="s">
        <v>178</v>
      </c>
    </row>
    <row r="44" spans="2:2" ht="30" customHeight="1" x14ac:dyDescent="0.25">
      <c r="B44" s="32" t="s">
        <v>179</v>
      </c>
    </row>
    <row r="45" spans="2:2" ht="30" customHeight="1" x14ac:dyDescent="0.25">
      <c r="B45" s="32" t="s">
        <v>180</v>
      </c>
    </row>
    <row r="46" spans="2:2" ht="30" customHeight="1" x14ac:dyDescent="0.25">
      <c r="B46" s="32" t="s">
        <v>181</v>
      </c>
    </row>
    <row r="47" spans="2:2" ht="30" customHeight="1" x14ac:dyDescent="0.25">
      <c r="B47" s="32" t="s">
        <v>182</v>
      </c>
    </row>
    <row r="48" spans="2:2" ht="30" customHeight="1" x14ac:dyDescent="0.25">
      <c r="B48" s="32" t="s">
        <v>183</v>
      </c>
    </row>
    <row r="49" spans="2:2" ht="30" customHeight="1" x14ac:dyDescent="0.25">
      <c r="B49" s="32" t="s">
        <v>145</v>
      </c>
    </row>
    <row r="50" spans="2:2" ht="30" customHeight="1" x14ac:dyDescent="0.25">
      <c r="B50" s="32" t="s">
        <v>146</v>
      </c>
    </row>
    <row r="51" spans="2:2" ht="30" customHeight="1" x14ac:dyDescent="0.25">
      <c r="B51" s="32" t="s">
        <v>147</v>
      </c>
    </row>
    <row r="52" spans="2:2" ht="30" customHeight="1" x14ac:dyDescent="0.25">
      <c r="B52" s="32" t="s">
        <v>148</v>
      </c>
    </row>
    <row r="53" spans="2:2" ht="30" customHeight="1" x14ac:dyDescent="0.25">
      <c r="B53" s="32" t="s">
        <v>149</v>
      </c>
    </row>
    <row r="54" spans="2:2" ht="30" customHeight="1" x14ac:dyDescent="0.25">
      <c r="B54" s="32" t="s">
        <v>150</v>
      </c>
    </row>
    <row r="55" spans="2:2" ht="30" customHeight="1" x14ac:dyDescent="0.25">
      <c r="B55" s="32" t="s">
        <v>151</v>
      </c>
    </row>
    <row r="56" spans="2:2" ht="30" customHeight="1" x14ac:dyDescent="0.25">
      <c r="B56" s="32" t="s">
        <v>152</v>
      </c>
    </row>
    <row r="57" spans="2:2" ht="30" customHeight="1" x14ac:dyDescent="0.25">
      <c r="B57" s="32" t="s">
        <v>153</v>
      </c>
    </row>
    <row r="58" spans="2:2" ht="30" customHeight="1" x14ac:dyDescent="0.25">
      <c r="B58" s="32" t="s">
        <v>154</v>
      </c>
    </row>
    <row r="59" spans="2:2" ht="30" customHeight="1" x14ac:dyDescent="0.25">
      <c r="B59" s="32" t="s">
        <v>155</v>
      </c>
    </row>
    <row r="60" spans="2:2" ht="30" customHeight="1" x14ac:dyDescent="0.25">
      <c r="B60" s="32" t="s">
        <v>156</v>
      </c>
    </row>
    <row r="61" spans="2:2" ht="30" customHeight="1" x14ac:dyDescent="0.25">
      <c r="B61" s="32"/>
    </row>
  </sheetData>
  <phoneticPr fontId="10"/>
  <dataValidations count="2">
    <dataValidation allowBlank="1" showInputMessage="1" showErrorMessage="1" prompt="このワークシートの従業員名テーブルには、従業員の名前を入力します。入力した名前は各月の欠勤テーブルで列 B のオプションとして使用されます" sqref="A1" xr:uid="{00000000-0002-0000-0C00-000001000000}"/>
    <dataValidation allowBlank="1" showInputMessage="1" showErrorMessage="1" prompt="この列には従業員名を入力します" sqref="B3" xr:uid="{00000000-0002-0000-0C00-000002000000}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8"/>
  </sheetPr>
  <dimension ref="B1:AH30"/>
  <sheetViews>
    <sheetView showGridLines="0" zoomScaleNormal="100" workbookViewId="0">
      <selection activeCell="A9" sqref="A9"/>
    </sheetView>
  </sheetViews>
  <sheetFormatPr defaultColWidth="8.77734375" defaultRowHeight="30" customHeight="1" x14ac:dyDescent="0.25"/>
  <cols>
    <col min="1" max="1" width="2.88671875" customWidth="1"/>
    <col min="2" max="2" width="25.77734375" customWidth="1"/>
    <col min="3" max="33" width="4.77734375" customWidth="1"/>
    <col min="34" max="34" width="13.44140625" customWidth="1"/>
    <col min="35" max="35" width="2.88671875" customWidth="1"/>
  </cols>
  <sheetData>
    <row r="1" spans="2:34" ht="26.45" customHeight="1" x14ac:dyDescent="0.35">
      <c r="B1" s="2" t="s">
        <v>0</v>
      </c>
    </row>
    <row r="2" spans="2:34" ht="48.6" customHeight="1" x14ac:dyDescent="0.25">
      <c r="B2" s="28" t="s">
        <v>65</v>
      </c>
    </row>
    <row r="3" spans="2:34" ht="8.4499999999999993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2:34" ht="30" customHeight="1" x14ac:dyDescent="0.25">
      <c r="B4" s="8" t="s">
        <v>2</v>
      </c>
      <c r="C4" s="9" t="s">
        <v>3</v>
      </c>
      <c r="D4" s="37" t="s">
        <v>4</v>
      </c>
      <c r="E4" s="37"/>
      <c r="F4" s="37"/>
      <c r="G4" s="10" t="s">
        <v>5</v>
      </c>
      <c r="H4" s="37" t="s">
        <v>6</v>
      </c>
      <c r="I4" s="37"/>
      <c r="J4" s="37"/>
      <c r="K4" s="11"/>
      <c r="L4" s="37"/>
      <c r="M4" s="37"/>
      <c r="N4" s="12"/>
      <c r="O4" s="37" t="s">
        <v>7</v>
      </c>
      <c r="P4" s="37"/>
      <c r="Q4" s="37"/>
      <c r="R4" s="13"/>
      <c r="S4" s="37" t="s">
        <v>8</v>
      </c>
      <c r="T4" s="37"/>
      <c r="U4" s="37"/>
    </row>
    <row r="5" spans="2:34" ht="8.4499999999999993" customHeight="1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2:34" ht="15" customHeight="1" x14ac:dyDescent="0.25">
      <c r="B6" s="1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15">
        <v>2024</v>
      </c>
    </row>
    <row r="7" spans="2:34" ht="30" customHeight="1" x14ac:dyDescent="0.25">
      <c r="B7" s="15"/>
      <c r="C7" s="16" t="str">
        <f>TEXT(WEEKDAY(DATE($AH$6,6,1),1),"aaa")</f>
        <v>土</v>
      </c>
      <c r="D7" s="16" t="str">
        <f>TEXT(WEEKDAY(DATE($AH$6,6,2),1),"aaa")</f>
        <v>日</v>
      </c>
      <c r="E7" s="16" t="str">
        <f>TEXT(WEEKDAY(DATE($AH$6,6,3),1),"aaa")</f>
        <v>月</v>
      </c>
      <c r="F7" s="16" t="str">
        <f>TEXT(WEEKDAY(DATE($AH$6,6,4),1),"aaa")</f>
        <v>火</v>
      </c>
      <c r="G7" s="16" t="str">
        <f>TEXT(WEEKDAY(DATE($AH$6,6,5),1),"aaa")</f>
        <v>水</v>
      </c>
      <c r="H7" s="16" t="str">
        <f>TEXT(WEEKDAY(DATE($AH$6,6,6),1),"aaa")</f>
        <v>木</v>
      </c>
      <c r="I7" s="16" t="str">
        <f>TEXT(WEEKDAY(DATE($AH$6,6,7),1),"aaa")</f>
        <v>金</v>
      </c>
      <c r="J7" s="16" t="str">
        <f>TEXT(WEEKDAY(DATE($AH$6,6,8),1),"aaa")</f>
        <v>土</v>
      </c>
      <c r="K7" s="16" t="str">
        <f>TEXT(WEEKDAY(DATE($AH$6,6,9),1),"aaa")</f>
        <v>日</v>
      </c>
      <c r="L7" s="16" t="str">
        <f>TEXT(WEEKDAY(DATE($AH$6,6,10),1),"aaa")</f>
        <v>月</v>
      </c>
      <c r="M7" s="16" t="str">
        <f>TEXT(WEEKDAY(DATE($AH$6,6,11),1),"aaa")</f>
        <v>火</v>
      </c>
      <c r="N7" s="16" t="str">
        <f>TEXT(WEEKDAY(DATE($AH$6,6,12),1),"aaa")</f>
        <v>水</v>
      </c>
      <c r="O7" s="16" t="str">
        <f>TEXT(WEEKDAY(DATE($AH$6,6,13),1),"aaa")</f>
        <v>木</v>
      </c>
      <c r="P7" s="16" t="str">
        <f>TEXT(WEEKDAY(DATE($AH$6,6,14),1),"aaa")</f>
        <v>金</v>
      </c>
      <c r="Q7" s="16" t="str">
        <f>TEXT(WEEKDAY(DATE($AH$6,6,15),1),"aaa")</f>
        <v>土</v>
      </c>
      <c r="R7" s="16" t="str">
        <f>TEXT(WEEKDAY(DATE($AH$6,6,16),1),"aaa")</f>
        <v>日</v>
      </c>
      <c r="S7" s="16" t="str">
        <f>TEXT(WEEKDAY(DATE($AH$6,6,17),1),"aaa")</f>
        <v>月</v>
      </c>
      <c r="T7" s="16" t="str">
        <f>TEXT(WEEKDAY(DATE($AH$6,6,18),1),"aaa")</f>
        <v>火</v>
      </c>
      <c r="U7" s="16" t="str">
        <f>TEXT(WEEKDAY(DATE($AH$6,6,19),1),"aaa")</f>
        <v>水</v>
      </c>
      <c r="V7" s="16" t="str">
        <f>TEXT(WEEKDAY(DATE($AH$6,6,20),1),"aaa")</f>
        <v>木</v>
      </c>
      <c r="W7" s="16" t="str">
        <f>TEXT(WEEKDAY(DATE($AH$6,6,21),1),"aaa")</f>
        <v>金</v>
      </c>
      <c r="X7" s="16" t="str">
        <f>TEXT(WEEKDAY(DATE($AH$6,6,22),1),"aaa")</f>
        <v>土</v>
      </c>
      <c r="Y7" s="16" t="str">
        <f>TEXT(WEEKDAY(DATE($AH$6,6,23),1),"aaa")</f>
        <v>日</v>
      </c>
      <c r="Z7" s="16" t="str">
        <f>TEXT(WEEKDAY(DATE($AH$6,6,24),1),"aaa")</f>
        <v>月</v>
      </c>
      <c r="AA7" s="16" t="str">
        <f>TEXT(WEEKDAY(DATE($AH$6,6,25),1),"aaa")</f>
        <v>火</v>
      </c>
      <c r="AB7" s="16" t="str">
        <f>TEXT(WEEKDAY(DATE($AH$6,6,26),1),"aaa")</f>
        <v>水</v>
      </c>
      <c r="AC7" s="16" t="str">
        <f>TEXT(WEEKDAY(DATE($AH$6,6,27),1),"aaa")</f>
        <v>木</v>
      </c>
      <c r="AD7" s="16" t="str">
        <f>TEXT(WEEKDAY(DATE($AH$6,6,28),1),"aaa")</f>
        <v>金</v>
      </c>
      <c r="AE7" s="16" t="str">
        <f>TEXT(WEEKDAY(DATE($AH$6,6,29),1),"aaa")</f>
        <v>土</v>
      </c>
      <c r="AF7" s="16" t="str">
        <f>TEXT(WEEKDAY(DATE($AH$6,6,30),1),"aaa")</f>
        <v>日</v>
      </c>
      <c r="AG7" s="16"/>
      <c r="AH7" s="15"/>
    </row>
    <row r="8" spans="2:34" ht="30" customHeight="1" x14ac:dyDescent="0.25">
      <c r="B8" s="17" t="s">
        <v>9</v>
      </c>
      <c r="C8" s="18" t="s">
        <v>10</v>
      </c>
      <c r="D8" s="18" t="s">
        <v>11</v>
      </c>
      <c r="E8" s="18" t="s">
        <v>12</v>
      </c>
      <c r="F8" s="18" t="s">
        <v>13</v>
      </c>
      <c r="G8" s="18" t="s">
        <v>14</v>
      </c>
      <c r="H8" s="18" t="s">
        <v>15</v>
      </c>
      <c r="I8" s="18" t="s">
        <v>16</v>
      </c>
      <c r="J8" s="18" t="s">
        <v>17</v>
      </c>
      <c r="K8" s="18" t="s">
        <v>18</v>
      </c>
      <c r="L8" s="18" t="s">
        <v>19</v>
      </c>
      <c r="M8" s="18" t="s">
        <v>20</v>
      </c>
      <c r="N8" s="18" t="s">
        <v>21</v>
      </c>
      <c r="O8" s="18" t="s">
        <v>22</v>
      </c>
      <c r="P8" s="18" t="s">
        <v>23</v>
      </c>
      <c r="Q8" s="18" t="s">
        <v>24</v>
      </c>
      <c r="R8" s="18" t="s">
        <v>25</v>
      </c>
      <c r="S8" s="18" t="s">
        <v>26</v>
      </c>
      <c r="T8" s="18" t="s">
        <v>27</v>
      </c>
      <c r="U8" s="18" t="s">
        <v>28</v>
      </c>
      <c r="V8" s="18" t="s">
        <v>29</v>
      </c>
      <c r="W8" s="18" t="s">
        <v>30</v>
      </c>
      <c r="X8" s="18" t="s">
        <v>31</v>
      </c>
      <c r="Y8" s="18" t="s">
        <v>32</v>
      </c>
      <c r="Z8" s="18" t="s">
        <v>33</v>
      </c>
      <c r="AA8" s="18" t="s">
        <v>34</v>
      </c>
      <c r="AB8" s="18" t="s">
        <v>35</v>
      </c>
      <c r="AC8" s="18" t="s">
        <v>36</v>
      </c>
      <c r="AD8" s="18" t="s">
        <v>37</v>
      </c>
      <c r="AE8" s="18" t="s">
        <v>38</v>
      </c>
      <c r="AF8" s="18" t="s">
        <v>39</v>
      </c>
      <c r="AG8" s="18" t="s">
        <v>40</v>
      </c>
      <c r="AH8" s="19" t="s">
        <v>41</v>
      </c>
    </row>
    <row r="9" spans="2:34" ht="30" customHeight="1" x14ac:dyDescent="0.25">
      <c r="B9" s="20" t="s">
        <v>42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 t="s">
        <v>66</v>
      </c>
      <c r="O9" s="18" t="s">
        <v>66</v>
      </c>
      <c r="P9" s="18" t="s">
        <v>66</v>
      </c>
      <c r="Q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18"/>
      <c r="Y9" s="18"/>
      <c r="Z9" s="18"/>
      <c r="AA9" s="18"/>
      <c r="AB9" s="18"/>
      <c r="AC9" s="18"/>
      <c r="AD9" s="18"/>
      <c r="AE9" s="18"/>
      <c r="AF9" s="18"/>
      <c r="AG9" s="18"/>
      <c r="AH9" s="27">
        <f>COUNTA('6月'!$C9:$AG9)</f>
        <v>10</v>
      </c>
    </row>
    <row r="10" spans="2:34" ht="30" customHeight="1" x14ac:dyDescent="0.25">
      <c r="B10" s="20" t="s">
        <v>43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 t="s">
        <v>66</v>
      </c>
      <c r="O10" s="18" t="s">
        <v>66</v>
      </c>
      <c r="P10" s="18" t="s">
        <v>66</v>
      </c>
      <c r="Q10" s="9" t="s">
        <v>3</v>
      </c>
      <c r="R10" s="9" t="s">
        <v>3</v>
      </c>
      <c r="S10" s="9" t="s">
        <v>3</v>
      </c>
      <c r="T10" s="9" t="s">
        <v>3</v>
      </c>
      <c r="U10" s="9" t="s">
        <v>3</v>
      </c>
      <c r="V10" s="9" t="s">
        <v>3</v>
      </c>
      <c r="W10" s="9" t="s">
        <v>3</v>
      </c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27">
        <f>COUNTA('6月'!$C10:$AG10)</f>
        <v>10</v>
      </c>
    </row>
    <row r="11" spans="2:34" ht="30" customHeight="1" x14ac:dyDescent="0.25">
      <c r="B11" s="20" t="s">
        <v>44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 t="s">
        <v>66</v>
      </c>
      <c r="O11" s="18" t="s">
        <v>66</v>
      </c>
      <c r="P11" s="18" t="s">
        <v>66</v>
      </c>
      <c r="Q11" s="9" t="s">
        <v>3</v>
      </c>
      <c r="R11" s="9" t="s">
        <v>3</v>
      </c>
      <c r="S11" s="9" t="s">
        <v>3</v>
      </c>
      <c r="T11" s="9" t="s">
        <v>3</v>
      </c>
      <c r="U11" s="9" t="s">
        <v>3</v>
      </c>
      <c r="V11" s="9" t="s">
        <v>3</v>
      </c>
      <c r="W11" s="9" t="s">
        <v>3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27">
        <f>COUNTA('6月'!$C11:$AG11)</f>
        <v>10</v>
      </c>
    </row>
    <row r="12" spans="2:34" ht="30" customHeight="1" x14ac:dyDescent="0.25">
      <c r="B12" s="20" t="s">
        <v>45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 t="s">
        <v>66</v>
      </c>
      <c r="O12" s="18" t="s">
        <v>66</v>
      </c>
      <c r="P12" s="18" t="s">
        <v>66</v>
      </c>
      <c r="Q12" s="9" t="s">
        <v>3</v>
      </c>
      <c r="R12" s="9" t="s">
        <v>3</v>
      </c>
      <c r="S12" s="9" t="s">
        <v>3</v>
      </c>
      <c r="T12" s="9" t="s">
        <v>3</v>
      </c>
      <c r="U12" s="9" t="s">
        <v>3</v>
      </c>
      <c r="V12" s="9" t="s">
        <v>3</v>
      </c>
      <c r="W12" s="9" t="s">
        <v>3</v>
      </c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27">
        <f>COUNTA('6月'!$C12:$AG12)</f>
        <v>10</v>
      </c>
    </row>
    <row r="13" spans="2:34" ht="30" customHeight="1" x14ac:dyDescent="0.25">
      <c r="B13" s="20" t="s">
        <v>46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 t="s">
        <v>66</v>
      </c>
      <c r="O13" s="18" t="s">
        <v>66</v>
      </c>
      <c r="P13" s="18" t="s">
        <v>66</v>
      </c>
      <c r="Q13" s="18"/>
      <c r="R13" s="18"/>
      <c r="S13" s="18"/>
      <c r="T13" s="18"/>
      <c r="U13" s="18"/>
      <c r="V13" s="18"/>
      <c r="W13" s="18"/>
      <c r="X13" s="18"/>
      <c r="Y13" s="18"/>
      <c r="Z13" s="18" t="s">
        <v>66</v>
      </c>
      <c r="AA13" s="18" t="s">
        <v>66</v>
      </c>
      <c r="AB13" s="18" t="s">
        <v>66</v>
      </c>
      <c r="AC13" s="18" t="s">
        <v>66</v>
      </c>
      <c r="AD13" s="18" t="s">
        <v>66</v>
      </c>
      <c r="AE13" s="18" t="s">
        <v>66</v>
      </c>
      <c r="AF13" s="18"/>
      <c r="AG13" s="18"/>
      <c r="AH13" s="27">
        <f>COUNTA('6月'!$C13:$AG13)</f>
        <v>9</v>
      </c>
    </row>
    <row r="14" spans="2:34" ht="30" customHeight="1" x14ac:dyDescent="0.25">
      <c r="B14" s="20" t="s">
        <v>47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 t="s">
        <v>66</v>
      </c>
      <c r="O14" s="18" t="s">
        <v>66</v>
      </c>
      <c r="P14" s="18" t="s">
        <v>66</v>
      </c>
      <c r="Q14" s="18" t="s">
        <v>66</v>
      </c>
      <c r="R14" s="18" t="s">
        <v>66</v>
      </c>
      <c r="S14" s="18" t="s">
        <v>66</v>
      </c>
      <c r="T14" s="18" t="s">
        <v>66</v>
      </c>
      <c r="U14" s="18" t="s">
        <v>66</v>
      </c>
      <c r="V14" s="18" t="s">
        <v>66</v>
      </c>
      <c r="W14" s="18" t="s">
        <v>66</v>
      </c>
      <c r="X14" s="18" t="s">
        <v>66</v>
      </c>
      <c r="Y14" s="18" t="s">
        <v>66</v>
      </c>
      <c r="Z14" s="18" t="s">
        <v>66</v>
      </c>
      <c r="AA14" s="18"/>
      <c r="AB14" s="18"/>
      <c r="AC14" s="18"/>
      <c r="AD14" s="18"/>
      <c r="AE14" s="18"/>
      <c r="AF14" s="18"/>
      <c r="AG14" s="18"/>
      <c r="AH14" s="27">
        <f>COUNTA('6月'!$C14:$AG14)</f>
        <v>13</v>
      </c>
    </row>
    <row r="15" spans="2:34" ht="30" customHeight="1" x14ac:dyDescent="0.25">
      <c r="B15" s="20" t="s">
        <v>48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 t="s">
        <v>66</v>
      </c>
      <c r="O15" s="18" t="s">
        <v>66</v>
      </c>
      <c r="P15" s="18" t="s">
        <v>66</v>
      </c>
      <c r="Q15" s="18" t="s">
        <v>66</v>
      </c>
      <c r="R15" s="18" t="s">
        <v>66</v>
      </c>
      <c r="S15" s="18" t="s">
        <v>66</v>
      </c>
      <c r="T15" s="18" t="s">
        <v>66</v>
      </c>
      <c r="U15" s="18" t="s">
        <v>66</v>
      </c>
      <c r="V15" s="18" t="s">
        <v>66</v>
      </c>
      <c r="W15" s="18" t="s">
        <v>66</v>
      </c>
      <c r="X15" s="18" t="s">
        <v>66</v>
      </c>
      <c r="Y15" s="18" t="s">
        <v>66</v>
      </c>
      <c r="Z15" s="18" t="s">
        <v>66</v>
      </c>
      <c r="AA15" s="18"/>
      <c r="AB15" s="18"/>
      <c r="AC15" s="18"/>
      <c r="AD15" s="18"/>
      <c r="AE15" s="18"/>
      <c r="AF15" s="18"/>
      <c r="AG15" s="18"/>
      <c r="AH15" s="27">
        <f>COUNTA('6月'!$C15:$AG15)</f>
        <v>13</v>
      </c>
    </row>
    <row r="16" spans="2:34" ht="30" customHeight="1" x14ac:dyDescent="0.25">
      <c r="B16" s="20" t="s">
        <v>49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18"/>
      <c r="AH16" s="27">
        <f>COUNTA('6月'!$C16:$AG16)</f>
        <v>0</v>
      </c>
    </row>
    <row r="17" spans="2:34" ht="30" customHeight="1" x14ac:dyDescent="0.25">
      <c r="B17" s="20" t="s">
        <v>50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18"/>
      <c r="AH17" s="27">
        <f>COUNTA('6月'!$C17:$AG17)</f>
        <v>0</v>
      </c>
    </row>
    <row r="18" spans="2:34" ht="30" customHeight="1" x14ac:dyDescent="0.25">
      <c r="B18" s="20" t="s">
        <v>51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18"/>
      <c r="AH18" s="27">
        <f>COUNTA('6月'!$C18:$AG18)</f>
        <v>0</v>
      </c>
    </row>
    <row r="19" spans="2:34" ht="30" customHeight="1" x14ac:dyDescent="0.25">
      <c r="B19" s="20" t="s">
        <v>52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18"/>
      <c r="AH19" s="27">
        <f>COUNTA('6月'!$C19:$AG19)</f>
        <v>0</v>
      </c>
    </row>
    <row r="20" spans="2:34" ht="30" customHeight="1" x14ac:dyDescent="0.25">
      <c r="B20" s="20" t="s">
        <v>53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 t="s">
        <v>66</v>
      </c>
      <c r="O20" s="18" t="s">
        <v>66</v>
      </c>
      <c r="P20" s="18" t="s">
        <v>66</v>
      </c>
      <c r="Q20" s="9" t="s">
        <v>3</v>
      </c>
      <c r="R20" s="9" t="s">
        <v>3</v>
      </c>
      <c r="S20" s="9" t="s">
        <v>3</v>
      </c>
      <c r="T20" s="9" t="s">
        <v>3</v>
      </c>
      <c r="U20" s="9" t="s">
        <v>3</v>
      </c>
      <c r="V20" s="9" t="s">
        <v>3</v>
      </c>
      <c r="W20" s="9" t="s">
        <v>3</v>
      </c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7">
        <f>COUNTA('6月'!$C20:$AG20)</f>
        <v>10</v>
      </c>
    </row>
    <row r="21" spans="2:34" ht="30" customHeight="1" x14ac:dyDescent="0.25">
      <c r="B21" s="20" t="s">
        <v>54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 t="s">
        <v>66</v>
      </c>
      <c r="O21" s="18" t="s">
        <v>66</v>
      </c>
      <c r="P21" s="18" t="s">
        <v>66</v>
      </c>
      <c r="Q21" s="9" t="s">
        <v>3</v>
      </c>
      <c r="R21" s="9" t="s">
        <v>3</v>
      </c>
      <c r="S21" s="9" t="s">
        <v>3</v>
      </c>
      <c r="T21" s="9" t="s">
        <v>3</v>
      </c>
      <c r="U21" s="9" t="s">
        <v>3</v>
      </c>
      <c r="V21" s="9" t="s">
        <v>3</v>
      </c>
      <c r="W21" s="9" t="s">
        <v>3</v>
      </c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7">
        <f>COUNTA('6月'!$C21:$AG21)</f>
        <v>10</v>
      </c>
    </row>
    <row r="22" spans="2:34" ht="30" customHeight="1" x14ac:dyDescent="0.25">
      <c r="B22" s="20" t="s">
        <v>55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 t="s">
        <v>66</v>
      </c>
      <c r="O22" s="18" t="s">
        <v>66</v>
      </c>
      <c r="P22" s="18" t="s">
        <v>66</v>
      </c>
      <c r="Q22" s="9" t="s">
        <v>3</v>
      </c>
      <c r="R22" s="9" t="s">
        <v>3</v>
      </c>
      <c r="S22" s="9" t="s">
        <v>3</v>
      </c>
      <c r="T22" s="9" t="s">
        <v>3</v>
      </c>
      <c r="U22" s="9" t="s">
        <v>3</v>
      </c>
      <c r="V22" s="9" t="s">
        <v>3</v>
      </c>
      <c r="W22" s="9" t="s">
        <v>3</v>
      </c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7">
        <f>COUNTA('6月'!$C22:$AG22)</f>
        <v>10</v>
      </c>
    </row>
    <row r="23" spans="2:34" ht="30" customHeight="1" x14ac:dyDescent="0.25">
      <c r="B23" s="20" t="s">
        <v>56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 t="s">
        <v>66</v>
      </c>
      <c r="O23" s="18" t="s">
        <v>66</v>
      </c>
      <c r="P23" s="18" t="s">
        <v>66</v>
      </c>
      <c r="Q23" s="9" t="s">
        <v>3</v>
      </c>
      <c r="R23" s="9" t="s">
        <v>3</v>
      </c>
      <c r="S23" s="9" t="s">
        <v>3</v>
      </c>
      <c r="T23" s="9" t="s">
        <v>3</v>
      </c>
      <c r="U23" s="9" t="s">
        <v>3</v>
      </c>
      <c r="V23" s="9" t="s">
        <v>3</v>
      </c>
      <c r="W23" s="9" t="s">
        <v>3</v>
      </c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7">
        <f>COUNTA('6月'!$C23:$AG23)</f>
        <v>10</v>
      </c>
    </row>
    <row r="24" spans="2:34" ht="30" customHeight="1" x14ac:dyDescent="0.25">
      <c r="B24" s="20" t="s">
        <v>57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 t="s">
        <v>66</v>
      </c>
      <c r="O24" s="18" t="s">
        <v>66</v>
      </c>
      <c r="P24" s="18" t="s">
        <v>66</v>
      </c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7">
        <f>COUNTA('6月'!$C24:$AG24)</f>
        <v>3</v>
      </c>
    </row>
    <row r="25" spans="2:34" ht="30" customHeight="1" x14ac:dyDescent="0.25">
      <c r="B25" s="20" t="s">
        <v>58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 t="s">
        <v>66</v>
      </c>
      <c r="O25" s="18" t="s">
        <v>66</v>
      </c>
      <c r="P25" s="18" t="s">
        <v>66</v>
      </c>
      <c r="Q25" s="18" t="s">
        <v>66</v>
      </c>
      <c r="R25" s="18" t="s">
        <v>66</v>
      </c>
      <c r="S25" s="18" t="s">
        <v>66</v>
      </c>
      <c r="T25" s="18" t="s">
        <v>66</v>
      </c>
      <c r="U25" s="18" t="s">
        <v>66</v>
      </c>
      <c r="V25" s="18" t="s">
        <v>66</v>
      </c>
      <c r="W25" s="18" t="s">
        <v>66</v>
      </c>
      <c r="X25" s="18" t="s">
        <v>66</v>
      </c>
      <c r="Y25" s="18" t="s">
        <v>66</v>
      </c>
      <c r="Z25" s="18" t="s">
        <v>66</v>
      </c>
      <c r="AA25" s="18"/>
      <c r="AB25" s="18"/>
      <c r="AC25" s="18"/>
      <c r="AD25" s="18"/>
      <c r="AE25" s="18"/>
      <c r="AF25" s="18"/>
      <c r="AG25" s="18"/>
      <c r="AH25" s="27">
        <f>COUNTA('6月'!$C25:$AG25)</f>
        <v>13</v>
      </c>
    </row>
    <row r="26" spans="2:34" ht="30" customHeight="1" x14ac:dyDescent="0.25">
      <c r="B26" s="20" t="s">
        <v>59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 t="s">
        <v>66</v>
      </c>
      <c r="O26" s="18" t="s">
        <v>66</v>
      </c>
      <c r="P26" s="18" t="s">
        <v>66</v>
      </c>
      <c r="Q26" s="18" t="s">
        <v>66</v>
      </c>
      <c r="R26" s="18" t="s">
        <v>66</v>
      </c>
      <c r="S26" s="18" t="s">
        <v>66</v>
      </c>
      <c r="T26" s="18" t="s">
        <v>66</v>
      </c>
      <c r="U26" s="18" t="s">
        <v>66</v>
      </c>
      <c r="V26" s="18" t="s">
        <v>66</v>
      </c>
      <c r="W26" s="18" t="s">
        <v>66</v>
      </c>
      <c r="X26" s="18" t="s">
        <v>66</v>
      </c>
      <c r="Y26" s="18" t="s">
        <v>66</v>
      </c>
      <c r="Z26" s="18" t="s">
        <v>66</v>
      </c>
      <c r="AA26" s="18"/>
      <c r="AB26" s="18"/>
      <c r="AC26" s="18"/>
      <c r="AD26" s="18"/>
      <c r="AE26" s="18"/>
      <c r="AF26" s="18"/>
      <c r="AG26" s="18"/>
      <c r="AH26" s="27">
        <f>COUNTA('6月'!$C26:$AG26)</f>
        <v>13</v>
      </c>
    </row>
    <row r="27" spans="2:34" ht="30" customHeight="1" x14ac:dyDescent="0.25">
      <c r="B27" s="20" t="s">
        <v>60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 t="s">
        <v>66</v>
      </c>
      <c r="O27" s="18" t="s">
        <v>66</v>
      </c>
      <c r="P27" s="18" t="s">
        <v>66</v>
      </c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7">
        <f>COUNTA('6月'!$C27:$AG27)</f>
        <v>3</v>
      </c>
    </row>
    <row r="28" spans="2:34" ht="30" customHeight="1" x14ac:dyDescent="0.25">
      <c r="B28" s="20" t="s">
        <v>61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 t="s">
        <v>66</v>
      </c>
      <c r="O28" s="18" t="s">
        <v>66</v>
      </c>
      <c r="P28" s="18" t="s">
        <v>66</v>
      </c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27">
        <f>COUNTA('6月'!$C28:$AG28)</f>
        <v>3</v>
      </c>
    </row>
    <row r="29" spans="2:34" ht="30" customHeight="1" x14ac:dyDescent="0.25">
      <c r="B29" s="20" t="s">
        <v>62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 t="s">
        <v>66</v>
      </c>
      <c r="O29" s="18" t="s">
        <v>66</v>
      </c>
      <c r="P29" s="18" t="s">
        <v>66</v>
      </c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7">
        <f>COUNTA('6月'!$C29:$AG29)</f>
        <v>3</v>
      </c>
    </row>
    <row r="30" spans="2:34" ht="30" customHeight="1" x14ac:dyDescent="0.25">
      <c r="B30" s="21" t="str">
        <f>MonthName&amp;"集計"</f>
        <v>6月集計</v>
      </c>
      <c r="C30" s="22">
        <f>SUBTOTAL(103,月6[1])</f>
        <v>0</v>
      </c>
      <c r="D30" s="22">
        <f>SUBTOTAL(103,月6[2])</f>
        <v>0</v>
      </c>
      <c r="E30" s="22">
        <f>SUBTOTAL(103,月6[3])</f>
        <v>0</v>
      </c>
      <c r="F30" s="22">
        <f>SUBTOTAL(103,月6[4])</f>
        <v>0</v>
      </c>
      <c r="G30" s="22">
        <f>SUBTOTAL(103,月6[5])</f>
        <v>0</v>
      </c>
      <c r="H30" s="22">
        <f>SUBTOTAL(103,月6[6])</f>
        <v>0</v>
      </c>
      <c r="I30" s="22">
        <f>SUBTOTAL(103,月6[7])</f>
        <v>0</v>
      </c>
      <c r="J30" s="22">
        <f>SUBTOTAL(103,月6[8])</f>
        <v>0</v>
      </c>
      <c r="K30" s="22">
        <f>SUBTOTAL(103,月6[9])</f>
        <v>0</v>
      </c>
      <c r="L30" s="22">
        <f>SUBTOTAL(103,月6[10])</f>
        <v>0</v>
      </c>
      <c r="M30" s="22">
        <f>SUBTOTAL(103,月6[11])</f>
        <v>0</v>
      </c>
      <c r="N30" s="22">
        <f>SUBTOTAL(103,月6[12])</f>
        <v>17</v>
      </c>
      <c r="O30" s="22">
        <f>SUBTOTAL(103,月6[13])</f>
        <v>17</v>
      </c>
      <c r="P30" s="22">
        <f>SUBTOTAL(103,月6[14])</f>
        <v>17</v>
      </c>
      <c r="Q30" s="22">
        <f>SUBTOTAL(103,月6[15])</f>
        <v>12</v>
      </c>
      <c r="R30" s="22">
        <f>SUBTOTAL(103,月6[16])</f>
        <v>12</v>
      </c>
      <c r="S30" s="22">
        <f>SUBTOTAL(103,月6[17])</f>
        <v>12</v>
      </c>
      <c r="T30" s="22">
        <f>SUBTOTAL(103,月6[18])</f>
        <v>12</v>
      </c>
      <c r="U30" s="22">
        <f>SUBTOTAL(103,月6[19])</f>
        <v>12</v>
      </c>
      <c r="V30" s="22">
        <f>SUBTOTAL(103,月6[20])</f>
        <v>12</v>
      </c>
      <c r="W30" s="22">
        <f>SUBTOTAL(103,月6[21])</f>
        <v>12</v>
      </c>
      <c r="X30" s="22">
        <f>SUBTOTAL(103,月6[22])</f>
        <v>4</v>
      </c>
      <c r="Y30" s="22">
        <f>SUBTOTAL(103,月6[23])</f>
        <v>4</v>
      </c>
      <c r="Z30" s="22">
        <f>SUBTOTAL(103,月6[24])</f>
        <v>5</v>
      </c>
      <c r="AA30" s="22">
        <f>SUBTOTAL(103,月6[25])</f>
        <v>1</v>
      </c>
      <c r="AB30" s="22">
        <f>SUBTOTAL(103,月6[26])</f>
        <v>1</v>
      </c>
      <c r="AC30" s="22">
        <f>SUBTOTAL(103,月6[27])</f>
        <v>1</v>
      </c>
      <c r="AD30" s="22">
        <f>SUBTOTAL(103,月6[28])</f>
        <v>1</v>
      </c>
      <c r="AE30" s="22">
        <f>SUBTOTAL(103,月6[29])</f>
        <v>1</v>
      </c>
      <c r="AF30" s="22">
        <f>SUBTOTAL(109,月6[30])</f>
        <v>0</v>
      </c>
      <c r="AG30" s="22">
        <f>SUBTOTAL(109,月6[[ ]])</f>
        <v>0</v>
      </c>
      <c r="AH30" s="22">
        <f>SUBTOTAL(109,月6[合計日数])</f>
        <v>153</v>
      </c>
    </row>
  </sheetData>
  <mergeCells count="6">
    <mergeCell ref="C6:AG6"/>
    <mergeCell ref="D4:F4"/>
    <mergeCell ref="H4:J4"/>
    <mergeCell ref="L4:M4"/>
    <mergeCell ref="O4:Q4"/>
    <mergeCell ref="S4:U4"/>
  </mergeCells>
  <phoneticPr fontId="10"/>
  <conditionalFormatting sqref="C9:P12 X9:AG12 C13:AG19 X20:AG23 C20:P29 Q24:AG29">
    <cfRule type="expression" priority="1" stopIfTrue="1">
      <formula>C9=""</formula>
    </cfRule>
    <cfRule type="expression" dxfId="646" priority="2" stopIfTrue="1">
      <formula>C9=KeyCustom2</formula>
    </cfRule>
    <cfRule type="expression" dxfId="645" priority="3" stopIfTrue="1">
      <formula>C9=KeyCustom1</formula>
    </cfRule>
    <cfRule type="expression" dxfId="644" priority="4" stopIfTrue="1">
      <formula>C9=KeySick</formula>
    </cfRule>
    <cfRule type="expression" dxfId="643" priority="5" stopIfTrue="1">
      <formula>C9=KeyPersonal</formula>
    </cfRule>
    <cfRule type="expression" dxfId="642" priority="6" stopIfTrue="1">
      <formula>C9=KeyVacation</formula>
    </cfRule>
  </conditionalFormatting>
  <conditionalFormatting sqref="AH9:AH29">
    <cfRule type="dataBar" priority="7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{04D22E0D-1C05-4E80-9835-A873064AE04D}</x14:id>
        </ext>
      </extLst>
    </cfRule>
  </conditionalFormatting>
  <dataValidations count="15">
    <dataValidation allowBlank="1" showInputMessage="1" showErrorMessage="1" prompt="この行の曜日は、AH4 の年に従い当月に応じて自動的に更新されます。月の各日付は、従業員の欠勤と欠勤の種類を記録するための列です" sqref="C7" xr:uid="{85B1AA25-701F-5E4F-A537-8492818323AC}"/>
    <dataValidation allowBlank="1" showInputMessage="1" showErrorMessage="1" prompt="1 月のワークシートに入力した年に基づいて自動的に更新される年" sqref="AH6" xr:uid="{84DE34BD-C74C-E949-BDDC-390099447919}"/>
    <dataValidation allowBlank="1" showInputMessage="1" showErrorMessage="1" prompt="この列で、従業員の今月の欠勤日数の合計を自動的に計算します" sqref="AH8" xr:uid="{EFC3BF89-2526-1648-9032-54E38409D629}"/>
    <dataValidation allowBlank="1" showInputMessage="1" showErrorMessage="1" prompt="このワークシートでは 6 月の欠勤を管理します" sqref="A1" xr:uid="{00000000-0002-0000-0500-000003000000}"/>
    <dataValidation errorStyle="warning" allowBlank="1" showInputMessage="1" showErrorMessage="1" error="リストから名前を選択します。[キャンセル] を選択し、Alt キーを押しながら下方向キーを押してから、Enter キーを押して名前を選択します" prompt="従業員名ワークシートに従業員の名前を入力し、この列のリストから名前を選びます。Alt キーを押しながら下矢印キーを押して、Enter キーを押して名前を選択します" sqref="B8" xr:uid="{D4ADDEE7-3BB2-0A42-AA24-1DBB30531A38}"/>
    <dataValidation allowBlank="1" showInputMessage="1" showErrorMessage="1" prompt="自動的に更新されるタイトルが、このセルの内容です。タイトルを変更するには、1 月のワークシートの B1 を更新します" sqref="B2" xr:uid="{00000000-0002-0000-0500-000005000000}"/>
    <dataValidation allowBlank="1" showInputMessage="1" showErrorMessage="1" prompt="文字 &quot;V&quot; は休暇のための欠勤を表します" sqref="C4 Q9:W12 Q20:W23" xr:uid="{063A296C-F0C1-7D40-A420-7E4F7FE9CFFC}"/>
    <dataValidation allowBlank="1" showInputMessage="1" showErrorMessage="1" prompt="文字 &quot;P&quot; は私用による欠勤を表します" sqref="G4" xr:uid="{7B0AE11E-F6A2-AD47-8416-1B2675569D32}"/>
    <dataValidation allowBlank="1" showInputMessage="1" showErrorMessage="1" prompt="文字 &quot;S&quot; は病欠を表します" sqref="K4" xr:uid="{B7A7B06A-9278-F146-B6AA-7DC18A17F2CB}"/>
    <dataValidation allowBlank="1" showInputMessage="1" showErrorMessage="1" prompt="右側に文字を入力してラベルをカスタマイズし、別のキー項目を追加します" sqref="N4 R4" xr:uid="{BCCD7B63-1804-5040-82B0-DF0BF821857D}"/>
    <dataValidation allowBlank="1" showInputMessage="1" showErrorMessage="1" prompt="左側にカスタム キーを表すラベルを入力します" sqref="S4:U4 O4:Q4" xr:uid="{7C729E06-0D5C-3147-AB97-5D821DA85CA6}"/>
    <dataValidation allowBlank="1" showInputMessage="1" showErrorMessage="1" prompt="このセルには、この欠勤管理の月の名前が入ります。テーブルの最後のセルには、この月の欠勤日数の合計が表示されます。テーブルの列 B で従業員名を選択します" sqref="B2" xr:uid="{00000000-0002-0000-0500-00000C000000}"/>
    <dataValidation allowBlank="1" showInputMessage="1" showErrorMessage="1" prompt="この行の月の日付は、自動的に生成されます。従業員の欠勤と欠勤の種類を月の各日付の各列に入力します。空白は欠勤でないことを示します" sqref="C8" xr:uid="{5F765F6B-473A-3349-9925-D065E8DF0F17}"/>
    <dataValidation allowBlank="1" showInputMessage="1" showErrorMessage="1" prompt="この行には、テーブルで使用するキーが定義されています。セル C4 は休暇、G4 は私用、K4 は病欠です。セル N4 と R4 はカスタマイズ可能です" sqref="B4" xr:uid="{9A98F9D7-8874-4D13-82D2-1EEC27A6D951}"/>
    <dataValidation allowBlank="1" showInputMessage="1" showErrorMessage="1" prompt="このセルには、ワークシートのタイトルが入ります。" sqref="B1" xr:uid="{2B20A07D-1990-4A80-AC14-E66CAECE2344}"/>
  </dataValidations>
  <pageMargins left="0.7" right="0.7" top="0.75" bottom="0.75" header="0.3" footer="0.3"/>
  <pageSetup paperSize="9" fitToHeight="0" orientation="portrait" verticalDpi="4294967293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D22E0D-1C05-4E80-9835-A873064AE04D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AH9:AH29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570EE3-8BF2-4AC5-B953-084C33F65B3C}">
          <x14:formula1>
            <xm:f>従業員名!$B$4:$B$35</xm:f>
          </x14:formula1>
          <xm:sqref>B9:B29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8"/>
  </sheetPr>
  <dimension ref="B1:AK30"/>
  <sheetViews>
    <sheetView showGridLines="0" topLeftCell="E4" zoomScaleNormal="100" workbookViewId="0">
      <selection activeCell="H13" sqref="H13"/>
    </sheetView>
  </sheetViews>
  <sheetFormatPr defaultColWidth="8.77734375" defaultRowHeight="30" customHeight="1" x14ac:dyDescent="0.25"/>
  <cols>
    <col min="1" max="1" width="2.88671875" customWidth="1"/>
    <col min="2" max="2" width="25.77734375" customWidth="1"/>
    <col min="3" max="33" width="4.77734375" customWidth="1"/>
    <col min="34" max="34" width="13.44140625" customWidth="1"/>
    <col min="35" max="35" width="2.88671875" customWidth="1"/>
  </cols>
  <sheetData>
    <row r="1" spans="2:34" ht="26.45" customHeight="1" x14ac:dyDescent="0.35">
      <c r="B1" s="2" t="s">
        <v>0</v>
      </c>
    </row>
    <row r="2" spans="2:34" ht="48.6" customHeight="1" x14ac:dyDescent="0.25">
      <c r="B2" s="29" t="s">
        <v>67</v>
      </c>
    </row>
    <row r="3" spans="2:34" ht="8.4499999999999993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2:34" ht="30" customHeight="1" x14ac:dyDescent="0.25">
      <c r="B4" s="8" t="s">
        <v>2</v>
      </c>
      <c r="C4" s="9" t="s">
        <v>3</v>
      </c>
      <c r="D4" s="37" t="s">
        <v>4</v>
      </c>
      <c r="E4" s="37"/>
      <c r="F4" s="37"/>
      <c r="G4" s="10" t="s">
        <v>5</v>
      </c>
      <c r="H4" s="37" t="s">
        <v>6</v>
      </c>
      <c r="I4" s="37"/>
      <c r="J4" s="37"/>
      <c r="K4" s="11"/>
      <c r="L4" s="37"/>
      <c r="M4" s="37"/>
      <c r="N4" s="12"/>
      <c r="O4" s="37" t="s">
        <v>7</v>
      </c>
      <c r="P4" s="37"/>
      <c r="Q4" s="37"/>
      <c r="R4" s="13"/>
      <c r="S4" s="37" t="s">
        <v>8</v>
      </c>
      <c r="T4" s="37"/>
      <c r="U4" s="37"/>
    </row>
    <row r="5" spans="2:34" ht="8.4499999999999993" customHeight="1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2:34" ht="15" customHeight="1" x14ac:dyDescent="0.25">
      <c r="B6" s="1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15">
        <v>2024</v>
      </c>
    </row>
    <row r="7" spans="2:34" ht="30" customHeight="1" x14ac:dyDescent="0.25">
      <c r="B7" s="15"/>
      <c r="C7" s="16" t="str">
        <f>TEXT(WEEKDAY(DATE($AH$6,7,1),1),"aaa")</f>
        <v>月</v>
      </c>
      <c r="D7" s="16" t="str">
        <f>TEXT(WEEKDAY(DATE($AH$6,7,2),1),"aaa")</f>
        <v>火</v>
      </c>
      <c r="E7" s="16" t="str">
        <f>TEXT(WEEKDAY(DATE($AH$6,7,3),1),"aaa")</f>
        <v>水</v>
      </c>
      <c r="F7" s="16" t="str">
        <f>TEXT(WEEKDAY(DATE($AH$6,7,4),1),"aaa")</f>
        <v>木</v>
      </c>
      <c r="G7" s="16" t="str">
        <f>TEXT(WEEKDAY(DATE($AH$6,7,5),1),"aaa")</f>
        <v>金</v>
      </c>
      <c r="H7" s="16" t="str">
        <f>TEXT(WEEKDAY(DATE($AH$6,7,6),1),"aaa")</f>
        <v>土</v>
      </c>
      <c r="I7" s="16" t="str">
        <f>TEXT(WEEKDAY(DATE($AH$6,7,7),1),"aaa")</f>
        <v>日</v>
      </c>
      <c r="J7" s="16" t="str">
        <f>TEXT(WEEKDAY(DATE($AH$6,7,8),1),"aaa")</f>
        <v>月</v>
      </c>
      <c r="K7" s="16" t="str">
        <f>TEXT(WEEKDAY(DATE($AH$6,7,9),1),"aaa")</f>
        <v>火</v>
      </c>
      <c r="L7" s="16" t="str">
        <f>TEXT(WEEKDAY(DATE($AH$6,7,10),1),"aaa")</f>
        <v>水</v>
      </c>
      <c r="M7" s="16" t="str">
        <f>TEXT(WEEKDAY(DATE($AH$6,7,11),1),"aaa")</f>
        <v>木</v>
      </c>
      <c r="N7" s="16" t="str">
        <f>TEXT(WEEKDAY(DATE($AH$6,7,12),1),"aaa")</f>
        <v>金</v>
      </c>
      <c r="O7" s="16" t="str">
        <f>TEXT(WEEKDAY(DATE($AH$6,7,13),1),"aaa")</f>
        <v>土</v>
      </c>
      <c r="P7" s="16" t="str">
        <f>TEXT(WEEKDAY(DATE($AH$6,7,14),1),"aaa")</f>
        <v>日</v>
      </c>
      <c r="Q7" s="16" t="str">
        <f>TEXT(WEEKDAY(DATE($AH$6,7,15),1),"aaa")</f>
        <v>月</v>
      </c>
      <c r="R7" s="16" t="str">
        <f>TEXT(WEEKDAY(DATE($AH$6,7,16),1),"aaa")</f>
        <v>火</v>
      </c>
      <c r="S7" s="16" t="str">
        <f>TEXT(WEEKDAY(DATE($AH$6,7,17),1),"aaa")</f>
        <v>水</v>
      </c>
      <c r="T7" s="16" t="str">
        <f>TEXT(WEEKDAY(DATE($AH$6,7,18),1),"aaa")</f>
        <v>木</v>
      </c>
      <c r="U7" s="16" t="str">
        <f>TEXT(WEEKDAY(DATE($AH$6,7,19),1),"aaa")</f>
        <v>金</v>
      </c>
      <c r="V7" s="16" t="str">
        <f>TEXT(WEEKDAY(DATE($AH$6,7,20),1),"aaa")</f>
        <v>土</v>
      </c>
      <c r="W7" s="16" t="str">
        <f>TEXT(WEEKDAY(DATE($AH$6,7,21),1),"aaa")</f>
        <v>日</v>
      </c>
      <c r="X7" s="16" t="str">
        <f>TEXT(WEEKDAY(DATE($AH$6,7,22),1),"aaa")</f>
        <v>月</v>
      </c>
      <c r="Y7" s="16" t="str">
        <f>TEXT(WEEKDAY(DATE($AH$6,7,23),1),"aaa")</f>
        <v>火</v>
      </c>
      <c r="Z7" s="16" t="str">
        <f>TEXT(WEEKDAY(DATE($AH$6,7,24),1),"aaa")</f>
        <v>水</v>
      </c>
      <c r="AA7" s="16" t="str">
        <f>TEXT(WEEKDAY(DATE($AH$6,7,25),1),"aaa")</f>
        <v>木</v>
      </c>
      <c r="AB7" s="16" t="str">
        <f>TEXT(WEEKDAY(DATE($AH$6,7,26),1),"aaa")</f>
        <v>金</v>
      </c>
      <c r="AC7" s="16" t="str">
        <f>TEXT(WEEKDAY(DATE($AH$6,7,27),1),"aaa")</f>
        <v>土</v>
      </c>
      <c r="AD7" s="16" t="str">
        <f>TEXT(WEEKDAY(DATE($AH$6,7,28),1),"aaa")</f>
        <v>日</v>
      </c>
      <c r="AE7" s="16" t="str">
        <f>TEXT(WEEKDAY(DATE($AH$6,7,29),1),"aaa")</f>
        <v>月</v>
      </c>
      <c r="AF7" s="16" t="str">
        <f>TEXT(WEEKDAY(DATE($AH$6,7,30),1),"aaa")</f>
        <v>火</v>
      </c>
      <c r="AG7" s="16" t="str">
        <f>TEXT(WEEKDAY(DATE($AH$6,7,31),1),"aaa")</f>
        <v>水</v>
      </c>
      <c r="AH7" s="15"/>
    </row>
    <row r="8" spans="2:34" ht="30" customHeight="1" x14ac:dyDescent="0.25">
      <c r="B8" s="17" t="s">
        <v>9</v>
      </c>
      <c r="C8" s="18" t="s">
        <v>10</v>
      </c>
      <c r="D8" s="18" t="s">
        <v>11</v>
      </c>
      <c r="E8" s="18" t="s">
        <v>12</v>
      </c>
      <c r="F8" s="18" t="s">
        <v>13</v>
      </c>
      <c r="G8" s="18" t="s">
        <v>14</v>
      </c>
      <c r="H8" s="18" t="s">
        <v>15</v>
      </c>
      <c r="I8" s="18" t="s">
        <v>16</v>
      </c>
      <c r="J8" s="18" t="s">
        <v>17</v>
      </c>
      <c r="K8" s="18" t="s">
        <v>18</v>
      </c>
      <c r="L8" s="18" t="s">
        <v>19</v>
      </c>
      <c r="M8" s="18" t="s">
        <v>20</v>
      </c>
      <c r="N8" s="18" t="s">
        <v>21</v>
      </c>
      <c r="O8" s="18" t="s">
        <v>22</v>
      </c>
      <c r="P8" s="18" t="s">
        <v>23</v>
      </c>
      <c r="Q8" s="18" t="s">
        <v>24</v>
      </c>
      <c r="R8" s="18" t="s">
        <v>25</v>
      </c>
      <c r="S8" s="18" t="s">
        <v>26</v>
      </c>
      <c r="T8" s="18" t="s">
        <v>27</v>
      </c>
      <c r="U8" s="18" t="s">
        <v>28</v>
      </c>
      <c r="V8" s="18" t="s">
        <v>29</v>
      </c>
      <c r="W8" s="18" t="s">
        <v>30</v>
      </c>
      <c r="X8" s="18" t="s">
        <v>31</v>
      </c>
      <c r="Y8" s="18" t="s">
        <v>32</v>
      </c>
      <c r="Z8" s="18" t="s">
        <v>33</v>
      </c>
      <c r="AA8" s="18" t="s">
        <v>34</v>
      </c>
      <c r="AB8" s="18" t="s">
        <v>35</v>
      </c>
      <c r="AC8" s="18" t="s">
        <v>36</v>
      </c>
      <c r="AD8" s="18" t="s">
        <v>37</v>
      </c>
      <c r="AE8" s="18" t="s">
        <v>38</v>
      </c>
      <c r="AF8" s="18" t="s">
        <v>39</v>
      </c>
      <c r="AG8" s="18" t="s">
        <v>64</v>
      </c>
      <c r="AH8" s="19" t="s">
        <v>41</v>
      </c>
    </row>
    <row r="9" spans="2:34" ht="30" customHeight="1" x14ac:dyDescent="0.25">
      <c r="B9" s="20" t="s">
        <v>42</v>
      </c>
      <c r="C9" s="18"/>
      <c r="D9" s="18"/>
      <c r="E9" s="18" t="s">
        <v>66</v>
      </c>
      <c r="F9" s="18" t="s">
        <v>66</v>
      </c>
      <c r="G9" s="18" t="s">
        <v>66</v>
      </c>
      <c r="H9" s="18"/>
      <c r="I9" s="18"/>
      <c r="J9" s="18"/>
      <c r="K9" s="18" t="s">
        <v>66</v>
      </c>
      <c r="L9" s="18" t="s">
        <v>66</v>
      </c>
      <c r="M9" s="18"/>
      <c r="N9" s="18"/>
      <c r="O9" s="18"/>
      <c r="P9" s="18"/>
      <c r="Q9" s="18"/>
      <c r="R9" s="18"/>
      <c r="S9" s="18"/>
      <c r="T9" s="18"/>
      <c r="U9" s="10" t="s">
        <v>5</v>
      </c>
      <c r="V9" s="10" t="s">
        <v>5</v>
      </c>
      <c r="W9" s="10" t="s">
        <v>5</v>
      </c>
      <c r="X9" s="10" t="s">
        <v>5</v>
      </c>
      <c r="Y9" s="10" t="s">
        <v>5</v>
      </c>
      <c r="Z9" s="10" t="s">
        <v>5</v>
      </c>
      <c r="AA9" s="10" t="s">
        <v>5</v>
      </c>
      <c r="AB9" s="10" t="s">
        <v>5</v>
      </c>
      <c r="AC9" s="10" t="s">
        <v>5</v>
      </c>
      <c r="AD9" s="10" t="s">
        <v>5</v>
      </c>
      <c r="AE9" s="10" t="s">
        <v>5</v>
      </c>
      <c r="AF9" s="10" t="s">
        <v>5</v>
      </c>
      <c r="AG9" s="10" t="s">
        <v>5</v>
      </c>
      <c r="AH9" s="27">
        <f>COUNTA('7月'!$C9:$AG9)</f>
        <v>18</v>
      </c>
    </row>
    <row r="10" spans="2:34" ht="30" customHeight="1" x14ac:dyDescent="0.25">
      <c r="B10" s="20" t="s">
        <v>43</v>
      </c>
      <c r="C10" s="18"/>
      <c r="D10" s="18"/>
      <c r="E10" s="18" t="s">
        <v>66</v>
      </c>
      <c r="F10" s="18" t="s">
        <v>66</v>
      </c>
      <c r="G10" s="18" t="s">
        <v>66</v>
      </c>
      <c r="H10" s="18"/>
      <c r="I10" s="18"/>
      <c r="J10" s="18"/>
      <c r="K10" s="18" t="s">
        <v>66</v>
      </c>
      <c r="L10" s="18" t="s">
        <v>66</v>
      </c>
      <c r="M10" s="18"/>
      <c r="N10" s="18"/>
      <c r="O10" s="18"/>
      <c r="P10" s="18"/>
      <c r="Q10" s="18" t="s">
        <v>68</v>
      </c>
      <c r="R10" s="18" t="s">
        <v>68</v>
      </c>
      <c r="S10" s="18" t="s">
        <v>69</v>
      </c>
      <c r="T10" s="18" t="s">
        <v>69</v>
      </c>
      <c r="U10" s="18" t="s">
        <v>68</v>
      </c>
      <c r="V10" s="18" t="s">
        <v>69</v>
      </c>
      <c r="W10" s="18" t="s">
        <v>69</v>
      </c>
      <c r="X10" s="18" t="s">
        <v>69</v>
      </c>
      <c r="Y10" s="18" t="s">
        <v>69</v>
      </c>
      <c r="Z10" s="18" t="s">
        <v>69</v>
      </c>
      <c r="AA10" s="18" t="s">
        <v>69</v>
      </c>
      <c r="AB10" s="18" t="s">
        <v>69</v>
      </c>
      <c r="AC10" s="18" t="s">
        <v>68</v>
      </c>
      <c r="AD10" s="18" t="s">
        <v>68</v>
      </c>
      <c r="AE10" s="18" t="s">
        <v>68</v>
      </c>
      <c r="AF10" s="18" t="s">
        <v>68</v>
      </c>
      <c r="AG10" s="18" t="s">
        <v>68</v>
      </c>
      <c r="AH10" s="27">
        <f>COUNTA('7月'!$C10:$AG10)</f>
        <v>22</v>
      </c>
    </row>
    <row r="11" spans="2:34" ht="30" customHeight="1" x14ac:dyDescent="0.25">
      <c r="B11" s="20" t="s">
        <v>44</v>
      </c>
      <c r="C11" s="18"/>
      <c r="D11" s="18"/>
      <c r="E11" s="18" t="s">
        <v>66</v>
      </c>
      <c r="F11" s="18" t="s">
        <v>66</v>
      </c>
      <c r="G11" s="18" t="s">
        <v>66</v>
      </c>
      <c r="H11" s="18"/>
      <c r="I11" s="18"/>
      <c r="J11" s="18"/>
      <c r="K11" s="18" t="s">
        <v>66</v>
      </c>
      <c r="L11" s="18" t="s">
        <v>66</v>
      </c>
      <c r="M11" s="18"/>
      <c r="N11" s="18"/>
      <c r="O11" s="18"/>
      <c r="P11" s="18"/>
      <c r="Q11" s="18" t="s">
        <v>68</v>
      </c>
      <c r="R11" s="18" t="s">
        <v>68</v>
      </c>
      <c r="S11" s="18" t="s">
        <v>68</v>
      </c>
      <c r="T11" s="18" t="s">
        <v>68</v>
      </c>
      <c r="U11" s="18" t="s">
        <v>68</v>
      </c>
      <c r="V11" s="18" t="s">
        <v>68</v>
      </c>
      <c r="W11" s="18" t="s">
        <v>68</v>
      </c>
      <c r="X11" s="18" t="s">
        <v>68</v>
      </c>
      <c r="Y11" s="18" t="s">
        <v>68</v>
      </c>
      <c r="Z11" s="18" t="s">
        <v>68</v>
      </c>
      <c r="AA11" s="18" t="s">
        <v>68</v>
      </c>
      <c r="AB11" s="18" t="s">
        <v>68</v>
      </c>
      <c r="AC11" s="18" t="s">
        <v>68</v>
      </c>
      <c r="AD11" s="18" t="s">
        <v>68</v>
      </c>
      <c r="AE11" s="18" t="s">
        <v>68</v>
      </c>
      <c r="AF11" s="18" t="s">
        <v>68</v>
      </c>
      <c r="AG11" s="18" t="s">
        <v>68</v>
      </c>
      <c r="AH11" s="27">
        <f>COUNTA('7月'!$C11:$AG11)</f>
        <v>22</v>
      </c>
    </row>
    <row r="12" spans="2:34" ht="30" customHeight="1" x14ac:dyDescent="0.25">
      <c r="B12" s="20" t="s">
        <v>45</v>
      </c>
      <c r="C12" s="18"/>
      <c r="D12" s="18"/>
      <c r="E12" s="18" t="s">
        <v>66</v>
      </c>
      <c r="F12" s="18" t="s">
        <v>66</v>
      </c>
      <c r="G12" s="18" t="s">
        <v>66</v>
      </c>
      <c r="H12" s="18"/>
      <c r="I12" s="18"/>
      <c r="J12" s="18"/>
      <c r="K12" s="18" t="s">
        <v>66</v>
      </c>
      <c r="L12" s="18" t="s">
        <v>66</v>
      </c>
      <c r="M12" s="18"/>
      <c r="N12" s="18"/>
      <c r="O12" s="18"/>
      <c r="P12" s="18"/>
      <c r="Q12" s="18" t="s">
        <v>68</v>
      </c>
      <c r="R12" s="18" t="s">
        <v>68</v>
      </c>
      <c r="S12" s="18" t="s">
        <v>68</v>
      </c>
      <c r="T12" s="18" t="s">
        <v>68</v>
      </c>
      <c r="U12" s="18" t="s">
        <v>68</v>
      </c>
      <c r="V12" s="18" t="s">
        <v>68</v>
      </c>
      <c r="W12" s="18" t="s">
        <v>68</v>
      </c>
      <c r="X12" s="18" t="s">
        <v>68</v>
      </c>
      <c r="Y12" s="18" t="s">
        <v>68</v>
      </c>
      <c r="Z12" s="18" t="s">
        <v>68</v>
      </c>
      <c r="AA12" s="18" t="s">
        <v>68</v>
      </c>
      <c r="AB12" s="18" t="s">
        <v>68</v>
      </c>
      <c r="AC12" s="18" t="s">
        <v>68</v>
      </c>
      <c r="AD12" s="18" t="s">
        <v>68</v>
      </c>
      <c r="AE12" s="18" t="s">
        <v>68</v>
      </c>
      <c r="AF12" s="18" t="s">
        <v>68</v>
      </c>
      <c r="AG12" s="18" t="s">
        <v>68</v>
      </c>
      <c r="AH12" s="27">
        <f>COUNTA('7月'!$C12:$AG12)</f>
        <v>22</v>
      </c>
    </row>
    <row r="13" spans="2:34" ht="30" customHeight="1" x14ac:dyDescent="0.25">
      <c r="B13" s="20" t="s">
        <v>46</v>
      </c>
      <c r="C13" s="18"/>
      <c r="D13" s="18"/>
      <c r="E13" s="18" t="s">
        <v>66</v>
      </c>
      <c r="F13" s="18" t="s">
        <v>66</v>
      </c>
      <c r="G13" s="18" t="s">
        <v>66</v>
      </c>
      <c r="H13" s="18"/>
      <c r="I13" s="18"/>
      <c r="J13" s="18"/>
      <c r="K13" s="18" t="s">
        <v>66</v>
      </c>
      <c r="L13" s="18" t="s">
        <v>66</v>
      </c>
      <c r="M13" s="18"/>
      <c r="N13" s="18"/>
      <c r="O13" s="18"/>
      <c r="P13" s="18"/>
      <c r="Q13" s="18" t="s">
        <v>68</v>
      </c>
      <c r="R13" s="18" t="s">
        <v>68</v>
      </c>
      <c r="S13" s="18" t="s">
        <v>68</v>
      </c>
      <c r="T13" s="18" t="s">
        <v>68</v>
      </c>
      <c r="U13" s="18" t="s">
        <v>68</v>
      </c>
      <c r="V13" s="18" t="s">
        <v>68</v>
      </c>
      <c r="W13" s="18" t="s">
        <v>68</v>
      </c>
      <c r="X13" s="18" t="s">
        <v>68</v>
      </c>
      <c r="Y13" s="18" t="s">
        <v>68</v>
      </c>
      <c r="Z13" s="18" t="s">
        <v>68</v>
      </c>
      <c r="AA13" s="18" t="s">
        <v>68</v>
      </c>
      <c r="AB13" s="18" t="s">
        <v>68</v>
      </c>
      <c r="AC13" s="18" t="s">
        <v>68</v>
      </c>
      <c r="AD13" s="18" t="s">
        <v>68</v>
      </c>
      <c r="AE13" s="18" t="s">
        <v>68</v>
      </c>
      <c r="AF13" s="18" t="s">
        <v>68</v>
      </c>
      <c r="AG13" s="18" t="s">
        <v>68</v>
      </c>
      <c r="AH13" s="27">
        <f>COUNTA('7月'!$C13:$AG13)</f>
        <v>22</v>
      </c>
    </row>
    <row r="14" spans="2:34" ht="30" customHeight="1" x14ac:dyDescent="0.25">
      <c r="B14" s="20" t="s">
        <v>47</v>
      </c>
      <c r="C14" s="18"/>
      <c r="D14" s="18"/>
      <c r="E14" s="18" t="s">
        <v>66</v>
      </c>
      <c r="F14" s="18" t="s">
        <v>66</v>
      </c>
      <c r="G14" s="18" t="s">
        <v>66</v>
      </c>
      <c r="H14" s="18"/>
      <c r="I14" s="18"/>
      <c r="J14" s="18"/>
      <c r="K14" s="18" t="s">
        <v>66</v>
      </c>
      <c r="L14" s="18" t="s">
        <v>66</v>
      </c>
      <c r="M14" s="18"/>
      <c r="N14" s="18"/>
      <c r="O14" s="18"/>
      <c r="P14" s="18"/>
      <c r="Q14" s="18" t="s">
        <v>68</v>
      </c>
      <c r="R14" s="18" t="s">
        <v>68</v>
      </c>
      <c r="S14" s="18" t="s">
        <v>68</v>
      </c>
      <c r="T14" s="18" t="s">
        <v>68</v>
      </c>
      <c r="U14" s="18" t="s">
        <v>68</v>
      </c>
      <c r="V14" s="18" t="s">
        <v>68</v>
      </c>
      <c r="W14" s="18" t="s">
        <v>68</v>
      </c>
      <c r="X14" s="18" t="s">
        <v>68</v>
      </c>
      <c r="Y14" s="18" t="s">
        <v>68</v>
      </c>
      <c r="Z14" s="18" t="s">
        <v>68</v>
      </c>
      <c r="AA14" s="18" t="s">
        <v>68</v>
      </c>
      <c r="AB14" s="18" t="s">
        <v>68</v>
      </c>
      <c r="AC14" s="18" t="s">
        <v>68</v>
      </c>
      <c r="AD14" s="18" t="s">
        <v>68</v>
      </c>
      <c r="AE14" s="18" t="s">
        <v>68</v>
      </c>
      <c r="AF14" s="18" t="s">
        <v>68</v>
      </c>
      <c r="AG14" s="18" t="s">
        <v>68</v>
      </c>
      <c r="AH14" s="27">
        <f>COUNTA('7月'!$C14:$AG14)</f>
        <v>22</v>
      </c>
    </row>
    <row r="15" spans="2:34" ht="30" customHeight="1" x14ac:dyDescent="0.25">
      <c r="B15" s="20" t="s">
        <v>48</v>
      </c>
      <c r="C15" s="18"/>
      <c r="D15" s="18"/>
      <c r="E15" s="18" t="s">
        <v>66</v>
      </c>
      <c r="F15" s="18" t="s">
        <v>66</v>
      </c>
      <c r="G15" s="18" t="s">
        <v>66</v>
      </c>
      <c r="H15" s="18"/>
      <c r="I15" s="18"/>
      <c r="J15" s="18"/>
      <c r="K15" s="18" t="s">
        <v>66</v>
      </c>
      <c r="L15" s="18" t="s">
        <v>66</v>
      </c>
      <c r="M15" s="18"/>
      <c r="N15" s="18"/>
      <c r="O15" s="18"/>
      <c r="P15" s="18"/>
      <c r="Q15" s="18" t="s">
        <v>68</v>
      </c>
      <c r="R15" s="18" t="s">
        <v>68</v>
      </c>
      <c r="S15" s="18" t="s">
        <v>68</v>
      </c>
      <c r="T15" s="18" t="s">
        <v>68</v>
      </c>
      <c r="U15" s="18" t="s">
        <v>68</v>
      </c>
      <c r="V15" s="18" t="s">
        <v>68</v>
      </c>
      <c r="W15" s="18" t="s">
        <v>68</v>
      </c>
      <c r="X15" s="18" t="s">
        <v>68</v>
      </c>
      <c r="Y15" s="18" t="s">
        <v>68</v>
      </c>
      <c r="Z15" s="18" t="s">
        <v>68</v>
      </c>
      <c r="AA15" s="18" t="s">
        <v>68</v>
      </c>
      <c r="AB15" s="18" t="s">
        <v>68</v>
      </c>
      <c r="AC15" s="18" t="s">
        <v>68</v>
      </c>
      <c r="AD15" s="18" t="s">
        <v>68</v>
      </c>
      <c r="AE15" s="18" t="s">
        <v>68</v>
      </c>
      <c r="AF15" s="18" t="s">
        <v>68</v>
      </c>
      <c r="AG15" s="18" t="s">
        <v>68</v>
      </c>
      <c r="AH15" s="27">
        <f>COUNTA('7月'!$C15:$AG15)</f>
        <v>22</v>
      </c>
    </row>
    <row r="16" spans="2:34" ht="30" customHeight="1" x14ac:dyDescent="0.25">
      <c r="B16" s="20" t="s">
        <v>49</v>
      </c>
      <c r="C16" s="30"/>
      <c r="D16" s="30"/>
      <c r="E16" s="18" t="s">
        <v>66</v>
      </c>
      <c r="F16" s="18" t="s">
        <v>66</v>
      </c>
      <c r="G16" s="18" t="s">
        <v>66</v>
      </c>
      <c r="H16" s="18"/>
      <c r="I16" s="18"/>
      <c r="J16" s="18"/>
      <c r="K16" s="18" t="s">
        <v>66</v>
      </c>
      <c r="L16" s="18" t="s">
        <v>66</v>
      </c>
      <c r="M16" s="18"/>
      <c r="N16" s="18"/>
      <c r="O16" s="18"/>
      <c r="P16" s="18"/>
      <c r="Q16" s="18" t="s">
        <v>68</v>
      </c>
      <c r="R16" s="18" t="s">
        <v>68</v>
      </c>
      <c r="S16" s="18" t="s">
        <v>68</v>
      </c>
      <c r="T16" s="18" t="s">
        <v>68</v>
      </c>
      <c r="U16" s="18" t="s">
        <v>68</v>
      </c>
      <c r="V16" s="18" t="s">
        <v>68</v>
      </c>
      <c r="W16" s="18" t="s">
        <v>68</v>
      </c>
      <c r="X16" s="18" t="s">
        <v>68</v>
      </c>
      <c r="Y16" s="18" t="s">
        <v>68</v>
      </c>
      <c r="Z16" s="18" t="s">
        <v>68</v>
      </c>
      <c r="AA16" s="18" t="s">
        <v>68</v>
      </c>
      <c r="AB16" s="18" t="s">
        <v>68</v>
      </c>
      <c r="AC16" s="18" t="s">
        <v>68</v>
      </c>
      <c r="AD16" s="18" t="s">
        <v>68</v>
      </c>
      <c r="AE16" s="18" t="s">
        <v>68</v>
      </c>
      <c r="AF16" s="18" t="s">
        <v>68</v>
      </c>
      <c r="AG16" s="18" t="s">
        <v>68</v>
      </c>
      <c r="AH16" s="27">
        <f>COUNTA('7月'!$C16:$AG16)</f>
        <v>22</v>
      </c>
    </row>
    <row r="17" spans="2:37" ht="30" customHeight="1" x14ac:dyDescent="0.25">
      <c r="B17" s="20" t="s">
        <v>50</v>
      </c>
      <c r="C17" s="30"/>
      <c r="D17" s="30"/>
      <c r="E17" s="18" t="s">
        <v>66</v>
      </c>
      <c r="F17" s="18" t="s">
        <v>66</v>
      </c>
      <c r="G17" s="18" t="s">
        <v>66</v>
      </c>
      <c r="H17" s="18"/>
      <c r="I17" s="18"/>
      <c r="J17" s="18"/>
      <c r="K17" s="18" t="s">
        <v>66</v>
      </c>
      <c r="L17" s="18" t="s">
        <v>66</v>
      </c>
      <c r="M17" s="18"/>
      <c r="N17" s="18"/>
      <c r="O17" s="18"/>
      <c r="P17" s="18"/>
      <c r="Q17" s="18" t="s">
        <v>68</v>
      </c>
      <c r="R17" s="18" t="s">
        <v>68</v>
      </c>
      <c r="S17" s="18" t="s">
        <v>68</v>
      </c>
      <c r="T17" s="18" t="s">
        <v>68</v>
      </c>
      <c r="U17" s="18" t="s">
        <v>68</v>
      </c>
      <c r="V17" s="18" t="s">
        <v>68</v>
      </c>
      <c r="W17" s="18" t="s">
        <v>68</v>
      </c>
      <c r="X17" s="18" t="s">
        <v>68</v>
      </c>
      <c r="Y17" s="18" t="s">
        <v>68</v>
      </c>
      <c r="Z17" s="18" t="s">
        <v>68</v>
      </c>
      <c r="AA17" s="18" t="s">
        <v>68</v>
      </c>
      <c r="AB17" s="18" t="s">
        <v>68</v>
      </c>
      <c r="AC17" s="18" t="s">
        <v>68</v>
      </c>
      <c r="AD17" s="18" t="s">
        <v>68</v>
      </c>
      <c r="AE17" s="18" t="s">
        <v>68</v>
      </c>
      <c r="AF17" s="18" t="s">
        <v>68</v>
      </c>
      <c r="AG17" s="18" t="s">
        <v>68</v>
      </c>
      <c r="AH17" s="27">
        <f>COUNTA('7月'!$C17:$AG17)</f>
        <v>22</v>
      </c>
    </row>
    <row r="18" spans="2:37" ht="30" customHeight="1" x14ac:dyDescent="0.25">
      <c r="B18" s="20" t="s">
        <v>51</v>
      </c>
      <c r="C18" s="30"/>
      <c r="D18" s="30"/>
      <c r="E18" s="18" t="s">
        <v>66</v>
      </c>
      <c r="F18" s="18" t="s">
        <v>66</v>
      </c>
      <c r="G18" s="18" t="s">
        <v>66</v>
      </c>
      <c r="H18" s="18"/>
      <c r="I18" s="18"/>
      <c r="J18" s="18"/>
      <c r="K18" s="18" t="s">
        <v>66</v>
      </c>
      <c r="L18" s="18" t="s">
        <v>66</v>
      </c>
      <c r="M18" s="18"/>
      <c r="N18" s="18"/>
      <c r="O18" s="18"/>
      <c r="P18" s="18"/>
      <c r="Q18" s="18" t="s">
        <v>68</v>
      </c>
      <c r="R18" s="18" t="s">
        <v>68</v>
      </c>
      <c r="S18" s="18" t="s">
        <v>68</v>
      </c>
      <c r="T18" s="18" t="s">
        <v>68</v>
      </c>
      <c r="U18" s="18" t="s">
        <v>68</v>
      </c>
      <c r="V18" s="18" t="s">
        <v>68</v>
      </c>
      <c r="W18" s="18" t="s">
        <v>68</v>
      </c>
      <c r="X18" s="18" t="s">
        <v>68</v>
      </c>
      <c r="Y18" s="18" t="s">
        <v>68</v>
      </c>
      <c r="Z18" s="18" t="s">
        <v>68</v>
      </c>
      <c r="AA18" s="18" t="s">
        <v>68</v>
      </c>
      <c r="AB18" s="18" t="s">
        <v>68</v>
      </c>
      <c r="AC18" s="18" t="s">
        <v>68</v>
      </c>
      <c r="AD18" s="18" t="s">
        <v>68</v>
      </c>
      <c r="AE18" s="18" t="s">
        <v>68</v>
      </c>
      <c r="AF18" s="18" t="s">
        <v>68</v>
      </c>
      <c r="AG18" s="18" t="s">
        <v>68</v>
      </c>
      <c r="AH18" s="27">
        <f>COUNTA('7月'!$C18:$AG18)</f>
        <v>22</v>
      </c>
    </row>
    <row r="19" spans="2:37" ht="30" customHeight="1" x14ac:dyDescent="0.25">
      <c r="B19" s="20" t="s">
        <v>52</v>
      </c>
      <c r="C19" s="30"/>
      <c r="D19" s="30"/>
      <c r="E19" s="18" t="s">
        <v>66</v>
      </c>
      <c r="F19" s="18" t="s">
        <v>66</v>
      </c>
      <c r="G19" s="18" t="s">
        <v>66</v>
      </c>
      <c r="H19" s="18"/>
      <c r="I19" s="18"/>
      <c r="J19" s="18"/>
      <c r="K19" s="18" t="s">
        <v>66</v>
      </c>
      <c r="L19" s="18" t="s">
        <v>66</v>
      </c>
      <c r="M19" s="18"/>
      <c r="N19" s="18"/>
      <c r="O19" s="18"/>
      <c r="P19" s="18"/>
      <c r="Q19" s="18" t="s">
        <v>68</v>
      </c>
      <c r="R19" s="18" t="s">
        <v>68</v>
      </c>
      <c r="S19" s="18" t="s">
        <v>68</v>
      </c>
      <c r="T19" s="18" t="s">
        <v>68</v>
      </c>
      <c r="U19" s="18" t="s">
        <v>68</v>
      </c>
      <c r="V19" s="18" t="s">
        <v>68</v>
      </c>
      <c r="W19" s="18" t="s">
        <v>68</v>
      </c>
      <c r="X19" s="18" t="s">
        <v>68</v>
      </c>
      <c r="Y19" s="18" t="s">
        <v>68</v>
      </c>
      <c r="Z19" s="18" t="s">
        <v>68</v>
      </c>
      <c r="AA19" s="18" t="s">
        <v>68</v>
      </c>
      <c r="AB19" s="18" t="s">
        <v>68</v>
      </c>
      <c r="AC19" s="18" t="s">
        <v>68</v>
      </c>
      <c r="AD19" s="18" t="s">
        <v>68</v>
      </c>
      <c r="AE19" s="18" t="s">
        <v>68</v>
      </c>
      <c r="AF19" s="18" t="s">
        <v>68</v>
      </c>
      <c r="AG19" s="18" t="s">
        <v>68</v>
      </c>
      <c r="AH19" s="27">
        <f>COUNTA('7月'!$C19:$AG19)</f>
        <v>22</v>
      </c>
    </row>
    <row r="20" spans="2:37" ht="30" customHeight="1" x14ac:dyDescent="0.25">
      <c r="B20" s="20" t="s">
        <v>53</v>
      </c>
      <c r="C20" s="18"/>
      <c r="D20" s="18"/>
      <c r="E20" s="18" t="s">
        <v>66</v>
      </c>
      <c r="F20" s="18" t="s">
        <v>66</v>
      </c>
      <c r="G20" s="18" t="s">
        <v>66</v>
      </c>
      <c r="H20" s="18"/>
      <c r="I20" s="18"/>
      <c r="J20" s="18"/>
      <c r="K20" s="18" t="s">
        <v>66</v>
      </c>
      <c r="L20" s="18" t="s">
        <v>66</v>
      </c>
      <c r="M20" s="18"/>
      <c r="N20" s="18"/>
      <c r="O20" s="18"/>
      <c r="P20" s="18"/>
      <c r="Q20" s="18"/>
      <c r="R20" s="18"/>
      <c r="S20" s="18"/>
      <c r="T20" s="18"/>
      <c r="U20" s="10" t="s">
        <v>5</v>
      </c>
      <c r="V20" s="10" t="s">
        <v>5</v>
      </c>
      <c r="W20" s="10" t="s">
        <v>5</v>
      </c>
      <c r="X20" s="10" t="s">
        <v>5</v>
      </c>
      <c r="Y20" s="10" t="s">
        <v>5</v>
      </c>
      <c r="Z20" s="10" t="s">
        <v>5</v>
      </c>
      <c r="AA20" s="10" t="s">
        <v>5</v>
      </c>
      <c r="AB20" s="10" t="s">
        <v>5</v>
      </c>
      <c r="AC20" s="10" t="s">
        <v>5</v>
      </c>
      <c r="AD20" s="10" t="s">
        <v>5</v>
      </c>
      <c r="AE20" s="10" t="s">
        <v>5</v>
      </c>
      <c r="AF20" s="10" t="s">
        <v>5</v>
      </c>
      <c r="AG20" s="10" t="s">
        <v>5</v>
      </c>
      <c r="AH20" s="27">
        <f>COUNTA('7月'!$C20:$AG20)</f>
        <v>18</v>
      </c>
    </row>
    <row r="21" spans="2:37" ht="30" customHeight="1" x14ac:dyDescent="0.25">
      <c r="B21" s="20" t="s">
        <v>54</v>
      </c>
      <c r="C21" s="18"/>
      <c r="D21" s="18"/>
      <c r="E21" s="18" t="s">
        <v>66</v>
      </c>
      <c r="F21" s="18" t="s">
        <v>66</v>
      </c>
      <c r="G21" s="18" t="s">
        <v>66</v>
      </c>
      <c r="H21" s="18"/>
      <c r="I21" s="18"/>
      <c r="J21" s="18"/>
      <c r="K21" s="18" t="s">
        <v>66</v>
      </c>
      <c r="L21" s="18" t="s">
        <v>66</v>
      </c>
      <c r="M21" s="18"/>
      <c r="N21" s="18"/>
      <c r="O21" s="18"/>
      <c r="P21" s="18"/>
      <c r="Q21" s="18" t="s">
        <v>68</v>
      </c>
      <c r="R21" s="18" t="s">
        <v>68</v>
      </c>
      <c r="S21" s="18" t="s">
        <v>68</v>
      </c>
      <c r="T21" s="18" t="s">
        <v>68</v>
      </c>
      <c r="U21" s="18" t="s">
        <v>68</v>
      </c>
      <c r="V21" s="18" t="s">
        <v>68</v>
      </c>
      <c r="W21" s="18" t="s">
        <v>68</v>
      </c>
      <c r="X21" s="18" t="s">
        <v>68</v>
      </c>
      <c r="Y21" s="18" t="s">
        <v>68</v>
      </c>
      <c r="Z21" s="18" t="s">
        <v>68</v>
      </c>
      <c r="AA21" s="18" t="s">
        <v>68</v>
      </c>
      <c r="AB21" s="18" t="s">
        <v>68</v>
      </c>
      <c r="AC21" s="18" t="s">
        <v>68</v>
      </c>
      <c r="AD21" s="18" t="s">
        <v>68</v>
      </c>
      <c r="AE21" s="18" t="s">
        <v>68</v>
      </c>
      <c r="AF21" s="18" t="s">
        <v>68</v>
      </c>
      <c r="AG21" s="18" t="s">
        <v>68</v>
      </c>
      <c r="AH21" s="27">
        <f>COUNTA('7月'!$C21:$AG21)</f>
        <v>22</v>
      </c>
    </row>
    <row r="22" spans="2:37" ht="30" customHeight="1" x14ac:dyDescent="0.25">
      <c r="B22" s="20" t="s">
        <v>55</v>
      </c>
      <c r="C22" s="18"/>
      <c r="D22" s="18"/>
      <c r="E22" s="18" t="s">
        <v>66</v>
      </c>
      <c r="F22" s="18" t="s">
        <v>66</v>
      </c>
      <c r="G22" s="18" t="s">
        <v>66</v>
      </c>
      <c r="H22" s="18"/>
      <c r="I22" s="18"/>
      <c r="J22" s="18"/>
      <c r="K22" s="18" t="s">
        <v>66</v>
      </c>
      <c r="L22" s="18" t="s">
        <v>66</v>
      </c>
      <c r="M22" s="18"/>
      <c r="N22" s="18"/>
      <c r="O22" s="18"/>
      <c r="P22" s="18"/>
      <c r="Q22" s="18" t="s">
        <v>68</v>
      </c>
      <c r="R22" s="18" t="s">
        <v>68</v>
      </c>
      <c r="S22" s="18" t="s">
        <v>68</v>
      </c>
      <c r="T22" s="18" t="s">
        <v>68</v>
      </c>
      <c r="U22" s="18" t="s">
        <v>68</v>
      </c>
      <c r="V22" s="18" t="s">
        <v>68</v>
      </c>
      <c r="W22" s="18" t="s">
        <v>68</v>
      </c>
      <c r="X22" s="18" t="s">
        <v>68</v>
      </c>
      <c r="Y22" s="18" t="s">
        <v>68</v>
      </c>
      <c r="Z22" s="18" t="s">
        <v>68</v>
      </c>
      <c r="AA22" s="18" t="s">
        <v>68</v>
      </c>
      <c r="AB22" s="18" t="s">
        <v>68</v>
      </c>
      <c r="AC22" s="18" t="s">
        <v>68</v>
      </c>
      <c r="AD22" s="18" t="s">
        <v>68</v>
      </c>
      <c r="AE22" s="18" t="s">
        <v>68</v>
      </c>
      <c r="AF22" s="18" t="s">
        <v>68</v>
      </c>
      <c r="AG22" s="18" t="s">
        <v>68</v>
      </c>
      <c r="AH22" s="27">
        <f>COUNTA('7月'!$C22:$AG22)</f>
        <v>22</v>
      </c>
    </row>
    <row r="23" spans="2:37" ht="30" customHeight="1" x14ac:dyDescent="0.25">
      <c r="B23" s="20" t="s">
        <v>56</v>
      </c>
      <c r="C23" s="18"/>
      <c r="D23" s="18"/>
      <c r="E23" s="18" t="s">
        <v>66</v>
      </c>
      <c r="F23" s="18" t="s">
        <v>66</v>
      </c>
      <c r="G23" s="18" t="s">
        <v>66</v>
      </c>
      <c r="H23" s="18"/>
      <c r="I23" s="18"/>
      <c r="J23" s="18"/>
      <c r="K23" s="18" t="s">
        <v>66</v>
      </c>
      <c r="L23" s="18" t="s">
        <v>66</v>
      </c>
      <c r="M23" s="18"/>
      <c r="N23" s="18"/>
      <c r="O23" s="18"/>
      <c r="P23" s="18"/>
      <c r="Q23" s="18" t="s">
        <v>68</v>
      </c>
      <c r="R23" s="18" t="s">
        <v>68</v>
      </c>
      <c r="S23" s="18" t="s">
        <v>68</v>
      </c>
      <c r="T23" s="18" t="s">
        <v>68</v>
      </c>
      <c r="U23" s="18" t="s">
        <v>68</v>
      </c>
      <c r="V23" s="18" t="s">
        <v>68</v>
      </c>
      <c r="W23" s="18" t="s">
        <v>68</v>
      </c>
      <c r="X23" s="18" t="s">
        <v>68</v>
      </c>
      <c r="Y23" s="18" t="s">
        <v>68</v>
      </c>
      <c r="Z23" s="18" t="s">
        <v>68</v>
      </c>
      <c r="AA23" s="18" t="s">
        <v>68</v>
      </c>
      <c r="AB23" s="18" t="s">
        <v>68</v>
      </c>
      <c r="AC23" s="18" t="s">
        <v>68</v>
      </c>
      <c r="AD23" s="18" t="s">
        <v>68</v>
      </c>
      <c r="AE23" s="18" t="s">
        <v>68</v>
      </c>
      <c r="AF23" s="18" t="s">
        <v>68</v>
      </c>
      <c r="AG23" s="18" t="s">
        <v>68</v>
      </c>
      <c r="AH23" s="27">
        <f>COUNTA('7月'!$C23:$AG23)</f>
        <v>22</v>
      </c>
    </row>
    <row r="24" spans="2:37" ht="30" customHeight="1" x14ac:dyDescent="0.25">
      <c r="B24" s="20" t="s">
        <v>57</v>
      </c>
      <c r="C24" s="18"/>
      <c r="D24" s="18"/>
      <c r="E24" s="18" t="s">
        <v>66</v>
      </c>
      <c r="F24" s="18" t="s">
        <v>66</v>
      </c>
      <c r="G24" s="18" t="s">
        <v>66</v>
      </c>
      <c r="H24" s="18"/>
      <c r="I24" s="18"/>
      <c r="J24" s="18"/>
      <c r="K24" s="18" t="s">
        <v>66</v>
      </c>
      <c r="L24" s="18" t="s">
        <v>66</v>
      </c>
      <c r="M24" s="18"/>
      <c r="N24" s="18"/>
      <c r="O24" s="18"/>
      <c r="P24" s="18"/>
      <c r="Q24" s="18" t="s">
        <v>68</v>
      </c>
      <c r="R24" s="18" t="s">
        <v>68</v>
      </c>
      <c r="S24" s="18" t="s">
        <v>68</v>
      </c>
      <c r="T24" s="18" t="s">
        <v>68</v>
      </c>
      <c r="U24" s="18" t="s">
        <v>68</v>
      </c>
      <c r="V24" s="18" t="s">
        <v>68</v>
      </c>
      <c r="W24" s="18" t="s">
        <v>68</v>
      </c>
      <c r="X24" s="18" t="s">
        <v>68</v>
      </c>
      <c r="Y24" s="18" t="s">
        <v>68</v>
      </c>
      <c r="Z24" s="18" t="s">
        <v>68</v>
      </c>
      <c r="AA24" s="18" t="s">
        <v>68</v>
      </c>
      <c r="AB24" s="18" t="s">
        <v>68</v>
      </c>
      <c r="AC24" s="18" t="s">
        <v>68</v>
      </c>
      <c r="AD24" s="18" t="s">
        <v>68</v>
      </c>
      <c r="AE24" s="18" t="s">
        <v>68</v>
      </c>
      <c r="AF24" s="18" t="s">
        <v>68</v>
      </c>
      <c r="AG24" s="18" t="s">
        <v>68</v>
      </c>
      <c r="AH24" s="27">
        <f>COUNTA('7月'!$C24:$AG24)</f>
        <v>22</v>
      </c>
    </row>
    <row r="25" spans="2:37" ht="30" customHeight="1" x14ac:dyDescent="0.25">
      <c r="B25" s="20" t="s">
        <v>58</v>
      </c>
      <c r="C25" s="18"/>
      <c r="D25" s="18"/>
      <c r="E25" s="18" t="s">
        <v>66</v>
      </c>
      <c r="F25" s="18" t="s">
        <v>66</v>
      </c>
      <c r="G25" s="18" t="s">
        <v>66</v>
      </c>
      <c r="H25" s="18"/>
      <c r="I25" s="18"/>
      <c r="J25" s="18"/>
      <c r="K25" s="18" t="s">
        <v>66</v>
      </c>
      <c r="L25" s="18" t="s">
        <v>66</v>
      </c>
      <c r="M25" s="18"/>
      <c r="N25" s="18"/>
      <c r="O25" s="18"/>
      <c r="P25" s="18"/>
      <c r="Q25" s="18" t="s">
        <v>68</v>
      </c>
      <c r="R25" s="18" t="s">
        <v>68</v>
      </c>
      <c r="S25" s="18" t="s">
        <v>68</v>
      </c>
      <c r="T25" s="18" t="s">
        <v>68</v>
      </c>
      <c r="U25" s="18" t="s">
        <v>68</v>
      </c>
      <c r="V25" s="18" t="s">
        <v>68</v>
      </c>
      <c r="W25" s="18" t="s">
        <v>68</v>
      </c>
      <c r="X25" s="18" t="s">
        <v>68</v>
      </c>
      <c r="Y25" s="18" t="s">
        <v>68</v>
      </c>
      <c r="Z25" s="18" t="s">
        <v>68</v>
      </c>
      <c r="AA25" s="18" t="s">
        <v>68</v>
      </c>
      <c r="AB25" s="18" t="s">
        <v>68</v>
      </c>
      <c r="AC25" s="18" t="s">
        <v>68</v>
      </c>
      <c r="AD25" s="18" t="s">
        <v>68</v>
      </c>
      <c r="AE25" s="18" t="s">
        <v>68</v>
      </c>
      <c r="AF25" s="18" t="s">
        <v>68</v>
      </c>
      <c r="AG25" s="18" t="s">
        <v>68</v>
      </c>
      <c r="AH25" s="27">
        <f>COUNTA('7月'!$C25:$AG25)</f>
        <v>22</v>
      </c>
      <c r="AK25" t="s">
        <v>70</v>
      </c>
    </row>
    <row r="26" spans="2:37" ht="30" customHeight="1" x14ac:dyDescent="0.25">
      <c r="B26" s="20" t="s">
        <v>59</v>
      </c>
      <c r="C26" s="18"/>
      <c r="D26" s="18"/>
      <c r="E26" s="18" t="s">
        <v>66</v>
      </c>
      <c r="F26" s="18" t="s">
        <v>66</v>
      </c>
      <c r="G26" s="18" t="s">
        <v>66</v>
      </c>
      <c r="H26" s="18"/>
      <c r="I26" s="18"/>
      <c r="J26" s="18"/>
      <c r="K26" s="18" t="s">
        <v>66</v>
      </c>
      <c r="L26" s="18" t="s">
        <v>66</v>
      </c>
      <c r="M26" s="18"/>
      <c r="N26" s="18"/>
      <c r="O26" s="18"/>
      <c r="P26" s="18"/>
      <c r="Q26" s="18" t="s">
        <v>68</v>
      </c>
      <c r="R26" s="18" t="s">
        <v>68</v>
      </c>
      <c r="S26" s="18" t="s">
        <v>68</v>
      </c>
      <c r="T26" s="18" t="s">
        <v>68</v>
      </c>
      <c r="U26" s="18" t="s">
        <v>68</v>
      </c>
      <c r="V26" s="18" t="s">
        <v>68</v>
      </c>
      <c r="W26" s="18" t="s">
        <v>68</v>
      </c>
      <c r="X26" s="18" t="s">
        <v>68</v>
      </c>
      <c r="Y26" s="18" t="s">
        <v>68</v>
      </c>
      <c r="Z26" s="18" t="s">
        <v>68</v>
      </c>
      <c r="AA26" s="18" t="s">
        <v>68</v>
      </c>
      <c r="AB26" s="18" t="s">
        <v>68</v>
      </c>
      <c r="AC26" s="18" t="s">
        <v>68</v>
      </c>
      <c r="AD26" s="18" t="s">
        <v>68</v>
      </c>
      <c r="AE26" s="18" t="s">
        <v>68</v>
      </c>
      <c r="AF26" s="18" t="s">
        <v>68</v>
      </c>
      <c r="AG26" s="18" t="s">
        <v>68</v>
      </c>
      <c r="AH26" s="27">
        <f>COUNTA('7月'!$C26:$AG26)</f>
        <v>22</v>
      </c>
    </row>
    <row r="27" spans="2:37" ht="30" customHeight="1" x14ac:dyDescent="0.25">
      <c r="B27" s="20" t="s">
        <v>60</v>
      </c>
      <c r="C27" s="18"/>
      <c r="D27" s="18"/>
      <c r="E27" s="18" t="s">
        <v>66</v>
      </c>
      <c r="F27" s="18" t="s">
        <v>66</v>
      </c>
      <c r="G27" s="18" t="s">
        <v>66</v>
      </c>
      <c r="H27" s="18"/>
      <c r="I27" s="18"/>
      <c r="J27" s="18"/>
      <c r="K27" s="18" t="s">
        <v>66</v>
      </c>
      <c r="L27" s="18" t="s">
        <v>66</v>
      </c>
      <c r="M27" s="18"/>
      <c r="N27" s="18"/>
      <c r="O27" s="18"/>
      <c r="P27" s="18"/>
      <c r="Q27" s="18" t="s">
        <v>68</v>
      </c>
      <c r="R27" s="18" t="s">
        <v>68</v>
      </c>
      <c r="S27" s="18" t="s">
        <v>68</v>
      </c>
      <c r="T27" s="18" t="s">
        <v>68</v>
      </c>
      <c r="U27" s="18" t="s">
        <v>68</v>
      </c>
      <c r="V27" s="18" t="s">
        <v>68</v>
      </c>
      <c r="W27" s="18" t="s">
        <v>68</v>
      </c>
      <c r="X27" s="18" t="s">
        <v>68</v>
      </c>
      <c r="Y27" s="18" t="s">
        <v>68</v>
      </c>
      <c r="Z27" s="18" t="s">
        <v>68</v>
      </c>
      <c r="AA27" s="18" t="s">
        <v>68</v>
      </c>
      <c r="AB27" s="18" t="s">
        <v>68</v>
      </c>
      <c r="AC27" s="18" t="s">
        <v>68</v>
      </c>
      <c r="AD27" s="18" t="s">
        <v>68</v>
      </c>
      <c r="AE27" s="18" t="s">
        <v>68</v>
      </c>
      <c r="AF27" s="18" t="s">
        <v>68</v>
      </c>
      <c r="AG27" s="18" t="s">
        <v>68</v>
      </c>
      <c r="AH27" s="27">
        <f>COUNTA('7月'!$C27:$AG27)</f>
        <v>22</v>
      </c>
    </row>
    <row r="28" spans="2:37" ht="30" customHeight="1" x14ac:dyDescent="0.25">
      <c r="B28" s="20" t="s">
        <v>61</v>
      </c>
      <c r="C28" s="18"/>
      <c r="D28" s="18"/>
      <c r="E28" s="18" t="s">
        <v>66</v>
      </c>
      <c r="F28" s="18" t="s">
        <v>66</v>
      </c>
      <c r="G28" s="18" t="s">
        <v>66</v>
      </c>
      <c r="H28" s="18"/>
      <c r="I28" s="18"/>
      <c r="J28" s="18"/>
      <c r="K28" s="18" t="s">
        <v>66</v>
      </c>
      <c r="L28" s="18" t="s">
        <v>66</v>
      </c>
      <c r="M28" s="18"/>
      <c r="N28" s="18"/>
      <c r="O28" s="18"/>
      <c r="P28" s="18"/>
      <c r="Q28" s="18" t="s">
        <v>68</v>
      </c>
      <c r="R28" s="18" t="s">
        <v>68</v>
      </c>
      <c r="S28" s="18" t="s">
        <v>68</v>
      </c>
      <c r="T28" s="18" t="s">
        <v>68</v>
      </c>
      <c r="U28" s="18" t="s">
        <v>68</v>
      </c>
      <c r="V28" s="18" t="s">
        <v>68</v>
      </c>
      <c r="W28" s="18" t="s">
        <v>68</v>
      </c>
      <c r="X28" s="18" t="s">
        <v>68</v>
      </c>
      <c r="Y28" s="18" t="s">
        <v>68</v>
      </c>
      <c r="Z28" s="18" t="s">
        <v>68</v>
      </c>
      <c r="AA28" s="18" t="s">
        <v>68</v>
      </c>
      <c r="AB28" s="18" t="s">
        <v>68</v>
      </c>
      <c r="AC28" s="18" t="s">
        <v>68</v>
      </c>
      <c r="AD28" s="18" t="s">
        <v>68</v>
      </c>
      <c r="AE28" s="18" t="s">
        <v>68</v>
      </c>
      <c r="AF28" s="18" t="s">
        <v>68</v>
      </c>
      <c r="AG28" s="18" t="s">
        <v>68</v>
      </c>
      <c r="AH28" s="27">
        <f>COUNTA('7月'!$C28:$AG28)</f>
        <v>22</v>
      </c>
    </row>
    <row r="29" spans="2:37" ht="30" customHeight="1" x14ac:dyDescent="0.25">
      <c r="B29" s="20" t="s">
        <v>62</v>
      </c>
      <c r="C29" s="18"/>
      <c r="D29" s="18"/>
      <c r="E29" s="18" t="s">
        <v>66</v>
      </c>
      <c r="F29" s="18" t="s">
        <v>66</v>
      </c>
      <c r="G29" s="18" t="s">
        <v>66</v>
      </c>
      <c r="H29" s="18"/>
      <c r="I29" s="18"/>
      <c r="J29" s="18"/>
      <c r="K29" s="18" t="s">
        <v>66</v>
      </c>
      <c r="L29" s="18" t="s">
        <v>66</v>
      </c>
      <c r="M29" s="18"/>
      <c r="N29" s="18"/>
      <c r="O29" s="18"/>
      <c r="P29" s="18"/>
      <c r="Q29" s="18" t="s">
        <v>68</v>
      </c>
      <c r="R29" s="18" t="s">
        <v>68</v>
      </c>
      <c r="S29" s="18" t="s">
        <v>68</v>
      </c>
      <c r="T29" s="18" t="s">
        <v>68</v>
      </c>
      <c r="U29" s="18" t="s">
        <v>68</v>
      </c>
      <c r="V29" s="18" t="s">
        <v>68</v>
      </c>
      <c r="W29" s="18" t="s">
        <v>68</v>
      </c>
      <c r="X29" s="18" t="s">
        <v>68</v>
      </c>
      <c r="Y29" s="18" t="s">
        <v>68</v>
      </c>
      <c r="Z29" s="18" t="s">
        <v>68</v>
      </c>
      <c r="AA29" s="18" t="s">
        <v>68</v>
      </c>
      <c r="AB29" s="18" t="s">
        <v>68</v>
      </c>
      <c r="AC29" s="18" t="s">
        <v>68</v>
      </c>
      <c r="AD29" s="18" t="s">
        <v>68</v>
      </c>
      <c r="AE29" s="18" t="s">
        <v>68</v>
      </c>
      <c r="AF29" s="18" t="s">
        <v>68</v>
      </c>
      <c r="AG29" s="18" t="s">
        <v>68</v>
      </c>
      <c r="AH29" s="27">
        <f>COUNTA('7月'!$C29:$AG29)</f>
        <v>22</v>
      </c>
    </row>
    <row r="30" spans="2:37" ht="30" customHeight="1" x14ac:dyDescent="0.25">
      <c r="B30" s="21" t="str">
        <f>MonthName&amp;"集計"</f>
        <v>7月集計</v>
      </c>
      <c r="C30" s="22">
        <f>SUBTOTAL(103,月7[1])</f>
        <v>0</v>
      </c>
      <c r="D30" s="22">
        <f>SUBTOTAL(103,月7[2])</f>
        <v>0</v>
      </c>
      <c r="E30" s="22">
        <f>SUBTOTAL(103,月7[3])</f>
        <v>21</v>
      </c>
      <c r="F30" s="22">
        <f>SUBTOTAL(103,月7[4])</f>
        <v>21</v>
      </c>
      <c r="G30" s="22">
        <f>SUBTOTAL(103,月7[5])</f>
        <v>21</v>
      </c>
      <c r="H30" s="22">
        <f>SUBTOTAL(103,月7[6])</f>
        <v>0</v>
      </c>
      <c r="I30" s="22">
        <f>SUBTOTAL(103,月7[7])</f>
        <v>0</v>
      </c>
      <c r="J30" s="22">
        <f>SUBTOTAL(103,月7[8])</f>
        <v>0</v>
      </c>
      <c r="K30" s="22">
        <f>SUBTOTAL(103,月7[9])</f>
        <v>21</v>
      </c>
      <c r="L30" s="22">
        <f>SUBTOTAL(103,月7[10])</f>
        <v>21</v>
      </c>
      <c r="M30" s="22">
        <f>SUBTOTAL(103,月7[11])</f>
        <v>0</v>
      </c>
      <c r="N30" s="22">
        <f>SUBTOTAL(103,月7[12])</f>
        <v>0</v>
      </c>
      <c r="O30" s="22">
        <f>SUBTOTAL(103,月7[13])</f>
        <v>0</v>
      </c>
      <c r="P30" s="22">
        <f>SUBTOTAL(103,月7[14])</f>
        <v>0</v>
      </c>
      <c r="Q30" s="22">
        <f>SUBTOTAL(103,月7[15])</f>
        <v>19</v>
      </c>
      <c r="R30" s="22">
        <f>SUBTOTAL(103,月7[16])</f>
        <v>19</v>
      </c>
      <c r="S30" s="22">
        <f>SUBTOTAL(103,月7[17])</f>
        <v>19</v>
      </c>
      <c r="T30" s="22">
        <f>SUBTOTAL(103,月7[18])</f>
        <v>19</v>
      </c>
      <c r="U30" s="22">
        <f>SUBTOTAL(103,月7[19])</f>
        <v>21</v>
      </c>
      <c r="V30" s="22">
        <f>SUBTOTAL(103,月7[20])</f>
        <v>21</v>
      </c>
      <c r="W30" s="22">
        <f>SUBTOTAL(103,月7[21])</f>
        <v>21</v>
      </c>
      <c r="X30" s="22">
        <f>SUBTOTAL(103,月7[22])</f>
        <v>21</v>
      </c>
      <c r="Y30" s="22">
        <f>SUBTOTAL(103,月7[23])</f>
        <v>21</v>
      </c>
      <c r="Z30" s="22">
        <f>SUBTOTAL(103,月7[24])</f>
        <v>21</v>
      </c>
      <c r="AA30" s="22">
        <f>SUBTOTAL(103,月7[25])</f>
        <v>21</v>
      </c>
      <c r="AB30" s="22">
        <f>SUBTOTAL(103,月7[26])</f>
        <v>21</v>
      </c>
      <c r="AC30" s="22">
        <f>SUBTOTAL(103,月7[27])</f>
        <v>21</v>
      </c>
      <c r="AD30" s="22">
        <f>SUBTOTAL(103,月7[28])</f>
        <v>21</v>
      </c>
      <c r="AE30" s="22">
        <f>SUBTOTAL(103,月7[29])</f>
        <v>21</v>
      </c>
      <c r="AF30" s="22">
        <f>SUBTOTAL(109,月7[30])</f>
        <v>0</v>
      </c>
      <c r="AG30" s="22">
        <f>SUBTOTAL(109,月7[31])</f>
        <v>0</v>
      </c>
      <c r="AH30" s="22">
        <f>SUBTOTAL(109,月7[合計日数])</f>
        <v>454</v>
      </c>
    </row>
  </sheetData>
  <mergeCells count="6">
    <mergeCell ref="C6:AG6"/>
    <mergeCell ref="D4:F4"/>
    <mergeCell ref="H4:J4"/>
    <mergeCell ref="L4:M4"/>
    <mergeCell ref="O4:Q4"/>
    <mergeCell ref="S4:U4"/>
  </mergeCells>
  <phoneticPr fontId="10"/>
  <conditionalFormatting sqref="C9:T9 C10:AG19 C20:T20 C21:AG29">
    <cfRule type="expression" priority="1" stopIfTrue="1">
      <formula>C9=""</formula>
    </cfRule>
    <cfRule type="expression" dxfId="641" priority="2" stopIfTrue="1">
      <formula>C9=KeyCustom2</formula>
    </cfRule>
    <cfRule type="expression" dxfId="640" priority="3" stopIfTrue="1">
      <formula>C9=KeyCustom1</formula>
    </cfRule>
    <cfRule type="expression" dxfId="639" priority="4" stopIfTrue="1">
      <formula>C9=KeySick</formula>
    </cfRule>
    <cfRule type="expression" dxfId="638" priority="5" stopIfTrue="1">
      <formula>C9=KeyPersonal</formula>
    </cfRule>
    <cfRule type="expression" dxfId="637" priority="6" stopIfTrue="1">
      <formula>C9=KeyVacation</formula>
    </cfRule>
  </conditionalFormatting>
  <conditionalFormatting sqref="AH9:AH29">
    <cfRule type="dataBar" priority="7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{88931D00-2F69-446F-AD6D-48E466F08447}</x14:id>
        </ext>
      </extLst>
    </cfRule>
  </conditionalFormatting>
  <dataValidations count="15">
    <dataValidation allowBlank="1" showInputMessage="1" showErrorMessage="1" prompt="この行の月の日付は、自動的に生成されます。従業員の欠勤と欠勤の種類を月の各日付の各列に入力します。空白は欠勤でないことを示します" sqref="C8" xr:uid="{03C1A45F-45B9-C64C-AB94-81563D673730}"/>
    <dataValidation allowBlank="1" showInputMessage="1" showErrorMessage="1" prompt="このセルには、この欠勤管理の月の名前が入ります。テーブルの最後のセルには、この月の欠勤日数の合計が表示されます。テーブルの列 B で従業員名を選択します" sqref="B2" xr:uid="{00000000-0002-0000-0600-000001000000}"/>
    <dataValidation allowBlank="1" showInputMessage="1" showErrorMessage="1" prompt="左側にカスタム キーを表すラベルを入力します" sqref="O4:Q4 S4:U4" xr:uid="{0D4DD0DA-09CF-9E44-99CA-A5867B7A5DE0}"/>
    <dataValidation allowBlank="1" showErrorMessage="1" prompt="右側に文字を入力してラベルをカスタマイズし、別のキー項目を追加します" sqref="R4 N4" xr:uid="{7958A2AB-CEB1-064A-ADC4-DFE205FED828}"/>
    <dataValidation allowBlank="1" showErrorMessage="1" prompt="文字 &quot;S&quot; は病欠を表します" sqref="K4" xr:uid="{58CC404D-17ED-6445-ACB8-A79585398428}"/>
    <dataValidation allowBlank="1" showErrorMessage="1" prompt="文字 &quot;P&quot; は私用による欠勤を表します" sqref="G4 U9:AG9 U20:AG20" xr:uid="{BB2F932F-117E-4C44-89E0-7036B9C55FB7}"/>
    <dataValidation allowBlank="1" showErrorMessage="1" prompt="文字 &quot;V&quot; は休暇のための欠勤を表します" sqref="C4" xr:uid="{02BD24EB-B095-F64C-94A8-7E7708BAF1AD}"/>
    <dataValidation allowBlank="1" showInputMessage="1" showErrorMessage="1" prompt="自動的に更新されるタイトルが、このセルの内容です。タイトルを変更するには、1 月のワークシートの B1 を更新します" sqref="B2" xr:uid="{00000000-0002-0000-0600-000008000000}"/>
    <dataValidation errorStyle="warning" allowBlank="1" showInputMessage="1" showErrorMessage="1" error="リストから名前を選択します。[キャンセル] を選択し、Alt キーを押しながら下方向キーを押してから、Enter キーを押して名前を選択します" prompt="従業員名ワークシートに従業員の名前を入力し、この列のリストから名前を選びます。Alt キーを押しながら下矢印キーを押して、Enter キーを押して名前を選択します" sqref="B8" xr:uid="{56BA2E4C-7843-2040-9E97-682F447A602F}"/>
    <dataValidation allowBlank="1" showInputMessage="1" showErrorMessage="1" prompt="このワークシートでは 7 月の欠勤を管理します" sqref="A1" xr:uid="{00000000-0002-0000-0600-00000A000000}"/>
    <dataValidation allowBlank="1" showInputMessage="1" showErrorMessage="1" prompt="この列で、従業員の今月の欠勤日数の合計を自動的に計算します" sqref="AH8" xr:uid="{7EEB97FE-C4E8-0B42-8F26-4ACE0C358EA5}"/>
    <dataValidation allowBlank="1" showInputMessage="1" showErrorMessage="1" prompt="1 月のワークシートに入力した年に基づいて自動的に更新される年" sqref="AH6" xr:uid="{00000000-0002-0000-0600-00000C000000}"/>
    <dataValidation allowBlank="1" showInputMessage="1" showErrorMessage="1" prompt="この行の曜日は、AH4 の年に従い当月に応じて自動的に更新されます。月の各日付は、従業員の欠勤と欠勤の種類を記録するための列です" sqref="C7" xr:uid="{956AA00F-FA3E-EE4C-BC75-65E8AA2EA95F}"/>
    <dataValidation allowBlank="1" showInputMessage="1" showErrorMessage="1" prompt="この行には、テーブルで使用するキーが定義されています。セル C4 は休暇、G4 は私用、K4 は病欠です。セル N4 と R4 はカスタマイズ可能です" sqref="B4" xr:uid="{49FE03CF-624B-4523-A1B1-B51C2CB6F6D6}"/>
    <dataValidation allowBlank="1" showInputMessage="1" showErrorMessage="1" prompt="このセルには、ワークシートのタイトルが入ります。" sqref="B1" xr:uid="{E88DB1A5-D42F-465A-AEA3-9DCA0D43CA61}"/>
  </dataValidations>
  <pageMargins left="0.7" right="0.7" top="0.75" bottom="0.75" header="0.3" footer="0.3"/>
  <pageSetup paperSize="9" fitToHeight="0" orientation="portrait" verticalDpi="4294967293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931D00-2F69-446F-AD6D-48E466F08447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AH9:AH29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519152-48BF-40EF-9180-FD6B0E9C1997}">
          <x14:formula1>
            <xm:f>従業員名!$B$4:$B$35</xm:f>
          </x14:formula1>
          <xm:sqref>B9:B29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8"/>
  </sheetPr>
  <dimension ref="B1:AH30"/>
  <sheetViews>
    <sheetView showGridLines="0" zoomScaleNormal="100" workbookViewId="0">
      <selection activeCell="G18" sqref="G18"/>
    </sheetView>
  </sheetViews>
  <sheetFormatPr defaultColWidth="8.77734375" defaultRowHeight="30" customHeight="1" x14ac:dyDescent="0.25"/>
  <cols>
    <col min="1" max="1" width="2.88671875" customWidth="1"/>
    <col min="2" max="2" width="25.77734375" customWidth="1"/>
    <col min="3" max="33" width="4.77734375" customWidth="1"/>
    <col min="34" max="34" width="13.44140625" customWidth="1"/>
    <col min="35" max="35" width="2.88671875" customWidth="1"/>
  </cols>
  <sheetData>
    <row r="1" spans="2:34" ht="26.45" customHeight="1" x14ac:dyDescent="0.35">
      <c r="B1" s="2" t="s">
        <v>0</v>
      </c>
    </row>
    <row r="2" spans="2:34" ht="48.6" customHeight="1" x14ac:dyDescent="0.25">
      <c r="B2" s="28" t="s">
        <v>71</v>
      </c>
    </row>
    <row r="3" spans="2:34" ht="8.4499999999999993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2:34" ht="30" customHeight="1" x14ac:dyDescent="0.25">
      <c r="B4" s="8" t="s">
        <v>2</v>
      </c>
      <c r="C4" s="9" t="s">
        <v>3</v>
      </c>
      <c r="D4" s="37" t="s">
        <v>4</v>
      </c>
      <c r="E4" s="37"/>
      <c r="F4" s="37"/>
      <c r="G4" s="10" t="s">
        <v>5</v>
      </c>
      <c r="H4" s="37" t="s">
        <v>6</v>
      </c>
      <c r="I4" s="37"/>
      <c r="J4" s="37"/>
      <c r="K4" s="11"/>
      <c r="L4" s="37"/>
      <c r="M4" s="37"/>
      <c r="N4" s="12"/>
      <c r="O4" s="37" t="s">
        <v>7</v>
      </c>
      <c r="P4" s="37"/>
      <c r="Q4" s="37"/>
      <c r="R4" s="13"/>
      <c r="S4" s="37" t="s">
        <v>8</v>
      </c>
      <c r="T4" s="37"/>
      <c r="U4" s="37"/>
    </row>
    <row r="5" spans="2:34" ht="8.4499999999999993" customHeight="1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2:34" ht="15" customHeight="1" x14ac:dyDescent="0.25">
      <c r="B6" s="1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15">
        <v>2024</v>
      </c>
    </row>
    <row r="7" spans="2:34" ht="30" customHeight="1" x14ac:dyDescent="0.25">
      <c r="B7" s="15"/>
      <c r="C7" s="16" t="str">
        <f>TEXT(WEEKDAY(DATE($AH$6,8,1),1),"aaa")</f>
        <v>木</v>
      </c>
      <c r="D7" s="16" t="str">
        <f>TEXT(WEEKDAY(DATE($AH$6,8,2),1),"aaa")</f>
        <v>金</v>
      </c>
      <c r="E7" s="16" t="str">
        <f>TEXT(WEEKDAY(DATE($AH$6,8,3),1),"aaa")</f>
        <v>土</v>
      </c>
      <c r="F7" s="16" t="str">
        <f>TEXT(WEEKDAY(DATE($AH$6,8,4),1),"aaa")</f>
        <v>日</v>
      </c>
      <c r="G7" s="16" t="str">
        <f>TEXT(WEEKDAY(DATE($AH$6,8,5),1),"aaa")</f>
        <v>月</v>
      </c>
      <c r="H7" s="16" t="str">
        <f>TEXT(WEEKDAY(DATE($AH$6,8,6),1),"aaa")</f>
        <v>火</v>
      </c>
      <c r="I7" s="16" t="str">
        <f>TEXT(WEEKDAY(DATE($AH$6,8,7),1),"aaa")</f>
        <v>水</v>
      </c>
      <c r="J7" s="16" t="str">
        <f>TEXT(WEEKDAY(DATE($AH$6,8,8),1),"aaa")</f>
        <v>木</v>
      </c>
      <c r="K7" s="16" t="str">
        <f>TEXT(WEEKDAY(DATE($AH$6,8,9),1),"aaa")</f>
        <v>金</v>
      </c>
      <c r="L7" s="16" t="str">
        <f>TEXT(WEEKDAY(DATE($AH$6,8,10),1),"aaa")</f>
        <v>土</v>
      </c>
      <c r="M7" s="16" t="str">
        <f>TEXT(WEEKDAY(DATE($AH$6,8,11),1),"aaa")</f>
        <v>日</v>
      </c>
      <c r="N7" s="16" t="str">
        <f>TEXT(WEEKDAY(DATE($AH$6,8,12),1),"aaa")</f>
        <v>月</v>
      </c>
      <c r="O7" s="16" t="str">
        <f>TEXT(WEEKDAY(DATE($AH$6,8,13),1),"aaa")</f>
        <v>火</v>
      </c>
      <c r="P7" s="16" t="str">
        <f>TEXT(WEEKDAY(DATE($AH$6,8,14),1),"aaa")</f>
        <v>水</v>
      </c>
      <c r="Q7" s="16" t="str">
        <f>TEXT(WEEKDAY(DATE($AH$6,8,15),1),"aaa")</f>
        <v>木</v>
      </c>
      <c r="R7" s="16" t="str">
        <f>TEXT(WEEKDAY(DATE($AH$6,8,16),1),"aaa")</f>
        <v>金</v>
      </c>
      <c r="S7" s="16" t="str">
        <f>TEXT(WEEKDAY(DATE($AH$6,8,17),1),"aaa")</f>
        <v>土</v>
      </c>
      <c r="T7" s="16" t="str">
        <f>TEXT(WEEKDAY(DATE($AH$6,8,18),1),"aaa")</f>
        <v>日</v>
      </c>
      <c r="U7" s="16" t="str">
        <f>TEXT(WEEKDAY(DATE($AH$6,8,19),1),"aaa")</f>
        <v>月</v>
      </c>
      <c r="V7" s="16" t="str">
        <f>TEXT(WEEKDAY(DATE($AH$6,8,20),1),"aaa")</f>
        <v>火</v>
      </c>
      <c r="W7" s="16" t="str">
        <f>TEXT(WEEKDAY(DATE($AH$6,8,21),1),"aaa")</f>
        <v>水</v>
      </c>
      <c r="X7" s="16" t="str">
        <f>TEXT(WEEKDAY(DATE($AH$6,8,22),1),"aaa")</f>
        <v>木</v>
      </c>
      <c r="Y7" s="16" t="str">
        <f>TEXT(WEEKDAY(DATE($AH$6,8,23),1),"aaa")</f>
        <v>金</v>
      </c>
      <c r="Z7" s="16" t="str">
        <f>TEXT(WEEKDAY(DATE($AH$6,8,24),1),"aaa")</f>
        <v>土</v>
      </c>
      <c r="AA7" s="16" t="str">
        <f>TEXT(WEEKDAY(DATE($AH$6,8,25),1),"aaa")</f>
        <v>日</v>
      </c>
      <c r="AB7" s="16" t="str">
        <f>TEXT(WEEKDAY(DATE($AH$6,8,26),1),"aaa")</f>
        <v>月</v>
      </c>
      <c r="AC7" s="16" t="str">
        <f>TEXT(WEEKDAY(DATE($AH$6,8,27),1),"aaa")</f>
        <v>火</v>
      </c>
      <c r="AD7" s="16" t="str">
        <f>TEXT(WEEKDAY(DATE($AH$6,8,28),1),"aaa")</f>
        <v>水</v>
      </c>
      <c r="AE7" s="16" t="str">
        <f>TEXT(WEEKDAY(DATE($AH$6,8,29),1),"aaa")</f>
        <v>木</v>
      </c>
      <c r="AF7" s="16" t="str">
        <f>TEXT(WEEKDAY(DATE($AH$6,8,30),1),"aaa")</f>
        <v>金</v>
      </c>
      <c r="AG7" s="16" t="str">
        <f>TEXT(WEEKDAY(DATE($AH$6,8,31),1),"aaa")</f>
        <v>土</v>
      </c>
      <c r="AH7" s="15"/>
    </row>
    <row r="8" spans="2:34" ht="30" customHeight="1" x14ac:dyDescent="0.25">
      <c r="B8" s="17" t="s">
        <v>9</v>
      </c>
      <c r="C8" s="18" t="s">
        <v>10</v>
      </c>
      <c r="D8" s="18" t="s">
        <v>11</v>
      </c>
      <c r="E8" s="18" t="s">
        <v>12</v>
      </c>
      <c r="F8" s="18" t="s">
        <v>13</v>
      </c>
      <c r="G8" s="18" t="s">
        <v>14</v>
      </c>
      <c r="H8" s="18" t="s">
        <v>15</v>
      </c>
      <c r="I8" s="18" t="s">
        <v>16</v>
      </c>
      <c r="J8" s="18" t="s">
        <v>17</v>
      </c>
      <c r="K8" s="18" t="s">
        <v>18</v>
      </c>
      <c r="L8" s="18" t="s">
        <v>19</v>
      </c>
      <c r="M8" s="18" t="s">
        <v>20</v>
      </c>
      <c r="N8" s="18" t="s">
        <v>21</v>
      </c>
      <c r="O8" s="18" t="s">
        <v>22</v>
      </c>
      <c r="P8" s="18" t="s">
        <v>23</v>
      </c>
      <c r="Q8" s="18" t="s">
        <v>24</v>
      </c>
      <c r="R8" s="18" t="s">
        <v>25</v>
      </c>
      <c r="S8" s="18" t="s">
        <v>26</v>
      </c>
      <c r="T8" s="18" t="s">
        <v>27</v>
      </c>
      <c r="U8" s="18" t="s">
        <v>28</v>
      </c>
      <c r="V8" s="18" t="s">
        <v>29</v>
      </c>
      <c r="W8" s="18" t="s">
        <v>30</v>
      </c>
      <c r="X8" s="18" t="s">
        <v>31</v>
      </c>
      <c r="Y8" s="18" t="s">
        <v>32</v>
      </c>
      <c r="Z8" s="18" t="s">
        <v>33</v>
      </c>
      <c r="AA8" s="18" t="s">
        <v>34</v>
      </c>
      <c r="AB8" s="18" t="s">
        <v>35</v>
      </c>
      <c r="AC8" s="18" t="s">
        <v>36</v>
      </c>
      <c r="AD8" s="18" t="s">
        <v>37</v>
      </c>
      <c r="AE8" s="18" t="s">
        <v>38</v>
      </c>
      <c r="AF8" s="18" t="s">
        <v>39</v>
      </c>
      <c r="AG8" s="18" t="s">
        <v>64</v>
      </c>
      <c r="AH8" s="19" t="s">
        <v>41</v>
      </c>
    </row>
    <row r="9" spans="2:34" ht="30" customHeight="1" x14ac:dyDescent="0.25">
      <c r="B9" s="20" t="s">
        <v>42</v>
      </c>
      <c r="C9" s="18" t="s">
        <v>68</v>
      </c>
      <c r="D9" s="18" t="s">
        <v>68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0" t="s">
        <v>5</v>
      </c>
      <c r="Y9" s="18" t="s">
        <v>66</v>
      </c>
      <c r="Z9" s="18" t="s">
        <v>66</v>
      </c>
      <c r="AA9" s="18" t="s">
        <v>66</v>
      </c>
      <c r="AB9" s="18" t="s">
        <v>66</v>
      </c>
      <c r="AC9" s="18" t="s">
        <v>66</v>
      </c>
      <c r="AD9" s="18" t="s">
        <v>66</v>
      </c>
      <c r="AE9" s="18" t="s">
        <v>66</v>
      </c>
      <c r="AF9" s="18" t="s">
        <v>66</v>
      </c>
      <c r="AG9" s="18" t="s">
        <v>66</v>
      </c>
      <c r="AH9" s="27">
        <f>COUNTA('8月'!$C9:$AG9)</f>
        <v>12</v>
      </c>
    </row>
    <row r="10" spans="2:34" ht="30" customHeight="1" x14ac:dyDescent="0.25">
      <c r="B10" s="20" t="s">
        <v>43</v>
      </c>
      <c r="C10" s="18" t="s">
        <v>68</v>
      </c>
      <c r="D10" s="18" t="s">
        <v>68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0" t="s">
        <v>5</v>
      </c>
      <c r="Y10" s="18" t="s">
        <v>66</v>
      </c>
      <c r="Z10" s="18" t="s">
        <v>66</v>
      </c>
      <c r="AA10" s="18" t="s">
        <v>66</v>
      </c>
      <c r="AB10" s="18" t="s">
        <v>66</v>
      </c>
      <c r="AC10" s="18" t="s">
        <v>66</v>
      </c>
      <c r="AD10" s="18" t="s">
        <v>66</v>
      </c>
      <c r="AE10" s="18" t="s">
        <v>66</v>
      </c>
      <c r="AF10" s="18" t="s">
        <v>66</v>
      </c>
      <c r="AG10" s="18" t="s">
        <v>66</v>
      </c>
      <c r="AH10" s="27">
        <f>COUNTA('8月'!$C10:$AG10)</f>
        <v>12</v>
      </c>
    </row>
    <row r="11" spans="2:34" ht="30" customHeight="1" x14ac:dyDescent="0.25">
      <c r="B11" s="20" t="s">
        <v>44</v>
      </c>
      <c r="C11" s="18" t="s">
        <v>68</v>
      </c>
      <c r="D11" s="18" t="s">
        <v>68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0" t="s">
        <v>5</v>
      </c>
      <c r="Y11" s="18" t="s">
        <v>66</v>
      </c>
      <c r="Z11" s="18" t="s">
        <v>66</v>
      </c>
      <c r="AA11" s="18" t="s">
        <v>66</v>
      </c>
      <c r="AB11" s="18" t="s">
        <v>66</v>
      </c>
      <c r="AC11" s="18" t="s">
        <v>66</v>
      </c>
      <c r="AD11" s="18" t="s">
        <v>66</v>
      </c>
      <c r="AE11" s="18" t="s">
        <v>66</v>
      </c>
      <c r="AF11" s="18" t="s">
        <v>66</v>
      </c>
      <c r="AG11" s="18" t="s">
        <v>66</v>
      </c>
      <c r="AH11" s="27">
        <f>COUNTA('8月'!$C11:$AG11)</f>
        <v>12</v>
      </c>
    </row>
    <row r="12" spans="2:34" ht="30" customHeight="1" x14ac:dyDescent="0.25">
      <c r="B12" s="20" t="s">
        <v>45</v>
      </c>
      <c r="C12" s="18" t="s">
        <v>68</v>
      </c>
      <c r="D12" s="18" t="s">
        <v>68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0" t="s">
        <v>5</v>
      </c>
      <c r="Y12" s="18" t="s">
        <v>66</v>
      </c>
      <c r="Z12" s="18" t="s">
        <v>66</v>
      </c>
      <c r="AA12" s="18" t="s">
        <v>66</v>
      </c>
      <c r="AB12" s="18" t="s">
        <v>66</v>
      </c>
      <c r="AC12" s="18" t="s">
        <v>66</v>
      </c>
      <c r="AD12" s="18" t="s">
        <v>66</v>
      </c>
      <c r="AE12" s="18" t="s">
        <v>66</v>
      </c>
      <c r="AF12" s="18" t="s">
        <v>66</v>
      </c>
      <c r="AG12" s="18" t="s">
        <v>66</v>
      </c>
      <c r="AH12" s="27">
        <f>COUNTA('8月'!$C12:$AG12)</f>
        <v>12</v>
      </c>
    </row>
    <row r="13" spans="2:34" ht="30" customHeight="1" x14ac:dyDescent="0.25">
      <c r="B13" s="20" t="s">
        <v>46</v>
      </c>
      <c r="C13" s="18" t="s">
        <v>68</v>
      </c>
      <c r="D13" s="18" t="s">
        <v>68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0" t="s">
        <v>5</v>
      </c>
      <c r="Y13" s="18" t="s">
        <v>66</v>
      </c>
      <c r="Z13" s="18" t="s">
        <v>66</v>
      </c>
      <c r="AA13" s="18" t="s">
        <v>66</v>
      </c>
      <c r="AB13" s="18" t="s">
        <v>66</v>
      </c>
      <c r="AC13" s="18" t="s">
        <v>66</v>
      </c>
      <c r="AD13" s="18" t="s">
        <v>66</v>
      </c>
      <c r="AE13" s="18" t="s">
        <v>66</v>
      </c>
      <c r="AF13" s="18" t="s">
        <v>66</v>
      </c>
      <c r="AG13" s="18" t="s">
        <v>66</v>
      </c>
      <c r="AH13" s="27">
        <f>COUNTA('8月'!$C13:$AG13)</f>
        <v>12</v>
      </c>
    </row>
    <row r="14" spans="2:34" ht="30" customHeight="1" x14ac:dyDescent="0.25">
      <c r="B14" s="20" t="s">
        <v>47</v>
      </c>
      <c r="C14" s="18" t="s">
        <v>68</v>
      </c>
      <c r="D14" s="18" t="s">
        <v>68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0" t="s">
        <v>5</v>
      </c>
      <c r="Y14" s="18" t="s">
        <v>66</v>
      </c>
      <c r="Z14" s="18" t="s">
        <v>66</v>
      </c>
      <c r="AA14" s="18" t="s">
        <v>66</v>
      </c>
      <c r="AB14" s="18" t="s">
        <v>66</v>
      </c>
      <c r="AC14" s="18" t="s">
        <v>66</v>
      </c>
      <c r="AD14" s="18" t="s">
        <v>66</v>
      </c>
      <c r="AE14" s="18" t="s">
        <v>66</v>
      </c>
      <c r="AF14" s="18" t="s">
        <v>66</v>
      </c>
      <c r="AG14" s="18" t="s">
        <v>66</v>
      </c>
      <c r="AH14" s="27">
        <f>COUNTA('8月'!$C14:$AG14)</f>
        <v>12</v>
      </c>
    </row>
    <row r="15" spans="2:34" ht="30" customHeight="1" x14ac:dyDescent="0.25">
      <c r="B15" s="20" t="s">
        <v>48</v>
      </c>
      <c r="C15" s="18" t="s">
        <v>68</v>
      </c>
      <c r="D15" s="18" t="s">
        <v>68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0" t="s">
        <v>5</v>
      </c>
      <c r="Y15" s="18" t="s">
        <v>66</v>
      </c>
      <c r="Z15" s="18" t="s">
        <v>66</v>
      </c>
      <c r="AA15" s="18" t="s">
        <v>66</v>
      </c>
      <c r="AB15" s="18" t="s">
        <v>66</v>
      </c>
      <c r="AC15" s="18" t="s">
        <v>66</v>
      </c>
      <c r="AD15" s="18" t="s">
        <v>66</v>
      </c>
      <c r="AE15" s="18" t="s">
        <v>66</v>
      </c>
      <c r="AF15" s="18" t="s">
        <v>66</v>
      </c>
      <c r="AG15" s="18" t="s">
        <v>66</v>
      </c>
      <c r="AH15" s="27">
        <f>COUNTA('8月'!$C15:$AG15)</f>
        <v>12</v>
      </c>
    </row>
    <row r="16" spans="2:34" ht="30" customHeight="1" x14ac:dyDescent="0.25">
      <c r="B16" s="20" t="s">
        <v>49</v>
      </c>
      <c r="C16" s="18" t="s">
        <v>68</v>
      </c>
      <c r="D16" s="18" t="s">
        <v>68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0" t="s">
        <v>5</v>
      </c>
      <c r="Y16" s="18" t="s">
        <v>66</v>
      </c>
      <c r="Z16" s="18" t="s">
        <v>66</v>
      </c>
      <c r="AA16" s="18" t="s">
        <v>66</v>
      </c>
      <c r="AB16" s="18" t="s">
        <v>66</v>
      </c>
      <c r="AC16" s="18" t="s">
        <v>66</v>
      </c>
      <c r="AD16" s="18" t="s">
        <v>66</v>
      </c>
      <c r="AE16" s="18" t="s">
        <v>66</v>
      </c>
      <c r="AF16" s="18" t="s">
        <v>66</v>
      </c>
      <c r="AG16" s="18" t="s">
        <v>66</v>
      </c>
      <c r="AH16" s="27">
        <f>COUNTA('8月'!$C16:$AG16)</f>
        <v>12</v>
      </c>
    </row>
    <row r="17" spans="2:34" ht="30" customHeight="1" x14ac:dyDescent="0.25">
      <c r="B17" s="20" t="s">
        <v>50</v>
      </c>
      <c r="C17" s="18" t="s">
        <v>68</v>
      </c>
      <c r="D17" s="18" t="s">
        <v>68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0" t="s">
        <v>5</v>
      </c>
      <c r="Y17" s="18" t="s">
        <v>66</v>
      </c>
      <c r="Z17" s="18" t="s">
        <v>66</v>
      </c>
      <c r="AA17" s="18" t="s">
        <v>66</v>
      </c>
      <c r="AB17" s="18" t="s">
        <v>66</v>
      </c>
      <c r="AC17" s="18" t="s">
        <v>66</v>
      </c>
      <c r="AD17" s="18" t="s">
        <v>66</v>
      </c>
      <c r="AE17" s="18" t="s">
        <v>66</v>
      </c>
      <c r="AF17" s="18" t="s">
        <v>66</v>
      </c>
      <c r="AG17" s="18" t="s">
        <v>66</v>
      </c>
      <c r="AH17" s="27">
        <f>COUNTA('8月'!$C17:$AG17)</f>
        <v>12</v>
      </c>
    </row>
    <row r="18" spans="2:34" ht="30" customHeight="1" x14ac:dyDescent="0.25">
      <c r="B18" s="20" t="s">
        <v>51</v>
      </c>
      <c r="C18" s="18" t="s">
        <v>68</v>
      </c>
      <c r="D18" s="18" t="s">
        <v>68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0" t="s">
        <v>5</v>
      </c>
      <c r="Y18" s="18" t="s">
        <v>66</v>
      </c>
      <c r="Z18" s="18" t="s">
        <v>66</v>
      </c>
      <c r="AA18" s="18" t="s">
        <v>66</v>
      </c>
      <c r="AB18" s="18" t="s">
        <v>66</v>
      </c>
      <c r="AC18" s="18" t="s">
        <v>66</v>
      </c>
      <c r="AD18" s="18" t="s">
        <v>66</v>
      </c>
      <c r="AE18" s="18" t="s">
        <v>66</v>
      </c>
      <c r="AF18" s="18" t="s">
        <v>66</v>
      </c>
      <c r="AG18" s="18" t="s">
        <v>66</v>
      </c>
      <c r="AH18" s="27">
        <f>COUNTA('8月'!$C18:$AG18)</f>
        <v>12</v>
      </c>
    </row>
    <row r="19" spans="2:34" ht="30" customHeight="1" x14ac:dyDescent="0.25">
      <c r="B19" s="20" t="s">
        <v>52</v>
      </c>
      <c r="C19" s="18" t="s">
        <v>68</v>
      </c>
      <c r="D19" s="18" t="s">
        <v>68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0" t="s">
        <v>5</v>
      </c>
      <c r="Y19" s="18" t="s">
        <v>66</v>
      </c>
      <c r="Z19" s="18" t="s">
        <v>66</v>
      </c>
      <c r="AA19" s="18" t="s">
        <v>66</v>
      </c>
      <c r="AB19" s="18" t="s">
        <v>66</v>
      </c>
      <c r="AC19" s="18" t="s">
        <v>66</v>
      </c>
      <c r="AD19" s="18" t="s">
        <v>66</v>
      </c>
      <c r="AE19" s="18" t="s">
        <v>66</v>
      </c>
      <c r="AF19" s="18" t="s">
        <v>66</v>
      </c>
      <c r="AG19" s="18" t="s">
        <v>66</v>
      </c>
      <c r="AH19" s="27">
        <f>COUNTA('8月'!$C19:$AG19)</f>
        <v>12</v>
      </c>
    </row>
    <row r="20" spans="2:34" ht="30" customHeight="1" x14ac:dyDescent="0.25">
      <c r="B20" s="20" t="s">
        <v>53</v>
      </c>
      <c r="C20" s="18" t="s">
        <v>68</v>
      </c>
      <c r="D20" s="18" t="s">
        <v>68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0" t="s">
        <v>5</v>
      </c>
      <c r="Y20" s="18" t="s">
        <v>66</v>
      </c>
      <c r="Z20" s="18" t="s">
        <v>66</v>
      </c>
      <c r="AA20" s="18" t="s">
        <v>66</v>
      </c>
      <c r="AB20" s="18" t="s">
        <v>66</v>
      </c>
      <c r="AC20" s="18" t="s">
        <v>66</v>
      </c>
      <c r="AD20" s="18" t="s">
        <v>66</v>
      </c>
      <c r="AE20" s="18" t="s">
        <v>66</v>
      </c>
      <c r="AF20" s="18" t="s">
        <v>66</v>
      </c>
      <c r="AG20" s="18" t="s">
        <v>66</v>
      </c>
      <c r="AH20" s="27">
        <f>COUNTA('8月'!$C20:$AG20)</f>
        <v>12</v>
      </c>
    </row>
    <row r="21" spans="2:34" ht="30" customHeight="1" x14ac:dyDescent="0.25">
      <c r="B21" s="20" t="s">
        <v>54</v>
      </c>
      <c r="C21" s="18" t="s">
        <v>68</v>
      </c>
      <c r="D21" s="18" t="s">
        <v>68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0" t="s">
        <v>5</v>
      </c>
      <c r="Y21" s="18" t="s">
        <v>66</v>
      </c>
      <c r="Z21" s="18" t="s">
        <v>66</v>
      </c>
      <c r="AA21" s="18" t="s">
        <v>66</v>
      </c>
      <c r="AB21" s="18" t="s">
        <v>66</v>
      </c>
      <c r="AC21" s="18" t="s">
        <v>66</v>
      </c>
      <c r="AD21" s="18" t="s">
        <v>66</v>
      </c>
      <c r="AE21" s="18" t="s">
        <v>66</v>
      </c>
      <c r="AF21" s="18" t="s">
        <v>66</v>
      </c>
      <c r="AG21" s="18" t="s">
        <v>66</v>
      </c>
      <c r="AH21" s="27">
        <f>COUNTA('8月'!$C21:$AG21)</f>
        <v>12</v>
      </c>
    </row>
    <row r="22" spans="2:34" ht="30" customHeight="1" x14ac:dyDescent="0.25">
      <c r="B22" s="20" t="s">
        <v>55</v>
      </c>
      <c r="C22" s="18" t="s">
        <v>68</v>
      </c>
      <c r="D22" s="18" t="s">
        <v>68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0" t="s">
        <v>5</v>
      </c>
      <c r="Y22" s="18" t="s">
        <v>66</v>
      </c>
      <c r="Z22" s="18" t="s">
        <v>66</v>
      </c>
      <c r="AA22" s="18" t="s">
        <v>66</v>
      </c>
      <c r="AB22" s="18" t="s">
        <v>66</v>
      </c>
      <c r="AC22" s="18" t="s">
        <v>66</v>
      </c>
      <c r="AD22" s="18" t="s">
        <v>66</v>
      </c>
      <c r="AE22" s="18" t="s">
        <v>66</v>
      </c>
      <c r="AF22" s="18" t="s">
        <v>66</v>
      </c>
      <c r="AG22" s="18" t="s">
        <v>66</v>
      </c>
      <c r="AH22" s="27">
        <f>COUNTA('8月'!$C22:$AG22)</f>
        <v>12</v>
      </c>
    </row>
    <row r="23" spans="2:34" ht="30" customHeight="1" x14ac:dyDescent="0.25">
      <c r="B23" s="20" t="s">
        <v>56</v>
      </c>
      <c r="C23" s="18" t="s">
        <v>68</v>
      </c>
      <c r="D23" s="18" t="s">
        <v>68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0" t="s">
        <v>5</v>
      </c>
      <c r="Y23" s="18" t="s">
        <v>66</v>
      </c>
      <c r="Z23" s="18" t="s">
        <v>66</v>
      </c>
      <c r="AA23" s="18" t="s">
        <v>66</v>
      </c>
      <c r="AB23" s="18" t="s">
        <v>66</v>
      </c>
      <c r="AC23" s="18" t="s">
        <v>66</v>
      </c>
      <c r="AD23" s="18" t="s">
        <v>66</v>
      </c>
      <c r="AE23" s="18" t="s">
        <v>66</v>
      </c>
      <c r="AF23" s="18" t="s">
        <v>66</v>
      </c>
      <c r="AG23" s="18" t="s">
        <v>66</v>
      </c>
      <c r="AH23" s="27">
        <f>COUNTA('8月'!$C23:$AG23)</f>
        <v>12</v>
      </c>
    </row>
    <row r="24" spans="2:34" ht="30" customHeight="1" x14ac:dyDescent="0.25">
      <c r="B24" s="20" t="s">
        <v>57</v>
      </c>
      <c r="C24" s="18" t="s">
        <v>68</v>
      </c>
      <c r="D24" s="18" t="s">
        <v>68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0" t="s">
        <v>5</v>
      </c>
      <c r="Y24" s="18" t="s">
        <v>66</v>
      </c>
      <c r="Z24" s="18" t="s">
        <v>66</v>
      </c>
      <c r="AA24" s="18" t="s">
        <v>66</v>
      </c>
      <c r="AB24" s="18" t="s">
        <v>66</v>
      </c>
      <c r="AC24" s="18" t="s">
        <v>66</v>
      </c>
      <c r="AD24" s="18" t="s">
        <v>66</v>
      </c>
      <c r="AE24" s="18" t="s">
        <v>66</v>
      </c>
      <c r="AF24" s="18" t="s">
        <v>66</v>
      </c>
      <c r="AG24" s="18" t="s">
        <v>66</v>
      </c>
      <c r="AH24" s="27">
        <f>COUNTA('8月'!$C24:$AG24)</f>
        <v>12</v>
      </c>
    </row>
    <row r="25" spans="2:34" ht="30" customHeight="1" x14ac:dyDescent="0.25">
      <c r="B25" s="20" t="s">
        <v>58</v>
      </c>
      <c r="C25" s="18" t="s">
        <v>68</v>
      </c>
      <c r="D25" s="18" t="s">
        <v>68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0" t="s">
        <v>5</v>
      </c>
      <c r="Y25" s="18" t="s">
        <v>66</v>
      </c>
      <c r="Z25" s="18" t="s">
        <v>66</v>
      </c>
      <c r="AA25" s="18" t="s">
        <v>66</v>
      </c>
      <c r="AB25" s="18" t="s">
        <v>66</v>
      </c>
      <c r="AC25" s="18" t="s">
        <v>66</v>
      </c>
      <c r="AD25" s="18" t="s">
        <v>66</v>
      </c>
      <c r="AE25" s="18" t="s">
        <v>66</v>
      </c>
      <c r="AF25" s="18" t="s">
        <v>66</v>
      </c>
      <c r="AG25" s="18" t="s">
        <v>66</v>
      </c>
      <c r="AH25" s="27">
        <f>COUNTA('8月'!$C25:$AG25)</f>
        <v>12</v>
      </c>
    </row>
    <row r="26" spans="2:34" ht="30" customHeight="1" x14ac:dyDescent="0.25">
      <c r="B26" s="20" t="s">
        <v>59</v>
      </c>
      <c r="C26" s="18" t="s">
        <v>68</v>
      </c>
      <c r="D26" s="18" t="s">
        <v>68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0" t="s">
        <v>5</v>
      </c>
      <c r="Y26" s="18" t="s">
        <v>66</v>
      </c>
      <c r="Z26" s="18" t="s">
        <v>66</v>
      </c>
      <c r="AA26" s="18" t="s">
        <v>66</v>
      </c>
      <c r="AB26" s="18" t="s">
        <v>66</v>
      </c>
      <c r="AC26" s="18" t="s">
        <v>66</v>
      </c>
      <c r="AD26" s="18" t="s">
        <v>66</v>
      </c>
      <c r="AE26" s="18" t="s">
        <v>66</v>
      </c>
      <c r="AF26" s="18" t="s">
        <v>66</v>
      </c>
      <c r="AG26" s="18" t="s">
        <v>66</v>
      </c>
      <c r="AH26" s="27">
        <f>COUNTA('8月'!$C26:$AG26)</f>
        <v>12</v>
      </c>
    </row>
    <row r="27" spans="2:34" ht="30" customHeight="1" x14ac:dyDescent="0.25">
      <c r="B27" s="20" t="s">
        <v>60</v>
      </c>
      <c r="C27" s="18" t="s">
        <v>68</v>
      </c>
      <c r="D27" s="18" t="s">
        <v>68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0" t="s">
        <v>5</v>
      </c>
      <c r="Y27" s="18" t="s">
        <v>66</v>
      </c>
      <c r="Z27" s="18" t="s">
        <v>66</v>
      </c>
      <c r="AA27" s="18" t="s">
        <v>66</v>
      </c>
      <c r="AB27" s="18" t="s">
        <v>66</v>
      </c>
      <c r="AC27" s="18" t="s">
        <v>66</v>
      </c>
      <c r="AD27" s="18" t="s">
        <v>66</v>
      </c>
      <c r="AE27" s="18" t="s">
        <v>66</v>
      </c>
      <c r="AF27" s="18" t="s">
        <v>66</v>
      </c>
      <c r="AG27" s="18" t="s">
        <v>66</v>
      </c>
      <c r="AH27" s="27">
        <f>COUNTA('8月'!$C27:$AG27)</f>
        <v>12</v>
      </c>
    </row>
    <row r="28" spans="2:34" ht="30" customHeight="1" x14ac:dyDescent="0.25">
      <c r="B28" s="20" t="s">
        <v>61</v>
      </c>
      <c r="C28" s="18" t="s">
        <v>68</v>
      </c>
      <c r="D28" s="18" t="s">
        <v>68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0" t="s">
        <v>5</v>
      </c>
      <c r="Y28" s="18" t="s">
        <v>66</v>
      </c>
      <c r="Z28" s="18" t="s">
        <v>66</v>
      </c>
      <c r="AA28" s="18" t="s">
        <v>66</v>
      </c>
      <c r="AB28" s="18" t="s">
        <v>66</v>
      </c>
      <c r="AC28" s="18" t="s">
        <v>66</v>
      </c>
      <c r="AD28" s="18" t="s">
        <v>66</v>
      </c>
      <c r="AE28" s="18" t="s">
        <v>66</v>
      </c>
      <c r="AF28" s="18" t="s">
        <v>66</v>
      </c>
      <c r="AG28" s="18" t="s">
        <v>66</v>
      </c>
      <c r="AH28" s="27">
        <f>COUNTA('8月'!$C28:$AG28)</f>
        <v>12</v>
      </c>
    </row>
    <row r="29" spans="2:34" ht="30" customHeight="1" x14ac:dyDescent="0.25">
      <c r="B29" s="20" t="s">
        <v>62</v>
      </c>
      <c r="C29" s="18" t="s">
        <v>68</v>
      </c>
      <c r="D29" s="18" t="s">
        <v>68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0" t="s">
        <v>5</v>
      </c>
      <c r="Y29" s="18" t="s">
        <v>66</v>
      </c>
      <c r="Z29" s="18" t="s">
        <v>66</v>
      </c>
      <c r="AA29" s="18" t="s">
        <v>66</v>
      </c>
      <c r="AB29" s="18" t="s">
        <v>66</v>
      </c>
      <c r="AC29" s="18" t="s">
        <v>66</v>
      </c>
      <c r="AD29" s="18" t="s">
        <v>66</v>
      </c>
      <c r="AE29" s="18" t="s">
        <v>66</v>
      </c>
      <c r="AF29" s="18" t="s">
        <v>66</v>
      </c>
      <c r="AG29" s="18" t="s">
        <v>66</v>
      </c>
      <c r="AH29" s="27">
        <f>COUNTA('8月'!$C29:$AG29)</f>
        <v>12</v>
      </c>
    </row>
    <row r="30" spans="2:34" ht="30" customHeight="1" x14ac:dyDescent="0.25">
      <c r="B30" s="21" t="str">
        <f>MonthName&amp;"集計"</f>
        <v>8月集計</v>
      </c>
      <c r="C30" s="22">
        <f>SUBTOTAL(103,月8[1])</f>
        <v>21</v>
      </c>
      <c r="D30" s="22">
        <f>SUBTOTAL(103,月8[2])</f>
        <v>21</v>
      </c>
      <c r="E30" s="22">
        <f>SUBTOTAL(103,月8[3])</f>
        <v>0</v>
      </c>
      <c r="F30" s="22">
        <f>SUBTOTAL(103,月8[4])</f>
        <v>0</v>
      </c>
      <c r="G30" s="22">
        <f>SUBTOTAL(103,月8[5])</f>
        <v>0</v>
      </c>
      <c r="H30" s="22">
        <f>SUBTOTAL(103,月8[6])</f>
        <v>0</v>
      </c>
      <c r="I30" s="22">
        <f>SUBTOTAL(103,月8[7])</f>
        <v>0</v>
      </c>
      <c r="J30" s="22">
        <f>SUBTOTAL(103,月8[8])</f>
        <v>0</v>
      </c>
      <c r="K30" s="22">
        <f>SUBTOTAL(103,月8[9])</f>
        <v>0</v>
      </c>
      <c r="L30" s="22">
        <f>SUBTOTAL(103,月8[10])</f>
        <v>0</v>
      </c>
      <c r="M30" s="22">
        <f>SUBTOTAL(103,月8[11])</f>
        <v>0</v>
      </c>
      <c r="N30" s="22">
        <f>SUBTOTAL(103,月8[12])</f>
        <v>0</v>
      </c>
      <c r="O30" s="22">
        <f>SUBTOTAL(103,月8[13])</f>
        <v>0</v>
      </c>
      <c r="P30" s="22">
        <f>SUBTOTAL(103,月8[14])</f>
        <v>0</v>
      </c>
      <c r="Q30" s="22">
        <f>SUBTOTAL(103,月8[15])</f>
        <v>0</v>
      </c>
      <c r="R30" s="22">
        <f>SUBTOTAL(103,月8[16])</f>
        <v>0</v>
      </c>
      <c r="S30" s="22">
        <f>SUBTOTAL(103,月8[17])</f>
        <v>0</v>
      </c>
      <c r="T30" s="22">
        <f>SUBTOTAL(103,月8[18])</f>
        <v>0</v>
      </c>
      <c r="U30" s="22">
        <f>SUBTOTAL(103,月8[19])</f>
        <v>0</v>
      </c>
      <c r="V30" s="22">
        <f>SUBTOTAL(103,月8[20])</f>
        <v>0</v>
      </c>
      <c r="W30" s="22">
        <f>SUBTOTAL(103,月8[21])</f>
        <v>0</v>
      </c>
      <c r="X30" s="22">
        <f>SUBTOTAL(103,月8[22])</f>
        <v>21</v>
      </c>
      <c r="Y30" s="22">
        <f>SUBTOTAL(103,月8[23])</f>
        <v>21</v>
      </c>
      <c r="Z30" s="22">
        <f>SUBTOTAL(103,月8[24])</f>
        <v>21</v>
      </c>
      <c r="AA30" s="22">
        <f>SUBTOTAL(103,月8[25])</f>
        <v>21</v>
      </c>
      <c r="AB30" s="22">
        <f>SUBTOTAL(103,月8[26])</f>
        <v>21</v>
      </c>
      <c r="AC30" s="22">
        <f>SUBTOTAL(103,月8[27])</f>
        <v>21</v>
      </c>
      <c r="AD30" s="22">
        <f>SUBTOTAL(103,月8[28])</f>
        <v>21</v>
      </c>
      <c r="AE30" s="22">
        <f>SUBTOTAL(103,月8[29])</f>
        <v>21</v>
      </c>
      <c r="AF30" s="22">
        <f>SUBTOTAL(109,月8[30])</f>
        <v>0</v>
      </c>
      <c r="AG30" s="22">
        <f>SUBTOTAL(109,月8[31])</f>
        <v>0</v>
      </c>
      <c r="AH30" s="22">
        <f>SUBTOTAL(109,月8[合計日数])</f>
        <v>252</v>
      </c>
    </row>
  </sheetData>
  <mergeCells count="6">
    <mergeCell ref="C6:AG6"/>
    <mergeCell ref="D4:F4"/>
    <mergeCell ref="H4:J4"/>
    <mergeCell ref="L4:M4"/>
    <mergeCell ref="O4:Q4"/>
    <mergeCell ref="S4:U4"/>
  </mergeCells>
  <phoneticPr fontId="10"/>
  <conditionalFormatting sqref="C9:W29 Y9:AG29">
    <cfRule type="expression" priority="1" stopIfTrue="1">
      <formula>C9=""</formula>
    </cfRule>
    <cfRule type="expression" dxfId="636" priority="2" stopIfTrue="1">
      <formula>C9=KeyCustom2</formula>
    </cfRule>
    <cfRule type="expression" dxfId="635" priority="3" stopIfTrue="1">
      <formula>C9=KeyCustom1</formula>
    </cfRule>
    <cfRule type="expression" dxfId="634" priority="4" stopIfTrue="1">
      <formula>C9=KeySick</formula>
    </cfRule>
    <cfRule type="expression" dxfId="633" priority="5" stopIfTrue="1">
      <formula>C9=KeyPersonal</formula>
    </cfRule>
    <cfRule type="expression" dxfId="632" priority="6" stopIfTrue="1">
      <formula>C9=KeyVacation</formula>
    </cfRule>
  </conditionalFormatting>
  <conditionalFormatting sqref="AH9:AH29">
    <cfRule type="dataBar" priority="7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{7D60E591-664D-4A6B-96B0-C3EB2233E610}</x14:id>
        </ext>
      </extLst>
    </cfRule>
  </conditionalFormatting>
  <dataValidations xWindow="604" yWindow="622" count="15">
    <dataValidation allowBlank="1" showInputMessage="1" showErrorMessage="1" prompt="この行の曜日は、AH4 の年に従い当月に応じて自動的に更新されます。月の各日付は、従業員の欠勤と欠勤の種類を記録するための列です" sqref="C7" xr:uid="{C31066D8-39EA-EB48-A883-D56040D3EA81}"/>
    <dataValidation allowBlank="1" showInputMessage="1" showErrorMessage="1" prompt="1 月のワークシートに入力した年に基づいて自動的に更新される年" sqref="AH6" xr:uid="{4F3A1A67-5AD0-224A-B9EB-2AA94773859B}"/>
    <dataValidation allowBlank="1" showInputMessage="1" showErrorMessage="1" prompt="この列で、従業員の今月の欠勤日数の合計を自動的に計算します" sqref="AH8" xr:uid="{AC80500B-13F9-964F-8855-BCABB1C8AF13}"/>
    <dataValidation allowBlank="1" showInputMessage="1" showErrorMessage="1" prompt="このワークシートでは 8 月の欠勤を管理します" sqref="A1" xr:uid="{00000000-0002-0000-0700-000003000000}"/>
    <dataValidation errorStyle="warning" allowBlank="1" showInputMessage="1" showErrorMessage="1" error="リストから名前を選択します。[キャンセル] を選択し、Alt キーを押しながら下方向キーを押してから、Enter キーを押して名前を選択します" prompt="従業員名ワークシートに従業員の名前を入力し、この列のリストから名前を選びます。Alt キーを押しながら下矢印キーを押して、Enter キーを押して名前を選択します" sqref="B8" xr:uid="{3B37E336-5BFF-874C-B045-F359DA78F99B}"/>
    <dataValidation allowBlank="1" showInputMessage="1" showErrorMessage="1" prompt="自動的に更新されるタイトルが、このセルの内容です。タイトルを変更するには、1 月のワークシートの B1 を更新します" sqref="B2" xr:uid="{00000000-0002-0000-0700-000005000000}"/>
    <dataValidation allowBlank="1" showErrorMessage="1" prompt="文字 &quot;V&quot; は休暇のための欠勤を表します" sqref="C4" xr:uid="{F48C7677-CB94-014F-B8C8-88FB8A294CFF}"/>
    <dataValidation allowBlank="1" showErrorMessage="1" prompt="文字 &quot;P&quot; は私用による欠勤を表します" sqref="X9:X29 G4" xr:uid="{63B459E7-42D5-4B48-B692-D0F49341AB9B}"/>
    <dataValidation allowBlank="1" showErrorMessage="1" prompt="文字 &quot;S&quot; は病欠を表します" sqref="K4" xr:uid="{037577DF-4C4B-BA4C-A23D-EB4A1705B78B}"/>
    <dataValidation allowBlank="1" showErrorMessage="1" prompt="右側に文字を入力してラベルをカスタマイズし、別のキー項目を追加します" sqref="R4 N4" xr:uid="{ADD73E45-E7E5-5E43-8099-AF7C06C25726}"/>
    <dataValidation allowBlank="1" showInputMessage="1" showErrorMessage="1" prompt="左側にカスタム キーを表すラベルを入力します" sqref="O4:Q4 S4:U4" xr:uid="{FB014BD1-5D10-9342-967F-5A90B982AACD}"/>
    <dataValidation allowBlank="1" showInputMessage="1" showErrorMessage="1" prompt="このセルには、この欠勤管理の月の名前が入ります。テーブルの最後のセルには、この月の欠勤日数の合計が表示されます。テーブルの列 B で従業員名を選択します" sqref="B2" xr:uid="{00000000-0002-0000-0700-00000C000000}"/>
    <dataValidation allowBlank="1" showInputMessage="1" showErrorMessage="1" prompt="この行の月の日付は、自動的に生成されます。従業員の欠勤と欠勤の種類を月の各日付の各列に入力します。空白は欠勤でないことを示します" sqref="C8" xr:uid="{ACF8EA0E-6010-5D46-9524-6055BFC9D4A3}"/>
    <dataValidation allowBlank="1" showInputMessage="1" showErrorMessage="1" prompt="この行には、テーブルで使用するキーが定義されています。セル C4 は休暇、G4 は私用、K4 は病欠です。セル N4 と R4 はカスタマイズ可能です" sqref="B4" xr:uid="{2AD8EE52-D84F-4685-9E2E-4F8D1A731125}"/>
    <dataValidation allowBlank="1" showInputMessage="1" showErrorMessage="1" prompt="このセルには、ワークシートのタイトルが入ります。" sqref="B1" xr:uid="{EFF58754-2966-4F19-9950-34F5846E1496}"/>
  </dataValidations>
  <pageMargins left="0.7" right="0.7" top="0.75" bottom="0.75" header="0.3" footer="0.3"/>
  <pageSetup paperSize="9" fitToHeight="0" orientation="portrait" verticalDpi="4294967293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60E591-664D-4A6B-96B0-C3EB2233E610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AH9:AH29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604" yWindow="622" count="1">
        <x14:dataValidation type="list" allowBlank="1" showInputMessage="1" showErrorMessage="1" xr:uid="{D7B6857F-046C-4561-822B-9435952A9164}">
          <x14:formula1>
            <xm:f>従業員名!$B$4:$B$35</xm:f>
          </x14:formula1>
          <xm:sqref>B9:B29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/>
  </sheetPr>
  <dimension ref="B1:AH30"/>
  <sheetViews>
    <sheetView showGridLines="0" topLeftCell="A9" zoomScaleNormal="100" workbookViewId="0">
      <selection activeCell="S17" sqref="S17"/>
    </sheetView>
  </sheetViews>
  <sheetFormatPr defaultColWidth="8.77734375" defaultRowHeight="30" customHeight="1" x14ac:dyDescent="0.25"/>
  <cols>
    <col min="1" max="1" width="2.88671875" customWidth="1"/>
    <col min="2" max="2" width="25.77734375" customWidth="1"/>
    <col min="3" max="33" width="4.77734375" customWidth="1"/>
    <col min="34" max="34" width="13.44140625" customWidth="1"/>
    <col min="35" max="35" width="2.88671875" customWidth="1"/>
  </cols>
  <sheetData>
    <row r="1" spans="2:34" ht="26.45" customHeight="1" x14ac:dyDescent="0.35">
      <c r="B1" s="2" t="s">
        <v>0</v>
      </c>
    </row>
    <row r="2" spans="2:34" ht="48.6" customHeight="1" x14ac:dyDescent="0.25">
      <c r="B2" s="28" t="s">
        <v>72</v>
      </c>
    </row>
    <row r="3" spans="2:34" ht="8.4499999999999993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2:34" ht="30" customHeight="1" x14ac:dyDescent="0.25">
      <c r="B4" s="8" t="s">
        <v>2</v>
      </c>
      <c r="C4" s="9" t="s">
        <v>3</v>
      </c>
      <c r="D4" s="37" t="s">
        <v>4</v>
      </c>
      <c r="E4" s="37"/>
      <c r="F4" s="37"/>
      <c r="G4" s="10" t="s">
        <v>5</v>
      </c>
      <c r="H4" s="37" t="s">
        <v>6</v>
      </c>
      <c r="I4" s="37"/>
      <c r="J4" s="37"/>
      <c r="K4" s="11"/>
      <c r="L4" s="37"/>
      <c r="M4" s="37"/>
      <c r="N4" s="12"/>
      <c r="O4" s="37" t="s">
        <v>7</v>
      </c>
      <c r="P4" s="37"/>
      <c r="Q4" s="37"/>
      <c r="R4" s="13"/>
      <c r="S4" s="37" t="s">
        <v>8</v>
      </c>
      <c r="T4" s="37"/>
      <c r="U4" s="37"/>
    </row>
    <row r="5" spans="2:34" ht="8.4499999999999993" customHeight="1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2:34" ht="15" customHeight="1" x14ac:dyDescent="0.25">
      <c r="B6" s="1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15">
        <v>2024</v>
      </c>
    </row>
    <row r="7" spans="2:34" ht="30" customHeight="1" x14ac:dyDescent="0.25">
      <c r="B7" s="15"/>
      <c r="C7" s="16" t="str">
        <f>TEXT(WEEKDAY(DATE($AH$6,9,1),1),"aaa")</f>
        <v>日</v>
      </c>
      <c r="D7" s="16" t="str">
        <f>TEXT(WEEKDAY(DATE($AH$6,9,2),1),"aaa")</f>
        <v>月</v>
      </c>
      <c r="E7" s="16" t="str">
        <f>TEXT(WEEKDAY(DATE($AH$6,9,3),1),"aaa")</f>
        <v>火</v>
      </c>
      <c r="F7" s="16" t="str">
        <f>TEXT(WEEKDAY(DATE($AH$6,9,4),1),"aaa")</f>
        <v>水</v>
      </c>
      <c r="G7" s="16" t="str">
        <f>TEXT(WEEKDAY(DATE($AH$6,9,5),1),"aaa")</f>
        <v>木</v>
      </c>
      <c r="H7" s="16" t="str">
        <f>TEXT(WEEKDAY(DATE($AH$6,9,6),1),"aaa")</f>
        <v>金</v>
      </c>
      <c r="I7" s="16" t="str">
        <f>TEXT(WEEKDAY(DATE($AH$6,9,7),1),"aaa")</f>
        <v>土</v>
      </c>
      <c r="J7" s="16" t="str">
        <f>TEXT(WEEKDAY(DATE($AH$6,9,8),1),"aaa")</f>
        <v>日</v>
      </c>
      <c r="K7" s="16" t="str">
        <f>TEXT(WEEKDAY(DATE($AH$6,9,9),1),"aaa")</f>
        <v>月</v>
      </c>
      <c r="L7" s="16" t="str">
        <f>TEXT(WEEKDAY(DATE($AH$6,9,10),1),"aaa")</f>
        <v>火</v>
      </c>
      <c r="M7" s="16" t="str">
        <f>TEXT(WEEKDAY(DATE($AH$6,9,11),1),"aaa")</f>
        <v>水</v>
      </c>
      <c r="N7" s="16" t="str">
        <f>TEXT(WEEKDAY(DATE($AH$6,9,12),1),"aaa")</f>
        <v>木</v>
      </c>
      <c r="O7" s="16" t="str">
        <f>TEXT(WEEKDAY(DATE($AH$6,9,13),1),"aaa")</f>
        <v>金</v>
      </c>
      <c r="P7" s="16" t="str">
        <f>TEXT(WEEKDAY(DATE($AH$6,9,14),1),"aaa")</f>
        <v>土</v>
      </c>
      <c r="Q7" s="16" t="str">
        <f>TEXT(WEEKDAY(DATE($AH$6,9,15),1),"aaa")</f>
        <v>日</v>
      </c>
      <c r="R7" s="16" t="str">
        <f>TEXT(WEEKDAY(DATE($AH$6,9,16),1),"aaa")</f>
        <v>月</v>
      </c>
      <c r="S7" s="16" t="str">
        <f>TEXT(WEEKDAY(DATE($AH$6,9,17),1),"aaa")</f>
        <v>火</v>
      </c>
      <c r="T7" s="16" t="str">
        <f>TEXT(WEEKDAY(DATE($AH$6,9,18),1),"aaa")</f>
        <v>水</v>
      </c>
      <c r="U7" s="16" t="str">
        <f>TEXT(WEEKDAY(DATE($AH$6,9,19),1),"aaa")</f>
        <v>木</v>
      </c>
      <c r="V7" s="16" t="str">
        <f>TEXT(WEEKDAY(DATE($AH$6,9,20),1),"aaa")</f>
        <v>金</v>
      </c>
      <c r="W7" s="16" t="str">
        <f>TEXT(WEEKDAY(DATE($AH$6,9,21),1),"aaa")</f>
        <v>土</v>
      </c>
      <c r="X7" s="16" t="str">
        <f>TEXT(WEEKDAY(DATE($AH$6,9,22),1),"aaa")</f>
        <v>日</v>
      </c>
      <c r="Y7" s="16" t="str">
        <f>TEXT(WEEKDAY(DATE($AH$6,9,23),1),"aaa")</f>
        <v>月</v>
      </c>
      <c r="Z7" s="16" t="str">
        <f>TEXT(WEEKDAY(DATE($AH$6,9,24),1),"aaa")</f>
        <v>火</v>
      </c>
      <c r="AA7" s="16" t="str">
        <f>TEXT(WEEKDAY(DATE($AH$6,9,25),1),"aaa")</f>
        <v>水</v>
      </c>
      <c r="AB7" s="16" t="str">
        <f>TEXT(WEEKDAY(DATE($AH$6,9,26),1),"aaa")</f>
        <v>木</v>
      </c>
      <c r="AC7" s="16" t="str">
        <f>TEXT(WEEKDAY(DATE($AH$6,9,27),1),"aaa")</f>
        <v>金</v>
      </c>
      <c r="AD7" s="16" t="str">
        <f>TEXT(WEEKDAY(DATE($AH$6,9,28),1),"aaa")</f>
        <v>土</v>
      </c>
      <c r="AE7" s="16" t="str">
        <f>TEXT(WEEKDAY(DATE($AH$6,9,29),1),"aaa")</f>
        <v>日</v>
      </c>
      <c r="AF7" s="16" t="str">
        <f>TEXT(WEEKDAY(DATE($AH$6,9,30),1),"aaa")</f>
        <v>月</v>
      </c>
      <c r="AG7" s="16"/>
      <c r="AH7" s="15"/>
    </row>
    <row r="8" spans="2:34" ht="30" customHeight="1" x14ac:dyDescent="0.25">
      <c r="B8" s="17" t="s">
        <v>9</v>
      </c>
      <c r="C8" s="18" t="s">
        <v>10</v>
      </c>
      <c r="D8" s="18" t="s">
        <v>11</v>
      </c>
      <c r="E8" s="18" t="s">
        <v>12</v>
      </c>
      <c r="F8" s="18" t="s">
        <v>13</v>
      </c>
      <c r="G8" s="18" t="s">
        <v>14</v>
      </c>
      <c r="H8" s="18" t="s">
        <v>15</v>
      </c>
      <c r="I8" s="18" t="s">
        <v>16</v>
      </c>
      <c r="J8" s="18" t="s">
        <v>17</v>
      </c>
      <c r="K8" s="18" t="s">
        <v>18</v>
      </c>
      <c r="L8" s="18" t="s">
        <v>19</v>
      </c>
      <c r="M8" s="18" t="s">
        <v>20</v>
      </c>
      <c r="N8" s="18" t="s">
        <v>21</v>
      </c>
      <c r="O8" s="18" t="s">
        <v>22</v>
      </c>
      <c r="P8" s="18" t="s">
        <v>23</v>
      </c>
      <c r="Q8" s="18" t="s">
        <v>24</v>
      </c>
      <c r="R8" s="18" t="s">
        <v>25</v>
      </c>
      <c r="S8" s="18" t="s">
        <v>26</v>
      </c>
      <c r="T8" s="18" t="s">
        <v>27</v>
      </c>
      <c r="U8" s="18" t="s">
        <v>28</v>
      </c>
      <c r="V8" s="18" t="s">
        <v>29</v>
      </c>
      <c r="W8" s="18" t="s">
        <v>30</v>
      </c>
      <c r="X8" s="18" t="s">
        <v>31</v>
      </c>
      <c r="Y8" s="18" t="s">
        <v>32</v>
      </c>
      <c r="Z8" s="18" t="s">
        <v>33</v>
      </c>
      <c r="AA8" s="18" t="s">
        <v>34</v>
      </c>
      <c r="AB8" s="18" t="s">
        <v>35</v>
      </c>
      <c r="AC8" s="18" t="s">
        <v>36</v>
      </c>
      <c r="AD8" s="18" t="s">
        <v>37</v>
      </c>
      <c r="AE8" s="18" t="s">
        <v>38</v>
      </c>
      <c r="AF8" s="18" t="s">
        <v>39</v>
      </c>
      <c r="AG8" s="18" t="s">
        <v>40</v>
      </c>
      <c r="AH8" s="19" t="s">
        <v>41</v>
      </c>
    </row>
    <row r="9" spans="2:34" ht="30" customHeight="1" x14ac:dyDescent="0.25">
      <c r="B9" s="20" t="s">
        <v>42</v>
      </c>
      <c r="C9" s="18" t="s">
        <v>66</v>
      </c>
      <c r="D9" s="18" t="s">
        <v>66</v>
      </c>
      <c r="E9" s="18" t="s">
        <v>66</v>
      </c>
      <c r="F9" s="18" t="s">
        <v>66</v>
      </c>
      <c r="G9" s="10" t="s">
        <v>5</v>
      </c>
      <c r="H9" s="18" t="s">
        <v>66</v>
      </c>
      <c r="I9" s="18" t="s">
        <v>66</v>
      </c>
      <c r="J9" s="18" t="s">
        <v>66</v>
      </c>
      <c r="K9" s="18" t="s">
        <v>66</v>
      </c>
      <c r="L9" s="18" t="s">
        <v>66</v>
      </c>
      <c r="M9" s="18" t="s">
        <v>66</v>
      </c>
      <c r="N9" s="18" t="s">
        <v>66</v>
      </c>
      <c r="O9" s="18" t="s">
        <v>66</v>
      </c>
      <c r="P9" s="18" t="s">
        <v>66</v>
      </c>
      <c r="Q9" s="18" t="s">
        <v>66</v>
      </c>
      <c r="R9" s="18" t="s">
        <v>66</v>
      </c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27">
        <f>COUNTA('9月'!$C9:$AG9)</f>
        <v>16</v>
      </c>
    </row>
    <row r="10" spans="2:34" ht="30" customHeight="1" x14ac:dyDescent="0.25">
      <c r="B10" s="20" t="s">
        <v>43</v>
      </c>
      <c r="C10" s="18" t="s">
        <v>66</v>
      </c>
      <c r="D10" s="18" t="s">
        <v>66</v>
      </c>
      <c r="E10" s="18" t="s">
        <v>66</v>
      </c>
      <c r="F10" s="18" t="s">
        <v>66</v>
      </c>
      <c r="G10" s="10" t="s">
        <v>5</v>
      </c>
      <c r="H10" s="18" t="s">
        <v>66</v>
      </c>
      <c r="I10" s="18" t="s">
        <v>66</v>
      </c>
      <c r="J10" s="18" t="s">
        <v>66</v>
      </c>
      <c r="K10" s="18" t="s">
        <v>66</v>
      </c>
      <c r="L10" s="18" t="s">
        <v>66</v>
      </c>
      <c r="M10" s="18" t="s">
        <v>66</v>
      </c>
      <c r="N10" s="18" t="s">
        <v>66</v>
      </c>
      <c r="O10" s="18" t="s">
        <v>66</v>
      </c>
      <c r="P10" s="18" t="s">
        <v>66</v>
      </c>
      <c r="Q10" s="18" t="s">
        <v>66</v>
      </c>
      <c r="R10" s="18" t="s">
        <v>66</v>
      </c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27">
        <f>COUNTA('9月'!$C10:$AG10)</f>
        <v>16</v>
      </c>
    </row>
    <row r="11" spans="2:34" ht="30" customHeight="1" x14ac:dyDescent="0.25">
      <c r="B11" s="20" t="s">
        <v>44</v>
      </c>
      <c r="C11" s="18" t="s">
        <v>66</v>
      </c>
      <c r="D11" s="18" t="s">
        <v>66</v>
      </c>
      <c r="E11" s="18" t="s">
        <v>66</v>
      </c>
      <c r="F11" s="18" t="s">
        <v>66</v>
      </c>
      <c r="G11" s="10" t="s">
        <v>5</v>
      </c>
      <c r="H11" s="18" t="s">
        <v>66</v>
      </c>
      <c r="I11" s="18" t="s">
        <v>66</v>
      </c>
      <c r="J11" s="18" t="s">
        <v>66</v>
      </c>
      <c r="K11" s="18" t="s">
        <v>66</v>
      </c>
      <c r="L11" s="18" t="s">
        <v>66</v>
      </c>
      <c r="M11" s="18" t="s">
        <v>66</v>
      </c>
      <c r="N11" s="18" t="s">
        <v>66</v>
      </c>
      <c r="O11" s="18" t="s">
        <v>66</v>
      </c>
      <c r="P11" s="18" t="s">
        <v>66</v>
      </c>
      <c r="Q11" s="18" t="s">
        <v>66</v>
      </c>
      <c r="R11" s="18" t="s">
        <v>66</v>
      </c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27">
        <f>COUNTA('9月'!$C11:$AG11)</f>
        <v>16</v>
      </c>
    </row>
    <row r="12" spans="2:34" ht="30" customHeight="1" x14ac:dyDescent="0.25">
      <c r="B12" s="20" t="s">
        <v>45</v>
      </c>
      <c r="C12" s="18" t="s">
        <v>66</v>
      </c>
      <c r="D12" s="18" t="s">
        <v>66</v>
      </c>
      <c r="E12" s="18" t="s">
        <v>66</v>
      </c>
      <c r="F12" s="18" t="s">
        <v>66</v>
      </c>
      <c r="G12" s="10" t="s">
        <v>5</v>
      </c>
      <c r="H12" s="18" t="s">
        <v>66</v>
      </c>
      <c r="I12" s="18" t="s">
        <v>66</v>
      </c>
      <c r="J12" s="18" t="s">
        <v>66</v>
      </c>
      <c r="K12" s="18" t="s">
        <v>66</v>
      </c>
      <c r="L12" s="18" t="s">
        <v>66</v>
      </c>
      <c r="M12" s="18" t="s">
        <v>66</v>
      </c>
      <c r="N12" s="18" t="s">
        <v>66</v>
      </c>
      <c r="O12" s="18" t="s">
        <v>66</v>
      </c>
      <c r="P12" s="18" t="s">
        <v>66</v>
      </c>
      <c r="Q12" s="18" t="s">
        <v>66</v>
      </c>
      <c r="R12" s="18" t="s">
        <v>66</v>
      </c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27">
        <f>COUNTA('9月'!$C12:$AG12)</f>
        <v>16</v>
      </c>
    </row>
    <row r="13" spans="2:34" ht="30" customHeight="1" x14ac:dyDescent="0.25">
      <c r="B13" s="20" t="s">
        <v>46</v>
      </c>
      <c r="C13" s="18" t="s">
        <v>66</v>
      </c>
      <c r="D13" s="18" t="s">
        <v>66</v>
      </c>
      <c r="E13" s="18" t="s">
        <v>66</v>
      </c>
      <c r="F13" s="18" t="s">
        <v>66</v>
      </c>
      <c r="G13" s="10" t="s">
        <v>5</v>
      </c>
      <c r="H13" s="18" t="s">
        <v>66</v>
      </c>
      <c r="I13" s="18" t="s">
        <v>66</v>
      </c>
      <c r="J13" s="18" t="s">
        <v>66</v>
      </c>
      <c r="K13" s="18" t="s">
        <v>66</v>
      </c>
      <c r="L13" s="18" t="s">
        <v>66</v>
      </c>
      <c r="M13" s="18" t="s">
        <v>66</v>
      </c>
      <c r="N13" s="18" t="s">
        <v>66</v>
      </c>
      <c r="O13" s="18" t="s">
        <v>66</v>
      </c>
      <c r="P13" s="18" t="s">
        <v>66</v>
      </c>
      <c r="Q13" s="18" t="s">
        <v>66</v>
      </c>
      <c r="R13" s="18" t="s">
        <v>66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27">
        <f>COUNTA('9月'!$C13:$AG13)</f>
        <v>16</v>
      </c>
    </row>
    <row r="14" spans="2:34" ht="30" customHeight="1" x14ac:dyDescent="0.25">
      <c r="B14" s="20" t="s">
        <v>47</v>
      </c>
      <c r="C14" s="18" t="s">
        <v>66</v>
      </c>
      <c r="D14" s="18" t="s">
        <v>66</v>
      </c>
      <c r="E14" s="18" t="s">
        <v>66</v>
      </c>
      <c r="F14" s="18" t="s">
        <v>66</v>
      </c>
      <c r="G14" s="10" t="s">
        <v>5</v>
      </c>
      <c r="H14" s="18" t="s">
        <v>66</v>
      </c>
      <c r="I14" s="18" t="s">
        <v>66</v>
      </c>
      <c r="J14" s="18" t="s">
        <v>66</v>
      </c>
      <c r="K14" s="18" t="s">
        <v>66</v>
      </c>
      <c r="L14" s="18" t="s">
        <v>66</v>
      </c>
      <c r="M14" s="18" t="s">
        <v>66</v>
      </c>
      <c r="N14" s="18" t="s">
        <v>66</v>
      </c>
      <c r="O14" s="18" t="s">
        <v>66</v>
      </c>
      <c r="P14" s="18" t="s">
        <v>66</v>
      </c>
      <c r="Q14" s="18" t="s">
        <v>66</v>
      </c>
      <c r="R14" s="18" t="s">
        <v>66</v>
      </c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27">
        <f>COUNTA('9月'!$C14:$AG14)</f>
        <v>16</v>
      </c>
    </row>
    <row r="15" spans="2:34" ht="30" customHeight="1" x14ac:dyDescent="0.25">
      <c r="B15" s="20" t="s">
        <v>48</v>
      </c>
      <c r="C15" s="18" t="s">
        <v>66</v>
      </c>
      <c r="D15" s="18" t="s">
        <v>66</v>
      </c>
      <c r="E15" s="18" t="s">
        <v>66</v>
      </c>
      <c r="F15" s="18" t="s">
        <v>66</v>
      </c>
      <c r="G15" s="10" t="s">
        <v>5</v>
      </c>
      <c r="H15" s="18" t="s">
        <v>66</v>
      </c>
      <c r="I15" s="18" t="s">
        <v>66</v>
      </c>
      <c r="J15" s="18" t="s">
        <v>66</v>
      </c>
      <c r="K15" s="18" t="s">
        <v>66</v>
      </c>
      <c r="L15" s="18" t="s">
        <v>66</v>
      </c>
      <c r="M15" s="18" t="s">
        <v>66</v>
      </c>
      <c r="N15" s="18" t="s">
        <v>66</v>
      </c>
      <c r="O15" s="18" t="s">
        <v>66</v>
      </c>
      <c r="P15" s="18" t="s">
        <v>66</v>
      </c>
      <c r="Q15" s="18" t="s">
        <v>66</v>
      </c>
      <c r="R15" s="18" t="s">
        <v>66</v>
      </c>
      <c r="S15" s="18" t="s">
        <v>66</v>
      </c>
      <c r="T15" s="18" t="s">
        <v>66</v>
      </c>
      <c r="U15" s="18" t="s">
        <v>66</v>
      </c>
      <c r="V15" s="18" t="s">
        <v>66</v>
      </c>
      <c r="W15" s="18" t="s">
        <v>66</v>
      </c>
      <c r="X15" s="18" t="s">
        <v>66</v>
      </c>
      <c r="Y15" s="18" t="s">
        <v>66</v>
      </c>
      <c r="Z15" s="18" t="s">
        <v>66</v>
      </c>
      <c r="AA15" s="18"/>
      <c r="AB15" s="18"/>
      <c r="AC15" s="18"/>
      <c r="AD15" s="18"/>
      <c r="AE15" s="18"/>
      <c r="AF15" s="18"/>
      <c r="AG15" s="18"/>
      <c r="AH15" s="27">
        <f>COUNTA('9月'!$C15:$AG15)</f>
        <v>24</v>
      </c>
    </row>
    <row r="16" spans="2:34" ht="30" customHeight="1" x14ac:dyDescent="0.25">
      <c r="B16" s="20" t="s">
        <v>49</v>
      </c>
      <c r="C16" s="18" t="s">
        <v>66</v>
      </c>
      <c r="D16" s="18" t="s">
        <v>66</v>
      </c>
      <c r="E16" s="18" t="s">
        <v>66</v>
      </c>
      <c r="F16" s="18" t="s">
        <v>66</v>
      </c>
      <c r="G16" s="10" t="s">
        <v>5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27">
        <f>COUNTA('9月'!$C16:$AG16)</f>
        <v>5</v>
      </c>
    </row>
    <row r="17" spans="2:34" ht="30" customHeight="1" x14ac:dyDescent="0.25">
      <c r="B17" s="20" t="s">
        <v>50</v>
      </c>
      <c r="C17" s="18" t="s">
        <v>66</v>
      </c>
      <c r="D17" s="18" t="s">
        <v>66</v>
      </c>
      <c r="E17" s="18" t="s">
        <v>66</v>
      </c>
      <c r="F17" s="18" t="s">
        <v>66</v>
      </c>
      <c r="G17" s="10" t="s">
        <v>5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27">
        <f>COUNTA('9月'!$C17:$AG17)</f>
        <v>5</v>
      </c>
    </row>
    <row r="18" spans="2:34" ht="30" customHeight="1" x14ac:dyDescent="0.25">
      <c r="B18" s="20" t="s">
        <v>51</v>
      </c>
      <c r="C18" s="18" t="s">
        <v>66</v>
      </c>
      <c r="D18" s="18" t="s">
        <v>66</v>
      </c>
      <c r="E18" s="18" t="s">
        <v>66</v>
      </c>
      <c r="F18" s="18" t="s">
        <v>66</v>
      </c>
      <c r="G18" s="10" t="s">
        <v>5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27">
        <f>COUNTA('9月'!$C18:$AG18)</f>
        <v>5</v>
      </c>
    </row>
    <row r="19" spans="2:34" ht="30" customHeight="1" x14ac:dyDescent="0.25">
      <c r="B19" s="20" t="s">
        <v>52</v>
      </c>
      <c r="C19" s="18" t="s">
        <v>66</v>
      </c>
      <c r="D19" s="18" t="s">
        <v>66</v>
      </c>
      <c r="E19" s="18" t="s">
        <v>66</v>
      </c>
      <c r="F19" s="18" t="s">
        <v>66</v>
      </c>
      <c r="G19" s="10" t="s">
        <v>5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7">
        <f>COUNTA('9月'!$C19:$AG19)</f>
        <v>5</v>
      </c>
    </row>
    <row r="20" spans="2:34" ht="30" customHeight="1" x14ac:dyDescent="0.25">
      <c r="B20" s="20" t="s">
        <v>53</v>
      </c>
      <c r="C20" s="18" t="s">
        <v>66</v>
      </c>
      <c r="D20" s="18" t="s">
        <v>66</v>
      </c>
      <c r="E20" s="18" t="s">
        <v>66</v>
      </c>
      <c r="F20" s="18" t="s">
        <v>66</v>
      </c>
      <c r="G20" s="10" t="s">
        <v>5</v>
      </c>
      <c r="H20" s="18" t="s">
        <v>66</v>
      </c>
      <c r="I20" s="18" t="s">
        <v>66</v>
      </c>
      <c r="J20" s="18" t="s">
        <v>66</v>
      </c>
      <c r="K20" s="18" t="s">
        <v>66</v>
      </c>
      <c r="L20" s="18" t="s">
        <v>66</v>
      </c>
      <c r="M20" s="18" t="s">
        <v>66</v>
      </c>
      <c r="N20" s="18" t="s">
        <v>66</v>
      </c>
      <c r="O20" s="18" t="s">
        <v>66</v>
      </c>
      <c r="P20" s="18" t="s">
        <v>66</v>
      </c>
      <c r="Q20" s="18" t="s">
        <v>66</v>
      </c>
      <c r="R20" s="18" t="s">
        <v>66</v>
      </c>
      <c r="S20" s="18" t="s">
        <v>66</v>
      </c>
      <c r="T20" s="18" t="s">
        <v>66</v>
      </c>
      <c r="U20" s="18" t="s">
        <v>66</v>
      </c>
      <c r="V20" s="18" t="s">
        <v>66</v>
      </c>
      <c r="W20" s="18" t="s">
        <v>66</v>
      </c>
      <c r="X20" s="18" t="s">
        <v>66</v>
      </c>
      <c r="Y20" s="18" t="s">
        <v>66</v>
      </c>
      <c r="Z20" s="18"/>
      <c r="AA20" s="18"/>
      <c r="AB20" s="18"/>
      <c r="AC20" s="18"/>
      <c r="AD20" s="18"/>
      <c r="AE20" s="18"/>
      <c r="AF20" s="18"/>
      <c r="AG20" s="18"/>
      <c r="AH20" s="27">
        <f>COUNTA('9月'!$C20:$AG20)</f>
        <v>23</v>
      </c>
    </row>
    <row r="21" spans="2:34" ht="30" customHeight="1" x14ac:dyDescent="0.25">
      <c r="B21" s="20" t="s">
        <v>54</v>
      </c>
      <c r="C21" s="18" t="s">
        <v>66</v>
      </c>
      <c r="D21" s="18" t="s">
        <v>66</v>
      </c>
      <c r="E21" s="18" t="s">
        <v>66</v>
      </c>
      <c r="F21" s="18" t="s">
        <v>66</v>
      </c>
      <c r="G21" s="10" t="s">
        <v>5</v>
      </c>
      <c r="H21" s="18" t="s">
        <v>66</v>
      </c>
      <c r="I21" s="18" t="s">
        <v>66</v>
      </c>
      <c r="J21" s="18" t="s">
        <v>66</v>
      </c>
      <c r="K21" s="18" t="s">
        <v>66</v>
      </c>
      <c r="L21" s="18" t="s">
        <v>66</v>
      </c>
      <c r="M21" s="18" t="s">
        <v>66</v>
      </c>
      <c r="N21" s="18" t="s">
        <v>66</v>
      </c>
      <c r="O21" s="18" t="s">
        <v>66</v>
      </c>
      <c r="P21" s="18" t="s">
        <v>66</v>
      </c>
      <c r="Q21" s="18" t="s">
        <v>66</v>
      </c>
      <c r="R21" s="18" t="s">
        <v>66</v>
      </c>
      <c r="S21" s="18" t="s">
        <v>66</v>
      </c>
      <c r="T21" s="18" t="s">
        <v>66</v>
      </c>
      <c r="U21" s="18" t="s">
        <v>66</v>
      </c>
      <c r="V21" s="18" t="s">
        <v>66</v>
      </c>
      <c r="W21" s="18" t="s">
        <v>66</v>
      </c>
      <c r="X21" s="18" t="s">
        <v>66</v>
      </c>
      <c r="Y21" s="18" t="s">
        <v>66</v>
      </c>
      <c r="Z21" s="18"/>
      <c r="AA21" s="18"/>
      <c r="AB21" s="18"/>
      <c r="AC21" s="18"/>
      <c r="AD21" s="18"/>
      <c r="AE21" s="18"/>
      <c r="AF21" s="18"/>
      <c r="AG21" s="18"/>
      <c r="AH21" s="27">
        <f>COUNTA('9月'!$C21:$AG21)</f>
        <v>23</v>
      </c>
    </row>
    <row r="22" spans="2:34" ht="30" customHeight="1" x14ac:dyDescent="0.25">
      <c r="B22" s="20" t="s">
        <v>55</v>
      </c>
      <c r="C22" s="18" t="s">
        <v>66</v>
      </c>
      <c r="D22" s="18" t="s">
        <v>66</v>
      </c>
      <c r="E22" s="18" t="s">
        <v>66</v>
      </c>
      <c r="F22" s="18" t="s">
        <v>66</v>
      </c>
      <c r="G22" s="10" t="s">
        <v>5</v>
      </c>
      <c r="H22" s="18" t="s">
        <v>66</v>
      </c>
      <c r="I22" s="18" t="s">
        <v>66</v>
      </c>
      <c r="J22" s="18" t="s">
        <v>66</v>
      </c>
      <c r="K22" s="18" t="s">
        <v>66</v>
      </c>
      <c r="L22" s="18" t="s">
        <v>66</v>
      </c>
      <c r="M22" s="18" t="s">
        <v>66</v>
      </c>
      <c r="N22" s="18" t="s">
        <v>66</v>
      </c>
      <c r="O22" s="18" t="s">
        <v>66</v>
      </c>
      <c r="P22" s="18" t="s">
        <v>66</v>
      </c>
      <c r="Q22" s="18" t="s">
        <v>66</v>
      </c>
      <c r="R22" s="18" t="s">
        <v>66</v>
      </c>
      <c r="S22" s="18" t="s">
        <v>66</v>
      </c>
      <c r="T22" s="18" t="s">
        <v>66</v>
      </c>
      <c r="U22" s="18" t="s">
        <v>66</v>
      </c>
      <c r="V22" s="18" t="s">
        <v>66</v>
      </c>
      <c r="W22" s="18" t="s">
        <v>66</v>
      </c>
      <c r="X22" s="18" t="s">
        <v>66</v>
      </c>
      <c r="Y22" s="18" t="s">
        <v>66</v>
      </c>
      <c r="Z22" s="18"/>
      <c r="AA22" s="18"/>
      <c r="AB22" s="18"/>
      <c r="AC22" s="18"/>
      <c r="AD22" s="18"/>
      <c r="AE22" s="18"/>
      <c r="AF22" s="18"/>
      <c r="AG22" s="18"/>
      <c r="AH22" s="27">
        <f>COUNTA('9月'!$C22:$AG22)</f>
        <v>23</v>
      </c>
    </row>
    <row r="23" spans="2:34" ht="30" customHeight="1" x14ac:dyDescent="0.25">
      <c r="B23" s="20" t="s">
        <v>56</v>
      </c>
      <c r="C23" s="18" t="s">
        <v>66</v>
      </c>
      <c r="D23" s="18" t="s">
        <v>66</v>
      </c>
      <c r="E23" s="18" t="s">
        <v>66</v>
      </c>
      <c r="F23" s="18" t="s">
        <v>66</v>
      </c>
      <c r="G23" s="10" t="s">
        <v>5</v>
      </c>
      <c r="H23" s="18" t="s">
        <v>66</v>
      </c>
      <c r="I23" s="18" t="s">
        <v>66</v>
      </c>
      <c r="J23" s="18" t="s">
        <v>66</v>
      </c>
      <c r="K23" s="18" t="s">
        <v>66</v>
      </c>
      <c r="L23" s="18" t="s">
        <v>66</v>
      </c>
      <c r="M23" s="18" t="s">
        <v>66</v>
      </c>
      <c r="N23" s="18" t="s">
        <v>66</v>
      </c>
      <c r="O23" s="18" t="s">
        <v>66</v>
      </c>
      <c r="P23" s="18" t="s">
        <v>66</v>
      </c>
      <c r="Q23" s="18" t="s">
        <v>66</v>
      </c>
      <c r="R23" s="18" t="s">
        <v>66</v>
      </c>
      <c r="S23" s="18" t="s">
        <v>66</v>
      </c>
      <c r="T23" s="18" t="s">
        <v>66</v>
      </c>
      <c r="U23" s="18" t="s">
        <v>66</v>
      </c>
      <c r="V23" s="18" t="s">
        <v>66</v>
      </c>
      <c r="W23" s="18" t="s">
        <v>66</v>
      </c>
      <c r="X23" s="18" t="s">
        <v>66</v>
      </c>
      <c r="Y23" s="18" t="s">
        <v>66</v>
      </c>
      <c r="Z23" s="18"/>
      <c r="AA23" s="18"/>
      <c r="AB23" s="18"/>
      <c r="AC23" s="18"/>
      <c r="AD23" s="18"/>
      <c r="AE23" s="18"/>
      <c r="AF23" s="18"/>
      <c r="AG23" s="18"/>
      <c r="AH23" s="27">
        <f>COUNTA('9月'!$C23:$AG23)</f>
        <v>23</v>
      </c>
    </row>
    <row r="24" spans="2:34" ht="30" customHeight="1" x14ac:dyDescent="0.25">
      <c r="B24" s="20" t="s">
        <v>57</v>
      </c>
      <c r="C24" s="18" t="s">
        <v>66</v>
      </c>
      <c r="D24" s="18" t="s">
        <v>66</v>
      </c>
      <c r="E24" s="18" t="s">
        <v>66</v>
      </c>
      <c r="F24" s="18" t="s">
        <v>66</v>
      </c>
      <c r="G24" s="10" t="s">
        <v>5</v>
      </c>
      <c r="H24" s="18" t="s">
        <v>66</v>
      </c>
      <c r="I24" s="18" t="s">
        <v>66</v>
      </c>
      <c r="J24" s="18" t="s">
        <v>66</v>
      </c>
      <c r="K24" s="18" t="s">
        <v>66</v>
      </c>
      <c r="L24" s="18" t="s">
        <v>66</v>
      </c>
      <c r="M24" s="18" t="s">
        <v>66</v>
      </c>
      <c r="N24" s="18" t="s">
        <v>66</v>
      </c>
      <c r="O24" s="18" t="s">
        <v>66</v>
      </c>
      <c r="P24" s="18" t="s">
        <v>66</v>
      </c>
      <c r="Q24" s="18" t="s">
        <v>66</v>
      </c>
      <c r="R24" s="18" t="s">
        <v>66</v>
      </c>
      <c r="S24" s="18" t="s">
        <v>66</v>
      </c>
      <c r="T24" s="18" t="s">
        <v>66</v>
      </c>
      <c r="U24" s="18" t="s">
        <v>66</v>
      </c>
      <c r="V24" s="18" t="s">
        <v>66</v>
      </c>
      <c r="W24" s="18" t="s">
        <v>66</v>
      </c>
      <c r="X24" s="18" t="s">
        <v>66</v>
      </c>
      <c r="Y24" s="18" t="s">
        <v>66</v>
      </c>
      <c r="Z24" s="18"/>
      <c r="AA24" s="18"/>
      <c r="AB24" s="18"/>
      <c r="AC24" s="18"/>
      <c r="AD24" s="18"/>
      <c r="AE24" s="18"/>
      <c r="AF24" s="18"/>
      <c r="AG24" s="18"/>
      <c r="AH24" s="27">
        <f>COUNTA('9月'!$C24:$AG24)</f>
        <v>23</v>
      </c>
    </row>
    <row r="25" spans="2:34" ht="30" customHeight="1" x14ac:dyDescent="0.25">
      <c r="B25" s="20" t="s">
        <v>58</v>
      </c>
      <c r="C25" s="18" t="s">
        <v>66</v>
      </c>
      <c r="D25" s="18" t="s">
        <v>66</v>
      </c>
      <c r="E25" s="18" t="s">
        <v>66</v>
      </c>
      <c r="F25" s="18" t="s">
        <v>66</v>
      </c>
      <c r="G25" s="10" t="s">
        <v>5</v>
      </c>
      <c r="H25" s="18" t="s">
        <v>66</v>
      </c>
      <c r="I25" s="18" t="s">
        <v>66</v>
      </c>
      <c r="J25" s="18" t="s">
        <v>66</v>
      </c>
      <c r="K25" s="18" t="s">
        <v>66</v>
      </c>
      <c r="L25" s="18" t="s">
        <v>66</v>
      </c>
      <c r="M25" s="18" t="s">
        <v>66</v>
      </c>
      <c r="N25" s="18" t="s">
        <v>66</v>
      </c>
      <c r="O25" s="18" t="s">
        <v>66</v>
      </c>
      <c r="P25" s="18" t="s">
        <v>66</v>
      </c>
      <c r="Q25" s="18" t="s">
        <v>66</v>
      </c>
      <c r="R25" s="18" t="s">
        <v>66</v>
      </c>
      <c r="S25" s="18" t="s">
        <v>66</v>
      </c>
      <c r="T25" s="18" t="s">
        <v>66</v>
      </c>
      <c r="U25" s="18" t="s">
        <v>66</v>
      </c>
      <c r="V25" s="18" t="s">
        <v>66</v>
      </c>
      <c r="W25" s="18" t="s">
        <v>66</v>
      </c>
      <c r="X25" s="18" t="s">
        <v>66</v>
      </c>
      <c r="Y25" s="18" t="s">
        <v>66</v>
      </c>
      <c r="Z25" s="18"/>
      <c r="AA25" s="18"/>
      <c r="AB25" s="18"/>
      <c r="AC25" s="18"/>
      <c r="AD25" s="18"/>
      <c r="AE25" s="18"/>
      <c r="AF25" s="18"/>
      <c r="AG25" s="18"/>
      <c r="AH25" s="27">
        <f>COUNTA('9月'!$C25:$AG25)</f>
        <v>23</v>
      </c>
    </row>
    <row r="26" spans="2:34" ht="30" customHeight="1" x14ac:dyDescent="0.25">
      <c r="B26" s="20" t="s">
        <v>59</v>
      </c>
      <c r="C26" s="18" t="s">
        <v>66</v>
      </c>
      <c r="D26" s="18" t="s">
        <v>66</v>
      </c>
      <c r="E26" s="18" t="s">
        <v>66</v>
      </c>
      <c r="F26" s="18" t="s">
        <v>66</v>
      </c>
      <c r="G26" s="10" t="s">
        <v>5</v>
      </c>
      <c r="H26" s="18" t="s">
        <v>66</v>
      </c>
      <c r="I26" s="18" t="s">
        <v>66</v>
      </c>
      <c r="J26" s="18" t="s">
        <v>66</v>
      </c>
      <c r="K26" s="18" t="s">
        <v>66</v>
      </c>
      <c r="L26" s="18" t="s">
        <v>66</v>
      </c>
      <c r="M26" s="18" t="s">
        <v>66</v>
      </c>
      <c r="N26" s="18" t="s">
        <v>66</v>
      </c>
      <c r="O26" s="18" t="s">
        <v>66</v>
      </c>
      <c r="P26" s="18" t="s">
        <v>66</v>
      </c>
      <c r="Q26" s="18" t="s">
        <v>66</v>
      </c>
      <c r="R26" s="18" t="s">
        <v>66</v>
      </c>
      <c r="S26" s="18" t="s">
        <v>66</v>
      </c>
      <c r="T26" s="18" t="s">
        <v>66</v>
      </c>
      <c r="U26" s="18" t="s">
        <v>66</v>
      </c>
      <c r="V26" s="18" t="s">
        <v>66</v>
      </c>
      <c r="W26" s="18" t="s">
        <v>66</v>
      </c>
      <c r="X26" s="18" t="s">
        <v>66</v>
      </c>
      <c r="Y26" s="18" t="s">
        <v>66</v>
      </c>
      <c r="Z26" s="18"/>
      <c r="AA26" s="18"/>
      <c r="AB26" s="18"/>
      <c r="AC26" s="18"/>
      <c r="AD26" s="18"/>
      <c r="AE26" s="18"/>
      <c r="AF26" s="18"/>
      <c r="AG26" s="18"/>
      <c r="AH26" s="27">
        <f>COUNTA('9月'!$C26:$AG26)</f>
        <v>23</v>
      </c>
    </row>
    <row r="27" spans="2:34" ht="30" customHeight="1" x14ac:dyDescent="0.25">
      <c r="B27" s="20" t="s">
        <v>60</v>
      </c>
      <c r="C27" s="18" t="s">
        <v>66</v>
      </c>
      <c r="D27" s="18" t="s">
        <v>66</v>
      </c>
      <c r="E27" s="18" t="s">
        <v>66</v>
      </c>
      <c r="F27" s="18" t="s">
        <v>66</v>
      </c>
      <c r="G27" s="10" t="s">
        <v>5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 t="s">
        <v>66</v>
      </c>
      <c r="U27" s="18" t="s">
        <v>66</v>
      </c>
      <c r="V27" s="18" t="s">
        <v>66</v>
      </c>
      <c r="W27" s="18" t="s">
        <v>66</v>
      </c>
      <c r="X27" s="18" t="s">
        <v>66</v>
      </c>
      <c r="Y27" s="18" t="s">
        <v>66</v>
      </c>
      <c r="Z27" s="18"/>
      <c r="AA27" s="18"/>
      <c r="AB27" s="18"/>
      <c r="AC27" s="18"/>
      <c r="AD27" s="18"/>
      <c r="AE27" s="18"/>
      <c r="AF27" s="18"/>
      <c r="AG27" s="18"/>
      <c r="AH27" s="27">
        <f>COUNTA('9月'!$C27:$AG27)</f>
        <v>11</v>
      </c>
    </row>
    <row r="28" spans="2:34" ht="30" customHeight="1" x14ac:dyDescent="0.25">
      <c r="B28" s="20" t="s">
        <v>61</v>
      </c>
      <c r="C28" s="18" t="s">
        <v>66</v>
      </c>
      <c r="D28" s="18" t="s">
        <v>66</v>
      </c>
      <c r="E28" s="18" t="s">
        <v>66</v>
      </c>
      <c r="F28" s="18" t="s">
        <v>66</v>
      </c>
      <c r="G28" s="10" t="s">
        <v>5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 t="s">
        <v>66</v>
      </c>
      <c r="U28" s="18" t="s">
        <v>66</v>
      </c>
      <c r="V28" s="18" t="s">
        <v>66</v>
      </c>
      <c r="W28" s="18" t="s">
        <v>66</v>
      </c>
      <c r="X28" s="18" t="s">
        <v>66</v>
      </c>
      <c r="Y28" s="18" t="s">
        <v>66</v>
      </c>
      <c r="Z28" s="18"/>
      <c r="AA28" s="18"/>
      <c r="AB28" s="18"/>
      <c r="AC28" s="18"/>
      <c r="AD28" s="18"/>
      <c r="AE28" s="18"/>
      <c r="AF28" s="18"/>
      <c r="AG28" s="18"/>
      <c r="AH28" s="27">
        <f>COUNTA('9月'!$C28:$AG28)</f>
        <v>11</v>
      </c>
    </row>
    <row r="29" spans="2:34" ht="30" customHeight="1" x14ac:dyDescent="0.25">
      <c r="B29" s="20" t="s">
        <v>62</v>
      </c>
      <c r="C29" s="18" t="s">
        <v>66</v>
      </c>
      <c r="D29" s="18" t="s">
        <v>66</v>
      </c>
      <c r="E29" s="18" t="s">
        <v>66</v>
      </c>
      <c r="F29" s="18" t="s">
        <v>66</v>
      </c>
      <c r="G29" s="10" t="s">
        <v>5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 t="s">
        <v>66</v>
      </c>
      <c r="U29" s="18" t="s">
        <v>66</v>
      </c>
      <c r="V29" s="18" t="s">
        <v>66</v>
      </c>
      <c r="W29" s="18" t="s">
        <v>66</v>
      </c>
      <c r="X29" s="18" t="s">
        <v>66</v>
      </c>
      <c r="Y29" s="18" t="s">
        <v>66</v>
      </c>
      <c r="Z29" s="18"/>
      <c r="AA29" s="18"/>
      <c r="AB29" s="18"/>
      <c r="AC29" s="18"/>
      <c r="AD29" s="18"/>
      <c r="AE29" s="18"/>
      <c r="AF29" s="18"/>
      <c r="AG29" s="18"/>
      <c r="AH29" s="27">
        <f>COUNTA('9月'!$C29:$AG29)</f>
        <v>11</v>
      </c>
    </row>
    <row r="30" spans="2:34" ht="30" customHeight="1" x14ac:dyDescent="0.25">
      <c r="B30" s="21" t="str">
        <f>MonthName&amp;"集計"</f>
        <v>9月集計</v>
      </c>
      <c r="C30" s="22">
        <f>SUBTOTAL(103,月9[1])</f>
        <v>21</v>
      </c>
      <c r="D30" s="22">
        <f>SUBTOTAL(103,月9[2])</f>
        <v>21</v>
      </c>
      <c r="E30" s="22">
        <f>SUBTOTAL(103,月9[3])</f>
        <v>21</v>
      </c>
      <c r="F30" s="22">
        <f>SUBTOTAL(103,月9[4])</f>
        <v>21</v>
      </c>
      <c r="G30" s="22">
        <f>SUBTOTAL(103,月9[5])</f>
        <v>21</v>
      </c>
      <c r="H30" s="22">
        <f>SUBTOTAL(103,月9[6])</f>
        <v>14</v>
      </c>
      <c r="I30" s="22">
        <f>SUBTOTAL(103,月9[7])</f>
        <v>14</v>
      </c>
      <c r="J30" s="22">
        <f>SUBTOTAL(103,月9[8])</f>
        <v>14</v>
      </c>
      <c r="K30" s="22">
        <f>SUBTOTAL(103,月9[9])</f>
        <v>14</v>
      </c>
      <c r="L30" s="22">
        <f>SUBTOTAL(103,月9[10])</f>
        <v>14</v>
      </c>
      <c r="M30" s="22">
        <f>SUBTOTAL(103,月9[11])</f>
        <v>14</v>
      </c>
      <c r="N30" s="22">
        <f>SUBTOTAL(103,月9[12])</f>
        <v>14</v>
      </c>
      <c r="O30" s="22">
        <f>SUBTOTAL(103,月9[13])</f>
        <v>14</v>
      </c>
      <c r="P30" s="22">
        <f>SUBTOTAL(103,月9[14])</f>
        <v>14</v>
      </c>
      <c r="Q30" s="22">
        <f>SUBTOTAL(103,月9[15])</f>
        <v>14</v>
      </c>
      <c r="R30" s="22">
        <f>SUBTOTAL(103,月9[16])</f>
        <v>14</v>
      </c>
      <c r="S30" s="22">
        <f>SUBTOTAL(103,月9[17])</f>
        <v>8</v>
      </c>
      <c r="T30" s="22">
        <f>SUBTOTAL(103,月9[18])</f>
        <v>11</v>
      </c>
      <c r="U30" s="22">
        <f>SUBTOTAL(103,月9[19])</f>
        <v>11</v>
      </c>
      <c r="V30" s="22">
        <f>SUBTOTAL(103,月9[20])</f>
        <v>11</v>
      </c>
      <c r="W30" s="22">
        <f>SUBTOTAL(103,月9[21])</f>
        <v>11</v>
      </c>
      <c r="X30" s="22">
        <f>SUBTOTAL(103,月9[22])</f>
        <v>11</v>
      </c>
      <c r="Y30" s="22">
        <f>SUBTOTAL(103,月9[23])</f>
        <v>11</v>
      </c>
      <c r="Z30" s="22">
        <f>SUBTOTAL(103,月9[24])</f>
        <v>1</v>
      </c>
      <c r="AA30" s="22">
        <f>SUBTOTAL(103,月9[25])</f>
        <v>0</v>
      </c>
      <c r="AB30" s="22">
        <f>SUBTOTAL(103,月9[26])</f>
        <v>0</v>
      </c>
      <c r="AC30" s="22">
        <f>SUBTOTAL(103,月9[27])</f>
        <v>0</v>
      </c>
      <c r="AD30" s="22">
        <f>SUBTOTAL(103,月9[28])</f>
        <v>0</v>
      </c>
      <c r="AE30" s="22">
        <f>SUBTOTAL(103,月9[29])</f>
        <v>0</v>
      </c>
      <c r="AF30" s="22">
        <f>SUBTOTAL(109,月9[30])</f>
        <v>0</v>
      </c>
      <c r="AG30" s="22">
        <f>SUBTOTAL(109,月9[[ ]])</f>
        <v>0</v>
      </c>
      <c r="AH30" s="22">
        <f>SUBTOTAL(109,月9[合計日数])</f>
        <v>334</v>
      </c>
    </row>
  </sheetData>
  <mergeCells count="6">
    <mergeCell ref="C6:AG6"/>
    <mergeCell ref="D4:F4"/>
    <mergeCell ref="H4:J4"/>
    <mergeCell ref="L4:M4"/>
    <mergeCell ref="O4:Q4"/>
    <mergeCell ref="S4:U4"/>
  </mergeCells>
  <phoneticPr fontId="10"/>
  <conditionalFormatting sqref="H9:R29">
    <cfRule type="expression" dxfId="631" priority="90" stopIfTrue="1">
      <formula>H9=KeyVacation</formula>
    </cfRule>
    <cfRule type="expression" dxfId="630" priority="86" stopIfTrue="1">
      <formula>H9=KeyCustom2</formula>
    </cfRule>
    <cfRule type="expression" priority="85" stopIfTrue="1">
      <formula>H9=""</formula>
    </cfRule>
    <cfRule type="expression" dxfId="629" priority="87" stopIfTrue="1">
      <formula>H9=KeyCustom1</formula>
    </cfRule>
    <cfRule type="expression" dxfId="628" priority="89" stopIfTrue="1">
      <formula>H9=KeyPersonal</formula>
    </cfRule>
    <cfRule type="expression" dxfId="627" priority="88" stopIfTrue="1">
      <formula>H9=KeySick</formula>
    </cfRule>
  </conditionalFormatting>
  <conditionalFormatting sqref="S9:S29">
    <cfRule type="expression" dxfId="626" priority="2" stopIfTrue="1">
      <formula>S9=KeyCustom2</formula>
    </cfRule>
    <cfRule type="expression" dxfId="625" priority="3" stopIfTrue="1">
      <formula>S9=KeyCustom1</formula>
    </cfRule>
    <cfRule type="expression" dxfId="624" priority="4" stopIfTrue="1">
      <formula>S9=KeySick</formula>
    </cfRule>
    <cfRule type="expression" dxfId="623" priority="5" stopIfTrue="1">
      <formula>S9=KeyPersonal</formula>
    </cfRule>
    <cfRule type="expression" dxfId="622" priority="6" stopIfTrue="1">
      <formula>S9=KeyVacation</formula>
    </cfRule>
    <cfRule type="expression" priority="1" stopIfTrue="1">
      <formula>S9=""</formula>
    </cfRule>
  </conditionalFormatting>
  <conditionalFormatting sqref="T9:T29">
    <cfRule type="expression" dxfId="621" priority="48" stopIfTrue="1">
      <formula>T9=KeyVacation</formula>
    </cfRule>
    <cfRule type="expression" dxfId="620" priority="47" stopIfTrue="1">
      <formula>T9=KeyPersonal</formula>
    </cfRule>
    <cfRule type="expression" dxfId="619" priority="46" stopIfTrue="1">
      <formula>T9=KeySick</formula>
    </cfRule>
    <cfRule type="expression" dxfId="618" priority="45" stopIfTrue="1">
      <formula>T9=KeyCustom1</formula>
    </cfRule>
    <cfRule type="expression" dxfId="617" priority="44" stopIfTrue="1">
      <formula>T9=KeyCustom2</formula>
    </cfRule>
    <cfRule type="expression" priority="43" stopIfTrue="1">
      <formula>T9=""</formula>
    </cfRule>
  </conditionalFormatting>
  <conditionalFormatting sqref="U9:U29">
    <cfRule type="expression" dxfId="616" priority="39" stopIfTrue="1">
      <formula>U9=KeyCustom1</formula>
    </cfRule>
    <cfRule type="expression" dxfId="615" priority="38" stopIfTrue="1">
      <formula>U9=KeyCustom2</formula>
    </cfRule>
    <cfRule type="expression" priority="37" stopIfTrue="1">
      <formula>U9=""</formula>
    </cfRule>
    <cfRule type="expression" dxfId="614" priority="42" stopIfTrue="1">
      <formula>U9=KeyVacation</formula>
    </cfRule>
    <cfRule type="expression" dxfId="613" priority="41" stopIfTrue="1">
      <formula>U9=KeyPersonal</formula>
    </cfRule>
    <cfRule type="expression" dxfId="612" priority="40" stopIfTrue="1">
      <formula>U9=KeySick</formula>
    </cfRule>
  </conditionalFormatting>
  <conditionalFormatting sqref="V9:V29">
    <cfRule type="expression" dxfId="611" priority="34" stopIfTrue="1">
      <formula>V9=KeySick</formula>
    </cfRule>
    <cfRule type="expression" dxfId="610" priority="36" stopIfTrue="1">
      <formula>V9=KeyVacation</formula>
    </cfRule>
    <cfRule type="expression" dxfId="609" priority="35" stopIfTrue="1">
      <formula>V9=KeyPersonal</formula>
    </cfRule>
    <cfRule type="expression" priority="31" stopIfTrue="1">
      <formula>V9=""</formula>
    </cfRule>
    <cfRule type="expression" dxfId="608" priority="32" stopIfTrue="1">
      <formula>V9=KeyCustom2</formula>
    </cfRule>
    <cfRule type="expression" dxfId="607" priority="33" stopIfTrue="1">
      <formula>V9=KeyCustom1</formula>
    </cfRule>
  </conditionalFormatting>
  <conditionalFormatting sqref="W15">
    <cfRule type="expression" priority="25" stopIfTrue="1">
      <formula>W15=""</formula>
    </cfRule>
    <cfRule type="expression" dxfId="606" priority="27" stopIfTrue="1">
      <formula>W15=KeyCustom1</formula>
    </cfRule>
    <cfRule type="expression" dxfId="605" priority="28" stopIfTrue="1">
      <formula>W15=KeySick</formula>
    </cfRule>
    <cfRule type="expression" dxfId="604" priority="29" stopIfTrue="1">
      <formula>W15=KeyPersonal</formula>
    </cfRule>
    <cfRule type="expression" dxfId="603" priority="30" stopIfTrue="1">
      <formula>W15=KeyVacation</formula>
    </cfRule>
    <cfRule type="expression" dxfId="602" priority="26" stopIfTrue="1">
      <formula>W15=KeyCustom2</formula>
    </cfRule>
  </conditionalFormatting>
  <conditionalFormatting sqref="W9:Y14 W16:Y29">
    <cfRule type="expression" dxfId="601" priority="64" stopIfTrue="1">
      <formula>W9=KeySick</formula>
    </cfRule>
    <cfRule type="expression" dxfId="600" priority="65" stopIfTrue="1">
      <formula>W9=KeyPersonal</formula>
    </cfRule>
    <cfRule type="expression" dxfId="599" priority="66" stopIfTrue="1">
      <formula>W9=KeyVacation</formula>
    </cfRule>
    <cfRule type="expression" dxfId="598" priority="63" stopIfTrue="1">
      <formula>W9=KeyCustom1</formula>
    </cfRule>
    <cfRule type="expression" priority="61" stopIfTrue="1">
      <formula>W9=""</formula>
    </cfRule>
    <cfRule type="expression" dxfId="597" priority="62" stopIfTrue="1">
      <formula>W9=KeyCustom2</formula>
    </cfRule>
  </conditionalFormatting>
  <conditionalFormatting sqref="X15">
    <cfRule type="expression" dxfId="596" priority="24" stopIfTrue="1">
      <formula>X15=KeyVacation</formula>
    </cfRule>
    <cfRule type="expression" dxfId="595" priority="23" stopIfTrue="1">
      <formula>X15=KeyPersonal</formula>
    </cfRule>
    <cfRule type="expression" dxfId="594" priority="22" stopIfTrue="1">
      <formula>X15=KeySick</formula>
    </cfRule>
    <cfRule type="expression" dxfId="593" priority="21" stopIfTrue="1">
      <formula>X15=KeyCustom1</formula>
    </cfRule>
    <cfRule type="expression" dxfId="592" priority="20" stopIfTrue="1">
      <formula>X15=KeyCustom2</formula>
    </cfRule>
    <cfRule type="expression" priority="19" stopIfTrue="1">
      <formula>X15=""</formula>
    </cfRule>
  </conditionalFormatting>
  <conditionalFormatting sqref="Y15">
    <cfRule type="expression" dxfId="591" priority="16" stopIfTrue="1">
      <formula>Y15=KeySick</formula>
    </cfRule>
    <cfRule type="expression" dxfId="590" priority="15" stopIfTrue="1">
      <formula>Y15=KeyCustom1</formula>
    </cfRule>
    <cfRule type="expression" dxfId="589" priority="14" stopIfTrue="1">
      <formula>Y15=KeyCustom2</formula>
    </cfRule>
    <cfRule type="expression" priority="13" stopIfTrue="1">
      <formula>Y15=""</formula>
    </cfRule>
    <cfRule type="expression" dxfId="588" priority="18" stopIfTrue="1">
      <formula>Y15=KeyVacation</formula>
    </cfRule>
    <cfRule type="expression" dxfId="587" priority="17" stopIfTrue="1">
      <formula>Y15=KeyPersonal</formula>
    </cfRule>
  </conditionalFormatting>
  <conditionalFormatting sqref="Z15">
    <cfRule type="expression" dxfId="586" priority="12" stopIfTrue="1">
      <formula>Z15=KeyVacation</formula>
    </cfRule>
    <cfRule type="expression" dxfId="585" priority="11" stopIfTrue="1">
      <formula>Z15=KeyPersonal</formula>
    </cfRule>
    <cfRule type="expression" dxfId="584" priority="10" stopIfTrue="1">
      <formula>Z15=KeySick</formula>
    </cfRule>
    <cfRule type="expression" dxfId="583" priority="8" stopIfTrue="1">
      <formula>Z15=KeyCustom2</formula>
    </cfRule>
    <cfRule type="expression" priority="7" stopIfTrue="1">
      <formula>Z15=""</formula>
    </cfRule>
    <cfRule type="expression" dxfId="582" priority="9" stopIfTrue="1">
      <formula>Z15=KeyCustom1</formula>
    </cfRule>
  </conditionalFormatting>
  <conditionalFormatting sqref="Z9:AG14 C9:F29 AA15:AG15 Z16:AG29">
    <cfRule type="expression" priority="91" stopIfTrue="1">
      <formula>C9=""</formula>
    </cfRule>
    <cfRule type="expression" dxfId="581" priority="92" stopIfTrue="1">
      <formula>C9=KeyCustom2</formula>
    </cfRule>
    <cfRule type="expression" dxfId="580" priority="93" stopIfTrue="1">
      <formula>C9=KeyCustom1</formula>
    </cfRule>
    <cfRule type="expression" dxfId="579" priority="94" stopIfTrue="1">
      <formula>C9=KeySick</formula>
    </cfRule>
    <cfRule type="expression" dxfId="578" priority="95" stopIfTrue="1">
      <formula>C9=KeyPersonal</formula>
    </cfRule>
    <cfRule type="expression" dxfId="577" priority="96" stopIfTrue="1">
      <formula>C9=KeyVacation</formula>
    </cfRule>
  </conditionalFormatting>
  <conditionalFormatting sqref="AH9:AH29">
    <cfRule type="dataBar" priority="97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{D29CC27F-CCD4-40E7-BF8D-3006A1DE46C1}</x14:id>
        </ext>
      </extLst>
    </cfRule>
  </conditionalFormatting>
  <dataValidations count="15">
    <dataValidation allowBlank="1" showInputMessage="1" showErrorMessage="1" prompt="この行の月の日付は、自動的に生成されます。従業員の欠勤と欠勤の種類を月の各日付の各列に入力します。空白は欠勤でないことを示します" sqref="C8" xr:uid="{9DDE2A21-51EA-3649-A2EE-B04BD18F4ABA}"/>
    <dataValidation allowBlank="1" showInputMessage="1" showErrorMessage="1" prompt="このセルには、この欠勤管理の月の名前が入ります。テーブルの最後のセルには、この月の欠勤日数の合計が表示されます。テーブルの列 B で従業員名を選択します" sqref="B2" xr:uid="{00000000-0002-0000-0800-000001000000}"/>
    <dataValidation allowBlank="1" showInputMessage="1" showErrorMessage="1" prompt="左側にカスタム キーを表すラベルを入力します" sqref="O4:Q4 S4:U4" xr:uid="{5116644F-0501-8B49-8158-4564676A664E}"/>
    <dataValidation allowBlank="1" showErrorMessage="1" prompt="右側に文字を入力してラベルをカスタマイズし、別のキー項目を追加します" sqref="R4 N4" xr:uid="{58CFE273-C075-BB40-8F28-5FCC44B7E3A3}"/>
    <dataValidation allowBlank="1" showErrorMessage="1" prompt="文字 &quot;S&quot; は病欠を表します" sqref="K4" xr:uid="{EEC4FBAF-1EBD-4C4D-9809-847842EA837E}"/>
    <dataValidation allowBlank="1" showErrorMessage="1" prompt="文字 &quot;P&quot; は私用による欠勤を表します" sqref="G4 G9:G29" xr:uid="{846A0B75-93D1-0640-8A7F-0B42F6009C81}"/>
    <dataValidation allowBlank="1" showErrorMessage="1" prompt="文字 &quot;V&quot; は休暇のための欠勤を表します" sqref="C4" xr:uid="{286BFB05-7A4F-C140-BF05-59F3E17D85F5}"/>
    <dataValidation allowBlank="1" showInputMessage="1" showErrorMessage="1" prompt="自動的に更新されるタイトルが、このセルの内容です。タイトルを変更するには、1 月のワークシートの B1 を更新します" sqref="B2" xr:uid="{00000000-0002-0000-0800-000008000000}"/>
    <dataValidation errorStyle="warning" allowBlank="1" showInputMessage="1" showErrorMessage="1" error="リストから名前を選択します。[キャンセル] を選択し、Alt キーを押しながら下方向キーを押してから、Enter キーを押して名前を選択します" prompt="従業員名ワークシートに従業員の名前を入力し、この列のリストから名前を選びます。Alt キーを押しながら下矢印キーを押して、Enter キーを押して名前を選択します" sqref="B8" xr:uid="{C813148F-9330-314A-8F3F-150F6150691C}"/>
    <dataValidation allowBlank="1" showInputMessage="1" showErrorMessage="1" prompt="このワークシートでは 9 月の欠勤を管理します" sqref="A1" xr:uid="{00000000-0002-0000-0800-00000A000000}"/>
    <dataValidation allowBlank="1" showInputMessage="1" showErrorMessage="1" prompt="この列で、従業員の今月の欠勤日数の合計を自動的に計算します" sqref="AH8" xr:uid="{5C77DC9E-A1AE-7C41-B518-6426DAF8D1EE}"/>
    <dataValidation allowBlank="1" showInputMessage="1" showErrorMessage="1" prompt="1 月のワークシートに入力した年に基づいて自動的に更新される年" sqref="AH6" xr:uid="{075296AD-6F4A-1446-94E5-CA2E94C7BFCE}"/>
    <dataValidation allowBlank="1" showInputMessage="1" showErrorMessage="1" prompt="この行の曜日は、AH4 の年に従い当月に応じて自動的に更新されます。月の各日付は、従業員の欠勤と欠勤の種類を記録するための列です" sqref="C7" xr:uid="{D85777C8-14EB-B748-8BBD-8B9BF124E384}"/>
    <dataValidation allowBlank="1" showInputMessage="1" showErrorMessage="1" prompt="この行には、テーブルで使用するキーが定義されています。セル C4 は休暇、G4 は私用、K4 は病欠です。セル N4 と R4 はカスタマイズ可能です" sqref="B4" xr:uid="{258809B3-02AD-47F3-A0C7-61BAF9DAB51A}"/>
    <dataValidation allowBlank="1" showInputMessage="1" showErrorMessage="1" prompt="このセルには、ワークシートのタイトルが入ります。" sqref="B1" xr:uid="{F8481A4B-DE79-422A-8666-5D4B95074053}"/>
  </dataValidations>
  <pageMargins left="0.7" right="0.7" top="0.75" bottom="0.75" header="0.3" footer="0.3"/>
  <pageSetup paperSize="9" fitToHeight="0" orientation="portrait" verticalDpi="4294967293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9CC27F-CCD4-40E7-BF8D-3006A1DE46C1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AH9:AH29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98C265-2DEB-4C09-BD0C-53273479CF5F}">
          <x14:formula1>
            <xm:f>従業員名!$B$4:$B$35</xm:f>
          </x14:formula1>
          <xm:sqref>B9:B29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/>
  </sheetPr>
  <dimension ref="B1:AH30"/>
  <sheetViews>
    <sheetView showGridLines="0" topLeftCell="U4" zoomScaleNormal="100" workbookViewId="0">
      <selection activeCell="AA20" sqref="AA20:AD24"/>
    </sheetView>
  </sheetViews>
  <sheetFormatPr defaultColWidth="8.77734375" defaultRowHeight="30" customHeight="1" x14ac:dyDescent="0.25"/>
  <cols>
    <col min="1" max="1" width="2.88671875" customWidth="1"/>
    <col min="2" max="2" width="25.77734375" customWidth="1"/>
    <col min="3" max="33" width="4.77734375" customWidth="1"/>
    <col min="34" max="34" width="13.44140625" customWidth="1"/>
    <col min="35" max="35" width="2.88671875" customWidth="1"/>
  </cols>
  <sheetData>
    <row r="1" spans="2:34" ht="26.45" customHeight="1" x14ac:dyDescent="0.35">
      <c r="B1" s="2" t="s">
        <v>0</v>
      </c>
    </row>
    <row r="2" spans="2:34" ht="48.6" customHeight="1" x14ac:dyDescent="0.25">
      <c r="B2" s="28" t="s">
        <v>73</v>
      </c>
    </row>
    <row r="3" spans="2:34" ht="8.4499999999999993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2:34" ht="30" customHeight="1" x14ac:dyDescent="0.25">
      <c r="B4" s="8" t="s">
        <v>2</v>
      </c>
      <c r="C4" s="9" t="s">
        <v>3</v>
      </c>
      <c r="D4" s="37" t="s">
        <v>4</v>
      </c>
      <c r="E4" s="37"/>
      <c r="F4" s="37"/>
      <c r="G4" s="10" t="s">
        <v>5</v>
      </c>
      <c r="H4" s="37" t="s">
        <v>6</v>
      </c>
      <c r="I4" s="37"/>
      <c r="J4" s="37"/>
      <c r="K4" s="11"/>
      <c r="L4" s="37"/>
      <c r="M4" s="37"/>
      <c r="N4" s="12"/>
      <c r="O4" s="37" t="s">
        <v>7</v>
      </c>
      <c r="P4" s="37"/>
      <c r="Q4" s="37"/>
      <c r="R4" s="13"/>
      <c r="S4" s="37" t="s">
        <v>8</v>
      </c>
      <c r="T4" s="37"/>
      <c r="U4" s="37"/>
    </row>
    <row r="5" spans="2:34" ht="8.4499999999999993" customHeight="1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2:34" ht="15" customHeight="1" x14ac:dyDescent="0.25">
      <c r="B6" s="1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15">
        <v>2024</v>
      </c>
    </row>
    <row r="7" spans="2:34" ht="30" customHeight="1" x14ac:dyDescent="0.25">
      <c r="B7" s="15"/>
      <c r="C7" s="16" t="str">
        <f>TEXT(WEEKDAY(DATE($AH$6,10,1),1),"aaa")</f>
        <v>火</v>
      </c>
      <c r="D7" s="16" t="str">
        <f>TEXT(WEEKDAY(DATE($AH$6,10,2),1),"aaa")</f>
        <v>水</v>
      </c>
      <c r="E7" s="16" t="str">
        <f>TEXT(WEEKDAY(DATE($AH$6,10,3),1),"aaa")</f>
        <v>木</v>
      </c>
      <c r="F7" s="16" t="str">
        <f>TEXT(WEEKDAY(DATE($AH$6,10,4),1),"aaa")</f>
        <v>金</v>
      </c>
      <c r="G7" s="16" t="str">
        <f>TEXT(WEEKDAY(DATE($AH$6,10,5),1),"aaa")</f>
        <v>土</v>
      </c>
      <c r="H7" s="16" t="str">
        <f>TEXT(WEEKDAY(DATE($AH$6,10,6),1),"aaa")</f>
        <v>日</v>
      </c>
      <c r="I7" s="16" t="str">
        <f>TEXT(WEEKDAY(DATE($AH$6,10,7),1),"aaa")</f>
        <v>月</v>
      </c>
      <c r="J7" s="16" t="str">
        <f>TEXT(WEEKDAY(DATE($AH$6,10,8),1),"aaa")</f>
        <v>火</v>
      </c>
      <c r="K7" s="16" t="str">
        <f>TEXT(WEEKDAY(DATE($AH$6,10,9),1),"aaa")</f>
        <v>水</v>
      </c>
      <c r="L7" s="16" t="str">
        <f>TEXT(WEEKDAY(DATE($AH$6,10,10),1),"aaa")</f>
        <v>木</v>
      </c>
      <c r="M7" s="16" t="str">
        <f>TEXT(WEEKDAY(DATE($AH$6,10,11),1),"aaa")</f>
        <v>金</v>
      </c>
      <c r="N7" s="16" t="str">
        <f>TEXT(WEEKDAY(DATE($AH$6,10,12),1),"aaa")</f>
        <v>土</v>
      </c>
      <c r="O7" s="16" t="str">
        <f>TEXT(WEEKDAY(DATE($AH$6,10,13),1),"aaa")</f>
        <v>日</v>
      </c>
      <c r="P7" s="16" t="str">
        <f>TEXT(WEEKDAY(DATE($AH$6,10,14),1),"aaa")</f>
        <v>月</v>
      </c>
      <c r="Q7" s="16" t="str">
        <f>TEXT(WEEKDAY(DATE($AH$6,10,15),1),"aaa")</f>
        <v>火</v>
      </c>
      <c r="R7" s="16" t="str">
        <f>TEXT(WEEKDAY(DATE($AH$6,10,16),1),"aaa")</f>
        <v>水</v>
      </c>
      <c r="S7" s="16" t="str">
        <f>TEXT(WEEKDAY(DATE($AH$6,10,17),1),"aaa")</f>
        <v>木</v>
      </c>
      <c r="T7" s="16" t="str">
        <f>TEXT(WEEKDAY(DATE($AH$6,10,18),1),"aaa")</f>
        <v>金</v>
      </c>
      <c r="U7" s="16" t="str">
        <f>TEXT(WEEKDAY(DATE($AH$6,10,19),1),"aaa")</f>
        <v>土</v>
      </c>
      <c r="V7" s="16" t="str">
        <f>TEXT(WEEKDAY(DATE($AH$6,10,20),1),"aaa")</f>
        <v>日</v>
      </c>
      <c r="W7" s="16" t="str">
        <f>TEXT(WEEKDAY(DATE($AH$6,10,21),1),"aaa")</f>
        <v>月</v>
      </c>
      <c r="X7" s="16" t="str">
        <f>TEXT(WEEKDAY(DATE($AH$6,10,22),1),"aaa")</f>
        <v>火</v>
      </c>
      <c r="Y7" s="16" t="str">
        <f>TEXT(WEEKDAY(DATE($AH$6,10,23),1),"aaa")</f>
        <v>水</v>
      </c>
      <c r="Z7" s="16" t="str">
        <f>TEXT(WEEKDAY(DATE($AH$6,10,24),1),"aaa")</f>
        <v>木</v>
      </c>
      <c r="AA7" s="16" t="str">
        <f>TEXT(WEEKDAY(DATE($AH$6,10,25),1),"aaa")</f>
        <v>金</v>
      </c>
      <c r="AB7" s="16" t="str">
        <f>TEXT(WEEKDAY(DATE($AH$6,10,26),1),"aaa")</f>
        <v>土</v>
      </c>
      <c r="AC7" s="16" t="str">
        <f>TEXT(WEEKDAY(DATE($AH$6,10,27),1),"aaa")</f>
        <v>日</v>
      </c>
      <c r="AD7" s="16" t="str">
        <f>TEXT(WEEKDAY(DATE($AH$6,10,28),1),"aaa")</f>
        <v>月</v>
      </c>
      <c r="AE7" s="16" t="str">
        <f>TEXT(WEEKDAY(DATE($AH$6,10,29),1),"aaa")</f>
        <v>火</v>
      </c>
      <c r="AF7" s="16" t="str">
        <f>TEXT(WEEKDAY(DATE($AH$6,10,30),1),"aaa")</f>
        <v>水</v>
      </c>
      <c r="AG7" s="16" t="str">
        <f>TEXT(WEEKDAY(DATE($AH$6,10,31),1),"aaa")</f>
        <v>木</v>
      </c>
      <c r="AH7" s="15"/>
    </row>
    <row r="8" spans="2:34" ht="30" customHeight="1" x14ac:dyDescent="0.25">
      <c r="B8" s="17" t="s">
        <v>9</v>
      </c>
      <c r="C8" s="18" t="s">
        <v>10</v>
      </c>
      <c r="D8" s="18" t="s">
        <v>11</v>
      </c>
      <c r="E8" s="18" t="s">
        <v>12</v>
      </c>
      <c r="F8" s="18" t="s">
        <v>13</v>
      </c>
      <c r="G8" s="18" t="s">
        <v>14</v>
      </c>
      <c r="H8" s="18" t="s">
        <v>15</v>
      </c>
      <c r="I8" s="18" t="s">
        <v>16</v>
      </c>
      <c r="J8" s="18" t="s">
        <v>17</v>
      </c>
      <c r="K8" s="18" t="s">
        <v>18</v>
      </c>
      <c r="L8" s="18" t="s">
        <v>19</v>
      </c>
      <c r="M8" s="18" t="s">
        <v>20</v>
      </c>
      <c r="N8" s="18" t="s">
        <v>21</v>
      </c>
      <c r="O8" s="18" t="s">
        <v>22</v>
      </c>
      <c r="P8" s="18" t="s">
        <v>23</v>
      </c>
      <c r="Q8" s="18" t="s">
        <v>24</v>
      </c>
      <c r="R8" s="18" t="s">
        <v>25</v>
      </c>
      <c r="S8" s="18" t="s">
        <v>26</v>
      </c>
      <c r="T8" s="18" t="s">
        <v>27</v>
      </c>
      <c r="U8" s="18" t="s">
        <v>28</v>
      </c>
      <c r="V8" s="18" t="s">
        <v>29</v>
      </c>
      <c r="W8" s="18" t="s">
        <v>30</v>
      </c>
      <c r="X8" s="18" t="s">
        <v>31</v>
      </c>
      <c r="Y8" s="18" t="s">
        <v>32</v>
      </c>
      <c r="Z8" s="18" t="s">
        <v>33</v>
      </c>
      <c r="AA8" s="18" t="s">
        <v>34</v>
      </c>
      <c r="AB8" s="18" t="s">
        <v>35</v>
      </c>
      <c r="AC8" s="18" t="s">
        <v>36</v>
      </c>
      <c r="AD8" s="18" t="s">
        <v>37</v>
      </c>
      <c r="AE8" s="18" t="s">
        <v>38</v>
      </c>
      <c r="AF8" s="18" t="s">
        <v>39</v>
      </c>
      <c r="AG8" s="18" t="s">
        <v>64</v>
      </c>
      <c r="AH8" s="19" t="s">
        <v>41</v>
      </c>
    </row>
    <row r="9" spans="2:34" ht="30" customHeight="1" x14ac:dyDescent="0.25">
      <c r="B9" s="20" t="s">
        <v>42</v>
      </c>
      <c r="C9" s="18" t="s">
        <v>3</v>
      </c>
      <c r="D9" s="18" t="s">
        <v>3</v>
      </c>
      <c r="E9" s="18" t="s">
        <v>3</v>
      </c>
      <c r="F9" s="18" t="s">
        <v>3</v>
      </c>
      <c r="G9" s="18" t="s">
        <v>3</v>
      </c>
      <c r="H9" s="18" t="s">
        <v>3</v>
      </c>
      <c r="I9" s="18" t="s">
        <v>3</v>
      </c>
      <c r="J9" s="18" t="s">
        <v>3</v>
      </c>
      <c r="K9" s="18" t="s">
        <v>3</v>
      </c>
      <c r="L9" s="18" t="s">
        <v>3</v>
      </c>
      <c r="M9" s="18" t="s">
        <v>3</v>
      </c>
      <c r="N9" s="18" t="s">
        <v>3</v>
      </c>
      <c r="O9" s="18" t="s">
        <v>3</v>
      </c>
      <c r="P9" s="18" t="s">
        <v>3</v>
      </c>
      <c r="Q9" s="18"/>
      <c r="R9" s="18"/>
      <c r="S9" s="18"/>
      <c r="T9" s="18"/>
      <c r="U9" s="18"/>
      <c r="V9" s="18"/>
      <c r="W9" s="18" t="s">
        <v>3</v>
      </c>
      <c r="X9" s="18" t="s">
        <v>3</v>
      </c>
      <c r="Y9" s="18" t="s">
        <v>3</v>
      </c>
      <c r="Z9" s="18" t="s">
        <v>3</v>
      </c>
      <c r="AA9" s="18" t="s">
        <v>3</v>
      </c>
      <c r="AB9" s="18" t="s">
        <v>3</v>
      </c>
      <c r="AC9" s="18" t="s">
        <v>3</v>
      </c>
      <c r="AD9" s="18" t="s">
        <v>3</v>
      </c>
      <c r="AE9" s="18"/>
      <c r="AF9" s="18"/>
      <c r="AG9" s="18"/>
      <c r="AH9" s="27">
        <f>COUNTA('10月'!$C9:$AG9)</f>
        <v>22</v>
      </c>
    </row>
    <row r="10" spans="2:34" ht="30" customHeight="1" x14ac:dyDescent="0.25">
      <c r="B10" s="20" t="s">
        <v>43</v>
      </c>
      <c r="C10" s="18" t="s">
        <v>3</v>
      </c>
      <c r="D10" s="18" t="s">
        <v>3</v>
      </c>
      <c r="E10" s="18" t="s">
        <v>3</v>
      </c>
      <c r="F10" s="18" t="s">
        <v>3</v>
      </c>
      <c r="G10" s="18" t="s">
        <v>3</v>
      </c>
      <c r="H10" s="18" t="s">
        <v>3</v>
      </c>
      <c r="I10" s="18" t="s">
        <v>3</v>
      </c>
      <c r="J10" s="18" t="s">
        <v>3</v>
      </c>
      <c r="K10" s="18" t="s">
        <v>3</v>
      </c>
      <c r="L10" s="18" t="s">
        <v>3</v>
      </c>
      <c r="M10" s="18" t="s">
        <v>3</v>
      </c>
      <c r="N10" s="18" t="s">
        <v>3</v>
      </c>
      <c r="O10" s="18" t="s">
        <v>3</v>
      </c>
      <c r="P10" s="18" t="s">
        <v>3</v>
      </c>
      <c r="Q10" s="18"/>
      <c r="R10" s="18"/>
      <c r="S10" s="18"/>
      <c r="T10" s="18"/>
      <c r="U10" s="18"/>
      <c r="V10" s="18"/>
      <c r="W10" s="18"/>
      <c r="X10" s="18" t="s">
        <v>3</v>
      </c>
      <c r="Y10" s="18" t="s">
        <v>3</v>
      </c>
      <c r="Z10" s="18" t="s">
        <v>3</v>
      </c>
      <c r="AA10" s="18" t="s">
        <v>3</v>
      </c>
      <c r="AB10" s="18" t="s">
        <v>3</v>
      </c>
      <c r="AC10" s="18" t="s">
        <v>3</v>
      </c>
      <c r="AD10" s="18" t="s">
        <v>3</v>
      </c>
      <c r="AE10" s="18"/>
      <c r="AF10" s="18"/>
      <c r="AG10" s="18"/>
      <c r="AH10" s="27">
        <f>COUNTA('10月'!$C10:$AG10)</f>
        <v>21</v>
      </c>
    </row>
    <row r="11" spans="2:34" ht="30" customHeight="1" x14ac:dyDescent="0.25">
      <c r="B11" s="20" t="s">
        <v>44</v>
      </c>
      <c r="C11" s="18" t="s">
        <v>3</v>
      </c>
      <c r="D11" s="18" t="s">
        <v>3</v>
      </c>
      <c r="E11" s="18" t="s">
        <v>3</v>
      </c>
      <c r="F11" s="18" t="s">
        <v>3</v>
      </c>
      <c r="G11" s="18" t="s">
        <v>3</v>
      </c>
      <c r="H11" s="18" t="s">
        <v>3</v>
      </c>
      <c r="I11" s="18" t="s">
        <v>3</v>
      </c>
      <c r="J11" s="18" t="s">
        <v>3</v>
      </c>
      <c r="K11" s="18" t="s">
        <v>3</v>
      </c>
      <c r="L11" s="18" t="s">
        <v>3</v>
      </c>
      <c r="M11" s="18" t="s">
        <v>3</v>
      </c>
      <c r="N11" s="18" t="s">
        <v>3</v>
      </c>
      <c r="O11" s="18" t="s">
        <v>3</v>
      </c>
      <c r="P11" s="18" t="s">
        <v>3</v>
      </c>
      <c r="Q11" s="18"/>
      <c r="R11" s="18"/>
      <c r="S11" s="18"/>
      <c r="T11" s="18"/>
      <c r="U11" s="18"/>
      <c r="V11" s="18"/>
      <c r="W11" s="18"/>
      <c r="X11" s="18" t="s">
        <v>3</v>
      </c>
      <c r="Y11" s="18" t="s">
        <v>3</v>
      </c>
      <c r="Z11" s="18" t="s">
        <v>3</v>
      </c>
      <c r="AA11" s="18" t="s">
        <v>3</v>
      </c>
      <c r="AB11" s="18" t="s">
        <v>3</v>
      </c>
      <c r="AC11" s="18" t="s">
        <v>3</v>
      </c>
      <c r="AD11" s="18" t="s">
        <v>3</v>
      </c>
      <c r="AE11" s="18"/>
      <c r="AF11" s="18"/>
      <c r="AG11" s="18"/>
      <c r="AH11" s="27">
        <f>COUNTA('10月'!$C11:$AG11)</f>
        <v>21</v>
      </c>
    </row>
    <row r="12" spans="2:34" ht="30" customHeight="1" x14ac:dyDescent="0.25">
      <c r="B12" s="20" t="s">
        <v>45</v>
      </c>
      <c r="C12" s="18" t="s">
        <v>3</v>
      </c>
      <c r="D12" s="18" t="s">
        <v>3</v>
      </c>
      <c r="E12" s="18" t="s">
        <v>3</v>
      </c>
      <c r="F12" s="18" t="s">
        <v>3</v>
      </c>
      <c r="G12" s="18" t="s">
        <v>3</v>
      </c>
      <c r="H12" s="18" t="s">
        <v>3</v>
      </c>
      <c r="I12" s="18" t="s">
        <v>3</v>
      </c>
      <c r="J12" s="18" t="s">
        <v>3</v>
      </c>
      <c r="K12" s="18" t="s">
        <v>3</v>
      </c>
      <c r="L12" s="18" t="s">
        <v>3</v>
      </c>
      <c r="M12" s="18" t="s">
        <v>3</v>
      </c>
      <c r="N12" s="18" t="s">
        <v>3</v>
      </c>
      <c r="O12" s="18" t="s">
        <v>3</v>
      </c>
      <c r="P12" s="18" t="s">
        <v>3</v>
      </c>
      <c r="Q12" s="18"/>
      <c r="R12" s="18"/>
      <c r="S12" s="18"/>
      <c r="T12" s="18"/>
      <c r="U12" s="18"/>
      <c r="V12" s="18"/>
      <c r="W12" s="18"/>
      <c r="X12" s="18" t="s">
        <v>3</v>
      </c>
      <c r="Y12" s="18" t="s">
        <v>3</v>
      </c>
      <c r="Z12" s="18" t="s">
        <v>3</v>
      </c>
      <c r="AA12" s="18" t="s">
        <v>3</v>
      </c>
      <c r="AB12" s="18" t="s">
        <v>3</v>
      </c>
      <c r="AC12" s="18" t="s">
        <v>3</v>
      </c>
      <c r="AD12" s="18" t="s">
        <v>3</v>
      </c>
      <c r="AE12" s="18"/>
      <c r="AF12" s="18"/>
      <c r="AG12" s="18"/>
      <c r="AH12" s="27">
        <f>COUNTA('10月'!$C12:$AG12)</f>
        <v>21</v>
      </c>
    </row>
    <row r="13" spans="2:34" ht="30" customHeight="1" x14ac:dyDescent="0.25">
      <c r="B13" s="20" t="s">
        <v>46</v>
      </c>
      <c r="C13" s="18" t="s">
        <v>3</v>
      </c>
      <c r="D13" s="18" t="s">
        <v>3</v>
      </c>
      <c r="E13" s="18" t="s">
        <v>3</v>
      </c>
      <c r="F13" s="18" t="s">
        <v>3</v>
      </c>
      <c r="G13" s="18" t="s">
        <v>3</v>
      </c>
      <c r="H13" s="18" t="s">
        <v>3</v>
      </c>
      <c r="I13" s="18" t="s">
        <v>3</v>
      </c>
      <c r="J13" s="18" t="s">
        <v>3</v>
      </c>
      <c r="K13" s="18" t="s">
        <v>3</v>
      </c>
      <c r="L13" s="18" t="s">
        <v>3</v>
      </c>
      <c r="M13" s="18" t="s">
        <v>3</v>
      </c>
      <c r="N13" s="18" t="s">
        <v>3</v>
      </c>
      <c r="O13" s="18" t="s">
        <v>3</v>
      </c>
      <c r="P13" s="18" t="s">
        <v>3</v>
      </c>
      <c r="Q13" s="18"/>
      <c r="R13" s="18"/>
      <c r="S13" s="18"/>
      <c r="T13" s="18"/>
      <c r="U13" s="18"/>
      <c r="V13" s="18"/>
      <c r="W13" s="18"/>
      <c r="X13" s="18" t="s">
        <v>3</v>
      </c>
      <c r="Y13" s="18" t="s">
        <v>3</v>
      </c>
      <c r="Z13" s="18" t="s">
        <v>3</v>
      </c>
      <c r="AA13" s="18" t="s">
        <v>3</v>
      </c>
      <c r="AB13" s="18" t="s">
        <v>3</v>
      </c>
      <c r="AC13" s="18" t="s">
        <v>3</v>
      </c>
      <c r="AD13" s="18" t="s">
        <v>3</v>
      </c>
      <c r="AE13" s="18"/>
      <c r="AF13" s="18"/>
      <c r="AG13" s="18"/>
      <c r="AH13" s="27">
        <f>COUNTA('10月'!$C13:$AG13)</f>
        <v>21</v>
      </c>
    </row>
    <row r="14" spans="2:34" ht="30" customHeight="1" x14ac:dyDescent="0.25">
      <c r="B14" s="20" t="s">
        <v>47</v>
      </c>
      <c r="C14" s="18" t="s">
        <v>3</v>
      </c>
      <c r="D14" s="18" t="s">
        <v>3</v>
      </c>
      <c r="E14" s="18" t="s">
        <v>3</v>
      </c>
      <c r="F14" s="18" t="s">
        <v>3</v>
      </c>
      <c r="G14" s="18" t="s">
        <v>3</v>
      </c>
      <c r="H14" s="18" t="s">
        <v>3</v>
      </c>
      <c r="I14" s="18" t="s">
        <v>3</v>
      </c>
      <c r="J14" s="18" t="s">
        <v>3</v>
      </c>
      <c r="K14" s="18" t="s">
        <v>3</v>
      </c>
      <c r="L14" s="18" t="s">
        <v>3</v>
      </c>
      <c r="M14" s="18" t="s">
        <v>3</v>
      </c>
      <c r="N14" s="18" t="s">
        <v>3</v>
      </c>
      <c r="O14" s="18" t="s">
        <v>3</v>
      </c>
      <c r="P14" s="18" t="s">
        <v>3</v>
      </c>
      <c r="Q14" s="18"/>
      <c r="R14" s="18"/>
      <c r="S14" s="18"/>
      <c r="T14" s="18"/>
      <c r="U14" s="18"/>
      <c r="V14" s="18"/>
      <c r="W14" s="18"/>
      <c r="X14" s="18" t="s">
        <v>3</v>
      </c>
      <c r="Y14" s="18" t="s">
        <v>3</v>
      </c>
      <c r="Z14" s="18"/>
      <c r="AA14" s="18"/>
      <c r="AB14" s="18"/>
      <c r="AC14" s="18"/>
      <c r="AD14" s="18"/>
      <c r="AE14" s="18"/>
      <c r="AF14" s="18"/>
      <c r="AG14" s="18"/>
      <c r="AH14" s="27">
        <f>COUNTA('10月'!$C14:$AG14)</f>
        <v>16</v>
      </c>
    </row>
    <row r="15" spans="2:34" ht="30" customHeight="1" x14ac:dyDescent="0.25">
      <c r="B15" s="20" t="s">
        <v>48</v>
      </c>
      <c r="C15" s="18" t="s">
        <v>3</v>
      </c>
      <c r="D15" s="18" t="s">
        <v>3</v>
      </c>
      <c r="E15" s="18" t="s">
        <v>3</v>
      </c>
      <c r="F15" s="18" t="s">
        <v>3</v>
      </c>
      <c r="G15" s="18" t="s">
        <v>3</v>
      </c>
      <c r="H15" s="18" t="s">
        <v>3</v>
      </c>
      <c r="I15" s="18" t="s">
        <v>3</v>
      </c>
      <c r="J15" s="18" t="s">
        <v>3</v>
      </c>
      <c r="K15" s="18" t="s">
        <v>3</v>
      </c>
      <c r="L15" s="18" t="s">
        <v>3</v>
      </c>
      <c r="M15" s="18" t="s">
        <v>3</v>
      </c>
      <c r="N15" s="18" t="s">
        <v>3</v>
      </c>
      <c r="O15" s="18" t="s">
        <v>3</v>
      </c>
      <c r="P15" s="18" t="s">
        <v>3</v>
      </c>
      <c r="Q15" s="18"/>
      <c r="R15" s="18"/>
      <c r="S15" s="18"/>
      <c r="T15" s="18"/>
      <c r="U15" s="18"/>
      <c r="V15" s="18"/>
      <c r="W15" s="18"/>
      <c r="X15" s="18" t="s">
        <v>3</v>
      </c>
      <c r="Y15" s="18" t="s">
        <v>3</v>
      </c>
      <c r="Z15" s="18"/>
      <c r="AA15" s="18"/>
      <c r="AB15" s="18"/>
      <c r="AC15" s="18"/>
      <c r="AD15" s="18"/>
      <c r="AE15" s="18"/>
      <c r="AF15" s="18"/>
      <c r="AG15" s="18"/>
      <c r="AH15" s="27">
        <f>COUNTA('10月'!$C15:$AG15)</f>
        <v>16</v>
      </c>
    </row>
    <row r="16" spans="2:34" ht="30" customHeight="1" x14ac:dyDescent="0.25">
      <c r="B16" s="20" t="s">
        <v>49</v>
      </c>
      <c r="C16" s="18" t="s">
        <v>3</v>
      </c>
      <c r="D16" s="18" t="s">
        <v>3</v>
      </c>
      <c r="E16" s="18" t="s">
        <v>3</v>
      </c>
      <c r="F16" s="18" t="s">
        <v>3</v>
      </c>
      <c r="G16" s="18" t="s">
        <v>3</v>
      </c>
      <c r="H16" s="18" t="s">
        <v>3</v>
      </c>
      <c r="I16" s="18" t="s">
        <v>3</v>
      </c>
      <c r="J16" s="18" t="s">
        <v>3</v>
      </c>
      <c r="K16" s="18" t="s">
        <v>3</v>
      </c>
      <c r="L16" s="18" t="s">
        <v>3</v>
      </c>
      <c r="M16" s="18" t="s">
        <v>3</v>
      </c>
      <c r="N16" s="18" t="s">
        <v>3</v>
      </c>
      <c r="O16" s="18" t="s">
        <v>3</v>
      </c>
      <c r="P16" s="18" t="s">
        <v>3</v>
      </c>
      <c r="Q16" s="18"/>
      <c r="R16" s="18"/>
      <c r="S16" s="18"/>
      <c r="T16" s="18"/>
      <c r="U16" s="18"/>
      <c r="V16" s="18"/>
      <c r="W16" s="18"/>
      <c r="X16" s="18" t="s">
        <v>3</v>
      </c>
      <c r="Y16" s="18" t="s">
        <v>3</v>
      </c>
      <c r="Z16" s="18"/>
      <c r="AA16" s="18"/>
      <c r="AB16" s="18"/>
      <c r="AC16" s="18"/>
      <c r="AD16" s="18"/>
      <c r="AE16" s="18"/>
      <c r="AF16" s="18"/>
      <c r="AG16" s="18"/>
      <c r="AH16" s="27">
        <f>COUNTA('10月'!$C16:$AG16)</f>
        <v>16</v>
      </c>
    </row>
    <row r="17" spans="2:34" ht="30" customHeight="1" x14ac:dyDescent="0.25">
      <c r="B17" s="20" t="s">
        <v>50</v>
      </c>
      <c r="C17" s="18" t="s">
        <v>3</v>
      </c>
      <c r="D17" s="18" t="s">
        <v>3</v>
      </c>
      <c r="E17" s="18" t="s">
        <v>3</v>
      </c>
      <c r="F17" s="18" t="s">
        <v>3</v>
      </c>
      <c r="G17" s="18" t="s">
        <v>3</v>
      </c>
      <c r="H17" s="18" t="s">
        <v>3</v>
      </c>
      <c r="I17" s="18" t="s">
        <v>3</v>
      </c>
      <c r="J17" s="18" t="s">
        <v>3</v>
      </c>
      <c r="K17" s="18" t="s">
        <v>3</v>
      </c>
      <c r="L17" s="18" t="s">
        <v>3</v>
      </c>
      <c r="M17" s="18" t="s">
        <v>3</v>
      </c>
      <c r="N17" s="18" t="s">
        <v>3</v>
      </c>
      <c r="O17" s="18" t="s">
        <v>3</v>
      </c>
      <c r="P17" s="18" t="s">
        <v>3</v>
      </c>
      <c r="Q17" s="18"/>
      <c r="R17" s="18"/>
      <c r="S17" s="18"/>
      <c r="T17" s="18"/>
      <c r="U17" s="18"/>
      <c r="V17" s="18"/>
      <c r="W17" s="18"/>
      <c r="X17" s="18" t="s">
        <v>3</v>
      </c>
      <c r="Y17" s="18" t="s">
        <v>3</v>
      </c>
      <c r="Z17" s="18"/>
      <c r="AA17" s="18"/>
      <c r="AB17" s="18"/>
      <c r="AC17" s="18"/>
      <c r="AD17" s="18"/>
      <c r="AE17" s="18"/>
      <c r="AF17" s="18"/>
      <c r="AG17" s="18"/>
      <c r="AH17" s="27">
        <f>COUNTA('10月'!$C17:$AG17)</f>
        <v>16</v>
      </c>
    </row>
    <row r="18" spans="2:34" ht="30" customHeight="1" x14ac:dyDescent="0.25">
      <c r="B18" s="20" t="s">
        <v>51</v>
      </c>
      <c r="C18" s="18" t="s">
        <v>3</v>
      </c>
      <c r="D18" s="18" t="s">
        <v>3</v>
      </c>
      <c r="E18" s="18" t="s">
        <v>3</v>
      </c>
      <c r="F18" s="18" t="s">
        <v>3</v>
      </c>
      <c r="G18" s="18" t="s">
        <v>3</v>
      </c>
      <c r="H18" s="18" t="s">
        <v>3</v>
      </c>
      <c r="I18" s="18" t="s">
        <v>3</v>
      </c>
      <c r="J18" s="18" t="s">
        <v>3</v>
      </c>
      <c r="K18" s="18" t="s">
        <v>3</v>
      </c>
      <c r="L18" s="18" t="s">
        <v>3</v>
      </c>
      <c r="M18" s="18" t="s">
        <v>3</v>
      </c>
      <c r="N18" s="18" t="s">
        <v>3</v>
      </c>
      <c r="O18" s="18" t="s">
        <v>3</v>
      </c>
      <c r="P18" s="18" t="s">
        <v>3</v>
      </c>
      <c r="Q18" s="18"/>
      <c r="R18" s="18"/>
      <c r="S18" s="18"/>
      <c r="T18" s="18"/>
      <c r="U18" s="18"/>
      <c r="V18" s="18"/>
      <c r="W18" s="18"/>
      <c r="X18" s="18" t="s">
        <v>3</v>
      </c>
      <c r="Y18" s="18" t="s">
        <v>3</v>
      </c>
      <c r="Z18" s="18"/>
      <c r="AA18" s="18"/>
      <c r="AB18" s="18"/>
      <c r="AC18" s="18"/>
      <c r="AD18" s="18"/>
      <c r="AE18" s="18"/>
      <c r="AF18" s="18"/>
      <c r="AG18" s="18"/>
      <c r="AH18" s="27">
        <f>COUNTA('10月'!$C18:$AG18)</f>
        <v>16</v>
      </c>
    </row>
    <row r="19" spans="2:34" ht="30" customHeight="1" x14ac:dyDescent="0.25">
      <c r="B19" s="20" t="s">
        <v>52</v>
      </c>
      <c r="C19" s="18" t="s">
        <v>3</v>
      </c>
      <c r="D19" s="18" t="s">
        <v>3</v>
      </c>
      <c r="E19" s="18" t="s">
        <v>3</v>
      </c>
      <c r="F19" s="18" t="s">
        <v>3</v>
      </c>
      <c r="G19" s="18" t="s">
        <v>3</v>
      </c>
      <c r="H19" s="18" t="s">
        <v>3</v>
      </c>
      <c r="I19" s="18" t="s">
        <v>3</v>
      </c>
      <c r="J19" s="18" t="s">
        <v>3</v>
      </c>
      <c r="K19" s="18" t="s">
        <v>3</v>
      </c>
      <c r="L19" s="18" t="s">
        <v>3</v>
      </c>
      <c r="M19" s="18" t="s">
        <v>3</v>
      </c>
      <c r="N19" s="18" t="s">
        <v>3</v>
      </c>
      <c r="O19" s="18" t="s">
        <v>3</v>
      </c>
      <c r="P19" s="18" t="s">
        <v>3</v>
      </c>
      <c r="Q19" s="18"/>
      <c r="R19" s="18"/>
      <c r="S19" s="18"/>
      <c r="T19" s="18"/>
      <c r="U19" s="18"/>
      <c r="V19" s="18"/>
      <c r="W19" s="18"/>
      <c r="X19" s="18" t="s">
        <v>3</v>
      </c>
      <c r="Y19" s="18" t="s">
        <v>3</v>
      </c>
      <c r="Z19" s="18"/>
      <c r="AA19" s="18"/>
      <c r="AB19" s="18"/>
      <c r="AC19" s="18"/>
      <c r="AD19" s="18"/>
      <c r="AE19" s="18"/>
      <c r="AF19" s="18"/>
      <c r="AG19" s="18"/>
      <c r="AH19" s="27">
        <f>COUNTA('10月'!$C19:$AG19)</f>
        <v>16</v>
      </c>
    </row>
    <row r="20" spans="2:34" ht="30" customHeight="1" x14ac:dyDescent="0.25">
      <c r="B20" s="20" t="s">
        <v>53</v>
      </c>
      <c r="C20" s="18" t="s">
        <v>3</v>
      </c>
      <c r="D20" s="18" t="s">
        <v>3</v>
      </c>
      <c r="E20" s="18" t="s">
        <v>3</v>
      </c>
      <c r="F20" s="18" t="s">
        <v>3</v>
      </c>
      <c r="G20" s="18" t="s">
        <v>3</v>
      </c>
      <c r="H20" s="18" t="s">
        <v>3</v>
      </c>
      <c r="I20" s="18" t="s">
        <v>3</v>
      </c>
      <c r="J20" s="18" t="s">
        <v>3</v>
      </c>
      <c r="K20" s="18" t="s">
        <v>3</v>
      </c>
      <c r="L20" s="18" t="s">
        <v>3</v>
      </c>
      <c r="M20" s="18" t="s">
        <v>3</v>
      </c>
      <c r="N20" s="18" t="s">
        <v>3</v>
      </c>
      <c r="O20" s="18" t="s">
        <v>3</v>
      </c>
      <c r="P20" s="18" t="s">
        <v>3</v>
      </c>
      <c r="Q20" s="18"/>
      <c r="R20" s="18"/>
      <c r="S20" s="18"/>
      <c r="T20" s="18"/>
      <c r="U20" s="18"/>
      <c r="V20" s="18"/>
      <c r="W20" s="18" t="s">
        <v>3</v>
      </c>
      <c r="X20" s="18" t="s">
        <v>3</v>
      </c>
      <c r="Y20" s="18" t="s">
        <v>3</v>
      </c>
      <c r="Z20" s="18" t="s">
        <v>3</v>
      </c>
      <c r="AA20" s="18" t="s">
        <v>3</v>
      </c>
      <c r="AB20" s="18" t="s">
        <v>3</v>
      </c>
      <c r="AC20" s="18" t="s">
        <v>3</v>
      </c>
      <c r="AD20" s="18" t="s">
        <v>3</v>
      </c>
      <c r="AE20" s="18"/>
      <c r="AF20" s="18"/>
      <c r="AG20" s="18"/>
      <c r="AH20" s="27">
        <f>COUNTA('10月'!$C20:$AG20)</f>
        <v>22</v>
      </c>
    </row>
    <row r="21" spans="2:34" ht="30" customHeight="1" x14ac:dyDescent="0.25">
      <c r="B21" s="20" t="s">
        <v>54</v>
      </c>
      <c r="C21" s="18" t="s">
        <v>3</v>
      </c>
      <c r="D21" s="18" t="s">
        <v>3</v>
      </c>
      <c r="E21" s="18" t="s">
        <v>3</v>
      </c>
      <c r="F21" s="18" t="s">
        <v>3</v>
      </c>
      <c r="G21" s="18" t="s">
        <v>3</v>
      </c>
      <c r="H21" s="18" t="s">
        <v>3</v>
      </c>
      <c r="I21" s="18" t="s">
        <v>3</v>
      </c>
      <c r="J21" s="18" t="s">
        <v>3</v>
      </c>
      <c r="K21" s="18" t="s">
        <v>3</v>
      </c>
      <c r="L21" s="18" t="s">
        <v>3</v>
      </c>
      <c r="M21" s="18" t="s">
        <v>3</v>
      </c>
      <c r="N21" s="18" t="s">
        <v>3</v>
      </c>
      <c r="O21" s="18" t="s">
        <v>3</v>
      </c>
      <c r="P21" s="18" t="s">
        <v>3</v>
      </c>
      <c r="Q21" s="18"/>
      <c r="R21" s="18"/>
      <c r="S21" s="18"/>
      <c r="T21" s="18"/>
      <c r="U21" s="18"/>
      <c r="V21" s="18"/>
      <c r="W21" s="18"/>
      <c r="X21" s="18" t="s">
        <v>3</v>
      </c>
      <c r="Y21" s="18" t="s">
        <v>3</v>
      </c>
      <c r="Z21" s="18" t="s">
        <v>3</v>
      </c>
      <c r="AA21" s="18" t="s">
        <v>3</v>
      </c>
      <c r="AB21" s="18" t="s">
        <v>3</v>
      </c>
      <c r="AC21" s="18" t="s">
        <v>3</v>
      </c>
      <c r="AD21" s="18" t="s">
        <v>3</v>
      </c>
      <c r="AE21" s="18"/>
      <c r="AF21" s="18"/>
      <c r="AG21" s="18"/>
      <c r="AH21" s="27">
        <f>COUNTA('10月'!$C21:$AG21)</f>
        <v>21</v>
      </c>
    </row>
    <row r="22" spans="2:34" ht="30" customHeight="1" x14ac:dyDescent="0.25">
      <c r="B22" s="20" t="s">
        <v>55</v>
      </c>
      <c r="C22" s="18" t="s">
        <v>3</v>
      </c>
      <c r="D22" s="18" t="s">
        <v>3</v>
      </c>
      <c r="E22" s="18" t="s">
        <v>3</v>
      </c>
      <c r="F22" s="18" t="s">
        <v>3</v>
      </c>
      <c r="G22" s="18" t="s">
        <v>3</v>
      </c>
      <c r="H22" s="18" t="s">
        <v>3</v>
      </c>
      <c r="I22" s="18" t="s">
        <v>3</v>
      </c>
      <c r="J22" s="18" t="s">
        <v>3</v>
      </c>
      <c r="K22" s="18" t="s">
        <v>3</v>
      </c>
      <c r="L22" s="18" t="s">
        <v>3</v>
      </c>
      <c r="M22" s="18" t="s">
        <v>3</v>
      </c>
      <c r="N22" s="18" t="s">
        <v>3</v>
      </c>
      <c r="O22" s="18" t="s">
        <v>3</v>
      </c>
      <c r="P22" s="18" t="s">
        <v>3</v>
      </c>
      <c r="Q22" s="18"/>
      <c r="R22" s="18"/>
      <c r="S22" s="18"/>
      <c r="T22" s="18"/>
      <c r="U22" s="18"/>
      <c r="V22" s="18"/>
      <c r="W22" s="18"/>
      <c r="X22" s="18" t="s">
        <v>3</v>
      </c>
      <c r="Y22" s="18" t="s">
        <v>3</v>
      </c>
      <c r="Z22" s="18" t="s">
        <v>3</v>
      </c>
      <c r="AA22" s="18" t="s">
        <v>3</v>
      </c>
      <c r="AB22" s="18" t="s">
        <v>3</v>
      </c>
      <c r="AC22" s="18" t="s">
        <v>3</v>
      </c>
      <c r="AD22" s="18" t="s">
        <v>3</v>
      </c>
      <c r="AE22" s="18"/>
      <c r="AF22" s="18"/>
      <c r="AG22" s="18"/>
      <c r="AH22" s="27">
        <f>COUNTA('10月'!$C22:$AG22)</f>
        <v>21</v>
      </c>
    </row>
    <row r="23" spans="2:34" ht="30" customHeight="1" x14ac:dyDescent="0.25">
      <c r="B23" s="20" t="s">
        <v>56</v>
      </c>
      <c r="C23" s="18" t="s">
        <v>3</v>
      </c>
      <c r="D23" s="18" t="s">
        <v>3</v>
      </c>
      <c r="E23" s="18" t="s">
        <v>3</v>
      </c>
      <c r="F23" s="18" t="s">
        <v>3</v>
      </c>
      <c r="G23" s="18" t="s">
        <v>3</v>
      </c>
      <c r="H23" s="18" t="s">
        <v>3</v>
      </c>
      <c r="I23" s="18" t="s">
        <v>3</v>
      </c>
      <c r="J23" s="18" t="s">
        <v>3</v>
      </c>
      <c r="K23" s="18" t="s">
        <v>3</v>
      </c>
      <c r="L23" s="18" t="s">
        <v>3</v>
      </c>
      <c r="M23" s="18" t="s">
        <v>3</v>
      </c>
      <c r="N23" s="18" t="s">
        <v>3</v>
      </c>
      <c r="O23" s="18" t="s">
        <v>3</v>
      </c>
      <c r="P23" s="18" t="s">
        <v>3</v>
      </c>
      <c r="Q23" s="18"/>
      <c r="R23" s="18"/>
      <c r="S23" s="18"/>
      <c r="T23" s="18"/>
      <c r="U23" s="18"/>
      <c r="V23" s="18"/>
      <c r="W23" s="18"/>
      <c r="X23" s="18" t="s">
        <v>3</v>
      </c>
      <c r="Y23" s="18" t="s">
        <v>3</v>
      </c>
      <c r="Z23" s="18" t="s">
        <v>3</v>
      </c>
      <c r="AA23" s="18" t="s">
        <v>3</v>
      </c>
      <c r="AB23" s="18" t="s">
        <v>3</v>
      </c>
      <c r="AC23" s="18" t="s">
        <v>3</v>
      </c>
      <c r="AD23" s="18" t="s">
        <v>3</v>
      </c>
      <c r="AE23" s="18"/>
      <c r="AF23" s="18"/>
      <c r="AG23" s="18"/>
      <c r="AH23" s="27">
        <f>COUNTA('10月'!$C23:$AG23)</f>
        <v>21</v>
      </c>
    </row>
    <row r="24" spans="2:34" ht="30" customHeight="1" x14ac:dyDescent="0.25">
      <c r="B24" s="20" t="s">
        <v>57</v>
      </c>
      <c r="C24" s="18" t="s">
        <v>3</v>
      </c>
      <c r="D24" s="18" t="s">
        <v>3</v>
      </c>
      <c r="E24" s="18" t="s">
        <v>3</v>
      </c>
      <c r="F24" s="18" t="s">
        <v>3</v>
      </c>
      <c r="G24" s="18" t="s">
        <v>3</v>
      </c>
      <c r="H24" s="18" t="s">
        <v>3</v>
      </c>
      <c r="I24" s="18" t="s">
        <v>3</v>
      </c>
      <c r="J24" s="18" t="s">
        <v>3</v>
      </c>
      <c r="K24" s="18" t="s">
        <v>3</v>
      </c>
      <c r="L24" s="18" t="s">
        <v>3</v>
      </c>
      <c r="M24" s="18" t="s">
        <v>3</v>
      </c>
      <c r="N24" s="18" t="s">
        <v>3</v>
      </c>
      <c r="O24" s="18" t="s">
        <v>3</v>
      </c>
      <c r="P24" s="18" t="s">
        <v>3</v>
      </c>
      <c r="Q24" s="18"/>
      <c r="R24" s="18"/>
      <c r="S24" s="18"/>
      <c r="T24" s="18"/>
      <c r="U24" s="18"/>
      <c r="V24" s="18"/>
      <c r="W24" s="18"/>
      <c r="X24" s="18" t="s">
        <v>3</v>
      </c>
      <c r="Y24" s="18" t="s">
        <v>3</v>
      </c>
      <c r="Z24" s="18" t="s">
        <v>3</v>
      </c>
      <c r="AA24" s="18" t="s">
        <v>3</v>
      </c>
      <c r="AB24" s="18" t="s">
        <v>3</v>
      </c>
      <c r="AC24" s="18" t="s">
        <v>3</v>
      </c>
      <c r="AD24" s="18" t="s">
        <v>3</v>
      </c>
      <c r="AE24" s="18"/>
      <c r="AF24" s="18"/>
      <c r="AG24" s="18"/>
      <c r="AH24" s="27">
        <f>COUNTA('10月'!$C24:$AG24)</f>
        <v>21</v>
      </c>
    </row>
    <row r="25" spans="2:34" ht="30" customHeight="1" x14ac:dyDescent="0.25">
      <c r="B25" s="20" t="s">
        <v>58</v>
      </c>
      <c r="C25" s="18" t="s">
        <v>3</v>
      </c>
      <c r="D25" s="18" t="s">
        <v>3</v>
      </c>
      <c r="E25" s="18" t="s">
        <v>3</v>
      </c>
      <c r="F25" s="18" t="s">
        <v>3</v>
      </c>
      <c r="G25" s="18" t="s">
        <v>3</v>
      </c>
      <c r="H25" s="18" t="s">
        <v>3</v>
      </c>
      <c r="I25" s="18" t="s">
        <v>3</v>
      </c>
      <c r="J25" s="18" t="s">
        <v>3</v>
      </c>
      <c r="K25" s="18" t="s">
        <v>3</v>
      </c>
      <c r="L25" s="18" t="s">
        <v>3</v>
      </c>
      <c r="M25" s="18" t="s">
        <v>3</v>
      </c>
      <c r="N25" s="18" t="s">
        <v>3</v>
      </c>
      <c r="O25" s="18" t="s">
        <v>3</v>
      </c>
      <c r="P25" s="18" t="s">
        <v>3</v>
      </c>
      <c r="Q25" s="18"/>
      <c r="R25" s="18"/>
      <c r="S25" s="18"/>
      <c r="T25" s="18"/>
      <c r="U25" s="18"/>
      <c r="V25" s="18"/>
      <c r="W25" s="18"/>
      <c r="X25" s="18" t="s">
        <v>3</v>
      </c>
      <c r="Y25" s="18" t="s">
        <v>3</v>
      </c>
      <c r="Z25" s="18"/>
      <c r="AA25" s="18"/>
      <c r="AB25" s="18"/>
      <c r="AC25" s="18"/>
      <c r="AD25" s="18"/>
      <c r="AE25" s="18"/>
      <c r="AF25" s="18"/>
      <c r="AG25" s="18"/>
      <c r="AH25" s="27">
        <f>COUNTA('10月'!$C25:$AG25)</f>
        <v>16</v>
      </c>
    </row>
    <row r="26" spans="2:34" ht="30" customHeight="1" x14ac:dyDescent="0.25">
      <c r="B26" s="20" t="s">
        <v>59</v>
      </c>
      <c r="C26" s="18" t="s">
        <v>3</v>
      </c>
      <c r="D26" s="18" t="s">
        <v>3</v>
      </c>
      <c r="E26" s="18" t="s">
        <v>3</v>
      </c>
      <c r="F26" s="18" t="s">
        <v>3</v>
      </c>
      <c r="G26" s="18" t="s">
        <v>3</v>
      </c>
      <c r="H26" s="18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18" t="s">
        <v>3</v>
      </c>
      <c r="N26" s="18" t="s">
        <v>3</v>
      </c>
      <c r="O26" s="18" t="s">
        <v>3</v>
      </c>
      <c r="P26" s="18" t="s">
        <v>3</v>
      </c>
      <c r="Q26" s="18"/>
      <c r="R26" s="18"/>
      <c r="S26" s="18"/>
      <c r="T26" s="18"/>
      <c r="U26" s="18"/>
      <c r="V26" s="18"/>
      <c r="W26" s="18"/>
      <c r="X26" s="18" t="s">
        <v>3</v>
      </c>
      <c r="Y26" s="18" t="s">
        <v>3</v>
      </c>
      <c r="Z26" s="18"/>
      <c r="AA26" s="18"/>
      <c r="AB26" s="18"/>
      <c r="AC26" s="18"/>
      <c r="AD26" s="18"/>
      <c r="AE26" s="18"/>
      <c r="AF26" s="18"/>
      <c r="AG26" s="18"/>
      <c r="AH26" s="27">
        <f>COUNTA('10月'!$C26:$AG26)</f>
        <v>16</v>
      </c>
    </row>
    <row r="27" spans="2:34" ht="30" customHeight="1" x14ac:dyDescent="0.25">
      <c r="B27" s="20" t="s">
        <v>60</v>
      </c>
      <c r="C27" s="18" t="s">
        <v>3</v>
      </c>
      <c r="D27" s="18" t="s">
        <v>3</v>
      </c>
      <c r="E27" s="18" t="s">
        <v>3</v>
      </c>
      <c r="F27" s="18" t="s">
        <v>3</v>
      </c>
      <c r="G27" s="18" t="s">
        <v>3</v>
      </c>
      <c r="H27" s="18" t="s">
        <v>3</v>
      </c>
      <c r="I27" s="18" t="s">
        <v>3</v>
      </c>
      <c r="J27" s="18" t="s">
        <v>3</v>
      </c>
      <c r="K27" s="18" t="s">
        <v>3</v>
      </c>
      <c r="L27" s="18" t="s">
        <v>3</v>
      </c>
      <c r="M27" s="18" t="s">
        <v>3</v>
      </c>
      <c r="N27" s="18" t="s">
        <v>3</v>
      </c>
      <c r="O27" s="18" t="s">
        <v>3</v>
      </c>
      <c r="P27" s="18" t="s">
        <v>3</v>
      </c>
      <c r="Q27" s="18"/>
      <c r="R27" s="18"/>
      <c r="S27" s="18"/>
      <c r="T27" s="18"/>
      <c r="U27" s="18"/>
      <c r="V27" s="18"/>
      <c r="W27" s="18"/>
      <c r="X27" s="18" t="s">
        <v>3</v>
      </c>
      <c r="Y27" s="18" t="s">
        <v>3</v>
      </c>
      <c r="Z27" s="18"/>
      <c r="AA27" s="18"/>
      <c r="AB27" s="18"/>
      <c r="AC27" s="18"/>
      <c r="AD27" s="18"/>
      <c r="AE27" s="18"/>
      <c r="AF27" s="18"/>
      <c r="AG27" s="18"/>
      <c r="AH27" s="27">
        <f>COUNTA('10月'!$C27:$AG27)</f>
        <v>16</v>
      </c>
    </row>
    <row r="28" spans="2:34" ht="30" customHeight="1" x14ac:dyDescent="0.25">
      <c r="B28" s="20" t="s">
        <v>61</v>
      </c>
      <c r="C28" s="18" t="s">
        <v>3</v>
      </c>
      <c r="D28" s="18" t="s">
        <v>3</v>
      </c>
      <c r="E28" s="18" t="s">
        <v>3</v>
      </c>
      <c r="F28" s="18" t="s">
        <v>3</v>
      </c>
      <c r="G28" s="18" t="s">
        <v>3</v>
      </c>
      <c r="H28" s="18" t="s">
        <v>3</v>
      </c>
      <c r="I28" s="18" t="s">
        <v>3</v>
      </c>
      <c r="J28" s="18" t="s">
        <v>3</v>
      </c>
      <c r="K28" s="18" t="s">
        <v>3</v>
      </c>
      <c r="L28" s="18" t="s">
        <v>3</v>
      </c>
      <c r="M28" s="18" t="s">
        <v>3</v>
      </c>
      <c r="N28" s="18" t="s">
        <v>3</v>
      </c>
      <c r="O28" s="18" t="s">
        <v>3</v>
      </c>
      <c r="P28" s="18" t="s">
        <v>3</v>
      </c>
      <c r="Q28" s="18"/>
      <c r="R28" s="18"/>
      <c r="S28" s="18"/>
      <c r="T28" s="18"/>
      <c r="U28" s="18"/>
      <c r="V28" s="18"/>
      <c r="W28" s="18"/>
      <c r="X28" s="18" t="s">
        <v>3</v>
      </c>
      <c r="Y28" s="18" t="s">
        <v>3</v>
      </c>
      <c r="Z28" s="18"/>
      <c r="AA28" s="18"/>
      <c r="AB28" s="18"/>
      <c r="AC28" s="18"/>
      <c r="AD28" s="18"/>
      <c r="AE28" s="18"/>
      <c r="AF28" s="18"/>
      <c r="AG28" s="18"/>
      <c r="AH28" s="27">
        <f>COUNTA('10月'!$C28:$AG28)</f>
        <v>16</v>
      </c>
    </row>
    <row r="29" spans="2:34" ht="30" customHeight="1" x14ac:dyDescent="0.25">
      <c r="B29" s="20" t="s">
        <v>62</v>
      </c>
      <c r="C29" s="18" t="s">
        <v>3</v>
      </c>
      <c r="D29" s="18" t="s">
        <v>3</v>
      </c>
      <c r="E29" s="18" t="s">
        <v>3</v>
      </c>
      <c r="F29" s="18" t="s">
        <v>3</v>
      </c>
      <c r="G29" s="18" t="s">
        <v>3</v>
      </c>
      <c r="H29" s="18" t="s">
        <v>3</v>
      </c>
      <c r="I29" s="18" t="s">
        <v>3</v>
      </c>
      <c r="J29" s="18" t="s">
        <v>3</v>
      </c>
      <c r="K29" s="18" t="s">
        <v>3</v>
      </c>
      <c r="L29" s="18" t="s">
        <v>3</v>
      </c>
      <c r="M29" s="18" t="s">
        <v>3</v>
      </c>
      <c r="N29" s="18" t="s">
        <v>3</v>
      </c>
      <c r="O29" s="18" t="s">
        <v>3</v>
      </c>
      <c r="P29" s="18" t="s">
        <v>3</v>
      </c>
      <c r="Q29" s="18"/>
      <c r="R29" s="18"/>
      <c r="S29" s="18"/>
      <c r="T29" s="18"/>
      <c r="U29" s="18"/>
      <c r="V29" s="18"/>
      <c r="W29" s="18"/>
      <c r="X29" s="18" t="s">
        <v>3</v>
      </c>
      <c r="Y29" s="18" t="s">
        <v>3</v>
      </c>
      <c r="Z29" s="18"/>
      <c r="AA29" s="18"/>
      <c r="AB29" s="18"/>
      <c r="AC29" s="18"/>
      <c r="AD29" s="18"/>
      <c r="AE29" s="18"/>
      <c r="AF29" s="18"/>
      <c r="AG29" s="18"/>
      <c r="AH29" s="27">
        <f>COUNTA('10月'!$C29:$AG29)</f>
        <v>16</v>
      </c>
    </row>
    <row r="30" spans="2:34" ht="30" customHeight="1" x14ac:dyDescent="0.25">
      <c r="B30" s="21" t="str">
        <f>MonthName&amp;"集計"</f>
        <v>10月集計</v>
      </c>
      <c r="C30" s="22">
        <f>SUBTOTAL(103,月10[1])</f>
        <v>21</v>
      </c>
      <c r="D30" s="22">
        <f>SUBTOTAL(103,月10[2])</f>
        <v>21</v>
      </c>
      <c r="E30" s="22">
        <f>SUBTOTAL(103,月10[3])</f>
        <v>21</v>
      </c>
      <c r="F30" s="22">
        <f>SUBTOTAL(103,月10[4])</f>
        <v>21</v>
      </c>
      <c r="G30" s="22">
        <f>SUBTOTAL(103,月10[5])</f>
        <v>21</v>
      </c>
      <c r="H30" s="22">
        <f>SUBTOTAL(103,月10[6])</f>
        <v>21</v>
      </c>
      <c r="I30" s="22">
        <f>SUBTOTAL(103,月10[7])</f>
        <v>21</v>
      </c>
      <c r="J30" s="22">
        <f>SUBTOTAL(103,月10[8])</f>
        <v>21</v>
      </c>
      <c r="K30" s="22">
        <f>SUBTOTAL(103,月10[9])</f>
        <v>21</v>
      </c>
      <c r="L30" s="22">
        <f>SUBTOTAL(103,月10[10])</f>
        <v>21</v>
      </c>
      <c r="M30" s="22">
        <f>SUBTOTAL(103,月10[11])</f>
        <v>21</v>
      </c>
      <c r="N30" s="22">
        <f>SUBTOTAL(103,月10[12])</f>
        <v>21</v>
      </c>
      <c r="O30" s="22">
        <f>SUBTOTAL(103,月10[13])</f>
        <v>21</v>
      </c>
      <c r="P30" s="22">
        <f>SUBTOTAL(103,月10[14])</f>
        <v>21</v>
      </c>
      <c r="Q30" s="22">
        <f>SUBTOTAL(103,月10[15])</f>
        <v>0</v>
      </c>
      <c r="R30" s="22">
        <f>SUBTOTAL(103,月10[16])</f>
        <v>0</v>
      </c>
      <c r="S30" s="22">
        <f>SUBTOTAL(103,月10[17])</f>
        <v>0</v>
      </c>
      <c r="T30" s="22">
        <f>SUBTOTAL(103,月10[18])</f>
        <v>0</v>
      </c>
      <c r="U30" s="22">
        <f>SUBTOTAL(103,月10[19])</f>
        <v>0</v>
      </c>
      <c r="V30" s="22">
        <f>SUBTOTAL(103,月10[20])</f>
        <v>0</v>
      </c>
      <c r="W30" s="22">
        <f>SUBTOTAL(103,月10[21])</f>
        <v>2</v>
      </c>
      <c r="X30" s="22">
        <f>SUBTOTAL(103,月10[22])</f>
        <v>21</v>
      </c>
      <c r="Y30" s="22">
        <f>SUBTOTAL(103,月10[23])</f>
        <v>21</v>
      </c>
      <c r="Z30" s="22">
        <f>SUBTOTAL(103,月10[24])</f>
        <v>10</v>
      </c>
      <c r="AA30" s="22">
        <f>SUBTOTAL(103,月10[25])</f>
        <v>10</v>
      </c>
      <c r="AB30" s="22">
        <f>SUBTOTAL(103,月10[26])</f>
        <v>10</v>
      </c>
      <c r="AC30" s="22">
        <f>SUBTOTAL(103,月10[27])</f>
        <v>10</v>
      </c>
      <c r="AD30" s="22">
        <f>SUBTOTAL(103,月10[28])</f>
        <v>10</v>
      </c>
      <c r="AE30" s="22">
        <f>SUBTOTAL(103,月10[29])</f>
        <v>0</v>
      </c>
      <c r="AF30" s="22">
        <f>SUBTOTAL(109,月10[30])</f>
        <v>0</v>
      </c>
      <c r="AG30" s="22">
        <f>SUBTOTAL(109,月10[31])</f>
        <v>0</v>
      </c>
      <c r="AH30" s="22">
        <f>SUBTOTAL(109,月10[合計日数])</f>
        <v>388</v>
      </c>
    </row>
  </sheetData>
  <mergeCells count="6">
    <mergeCell ref="C6:AG6"/>
    <mergeCell ref="D4:F4"/>
    <mergeCell ref="H4:J4"/>
    <mergeCell ref="L4:M4"/>
    <mergeCell ref="O4:Q4"/>
    <mergeCell ref="S4:U4"/>
  </mergeCells>
  <phoneticPr fontId="10"/>
  <conditionalFormatting sqref="C9:AG29">
    <cfRule type="expression" priority="1" stopIfTrue="1">
      <formula>C9=""</formula>
    </cfRule>
    <cfRule type="expression" dxfId="576" priority="2" stopIfTrue="1">
      <formula>C9=KeyCustom2</formula>
    </cfRule>
    <cfRule type="expression" dxfId="575" priority="3" stopIfTrue="1">
      <formula>C9=KeyCustom1</formula>
    </cfRule>
    <cfRule type="expression" dxfId="574" priority="4" stopIfTrue="1">
      <formula>C9=KeySick</formula>
    </cfRule>
    <cfRule type="expression" dxfId="573" priority="5" stopIfTrue="1">
      <formula>C9=KeyPersonal</formula>
    </cfRule>
    <cfRule type="expression" dxfId="572" priority="6" stopIfTrue="1">
      <formula>C9=KeyVacation</formula>
    </cfRule>
  </conditionalFormatting>
  <conditionalFormatting sqref="AH9:AH29">
    <cfRule type="dataBar" priority="7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{6E433DA1-3DD8-4142-80E8-E615986ECE3F}</x14:id>
        </ext>
      </extLst>
    </cfRule>
  </conditionalFormatting>
  <dataValidations count="14">
    <dataValidation allowBlank="1" showInputMessage="1" showErrorMessage="1" prompt="この行の曜日は、AH4 の年に従い当月に応じて自動的に更新されます。月の各日付は、従業員の欠勤と欠勤の種類を記録するための列です" sqref="C7" xr:uid="{6C3B7250-7883-E447-A5BD-190F9EC85610}"/>
    <dataValidation allowBlank="1" showInputMessage="1" showErrorMessage="1" prompt="1 月のワークシートに入力した年に基づいて自動的に更新される年" sqref="AH6" xr:uid="{856FAEF4-8645-3447-91CD-944E3DA437F4}"/>
    <dataValidation allowBlank="1" showInputMessage="1" showErrorMessage="1" prompt="この列で、従業員の今月の欠勤日数の合計を自動的に計算します" sqref="AH8" xr:uid="{460C2673-D90D-514F-89AA-D6D7BDC2B7D4}"/>
    <dataValidation allowBlank="1" showInputMessage="1" showErrorMessage="1" prompt="このワークシートでは 10 月の欠勤を管理します" sqref="A1" xr:uid="{00000000-0002-0000-0900-000003000000}"/>
    <dataValidation errorStyle="warning" allowBlank="1" showInputMessage="1" showErrorMessage="1" error="リストから名前を選択します。[キャンセル] を選択し、Alt キーを押しながら下方向キーを押してから、Enter キーを押して名前を選択します" prompt="従業員名ワークシートに従業員の名前を入力し、この列のリストから名前を選びます。Alt キーを押しながら下矢印キーを押して、Enter キーを押して名前を選択します" sqref="B8" xr:uid="{44EADDEC-C0C0-D348-A864-4940BC2D178C}"/>
    <dataValidation allowBlank="1" showErrorMessage="1" prompt="文字 &quot;V&quot; は休暇のための欠勤を表します" sqref="C4" xr:uid="{8AFA64B3-CA12-D746-A7DF-89EF58BCE3D5}"/>
    <dataValidation allowBlank="1" showErrorMessage="1" prompt="文字 &quot;P&quot; は私用による欠勤を表します" sqref="G4" xr:uid="{3B7999AA-167A-CE4C-8796-899AE23635AB}"/>
    <dataValidation allowBlank="1" showErrorMessage="1" prompt="文字 &quot;S&quot; は病欠を表します" sqref="K4" xr:uid="{1B40AE04-6602-1B4B-831F-DE91BF80E5BA}"/>
    <dataValidation allowBlank="1" showErrorMessage="1" prompt="右側に文字を入力してラベルをカスタマイズし、別のキー項目を追加します" sqref="R4 N4" xr:uid="{E244B439-C378-D64B-B39B-3ECAC0628D41}"/>
    <dataValidation allowBlank="1" showInputMessage="1" showErrorMessage="1" prompt="左側にカスタム キーを表すラベルを入力します" sqref="O4:Q4 S4:U4" xr:uid="{8092AE17-9B79-B44F-87F7-9F40BB2047F6}"/>
    <dataValidation allowBlank="1" showInputMessage="1" showErrorMessage="1" prompt="このセルには、この欠勤管理の月の名前が入ります。テーブルの最後のセルには、この月の欠勤日数の合計が表示されます。テーブルの列 B で従業員名を選択します" sqref="B2" xr:uid="{00000000-0002-0000-0900-00000C000000}"/>
    <dataValidation allowBlank="1" showInputMessage="1" showErrorMessage="1" prompt="この行の月の日付は、自動的に生成されます。従業員の欠勤と欠勤の種類を月の各日付の各列に入力します。空白は欠勤でないことを示します" sqref="C8" xr:uid="{E2589F34-72AD-7946-9C30-9FD4409BBCB4}"/>
    <dataValidation allowBlank="1" showInputMessage="1" showErrorMessage="1" prompt="この行には、テーブルで使用するキーが定義されています。セル C4 は休暇、G4 は私用、K4 は病欠です。セル N4 と R4 はカスタマイズ可能です" sqref="B4" xr:uid="{64951AAF-92FB-44AB-A8AD-B37C0B2DD08A}"/>
    <dataValidation allowBlank="1" showInputMessage="1" showErrorMessage="1" prompt="このセルには、ワークシートのタイトルが入ります。" sqref="B1" xr:uid="{0D29BBC6-A0EB-4A62-9EB3-5ACF8CD1AAE6}"/>
  </dataValidations>
  <pageMargins left="0.7" right="0.7" top="0.75" bottom="0.75" header="0.3" footer="0.3"/>
  <pageSetup paperSize="9" fitToHeight="0" orientation="portrait" verticalDpi="4294967293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433DA1-3DD8-4142-80E8-E615986ECE3F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AH9:AH29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2001A2-03ED-4061-BBFE-6A7D9ABC8518}">
          <x14:formula1>
            <xm:f>従業員名!$B$4:$B$35</xm:f>
          </x14:formula1>
          <xm:sqref>B9:B29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/>
  </sheetPr>
  <dimension ref="B1:AH53"/>
  <sheetViews>
    <sheetView showGridLines="0" topLeftCell="O7" zoomScale="85" zoomScaleNormal="85" workbookViewId="0">
      <selection activeCell="AH9" sqref="AH9"/>
    </sheetView>
  </sheetViews>
  <sheetFormatPr defaultColWidth="8.77734375" defaultRowHeight="30" customHeight="1" x14ac:dyDescent="0.25"/>
  <cols>
    <col min="1" max="1" width="2.88671875" customWidth="1"/>
    <col min="2" max="2" width="25.77734375" customWidth="1"/>
    <col min="3" max="33" width="4.77734375" customWidth="1"/>
    <col min="34" max="34" width="13.44140625" customWidth="1"/>
    <col min="35" max="35" width="2.88671875" customWidth="1"/>
  </cols>
  <sheetData>
    <row r="1" spans="2:34" ht="26.45" customHeight="1" x14ac:dyDescent="0.35">
      <c r="B1" s="2" t="s">
        <v>0</v>
      </c>
    </row>
    <row r="2" spans="2:34" ht="48.6" customHeight="1" x14ac:dyDescent="0.25">
      <c r="B2" s="28" t="s">
        <v>74</v>
      </c>
    </row>
    <row r="3" spans="2:34" ht="8.4499999999999993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2:34" ht="30" customHeight="1" x14ac:dyDescent="0.25">
      <c r="B4" s="8" t="s">
        <v>2</v>
      </c>
      <c r="C4" s="9" t="s">
        <v>3</v>
      </c>
      <c r="D4" s="37" t="s">
        <v>4</v>
      </c>
      <c r="E4" s="37"/>
      <c r="F4" s="37"/>
      <c r="G4" s="10" t="s">
        <v>5</v>
      </c>
      <c r="H4" s="37" t="s">
        <v>6</v>
      </c>
      <c r="I4" s="37"/>
      <c r="J4" s="37"/>
      <c r="K4" s="11"/>
      <c r="L4" s="37"/>
      <c r="M4" s="37"/>
      <c r="N4" s="12"/>
      <c r="O4" s="37" t="s">
        <v>7</v>
      </c>
      <c r="P4" s="37"/>
      <c r="Q4" s="37"/>
      <c r="R4" s="13"/>
      <c r="S4" s="37" t="s">
        <v>8</v>
      </c>
      <c r="T4" s="37"/>
      <c r="U4" s="37"/>
    </row>
    <row r="5" spans="2:34" ht="8.4499999999999993" customHeight="1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2:34" ht="15" customHeight="1" x14ac:dyDescent="0.25">
      <c r="B6" s="1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15">
        <v>2024</v>
      </c>
    </row>
    <row r="7" spans="2:34" ht="30" customHeight="1" x14ac:dyDescent="0.25">
      <c r="B7" s="15"/>
      <c r="C7" s="16" t="str">
        <f>TEXT(WEEKDAY(DATE($AH$6,11,1),1),"aaa")</f>
        <v>金</v>
      </c>
      <c r="D7" s="16" t="str">
        <f>TEXT(WEEKDAY(DATE($AH$6,11,2),1),"aaa")</f>
        <v>土</v>
      </c>
      <c r="E7" s="16" t="str">
        <f>TEXT(WEEKDAY(DATE($AH$6,11,3),1),"aaa")</f>
        <v>日</v>
      </c>
      <c r="F7" s="16" t="str">
        <f>TEXT(WEEKDAY(DATE($AH$6,11,4),1),"aaa")</f>
        <v>月</v>
      </c>
      <c r="G7" s="16" t="str">
        <f>TEXT(WEEKDAY(DATE($AH$6,11,5),1),"aaa")</f>
        <v>火</v>
      </c>
      <c r="H7" s="16" t="str">
        <f>TEXT(WEEKDAY(DATE($AH$6,11,6),1),"aaa")</f>
        <v>水</v>
      </c>
      <c r="I7" s="16" t="str">
        <f>TEXT(WEEKDAY(DATE($AH$6,11,7),1),"aaa")</f>
        <v>木</v>
      </c>
      <c r="J7" s="16" t="str">
        <f>TEXT(WEEKDAY(DATE($AH$6,11,8),1),"aaa")</f>
        <v>金</v>
      </c>
      <c r="K7" s="16" t="str">
        <f>TEXT(WEEKDAY(DATE($AH$6,11,9),1),"aaa")</f>
        <v>土</v>
      </c>
      <c r="L7" s="16" t="str">
        <f>TEXT(WEEKDAY(DATE($AH$6,11,10),1),"aaa")</f>
        <v>日</v>
      </c>
      <c r="M7" s="16" t="str">
        <f>TEXT(WEEKDAY(DATE($AH$6,11,11),1),"aaa")</f>
        <v>月</v>
      </c>
      <c r="N7" s="16" t="str">
        <f>TEXT(WEEKDAY(DATE($AH$6,11,12),1),"aaa")</f>
        <v>火</v>
      </c>
      <c r="O7" s="16" t="str">
        <f>TEXT(WEEKDAY(DATE($AH$6,11,13),1),"aaa")</f>
        <v>水</v>
      </c>
      <c r="P7" s="16" t="str">
        <f>TEXT(WEEKDAY(DATE($AH$6,11,14),1),"aaa")</f>
        <v>木</v>
      </c>
      <c r="Q7" s="16" t="str">
        <f>TEXT(WEEKDAY(DATE($AH$6,11,15),1),"aaa")</f>
        <v>金</v>
      </c>
      <c r="R7" s="16" t="str">
        <f>TEXT(WEEKDAY(DATE($AH$6,11,16),1),"aaa")</f>
        <v>土</v>
      </c>
      <c r="S7" s="16" t="str">
        <f>TEXT(WEEKDAY(DATE($AH$6,11,17),1),"aaa")</f>
        <v>日</v>
      </c>
      <c r="T7" s="16" t="str">
        <f>TEXT(WEEKDAY(DATE($AH$6,11,18),1),"aaa")</f>
        <v>月</v>
      </c>
      <c r="U7" s="16" t="str">
        <f>TEXT(WEEKDAY(DATE($AH$6,11,19),1),"aaa")</f>
        <v>火</v>
      </c>
      <c r="V7" s="16" t="str">
        <f>TEXT(WEEKDAY(DATE($AH$6,11,20),1),"aaa")</f>
        <v>水</v>
      </c>
      <c r="W7" s="16" t="str">
        <f>TEXT(WEEKDAY(DATE($AH$6,11,21),1),"aaa")</f>
        <v>木</v>
      </c>
      <c r="X7" s="16" t="str">
        <f>TEXT(WEEKDAY(DATE($AH$6,11,22),1),"aaa")</f>
        <v>金</v>
      </c>
      <c r="Y7" s="16" t="str">
        <f>TEXT(WEEKDAY(DATE($AH$6,11,23),1),"aaa")</f>
        <v>土</v>
      </c>
      <c r="Z7" s="16" t="str">
        <f>TEXT(WEEKDAY(DATE($AH$6,11,24),1),"aaa")</f>
        <v>日</v>
      </c>
      <c r="AA7" s="16" t="str">
        <f>TEXT(WEEKDAY(DATE($AH$6,11,25),1),"aaa")</f>
        <v>月</v>
      </c>
      <c r="AB7" s="16" t="str">
        <f>TEXT(WEEKDAY(DATE($AH$6,11,26),1),"aaa")</f>
        <v>火</v>
      </c>
      <c r="AC7" s="16" t="str">
        <f>TEXT(WEEKDAY(DATE($AH$6,11,27),1),"aaa")</f>
        <v>水</v>
      </c>
      <c r="AD7" s="16" t="str">
        <f>TEXT(WEEKDAY(DATE($AH$6,11,28),1),"aaa")</f>
        <v>木</v>
      </c>
      <c r="AE7" s="16" t="str">
        <f>TEXT(WEEKDAY(DATE($AH$6,11,29),1),"aaa")</f>
        <v>金</v>
      </c>
      <c r="AF7" s="16" t="str">
        <f>TEXT(WEEKDAY(DATE($AH$6,11,30),1),"aaa")</f>
        <v>土</v>
      </c>
      <c r="AG7" s="16"/>
      <c r="AH7" s="15"/>
    </row>
    <row r="8" spans="2:34" ht="30" customHeight="1" x14ac:dyDescent="0.25">
      <c r="B8" s="17" t="s">
        <v>9</v>
      </c>
      <c r="C8" s="18" t="s">
        <v>10</v>
      </c>
      <c r="D8" s="18" t="s">
        <v>11</v>
      </c>
      <c r="E8" s="18" t="s">
        <v>12</v>
      </c>
      <c r="F8" s="18" t="s">
        <v>13</v>
      </c>
      <c r="G8" s="18" t="s">
        <v>14</v>
      </c>
      <c r="H8" s="18" t="s">
        <v>15</v>
      </c>
      <c r="I8" s="18" t="s">
        <v>16</v>
      </c>
      <c r="J8" s="18" t="s">
        <v>17</v>
      </c>
      <c r="K8" s="18" t="s">
        <v>18</v>
      </c>
      <c r="L8" s="18" t="s">
        <v>19</v>
      </c>
      <c r="M8" s="18" t="s">
        <v>20</v>
      </c>
      <c r="N8" s="18" t="s">
        <v>21</v>
      </c>
      <c r="O8" s="18" t="s">
        <v>22</v>
      </c>
      <c r="P8" s="18" t="s">
        <v>23</v>
      </c>
      <c r="Q8" s="18" t="s">
        <v>24</v>
      </c>
      <c r="R8" s="18" t="s">
        <v>25</v>
      </c>
      <c r="S8" s="18" t="s">
        <v>26</v>
      </c>
      <c r="T8" s="18" t="s">
        <v>27</v>
      </c>
      <c r="U8" s="18" t="s">
        <v>28</v>
      </c>
      <c r="V8" s="18" t="s">
        <v>29</v>
      </c>
      <c r="W8" s="18" t="s">
        <v>30</v>
      </c>
      <c r="X8" s="18" t="s">
        <v>31</v>
      </c>
      <c r="Y8" s="18" t="s">
        <v>32</v>
      </c>
      <c r="Z8" s="18" t="s">
        <v>33</v>
      </c>
      <c r="AA8" s="18" t="s">
        <v>34</v>
      </c>
      <c r="AB8" s="18" t="s">
        <v>35</v>
      </c>
      <c r="AC8" s="18" t="s">
        <v>36</v>
      </c>
      <c r="AD8" s="18" t="s">
        <v>37</v>
      </c>
      <c r="AE8" s="18" t="s">
        <v>38</v>
      </c>
      <c r="AF8" s="18" t="s">
        <v>39</v>
      </c>
      <c r="AG8" s="18" t="s">
        <v>40</v>
      </c>
      <c r="AH8" s="19" t="s">
        <v>41</v>
      </c>
    </row>
    <row r="9" spans="2:34" ht="30" customHeight="1" x14ac:dyDescent="0.25">
      <c r="B9" s="20" t="s">
        <v>75</v>
      </c>
      <c r="C9" s="18"/>
      <c r="D9" s="18"/>
      <c r="E9" s="18"/>
      <c r="F9" s="18" t="s">
        <v>66</v>
      </c>
      <c r="G9" s="18" t="s">
        <v>66</v>
      </c>
      <c r="H9" s="18" t="s">
        <v>66</v>
      </c>
      <c r="I9" s="18" t="s">
        <v>66</v>
      </c>
      <c r="J9" s="18" t="s">
        <v>66</v>
      </c>
      <c r="K9" s="18" t="s">
        <v>66</v>
      </c>
      <c r="L9" s="18" t="s">
        <v>66</v>
      </c>
      <c r="M9" s="18" t="s">
        <v>66</v>
      </c>
      <c r="N9" s="18" t="s">
        <v>66</v>
      </c>
      <c r="O9" s="18" t="s">
        <v>66</v>
      </c>
      <c r="P9" s="18" t="s">
        <v>66</v>
      </c>
      <c r="Q9" s="18" t="s">
        <v>66</v>
      </c>
      <c r="R9" s="18" t="s">
        <v>66</v>
      </c>
      <c r="S9" s="18" t="s">
        <v>66</v>
      </c>
      <c r="T9" s="18" t="s">
        <v>66</v>
      </c>
      <c r="U9" s="18" t="s">
        <v>66</v>
      </c>
      <c r="V9" s="18" t="s">
        <v>66</v>
      </c>
      <c r="W9" s="9" t="s">
        <v>3</v>
      </c>
      <c r="X9" s="18"/>
      <c r="Y9" s="18"/>
      <c r="Z9" s="18"/>
      <c r="AA9" s="18"/>
      <c r="AB9" s="18" t="s">
        <v>66</v>
      </c>
      <c r="AC9" s="18" t="s">
        <v>66</v>
      </c>
      <c r="AD9" s="18" t="s">
        <v>66</v>
      </c>
      <c r="AE9" s="18" t="s">
        <v>66</v>
      </c>
      <c r="AF9" s="18"/>
      <c r="AG9" s="18"/>
      <c r="AH9" s="27">
        <f>COUNTA('11月'!$C9:$AG9)</f>
        <v>22</v>
      </c>
    </row>
    <row r="10" spans="2:34" ht="30" customHeight="1" x14ac:dyDescent="0.25">
      <c r="B10" s="20" t="s">
        <v>76</v>
      </c>
      <c r="C10" s="18"/>
      <c r="D10" s="18"/>
      <c r="E10" s="18"/>
      <c r="F10" s="18" t="s">
        <v>66</v>
      </c>
      <c r="G10" s="18" t="s">
        <v>66</v>
      </c>
      <c r="H10" s="18" t="s">
        <v>66</v>
      </c>
      <c r="I10" s="18" t="s">
        <v>66</v>
      </c>
      <c r="J10" s="18" t="s">
        <v>66</v>
      </c>
      <c r="K10" s="18" t="s">
        <v>66</v>
      </c>
      <c r="L10" s="18" t="s">
        <v>66</v>
      </c>
      <c r="M10" s="18" t="s">
        <v>66</v>
      </c>
      <c r="N10" s="18" t="s">
        <v>66</v>
      </c>
      <c r="O10" s="18" t="s">
        <v>66</v>
      </c>
      <c r="P10" s="18" t="s">
        <v>66</v>
      </c>
      <c r="Q10" s="18" t="s">
        <v>66</v>
      </c>
      <c r="R10" s="18" t="s">
        <v>66</v>
      </c>
      <c r="S10" s="18" t="s">
        <v>66</v>
      </c>
      <c r="T10" s="18" t="s">
        <v>66</v>
      </c>
      <c r="U10" s="18" t="s">
        <v>66</v>
      </c>
      <c r="V10" s="18"/>
      <c r="W10" s="9" t="s">
        <v>3</v>
      </c>
      <c r="X10" s="18"/>
      <c r="Y10" s="18"/>
      <c r="Z10" s="18"/>
      <c r="AA10" s="18"/>
      <c r="AB10" s="18"/>
      <c r="AC10" s="9" t="s">
        <v>3</v>
      </c>
      <c r="AD10" s="18" t="s">
        <v>66</v>
      </c>
      <c r="AE10" s="18" t="s">
        <v>66</v>
      </c>
      <c r="AF10" s="18"/>
      <c r="AG10" s="18"/>
      <c r="AH10" s="27">
        <f>COUNTA('11月'!$C10:$AG10)</f>
        <v>20</v>
      </c>
    </row>
    <row r="11" spans="2:34" ht="30" customHeight="1" x14ac:dyDescent="0.25">
      <c r="B11" s="20" t="s">
        <v>77</v>
      </c>
      <c r="C11" s="18"/>
      <c r="D11" s="18"/>
      <c r="E11" s="18"/>
      <c r="F11" s="18" t="s">
        <v>66</v>
      </c>
      <c r="G11" s="18" t="s">
        <v>66</v>
      </c>
      <c r="H11" s="18" t="s">
        <v>66</v>
      </c>
      <c r="I11" s="18" t="s">
        <v>66</v>
      </c>
      <c r="J11" s="18" t="s">
        <v>66</v>
      </c>
      <c r="K11" s="18" t="s">
        <v>66</v>
      </c>
      <c r="L11" s="18" t="s">
        <v>66</v>
      </c>
      <c r="M11" s="18" t="s">
        <v>66</v>
      </c>
      <c r="N11" s="18" t="s">
        <v>66</v>
      </c>
      <c r="O11" s="18" t="s">
        <v>66</v>
      </c>
      <c r="P11" s="18" t="s">
        <v>66</v>
      </c>
      <c r="Q11" s="18" t="s">
        <v>66</v>
      </c>
      <c r="R11" s="18" t="s">
        <v>66</v>
      </c>
      <c r="S11" s="18" t="s">
        <v>66</v>
      </c>
      <c r="T11" s="18" t="s">
        <v>66</v>
      </c>
      <c r="U11" s="18" t="s">
        <v>66</v>
      </c>
      <c r="V11" s="18"/>
      <c r="W11" s="9" t="s">
        <v>3</v>
      </c>
      <c r="X11" s="18"/>
      <c r="Y11" s="18"/>
      <c r="Z11" s="18"/>
      <c r="AA11" s="18"/>
      <c r="AB11" s="18"/>
      <c r="AC11" s="18" t="s">
        <v>66</v>
      </c>
      <c r="AD11" s="18" t="s">
        <v>66</v>
      </c>
      <c r="AE11" s="18" t="s">
        <v>66</v>
      </c>
      <c r="AF11" s="18"/>
      <c r="AG11" s="18"/>
      <c r="AH11" s="27">
        <f>COUNTA('11月'!$C11:$AG11)</f>
        <v>20</v>
      </c>
    </row>
    <row r="12" spans="2:34" ht="30" customHeight="1" x14ac:dyDescent="0.25">
      <c r="B12" s="20" t="s">
        <v>78</v>
      </c>
      <c r="C12" s="18"/>
      <c r="D12" s="18"/>
      <c r="E12" s="18"/>
      <c r="F12" s="18" t="s">
        <v>66</v>
      </c>
      <c r="G12" s="18" t="s">
        <v>66</v>
      </c>
      <c r="H12" s="18" t="s">
        <v>66</v>
      </c>
      <c r="I12" s="18" t="s">
        <v>66</v>
      </c>
      <c r="J12" s="18" t="s">
        <v>66</v>
      </c>
      <c r="K12" s="18" t="s">
        <v>66</v>
      </c>
      <c r="L12" s="18" t="s">
        <v>66</v>
      </c>
      <c r="M12" s="18" t="s">
        <v>66</v>
      </c>
      <c r="N12" s="18" t="s">
        <v>66</v>
      </c>
      <c r="O12" s="18" t="s">
        <v>66</v>
      </c>
      <c r="P12" s="18" t="s">
        <v>66</v>
      </c>
      <c r="Q12" s="18" t="s">
        <v>66</v>
      </c>
      <c r="R12" s="18" t="s">
        <v>66</v>
      </c>
      <c r="S12" s="18" t="s">
        <v>66</v>
      </c>
      <c r="T12" s="18" t="s">
        <v>66</v>
      </c>
      <c r="U12" s="18" t="s">
        <v>66</v>
      </c>
      <c r="V12" s="18"/>
      <c r="W12" s="9" t="s">
        <v>3</v>
      </c>
      <c r="X12" s="18"/>
      <c r="Y12" s="18"/>
      <c r="Z12" s="18"/>
      <c r="AA12" s="18"/>
      <c r="AB12" s="18"/>
      <c r="AC12" s="18" t="s">
        <v>66</v>
      </c>
      <c r="AD12" s="18" t="s">
        <v>66</v>
      </c>
      <c r="AE12" s="18" t="s">
        <v>66</v>
      </c>
      <c r="AF12" s="18"/>
      <c r="AG12" s="18"/>
      <c r="AH12" s="27">
        <f>COUNTA('11月'!$C12:$AG12)</f>
        <v>20</v>
      </c>
    </row>
    <row r="13" spans="2:34" ht="30" customHeight="1" x14ac:dyDescent="0.25">
      <c r="B13" s="20" t="s">
        <v>79</v>
      </c>
      <c r="C13" s="18"/>
      <c r="D13" s="18"/>
      <c r="E13" s="18"/>
      <c r="F13" s="18" t="s">
        <v>66</v>
      </c>
      <c r="G13" s="18" t="s">
        <v>66</v>
      </c>
      <c r="H13" s="18" t="s">
        <v>66</v>
      </c>
      <c r="I13" s="18" t="s">
        <v>66</v>
      </c>
      <c r="J13" s="18" t="s">
        <v>66</v>
      </c>
      <c r="K13" s="18" t="s">
        <v>66</v>
      </c>
      <c r="L13" s="18" t="s">
        <v>66</v>
      </c>
      <c r="M13" s="18" t="s">
        <v>66</v>
      </c>
      <c r="N13" s="18" t="s">
        <v>66</v>
      </c>
      <c r="O13" s="18" t="s">
        <v>66</v>
      </c>
      <c r="P13" s="18" t="s">
        <v>66</v>
      </c>
      <c r="Q13" s="18" t="s">
        <v>66</v>
      </c>
      <c r="R13" s="18" t="s">
        <v>66</v>
      </c>
      <c r="S13" s="18" t="s">
        <v>66</v>
      </c>
      <c r="T13" s="18" t="s">
        <v>66</v>
      </c>
      <c r="U13" s="18" t="s">
        <v>66</v>
      </c>
      <c r="V13" s="18"/>
      <c r="W13" s="9" t="s">
        <v>3</v>
      </c>
      <c r="X13" s="18"/>
      <c r="Y13" s="18"/>
      <c r="Z13" s="18"/>
      <c r="AA13" s="18"/>
      <c r="AB13" s="18"/>
      <c r="AC13" s="18" t="s">
        <v>66</v>
      </c>
      <c r="AD13" s="18" t="s">
        <v>66</v>
      </c>
      <c r="AE13" s="18" t="s">
        <v>66</v>
      </c>
      <c r="AF13" s="18"/>
      <c r="AG13" s="18"/>
      <c r="AH13" s="27">
        <f>COUNTA('11月'!$C13:$AG13)</f>
        <v>20</v>
      </c>
    </row>
    <row r="14" spans="2:34" ht="30" customHeight="1" x14ac:dyDescent="0.25">
      <c r="B14" s="20" t="s">
        <v>80</v>
      </c>
      <c r="C14" s="18"/>
      <c r="D14" s="18"/>
      <c r="E14" s="18"/>
      <c r="F14" s="18" t="s">
        <v>66</v>
      </c>
      <c r="G14" s="18" t="s">
        <v>66</v>
      </c>
      <c r="H14" s="18" t="s">
        <v>66</v>
      </c>
      <c r="I14" s="18" t="s">
        <v>66</v>
      </c>
      <c r="J14" s="18" t="s">
        <v>66</v>
      </c>
      <c r="K14" s="18" t="s">
        <v>66</v>
      </c>
      <c r="L14" s="18" t="s">
        <v>66</v>
      </c>
      <c r="M14" s="18" t="s">
        <v>66</v>
      </c>
      <c r="N14" s="18" t="s">
        <v>66</v>
      </c>
      <c r="O14" s="18" t="s">
        <v>66</v>
      </c>
      <c r="P14" s="18" t="s">
        <v>66</v>
      </c>
      <c r="Q14" s="18" t="s">
        <v>66</v>
      </c>
      <c r="R14" s="18" t="s">
        <v>66</v>
      </c>
      <c r="S14" s="18" t="s">
        <v>66</v>
      </c>
      <c r="T14" s="18" t="s">
        <v>66</v>
      </c>
      <c r="U14" s="18" t="s">
        <v>66</v>
      </c>
      <c r="V14" s="18"/>
      <c r="W14" s="9" t="s">
        <v>3</v>
      </c>
      <c r="X14" s="18"/>
      <c r="Y14" s="18"/>
      <c r="Z14" s="18"/>
      <c r="AA14" s="18"/>
      <c r="AB14" s="18"/>
      <c r="AC14" s="18" t="s">
        <v>66</v>
      </c>
      <c r="AD14" s="18" t="s">
        <v>66</v>
      </c>
      <c r="AE14" s="18" t="s">
        <v>66</v>
      </c>
      <c r="AF14" s="18"/>
      <c r="AG14" s="18"/>
      <c r="AH14" s="27">
        <f>COUNTA('11月'!$C14:$AG14)</f>
        <v>20</v>
      </c>
    </row>
    <row r="15" spans="2:34" ht="30" customHeight="1" x14ac:dyDescent="0.25">
      <c r="B15" s="20" t="s">
        <v>81</v>
      </c>
      <c r="C15" s="18"/>
      <c r="D15" s="18"/>
      <c r="E15" s="18"/>
      <c r="F15" s="18" t="s">
        <v>66</v>
      </c>
      <c r="G15" s="18" t="s">
        <v>66</v>
      </c>
      <c r="H15" s="18" t="s">
        <v>66</v>
      </c>
      <c r="I15" s="18" t="s">
        <v>66</v>
      </c>
      <c r="J15" s="18" t="s">
        <v>66</v>
      </c>
      <c r="K15" s="18" t="s">
        <v>66</v>
      </c>
      <c r="L15" s="18" t="s">
        <v>66</v>
      </c>
      <c r="M15" s="18" t="s">
        <v>66</v>
      </c>
      <c r="N15" s="18" t="s">
        <v>66</v>
      </c>
      <c r="O15" s="18" t="s">
        <v>66</v>
      </c>
      <c r="P15" s="18" t="s">
        <v>66</v>
      </c>
      <c r="Q15" s="18" t="s">
        <v>66</v>
      </c>
      <c r="R15" s="18" t="s">
        <v>66</v>
      </c>
      <c r="S15" s="18" t="s">
        <v>66</v>
      </c>
      <c r="T15" s="18" t="s">
        <v>66</v>
      </c>
      <c r="U15" s="18" t="s">
        <v>66</v>
      </c>
      <c r="V15" s="18"/>
      <c r="W15" s="9" t="s">
        <v>3</v>
      </c>
      <c r="X15" s="18"/>
      <c r="Y15" s="18"/>
      <c r="Z15" s="18"/>
      <c r="AA15" s="18"/>
      <c r="AB15" s="18"/>
      <c r="AC15" s="18" t="s">
        <v>66</v>
      </c>
      <c r="AD15" s="18" t="s">
        <v>66</v>
      </c>
      <c r="AE15" s="18" t="s">
        <v>66</v>
      </c>
      <c r="AF15" s="18"/>
      <c r="AG15" s="18"/>
      <c r="AH15" s="27">
        <f>COUNTA('11月'!$C15:$AG15)</f>
        <v>20</v>
      </c>
    </row>
    <row r="16" spans="2:34" ht="30" customHeight="1" x14ac:dyDescent="0.25">
      <c r="B16" s="20" t="s">
        <v>82</v>
      </c>
      <c r="C16" s="18"/>
      <c r="D16" s="18"/>
      <c r="E16" s="18"/>
      <c r="F16" s="18" t="s">
        <v>66</v>
      </c>
      <c r="G16" s="18" t="s">
        <v>66</v>
      </c>
      <c r="H16" s="18" t="s">
        <v>66</v>
      </c>
      <c r="I16" s="18" t="s">
        <v>66</v>
      </c>
      <c r="J16" s="18" t="s">
        <v>66</v>
      </c>
      <c r="K16" s="18" t="s">
        <v>66</v>
      </c>
      <c r="L16" s="18" t="s">
        <v>66</v>
      </c>
      <c r="M16" s="18" t="s">
        <v>66</v>
      </c>
      <c r="N16" s="18" t="s">
        <v>66</v>
      </c>
      <c r="O16" s="18" t="s">
        <v>66</v>
      </c>
      <c r="P16" s="18" t="s">
        <v>66</v>
      </c>
      <c r="Q16" s="18" t="s">
        <v>66</v>
      </c>
      <c r="R16" s="18" t="s">
        <v>66</v>
      </c>
      <c r="S16" s="18" t="s">
        <v>66</v>
      </c>
      <c r="T16" s="18" t="s">
        <v>66</v>
      </c>
      <c r="U16" s="18" t="s">
        <v>66</v>
      </c>
      <c r="V16" s="18"/>
      <c r="W16" s="9" t="s">
        <v>3</v>
      </c>
      <c r="X16" s="18"/>
      <c r="Y16" s="18"/>
      <c r="Z16" s="18"/>
      <c r="AA16" s="18"/>
      <c r="AB16" s="18"/>
      <c r="AC16" s="18" t="s">
        <v>66</v>
      </c>
      <c r="AD16" s="18" t="s">
        <v>66</v>
      </c>
      <c r="AE16" s="18" t="s">
        <v>66</v>
      </c>
      <c r="AF16" s="18"/>
      <c r="AG16" s="18"/>
      <c r="AH16" s="27">
        <f>COUNTA('11月'!$C16:$AG16)</f>
        <v>20</v>
      </c>
    </row>
    <row r="17" spans="2:34" ht="30" customHeight="1" x14ac:dyDescent="0.25">
      <c r="B17" s="20" t="s">
        <v>83</v>
      </c>
      <c r="C17" s="18"/>
      <c r="D17" s="18"/>
      <c r="E17" s="18"/>
      <c r="F17" s="18" t="s">
        <v>66</v>
      </c>
      <c r="G17" s="18" t="s">
        <v>66</v>
      </c>
      <c r="H17" s="18" t="s">
        <v>66</v>
      </c>
      <c r="I17" s="18" t="s">
        <v>66</v>
      </c>
      <c r="J17" s="18" t="s">
        <v>66</v>
      </c>
      <c r="K17" s="18" t="s">
        <v>66</v>
      </c>
      <c r="L17" s="18" t="s">
        <v>66</v>
      </c>
      <c r="M17" s="18" t="s">
        <v>66</v>
      </c>
      <c r="N17" s="18" t="s">
        <v>66</v>
      </c>
      <c r="O17" s="18" t="s">
        <v>66</v>
      </c>
      <c r="P17" s="18" t="s">
        <v>66</v>
      </c>
      <c r="Q17" s="18" t="s">
        <v>66</v>
      </c>
      <c r="R17" s="18" t="s">
        <v>66</v>
      </c>
      <c r="S17" s="18" t="s">
        <v>66</v>
      </c>
      <c r="T17" s="18" t="s">
        <v>66</v>
      </c>
      <c r="U17" s="18" t="s">
        <v>66</v>
      </c>
      <c r="V17" s="18"/>
      <c r="W17" s="9" t="s">
        <v>3</v>
      </c>
      <c r="X17" s="18"/>
      <c r="Y17" s="18"/>
      <c r="Z17" s="18"/>
      <c r="AA17" s="18"/>
      <c r="AB17" s="18"/>
      <c r="AC17" s="18" t="s">
        <v>66</v>
      </c>
      <c r="AD17" s="18" t="s">
        <v>66</v>
      </c>
      <c r="AE17" s="18" t="s">
        <v>66</v>
      </c>
      <c r="AF17" s="18"/>
      <c r="AG17" s="18"/>
      <c r="AH17" s="27">
        <f>COUNTA('11月'!$C17:$AG17)</f>
        <v>20</v>
      </c>
    </row>
    <row r="18" spans="2:34" ht="30" customHeight="1" x14ac:dyDescent="0.25">
      <c r="B18" s="20" t="s">
        <v>84</v>
      </c>
      <c r="C18" s="18"/>
      <c r="D18" s="18"/>
      <c r="E18" s="18"/>
      <c r="F18" s="18" t="s">
        <v>66</v>
      </c>
      <c r="G18" s="18" t="s">
        <v>66</v>
      </c>
      <c r="H18" s="18" t="s">
        <v>66</v>
      </c>
      <c r="I18" s="18" t="s">
        <v>66</v>
      </c>
      <c r="J18" s="18" t="s">
        <v>66</v>
      </c>
      <c r="K18" s="18" t="s">
        <v>66</v>
      </c>
      <c r="L18" s="18" t="s">
        <v>66</v>
      </c>
      <c r="M18" s="18" t="s">
        <v>66</v>
      </c>
      <c r="N18" s="18" t="s">
        <v>66</v>
      </c>
      <c r="O18" s="18" t="s">
        <v>66</v>
      </c>
      <c r="P18" s="18" t="s">
        <v>66</v>
      </c>
      <c r="Q18" s="18" t="s">
        <v>66</v>
      </c>
      <c r="R18" s="18" t="s">
        <v>66</v>
      </c>
      <c r="S18" s="18" t="s">
        <v>66</v>
      </c>
      <c r="T18" s="18" t="s">
        <v>66</v>
      </c>
      <c r="U18" s="18" t="s">
        <v>66</v>
      </c>
      <c r="V18" s="18"/>
      <c r="W18" s="9" t="s">
        <v>3</v>
      </c>
      <c r="X18" s="18"/>
      <c r="Y18" s="18"/>
      <c r="Z18" s="18"/>
      <c r="AA18" s="18"/>
      <c r="AB18" s="18"/>
      <c r="AC18" s="18" t="s">
        <v>66</v>
      </c>
      <c r="AD18" s="18" t="s">
        <v>66</v>
      </c>
      <c r="AE18" s="18" t="s">
        <v>66</v>
      </c>
      <c r="AF18" s="18"/>
      <c r="AG18" s="18"/>
      <c r="AH18" s="27">
        <f>COUNTA('11月'!$C18:$AG18)</f>
        <v>20</v>
      </c>
    </row>
    <row r="19" spans="2:34" ht="30" customHeight="1" x14ac:dyDescent="0.25">
      <c r="B19" s="20" t="s">
        <v>85</v>
      </c>
      <c r="C19" s="18"/>
      <c r="D19" s="18"/>
      <c r="E19" s="18"/>
      <c r="F19" s="18" t="s">
        <v>66</v>
      </c>
      <c r="G19" s="18" t="s">
        <v>66</v>
      </c>
      <c r="H19" s="18" t="s">
        <v>66</v>
      </c>
      <c r="I19" s="18" t="s">
        <v>66</v>
      </c>
      <c r="J19" s="18" t="s">
        <v>66</v>
      </c>
      <c r="K19" s="18" t="s">
        <v>66</v>
      </c>
      <c r="L19" s="18" t="s">
        <v>66</v>
      </c>
      <c r="M19" s="18" t="s">
        <v>66</v>
      </c>
      <c r="N19" s="18" t="s">
        <v>66</v>
      </c>
      <c r="O19" s="18" t="s">
        <v>66</v>
      </c>
      <c r="P19" s="18" t="s">
        <v>66</v>
      </c>
      <c r="Q19" s="18" t="s">
        <v>66</v>
      </c>
      <c r="R19" s="18" t="s">
        <v>66</v>
      </c>
      <c r="S19" s="18" t="s">
        <v>66</v>
      </c>
      <c r="T19" s="18" t="s">
        <v>66</v>
      </c>
      <c r="U19" s="18" t="s">
        <v>66</v>
      </c>
      <c r="V19" s="18"/>
      <c r="W19" s="9" t="s">
        <v>3</v>
      </c>
      <c r="X19" s="18"/>
      <c r="Y19" s="18"/>
      <c r="Z19" s="18"/>
      <c r="AA19" s="18"/>
      <c r="AB19" s="18"/>
      <c r="AC19" s="18" t="s">
        <v>66</v>
      </c>
      <c r="AD19" s="18" t="s">
        <v>66</v>
      </c>
      <c r="AE19" s="18" t="s">
        <v>66</v>
      </c>
      <c r="AF19" s="18"/>
      <c r="AG19" s="18"/>
      <c r="AH19" s="27">
        <f>COUNTA('11月'!$C19:$AG19)</f>
        <v>20</v>
      </c>
    </row>
    <row r="20" spans="2:34" ht="30" customHeight="1" x14ac:dyDescent="0.25">
      <c r="B20" s="31" t="s">
        <v>86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 t="s">
        <v>3</v>
      </c>
      <c r="W20" s="18" t="s">
        <v>3</v>
      </c>
      <c r="X20" s="18" t="s">
        <v>3</v>
      </c>
      <c r="Y20" s="18" t="s">
        <v>3</v>
      </c>
      <c r="Z20" s="18" t="s">
        <v>3</v>
      </c>
      <c r="AA20" s="18"/>
      <c r="AB20" s="18"/>
      <c r="AC20" s="18"/>
      <c r="AD20" s="18"/>
      <c r="AE20" s="18"/>
      <c r="AF20" s="18"/>
      <c r="AG20" s="18"/>
      <c r="AH20" s="27">
        <f>COUNTA(月11[[#This Row],[1]:[ ]])</f>
        <v>5</v>
      </c>
    </row>
    <row r="21" spans="2:34" ht="30" customHeight="1" x14ac:dyDescent="0.25">
      <c r="B21" s="31" t="s">
        <v>87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 t="s">
        <v>3</v>
      </c>
      <c r="W21" s="18" t="s">
        <v>3</v>
      </c>
      <c r="X21" s="18" t="s">
        <v>3</v>
      </c>
      <c r="Y21" s="18" t="s">
        <v>3</v>
      </c>
      <c r="Z21" s="18" t="s">
        <v>3</v>
      </c>
      <c r="AA21" s="18"/>
      <c r="AB21" s="18"/>
      <c r="AC21" s="18"/>
      <c r="AD21" s="18"/>
      <c r="AE21" s="18"/>
      <c r="AF21" s="18"/>
      <c r="AG21" s="18"/>
      <c r="AH21" s="27">
        <f>COUNTA(月11[[#This Row],[1]:[ ]])</f>
        <v>5</v>
      </c>
    </row>
    <row r="22" spans="2:34" ht="30" customHeight="1" x14ac:dyDescent="0.25">
      <c r="B22" s="31" t="s">
        <v>88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 t="s">
        <v>3</v>
      </c>
      <c r="W22" s="18" t="s">
        <v>3</v>
      </c>
      <c r="X22" s="18" t="s">
        <v>3</v>
      </c>
      <c r="Y22" s="18" t="s">
        <v>3</v>
      </c>
      <c r="Z22" s="18" t="s">
        <v>3</v>
      </c>
      <c r="AA22" s="18"/>
      <c r="AB22" s="18"/>
      <c r="AC22" s="18"/>
      <c r="AD22" s="18"/>
      <c r="AE22" s="18"/>
      <c r="AF22" s="18"/>
      <c r="AG22" s="18"/>
      <c r="AH22" s="27">
        <f>COUNTA(月11[[#This Row],[1]:[ ]])</f>
        <v>5</v>
      </c>
    </row>
    <row r="23" spans="2:34" ht="30" customHeight="1" x14ac:dyDescent="0.25">
      <c r="B23" s="31" t="s">
        <v>89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 t="s">
        <v>3</v>
      </c>
      <c r="W23" s="18" t="s">
        <v>3</v>
      </c>
      <c r="X23" s="18" t="s">
        <v>3</v>
      </c>
      <c r="Y23" s="18" t="s">
        <v>3</v>
      </c>
      <c r="Z23" s="18" t="s">
        <v>3</v>
      </c>
      <c r="AA23" s="18"/>
      <c r="AB23" s="18"/>
      <c r="AC23" s="18"/>
      <c r="AD23" s="18"/>
      <c r="AE23" s="18"/>
      <c r="AF23" s="18"/>
      <c r="AG23" s="18"/>
      <c r="AH23" s="27">
        <f>COUNTA(月11[[#This Row],[1]:[ ]])</f>
        <v>5</v>
      </c>
    </row>
    <row r="24" spans="2:34" ht="30" customHeight="1" x14ac:dyDescent="0.25">
      <c r="B24" s="31" t="s">
        <v>90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 t="s">
        <v>3</v>
      </c>
      <c r="W24" s="18" t="s">
        <v>3</v>
      </c>
      <c r="X24" s="18" t="s">
        <v>3</v>
      </c>
      <c r="Y24" s="18" t="s">
        <v>3</v>
      </c>
      <c r="Z24" s="18" t="s">
        <v>3</v>
      </c>
      <c r="AA24" s="18"/>
      <c r="AB24" s="18"/>
      <c r="AC24" s="18"/>
      <c r="AD24" s="18"/>
      <c r="AE24" s="18"/>
      <c r="AF24" s="18"/>
      <c r="AG24" s="18"/>
      <c r="AH24" s="27">
        <f>COUNTA(月11[[#This Row],[1]:[ ]])</f>
        <v>5</v>
      </c>
    </row>
    <row r="25" spans="2:34" ht="30" customHeight="1" x14ac:dyDescent="0.25">
      <c r="B25" s="31" t="s">
        <v>91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 t="s">
        <v>3</v>
      </c>
      <c r="W25" s="18" t="s">
        <v>3</v>
      </c>
      <c r="X25" s="18" t="s">
        <v>3</v>
      </c>
      <c r="Y25" s="18" t="s">
        <v>3</v>
      </c>
      <c r="Z25" s="18" t="s">
        <v>3</v>
      </c>
      <c r="AA25" s="18"/>
      <c r="AB25" s="18"/>
      <c r="AC25" s="18"/>
      <c r="AD25" s="18"/>
      <c r="AE25" s="18"/>
      <c r="AF25" s="18"/>
      <c r="AG25" s="18"/>
      <c r="AH25" s="27">
        <f>COUNTA(月11[[#This Row],[1]:[ ]])</f>
        <v>5</v>
      </c>
    </row>
    <row r="26" spans="2:34" ht="30" customHeight="1" x14ac:dyDescent="0.25">
      <c r="B26" s="31" t="s">
        <v>92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 t="s">
        <v>3</v>
      </c>
      <c r="W26" s="18" t="s">
        <v>3</v>
      </c>
      <c r="X26" s="18" t="s">
        <v>3</v>
      </c>
      <c r="Y26" s="18" t="s">
        <v>3</v>
      </c>
      <c r="Z26" s="18" t="s">
        <v>3</v>
      </c>
      <c r="AA26" s="18"/>
      <c r="AB26" s="18"/>
      <c r="AC26" s="18"/>
      <c r="AD26" s="18"/>
      <c r="AE26" s="18"/>
      <c r="AF26" s="18"/>
      <c r="AG26" s="18"/>
      <c r="AH26" s="27">
        <f>COUNTA(月11[[#This Row],[1]:[ ]])</f>
        <v>5</v>
      </c>
    </row>
    <row r="27" spans="2:34" ht="30" customHeight="1" x14ac:dyDescent="0.25">
      <c r="B27" s="31" t="s">
        <v>93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 t="s">
        <v>3</v>
      </c>
      <c r="W27" s="18" t="s">
        <v>3</v>
      </c>
      <c r="X27" s="18" t="s">
        <v>3</v>
      </c>
      <c r="Y27" s="18" t="s">
        <v>3</v>
      </c>
      <c r="Z27" s="18" t="s">
        <v>3</v>
      </c>
      <c r="AA27" s="18"/>
      <c r="AB27" s="18"/>
      <c r="AC27" s="18"/>
      <c r="AD27" s="18"/>
      <c r="AE27" s="18"/>
      <c r="AF27" s="18"/>
      <c r="AG27" s="18"/>
      <c r="AH27" s="27">
        <f>COUNTA(月11[[#This Row],[1]:[ ]])</f>
        <v>5</v>
      </c>
    </row>
    <row r="28" spans="2:34" ht="30" customHeight="1" x14ac:dyDescent="0.25">
      <c r="B28" s="31" t="s">
        <v>94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 t="s">
        <v>3</v>
      </c>
      <c r="W28" s="18" t="s">
        <v>3</v>
      </c>
      <c r="X28" s="18" t="s">
        <v>3</v>
      </c>
      <c r="Y28" s="18" t="s">
        <v>3</v>
      </c>
      <c r="Z28" s="18" t="s">
        <v>3</v>
      </c>
      <c r="AA28" s="18"/>
      <c r="AB28" s="18"/>
      <c r="AC28" s="18"/>
      <c r="AD28" s="18"/>
      <c r="AE28" s="18"/>
      <c r="AF28" s="18"/>
      <c r="AG28" s="18"/>
      <c r="AH28" s="27">
        <f>COUNTA(月11[[#This Row],[1]:[ ]])</f>
        <v>5</v>
      </c>
    </row>
    <row r="29" spans="2:34" ht="30" customHeight="1" x14ac:dyDescent="0.25">
      <c r="B29" s="31" t="s">
        <v>95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 t="s">
        <v>3</v>
      </c>
      <c r="W29" s="18" t="s">
        <v>3</v>
      </c>
      <c r="X29" s="18" t="s">
        <v>3</v>
      </c>
      <c r="Y29" s="18" t="s">
        <v>3</v>
      </c>
      <c r="Z29" s="18" t="s">
        <v>3</v>
      </c>
      <c r="AA29" s="18"/>
      <c r="AB29" s="18"/>
      <c r="AC29" s="18"/>
      <c r="AD29" s="18"/>
      <c r="AE29" s="18"/>
      <c r="AF29" s="18"/>
      <c r="AG29" s="18"/>
      <c r="AH29" s="27">
        <f>COUNTA(月11[[#This Row],[1]:[ ]])</f>
        <v>5</v>
      </c>
    </row>
    <row r="30" spans="2:34" ht="30" customHeight="1" x14ac:dyDescent="0.25">
      <c r="B30" s="31" t="s">
        <v>96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 t="s">
        <v>3</v>
      </c>
      <c r="W30" s="18" t="s">
        <v>3</v>
      </c>
      <c r="X30" s="18" t="s">
        <v>3</v>
      </c>
      <c r="Y30" s="18" t="s">
        <v>3</v>
      </c>
      <c r="Z30" s="18" t="s">
        <v>3</v>
      </c>
      <c r="AA30" s="18"/>
      <c r="AB30" s="18"/>
      <c r="AC30" s="18"/>
      <c r="AD30" s="18"/>
      <c r="AE30" s="18"/>
      <c r="AF30" s="18"/>
      <c r="AG30" s="18"/>
      <c r="AH30" s="27">
        <f>COUNTA(月11[[#This Row],[1]:[ ]])</f>
        <v>5</v>
      </c>
    </row>
    <row r="31" spans="2:34" ht="30" customHeight="1" x14ac:dyDescent="0.25">
      <c r="B31" s="20" t="s">
        <v>97</v>
      </c>
      <c r="C31" s="18"/>
      <c r="D31" s="18"/>
      <c r="E31" s="18"/>
      <c r="F31" s="18" t="s">
        <v>66</v>
      </c>
      <c r="G31" s="18" t="s">
        <v>66</v>
      </c>
      <c r="H31" s="18" t="s">
        <v>66</v>
      </c>
      <c r="I31" s="18" t="s">
        <v>66</v>
      </c>
      <c r="J31" s="18" t="s">
        <v>66</v>
      </c>
      <c r="K31" s="18" t="s">
        <v>66</v>
      </c>
      <c r="L31" s="18" t="s">
        <v>66</v>
      </c>
      <c r="M31" s="18" t="s">
        <v>66</v>
      </c>
      <c r="N31" s="18" t="s">
        <v>66</v>
      </c>
      <c r="O31" s="18" t="s">
        <v>66</v>
      </c>
      <c r="P31" s="18" t="s">
        <v>66</v>
      </c>
      <c r="Q31" s="18" t="s">
        <v>66</v>
      </c>
      <c r="R31" s="18" t="s">
        <v>66</v>
      </c>
      <c r="S31" s="18" t="s">
        <v>66</v>
      </c>
      <c r="T31" s="18" t="s">
        <v>66</v>
      </c>
      <c r="U31" s="18" t="s">
        <v>66</v>
      </c>
      <c r="V31" s="18"/>
      <c r="W31" s="10" t="s">
        <v>5</v>
      </c>
      <c r="X31" s="18"/>
      <c r="Y31" s="18"/>
      <c r="Z31" s="18"/>
      <c r="AA31" s="18"/>
      <c r="AB31" s="18" t="s">
        <v>66</v>
      </c>
      <c r="AC31" s="18" t="s">
        <v>66</v>
      </c>
      <c r="AD31" s="18" t="s">
        <v>66</v>
      </c>
      <c r="AE31" s="18" t="s">
        <v>66</v>
      </c>
      <c r="AF31" s="18"/>
      <c r="AG31" s="18"/>
      <c r="AH31" s="27">
        <f>COUNTA('11月'!$C31:$AG31)</f>
        <v>21</v>
      </c>
    </row>
    <row r="32" spans="2:34" ht="30" customHeight="1" x14ac:dyDescent="0.25">
      <c r="B32" s="20" t="s">
        <v>98</v>
      </c>
      <c r="C32" s="18"/>
      <c r="D32" s="18"/>
      <c r="E32" s="18"/>
      <c r="F32" s="18" t="s">
        <v>66</v>
      </c>
      <c r="G32" s="18" t="s">
        <v>66</v>
      </c>
      <c r="H32" s="18" t="s">
        <v>66</v>
      </c>
      <c r="I32" s="18" t="s">
        <v>66</v>
      </c>
      <c r="J32" s="18" t="s">
        <v>66</v>
      </c>
      <c r="K32" s="18" t="s">
        <v>66</v>
      </c>
      <c r="L32" s="18" t="s">
        <v>66</v>
      </c>
      <c r="M32" s="18" t="s">
        <v>66</v>
      </c>
      <c r="N32" s="18" t="s">
        <v>66</v>
      </c>
      <c r="O32" s="18" t="s">
        <v>66</v>
      </c>
      <c r="P32" s="18" t="s">
        <v>66</v>
      </c>
      <c r="Q32" s="18" t="s">
        <v>66</v>
      </c>
      <c r="R32" s="18" t="s">
        <v>66</v>
      </c>
      <c r="S32" s="18" t="s">
        <v>66</v>
      </c>
      <c r="T32" s="18" t="s">
        <v>66</v>
      </c>
      <c r="U32" s="18" t="s">
        <v>66</v>
      </c>
      <c r="V32" s="18"/>
      <c r="W32" s="10" t="s">
        <v>5</v>
      </c>
      <c r="X32" s="18"/>
      <c r="Y32" s="18"/>
      <c r="Z32" s="18"/>
      <c r="AA32" s="18"/>
      <c r="AB32" s="18"/>
      <c r="AC32" s="18" t="s">
        <v>66</v>
      </c>
      <c r="AD32" s="18" t="s">
        <v>66</v>
      </c>
      <c r="AE32" s="18" t="s">
        <v>66</v>
      </c>
      <c r="AF32" s="18"/>
      <c r="AG32" s="18"/>
      <c r="AH32" s="27">
        <f>COUNTA('11月'!$C32:$AG32)</f>
        <v>20</v>
      </c>
    </row>
    <row r="33" spans="2:34" ht="30" customHeight="1" x14ac:dyDescent="0.25">
      <c r="B33" s="20" t="s">
        <v>99</v>
      </c>
      <c r="C33" s="18"/>
      <c r="D33" s="18"/>
      <c r="E33" s="18"/>
      <c r="F33" s="18" t="s">
        <v>66</v>
      </c>
      <c r="G33" s="18" t="s">
        <v>66</v>
      </c>
      <c r="H33" s="18" t="s">
        <v>66</v>
      </c>
      <c r="I33" s="18" t="s">
        <v>66</v>
      </c>
      <c r="J33" s="18" t="s">
        <v>66</v>
      </c>
      <c r="K33" s="18" t="s">
        <v>66</v>
      </c>
      <c r="L33" s="18" t="s">
        <v>66</v>
      </c>
      <c r="M33" s="18" t="s">
        <v>66</v>
      </c>
      <c r="N33" s="18" t="s">
        <v>66</v>
      </c>
      <c r="O33" s="18" t="s">
        <v>66</v>
      </c>
      <c r="P33" s="18" t="s">
        <v>66</v>
      </c>
      <c r="Q33" s="18" t="s">
        <v>66</v>
      </c>
      <c r="R33" s="18" t="s">
        <v>66</v>
      </c>
      <c r="S33" s="18" t="s">
        <v>66</v>
      </c>
      <c r="T33" s="18" t="s">
        <v>66</v>
      </c>
      <c r="U33" s="18" t="s">
        <v>66</v>
      </c>
      <c r="V33" s="18"/>
      <c r="W33" s="10" t="s">
        <v>5</v>
      </c>
      <c r="X33" s="18"/>
      <c r="Y33" s="18"/>
      <c r="Z33" s="18"/>
      <c r="AA33" s="18"/>
      <c r="AB33" s="18"/>
      <c r="AC33" s="18" t="s">
        <v>66</v>
      </c>
      <c r="AD33" s="18" t="s">
        <v>66</v>
      </c>
      <c r="AE33" s="18" t="s">
        <v>66</v>
      </c>
      <c r="AF33" s="18"/>
      <c r="AG33" s="18"/>
      <c r="AH33" s="27">
        <f>COUNTA('11月'!$C33:$AG33)</f>
        <v>20</v>
      </c>
    </row>
    <row r="34" spans="2:34" ht="30" customHeight="1" x14ac:dyDescent="0.25">
      <c r="B34" s="20" t="s">
        <v>100</v>
      </c>
      <c r="C34" s="18"/>
      <c r="D34" s="18"/>
      <c r="E34" s="18"/>
      <c r="F34" s="18" t="s">
        <v>66</v>
      </c>
      <c r="G34" s="18" t="s">
        <v>66</v>
      </c>
      <c r="H34" s="18" t="s">
        <v>66</v>
      </c>
      <c r="I34" s="18" t="s">
        <v>66</v>
      </c>
      <c r="J34" s="18" t="s">
        <v>66</v>
      </c>
      <c r="K34" s="18" t="s">
        <v>66</v>
      </c>
      <c r="L34" s="18" t="s">
        <v>66</v>
      </c>
      <c r="M34" s="18" t="s">
        <v>66</v>
      </c>
      <c r="N34" s="18" t="s">
        <v>66</v>
      </c>
      <c r="O34" s="18" t="s">
        <v>66</v>
      </c>
      <c r="P34" s="18" t="s">
        <v>66</v>
      </c>
      <c r="Q34" s="18" t="s">
        <v>66</v>
      </c>
      <c r="R34" s="18" t="s">
        <v>66</v>
      </c>
      <c r="S34" s="18" t="s">
        <v>66</v>
      </c>
      <c r="T34" s="18" t="s">
        <v>66</v>
      </c>
      <c r="U34" s="18" t="s">
        <v>66</v>
      </c>
      <c r="V34" s="18"/>
      <c r="W34" s="10" t="s">
        <v>5</v>
      </c>
      <c r="X34" s="18"/>
      <c r="Y34" s="18"/>
      <c r="Z34" s="18"/>
      <c r="AA34" s="18"/>
      <c r="AB34" s="18"/>
      <c r="AC34" s="18" t="s">
        <v>66</v>
      </c>
      <c r="AD34" s="18" t="s">
        <v>66</v>
      </c>
      <c r="AE34" s="18" t="s">
        <v>66</v>
      </c>
      <c r="AF34" s="18"/>
      <c r="AG34" s="18"/>
      <c r="AH34" s="27">
        <f>COUNTA('11月'!$C34:$AG34)</f>
        <v>20</v>
      </c>
    </row>
    <row r="35" spans="2:34" ht="30" customHeight="1" x14ac:dyDescent="0.25">
      <c r="B35" s="20" t="s">
        <v>101</v>
      </c>
      <c r="C35" s="18"/>
      <c r="D35" s="18"/>
      <c r="E35" s="18"/>
      <c r="F35" s="18" t="s">
        <v>66</v>
      </c>
      <c r="G35" s="18" t="s">
        <v>66</v>
      </c>
      <c r="H35" s="18" t="s">
        <v>66</v>
      </c>
      <c r="I35" s="18" t="s">
        <v>66</v>
      </c>
      <c r="J35" s="18" t="s">
        <v>66</v>
      </c>
      <c r="K35" s="18" t="s">
        <v>66</v>
      </c>
      <c r="L35" s="18" t="s">
        <v>66</v>
      </c>
      <c r="M35" s="18" t="s">
        <v>66</v>
      </c>
      <c r="N35" s="18" t="s">
        <v>66</v>
      </c>
      <c r="O35" s="18" t="s">
        <v>66</v>
      </c>
      <c r="P35" s="18" t="s">
        <v>66</v>
      </c>
      <c r="Q35" s="18" t="s">
        <v>66</v>
      </c>
      <c r="R35" s="18" t="s">
        <v>66</v>
      </c>
      <c r="S35" s="18" t="s">
        <v>66</v>
      </c>
      <c r="T35" s="18" t="s">
        <v>66</v>
      </c>
      <c r="U35" s="18" t="s">
        <v>66</v>
      </c>
      <c r="V35" s="18"/>
      <c r="W35" s="10" t="s">
        <v>5</v>
      </c>
      <c r="X35" s="18"/>
      <c r="Y35" s="18"/>
      <c r="Z35" s="18"/>
      <c r="AA35" s="18"/>
      <c r="AB35" s="18"/>
      <c r="AC35" s="18" t="s">
        <v>66</v>
      </c>
      <c r="AD35" s="18" t="s">
        <v>66</v>
      </c>
      <c r="AE35" s="18" t="s">
        <v>66</v>
      </c>
      <c r="AF35" s="18"/>
      <c r="AG35" s="18"/>
      <c r="AH35" s="27">
        <f>COUNTA('11月'!$C35:$AG35)</f>
        <v>20</v>
      </c>
    </row>
    <row r="36" spans="2:34" ht="30" customHeight="1" x14ac:dyDescent="0.25">
      <c r="B36" s="20" t="s">
        <v>102</v>
      </c>
      <c r="C36" s="18"/>
      <c r="D36" s="18"/>
      <c r="E36" s="18"/>
      <c r="F36" s="18" t="s">
        <v>66</v>
      </c>
      <c r="G36" s="18" t="s">
        <v>66</v>
      </c>
      <c r="H36" s="18" t="s">
        <v>66</v>
      </c>
      <c r="I36" s="18" t="s">
        <v>66</v>
      </c>
      <c r="J36" s="18" t="s">
        <v>66</v>
      </c>
      <c r="K36" s="18" t="s">
        <v>66</v>
      </c>
      <c r="L36" s="18" t="s">
        <v>66</v>
      </c>
      <c r="M36" s="18" t="s">
        <v>66</v>
      </c>
      <c r="N36" s="18" t="s">
        <v>66</v>
      </c>
      <c r="O36" s="18" t="s">
        <v>66</v>
      </c>
      <c r="P36" s="18" t="s">
        <v>66</v>
      </c>
      <c r="Q36" s="18" t="s">
        <v>66</v>
      </c>
      <c r="R36" s="18" t="s">
        <v>66</v>
      </c>
      <c r="S36" s="18" t="s">
        <v>66</v>
      </c>
      <c r="T36" s="18" t="s">
        <v>66</v>
      </c>
      <c r="U36" s="18" t="s">
        <v>66</v>
      </c>
      <c r="V36" s="18"/>
      <c r="W36" s="10" t="s">
        <v>5</v>
      </c>
      <c r="X36" s="18"/>
      <c r="Y36" s="18"/>
      <c r="Z36" s="18"/>
      <c r="AA36" s="18"/>
      <c r="AB36" s="18"/>
      <c r="AC36" s="18" t="s">
        <v>66</v>
      </c>
      <c r="AD36" s="18" t="s">
        <v>66</v>
      </c>
      <c r="AE36" s="18" t="s">
        <v>66</v>
      </c>
      <c r="AF36" s="18"/>
      <c r="AG36" s="18"/>
      <c r="AH36" s="27">
        <f>COUNTA('11月'!$C36:$AG36)</f>
        <v>20</v>
      </c>
    </row>
    <row r="37" spans="2:34" ht="30" customHeight="1" x14ac:dyDescent="0.25">
      <c r="B37" s="20" t="s">
        <v>103</v>
      </c>
      <c r="C37" s="18"/>
      <c r="D37" s="18"/>
      <c r="E37" s="18"/>
      <c r="F37" s="18" t="s">
        <v>66</v>
      </c>
      <c r="G37" s="18" t="s">
        <v>66</v>
      </c>
      <c r="H37" s="18" t="s">
        <v>66</v>
      </c>
      <c r="I37" s="18" t="s">
        <v>66</v>
      </c>
      <c r="J37" s="18" t="s">
        <v>66</v>
      </c>
      <c r="K37" s="18" t="s">
        <v>66</v>
      </c>
      <c r="L37" s="18" t="s">
        <v>66</v>
      </c>
      <c r="M37" s="18" t="s">
        <v>66</v>
      </c>
      <c r="N37" s="18" t="s">
        <v>66</v>
      </c>
      <c r="O37" s="18" t="s">
        <v>66</v>
      </c>
      <c r="P37" s="18" t="s">
        <v>66</v>
      </c>
      <c r="Q37" s="18" t="s">
        <v>66</v>
      </c>
      <c r="R37" s="18" t="s">
        <v>66</v>
      </c>
      <c r="S37" s="18" t="s">
        <v>66</v>
      </c>
      <c r="T37" s="18" t="s">
        <v>66</v>
      </c>
      <c r="U37" s="18" t="s">
        <v>66</v>
      </c>
      <c r="V37" s="18"/>
      <c r="W37" s="10" t="s">
        <v>5</v>
      </c>
      <c r="X37" s="18"/>
      <c r="Y37" s="18"/>
      <c r="Z37" s="18"/>
      <c r="AA37" s="18"/>
      <c r="AB37" s="18"/>
      <c r="AC37" s="18" t="s">
        <v>66</v>
      </c>
      <c r="AD37" s="18" t="s">
        <v>66</v>
      </c>
      <c r="AE37" s="18" t="s">
        <v>66</v>
      </c>
      <c r="AF37" s="18"/>
      <c r="AG37" s="18"/>
      <c r="AH37" s="27">
        <f>COUNTA('11月'!$C37:$AG37)</f>
        <v>20</v>
      </c>
    </row>
    <row r="38" spans="2:34" ht="30" customHeight="1" x14ac:dyDescent="0.25">
      <c r="B38" s="20" t="s">
        <v>104</v>
      </c>
      <c r="C38" s="18"/>
      <c r="D38" s="18"/>
      <c r="E38" s="18"/>
      <c r="F38" s="18" t="s">
        <v>66</v>
      </c>
      <c r="G38" s="18" t="s">
        <v>66</v>
      </c>
      <c r="H38" s="18" t="s">
        <v>66</v>
      </c>
      <c r="I38" s="18" t="s">
        <v>66</v>
      </c>
      <c r="J38" s="18" t="s">
        <v>66</v>
      </c>
      <c r="K38" s="18" t="s">
        <v>66</v>
      </c>
      <c r="L38" s="18" t="s">
        <v>66</v>
      </c>
      <c r="M38" s="18" t="s">
        <v>66</v>
      </c>
      <c r="N38" s="18" t="s">
        <v>66</v>
      </c>
      <c r="O38" s="18" t="s">
        <v>66</v>
      </c>
      <c r="P38" s="18" t="s">
        <v>66</v>
      </c>
      <c r="Q38" s="18" t="s">
        <v>66</v>
      </c>
      <c r="R38" s="18" t="s">
        <v>66</v>
      </c>
      <c r="S38" s="18" t="s">
        <v>66</v>
      </c>
      <c r="T38" s="18" t="s">
        <v>66</v>
      </c>
      <c r="U38" s="18" t="s">
        <v>66</v>
      </c>
      <c r="V38" s="18"/>
      <c r="W38" s="10" t="s">
        <v>5</v>
      </c>
      <c r="X38" s="18"/>
      <c r="Y38" s="18"/>
      <c r="Z38" s="18"/>
      <c r="AA38" s="18"/>
      <c r="AB38" s="18"/>
      <c r="AC38" s="18" t="s">
        <v>66</v>
      </c>
      <c r="AD38" s="18" t="s">
        <v>66</v>
      </c>
      <c r="AE38" s="18" t="s">
        <v>66</v>
      </c>
      <c r="AF38" s="18"/>
      <c r="AG38" s="18"/>
      <c r="AH38" s="27">
        <f>COUNTA('11月'!$C38:$AG38)</f>
        <v>20</v>
      </c>
    </row>
    <row r="39" spans="2:34" ht="30" customHeight="1" x14ac:dyDescent="0.25">
      <c r="B39" s="20" t="s">
        <v>105</v>
      </c>
      <c r="C39" s="18"/>
      <c r="D39" s="18"/>
      <c r="E39" s="18"/>
      <c r="F39" s="18" t="s">
        <v>66</v>
      </c>
      <c r="G39" s="18" t="s">
        <v>66</v>
      </c>
      <c r="H39" s="18" t="s">
        <v>66</v>
      </c>
      <c r="I39" s="18" t="s">
        <v>66</v>
      </c>
      <c r="J39" s="18" t="s">
        <v>66</v>
      </c>
      <c r="K39" s="18" t="s">
        <v>66</v>
      </c>
      <c r="L39" s="18" t="s">
        <v>66</v>
      </c>
      <c r="M39" s="18" t="s">
        <v>66</v>
      </c>
      <c r="N39" s="18" t="s">
        <v>66</v>
      </c>
      <c r="O39" s="18" t="s">
        <v>66</v>
      </c>
      <c r="P39" s="18" t="s">
        <v>66</v>
      </c>
      <c r="Q39" s="18" t="s">
        <v>66</v>
      </c>
      <c r="R39" s="18" t="s">
        <v>66</v>
      </c>
      <c r="S39" s="18" t="s">
        <v>66</v>
      </c>
      <c r="T39" s="18" t="s">
        <v>66</v>
      </c>
      <c r="U39" s="18" t="s">
        <v>66</v>
      </c>
      <c r="V39" s="18"/>
      <c r="W39" s="10" t="s">
        <v>5</v>
      </c>
      <c r="X39" s="18"/>
      <c r="Y39" s="18"/>
      <c r="Z39" s="18"/>
      <c r="AA39" s="18"/>
      <c r="AB39" s="18"/>
      <c r="AC39" s="18" t="s">
        <v>66</v>
      </c>
      <c r="AD39" s="18" t="s">
        <v>66</v>
      </c>
      <c r="AE39" s="18" t="s">
        <v>66</v>
      </c>
      <c r="AF39" s="18"/>
      <c r="AG39" s="18"/>
      <c r="AH39" s="27">
        <f>COUNTA('11月'!$C39:$AG39)</f>
        <v>20</v>
      </c>
    </row>
    <row r="40" spans="2:34" ht="30" customHeight="1" x14ac:dyDescent="0.25">
      <c r="B40" s="20" t="s">
        <v>106</v>
      </c>
      <c r="C40" s="18"/>
      <c r="D40" s="18"/>
      <c r="E40" s="18"/>
      <c r="F40" s="18" t="s">
        <v>66</v>
      </c>
      <c r="G40" s="18" t="s">
        <v>66</v>
      </c>
      <c r="H40" s="18" t="s">
        <v>66</v>
      </c>
      <c r="I40" s="18" t="s">
        <v>66</v>
      </c>
      <c r="J40" s="18" t="s">
        <v>66</v>
      </c>
      <c r="K40" s="18" t="s">
        <v>66</v>
      </c>
      <c r="L40" s="18" t="s">
        <v>66</v>
      </c>
      <c r="M40" s="18" t="s">
        <v>66</v>
      </c>
      <c r="N40" s="18" t="s">
        <v>66</v>
      </c>
      <c r="O40" s="18" t="s">
        <v>66</v>
      </c>
      <c r="P40" s="18" t="s">
        <v>66</v>
      </c>
      <c r="Q40" s="18" t="s">
        <v>66</v>
      </c>
      <c r="R40" s="18" t="s">
        <v>66</v>
      </c>
      <c r="S40" s="18" t="s">
        <v>66</v>
      </c>
      <c r="T40" s="18" t="s">
        <v>66</v>
      </c>
      <c r="U40" s="18" t="s">
        <v>66</v>
      </c>
      <c r="V40" s="18"/>
      <c r="W40" s="10" t="s">
        <v>5</v>
      </c>
      <c r="X40" s="18"/>
      <c r="Y40" s="18"/>
      <c r="Z40" s="18"/>
      <c r="AA40" s="18"/>
      <c r="AB40" s="18"/>
      <c r="AC40" s="18" t="s">
        <v>66</v>
      </c>
      <c r="AD40" s="18" t="s">
        <v>66</v>
      </c>
      <c r="AE40" s="18" t="s">
        <v>66</v>
      </c>
      <c r="AF40" s="18"/>
      <c r="AG40" s="18"/>
      <c r="AH40" s="27">
        <f>COUNTA('11月'!$C40:$AG40)</f>
        <v>20</v>
      </c>
    </row>
    <row r="41" spans="2:34" ht="30" customHeight="1" x14ac:dyDescent="0.25">
      <c r="B41" s="31" t="s">
        <v>107</v>
      </c>
      <c r="C41" s="18"/>
      <c r="D41" s="18"/>
      <c r="E41" s="18"/>
      <c r="F41" s="18" t="s">
        <v>66</v>
      </c>
      <c r="G41" s="18" t="s">
        <v>66</v>
      </c>
      <c r="H41" s="18" t="s">
        <v>66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 t="s">
        <v>3</v>
      </c>
      <c r="W41" s="18" t="s">
        <v>3</v>
      </c>
      <c r="X41" s="18" t="s">
        <v>3</v>
      </c>
      <c r="Y41" s="18" t="s">
        <v>3</v>
      </c>
      <c r="Z41" s="18" t="s">
        <v>3</v>
      </c>
      <c r="AA41" s="18"/>
      <c r="AB41" s="18"/>
      <c r="AC41" s="18"/>
      <c r="AD41" s="18"/>
      <c r="AE41" s="18"/>
      <c r="AF41" s="18"/>
      <c r="AG41" s="18"/>
      <c r="AH41" s="27">
        <f>COUNTA(月11[[#This Row],[1]:[ ]])</f>
        <v>8</v>
      </c>
    </row>
    <row r="42" spans="2:34" ht="30" customHeight="1" x14ac:dyDescent="0.25">
      <c r="B42" s="31" t="s">
        <v>108</v>
      </c>
      <c r="C42" s="18"/>
      <c r="D42" s="18"/>
      <c r="E42" s="18"/>
      <c r="F42" s="18" t="s">
        <v>66</v>
      </c>
      <c r="G42" s="18" t="s">
        <v>66</v>
      </c>
      <c r="H42" s="18" t="s">
        <v>66</v>
      </c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 t="s">
        <v>3</v>
      </c>
      <c r="W42" s="18" t="s">
        <v>3</v>
      </c>
      <c r="X42" s="18" t="s">
        <v>3</v>
      </c>
      <c r="Y42" s="18" t="s">
        <v>3</v>
      </c>
      <c r="Z42" s="18" t="s">
        <v>3</v>
      </c>
      <c r="AA42" s="18"/>
      <c r="AB42" s="18"/>
      <c r="AC42" s="18"/>
      <c r="AD42" s="18"/>
      <c r="AE42" s="18"/>
      <c r="AF42" s="18"/>
      <c r="AG42" s="18"/>
      <c r="AH42" s="27">
        <f>COUNTA(月11[[#This Row],[1]:[ ]])</f>
        <v>8</v>
      </c>
    </row>
    <row r="43" spans="2:34" ht="30" customHeight="1" x14ac:dyDescent="0.25">
      <c r="B43" s="31" t="s">
        <v>109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 t="s">
        <v>3</v>
      </c>
      <c r="W43" s="18" t="s">
        <v>3</v>
      </c>
      <c r="X43" s="18" t="s">
        <v>3</v>
      </c>
      <c r="Y43" s="18" t="s">
        <v>3</v>
      </c>
      <c r="Z43" s="18" t="s">
        <v>3</v>
      </c>
      <c r="AA43" s="18"/>
      <c r="AB43" s="18"/>
      <c r="AC43" s="18"/>
      <c r="AD43" s="18"/>
      <c r="AE43" s="18"/>
      <c r="AF43" s="18"/>
      <c r="AG43" s="18"/>
      <c r="AH43" s="27">
        <f>COUNTA(月11[[#This Row],[1]:[ ]])</f>
        <v>5</v>
      </c>
    </row>
    <row r="44" spans="2:34" ht="30" customHeight="1" x14ac:dyDescent="0.25">
      <c r="B44" s="31" t="s">
        <v>110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 t="s">
        <v>3</v>
      </c>
      <c r="W44" s="18" t="s">
        <v>3</v>
      </c>
      <c r="X44" s="18" t="s">
        <v>3</v>
      </c>
      <c r="Y44" s="18" t="s">
        <v>3</v>
      </c>
      <c r="Z44" s="18" t="s">
        <v>3</v>
      </c>
      <c r="AA44" s="18"/>
      <c r="AB44" s="18"/>
      <c r="AC44" s="18"/>
      <c r="AD44" s="18"/>
      <c r="AE44" s="18"/>
      <c r="AF44" s="18"/>
      <c r="AG44" s="18"/>
      <c r="AH44" s="27">
        <f>COUNTA(月11[[#This Row],[1]:[ ]])</f>
        <v>5</v>
      </c>
    </row>
    <row r="45" spans="2:34" ht="30" customHeight="1" x14ac:dyDescent="0.25">
      <c r="B45" s="31" t="s">
        <v>111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 t="s">
        <v>3</v>
      </c>
      <c r="W45" s="18" t="s">
        <v>3</v>
      </c>
      <c r="X45" s="18" t="s">
        <v>3</v>
      </c>
      <c r="Y45" s="18" t="s">
        <v>3</v>
      </c>
      <c r="Z45" s="18" t="s">
        <v>3</v>
      </c>
      <c r="AA45" s="18"/>
      <c r="AB45" s="18"/>
      <c r="AC45" s="18"/>
      <c r="AD45" s="18"/>
      <c r="AE45" s="18"/>
      <c r="AF45" s="18"/>
      <c r="AG45" s="18"/>
      <c r="AH45" s="27">
        <f>COUNTA(月11[[#This Row],[1]:[ ]])</f>
        <v>5</v>
      </c>
    </row>
    <row r="46" spans="2:34" ht="30" customHeight="1" x14ac:dyDescent="0.25">
      <c r="B46" s="31" t="s">
        <v>112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 t="s">
        <v>3</v>
      </c>
      <c r="W46" s="18" t="s">
        <v>3</v>
      </c>
      <c r="X46" s="18" t="s">
        <v>3</v>
      </c>
      <c r="Y46" s="18" t="s">
        <v>3</v>
      </c>
      <c r="Z46" s="18" t="s">
        <v>3</v>
      </c>
      <c r="AA46" s="18"/>
      <c r="AB46" s="18"/>
      <c r="AC46" s="18"/>
      <c r="AD46" s="18"/>
      <c r="AE46" s="18"/>
      <c r="AF46" s="18"/>
      <c r="AG46" s="18"/>
      <c r="AH46" s="27">
        <f>COUNTA(月11[[#This Row],[1]:[ ]])</f>
        <v>5</v>
      </c>
    </row>
    <row r="47" spans="2:34" ht="30" customHeight="1" x14ac:dyDescent="0.25">
      <c r="B47" s="31" t="s">
        <v>113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 t="s">
        <v>3</v>
      </c>
      <c r="W47" s="18" t="s">
        <v>3</v>
      </c>
      <c r="X47" s="18" t="s">
        <v>3</v>
      </c>
      <c r="Y47" s="18" t="s">
        <v>3</v>
      </c>
      <c r="Z47" s="18" t="s">
        <v>3</v>
      </c>
      <c r="AA47" s="18"/>
      <c r="AB47" s="18"/>
      <c r="AC47" s="18"/>
      <c r="AD47" s="18"/>
      <c r="AE47" s="18"/>
      <c r="AF47" s="18"/>
      <c r="AG47" s="18"/>
      <c r="AH47" s="27">
        <f>COUNTA(月11[[#This Row],[1]:[ ]])</f>
        <v>5</v>
      </c>
    </row>
    <row r="48" spans="2:34" ht="30" customHeight="1" x14ac:dyDescent="0.25">
      <c r="B48" s="31" t="s">
        <v>114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 t="s">
        <v>3</v>
      </c>
      <c r="W48" s="18" t="s">
        <v>3</v>
      </c>
      <c r="X48" s="18" t="s">
        <v>3</v>
      </c>
      <c r="Y48" s="18" t="s">
        <v>3</v>
      </c>
      <c r="Z48" s="18" t="s">
        <v>3</v>
      </c>
      <c r="AA48" s="18"/>
      <c r="AB48" s="18"/>
      <c r="AC48" s="18"/>
      <c r="AD48" s="18"/>
      <c r="AE48" s="18"/>
      <c r="AF48" s="18"/>
      <c r="AG48" s="18"/>
      <c r="AH48" s="27">
        <f>COUNTA(月11[[#This Row],[1]:[ ]])</f>
        <v>5</v>
      </c>
    </row>
    <row r="49" spans="2:34" ht="30" customHeight="1" x14ac:dyDescent="0.25">
      <c r="B49" s="31" t="s">
        <v>115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 t="s">
        <v>3</v>
      </c>
      <c r="W49" s="18" t="s">
        <v>3</v>
      </c>
      <c r="X49" s="18" t="s">
        <v>3</v>
      </c>
      <c r="Y49" s="18" t="s">
        <v>3</v>
      </c>
      <c r="Z49" s="18" t="s">
        <v>3</v>
      </c>
      <c r="AA49" s="18"/>
      <c r="AB49" s="18"/>
      <c r="AC49" s="18"/>
      <c r="AD49" s="18"/>
      <c r="AE49" s="18"/>
      <c r="AF49" s="18"/>
      <c r="AG49" s="18"/>
      <c r="AH49" s="27">
        <f>COUNTA(月11[[#This Row],[1]:[ ]])</f>
        <v>5</v>
      </c>
    </row>
    <row r="50" spans="2:34" ht="30" customHeight="1" x14ac:dyDescent="0.25">
      <c r="B50" s="31" t="s">
        <v>116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 t="s">
        <v>3</v>
      </c>
      <c r="W50" s="18" t="s">
        <v>3</v>
      </c>
      <c r="X50" s="18" t="s">
        <v>3</v>
      </c>
      <c r="Y50" s="18" t="s">
        <v>3</v>
      </c>
      <c r="Z50" s="18" t="s">
        <v>3</v>
      </c>
      <c r="AA50" s="18"/>
      <c r="AB50" s="18"/>
      <c r="AC50" s="18"/>
      <c r="AD50" s="18"/>
      <c r="AE50" s="18"/>
      <c r="AF50" s="18"/>
      <c r="AG50" s="18"/>
      <c r="AH50" s="27">
        <f>COUNTA(月11[[#This Row],[1]:[ ]])</f>
        <v>5</v>
      </c>
    </row>
    <row r="51" spans="2:34" ht="30" customHeight="1" x14ac:dyDescent="0.25">
      <c r="B51" s="31" t="s">
        <v>117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 t="s">
        <v>3</v>
      </c>
      <c r="W51" s="18" t="s">
        <v>3</v>
      </c>
      <c r="X51" s="18" t="s">
        <v>3</v>
      </c>
      <c r="Y51" s="18" t="s">
        <v>3</v>
      </c>
      <c r="Z51" s="18" t="s">
        <v>3</v>
      </c>
      <c r="AA51" s="18"/>
      <c r="AB51" s="18"/>
      <c r="AC51" s="18"/>
      <c r="AD51" s="18"/>
      <c r="AE51" s="18"/>
      <c r="AF51" s="18"/>
      <c r="AG51" s="18"/>
      <c r="AH51" s="27">
        <f>COUNTA(月11[[#This Row],[1]:[ ]])</f>
        <v>5</v>
      </c>
    </row>
    <row r="52" spans="2:34" ht="30" customHeight="1" x14ac:dyDescent="0.25">
      <c r="B52" s="31" t="s">
        <v>118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 t="s">
        <v>3</v>
      </c>
      <c r="W52" s="18" t="s">
        <v>3</v>
      </c>
      <c r="X52" s="18" t="s">
        <v>3</v>
      </c>
      <c r="Y52" s="18" t="s">
        <v>3</v>
      </c>
      <c r="Z52" s="18" t="s">
        <v>3</v>
      </c>
      <c r="AA52" s="18"/>
      <c r="AB52" s="18"/>
      <c r="AC52" s="18"/>
      <c r="AD52" s="18"/>
      <c r="AE52" s="18"/>
      <c r="AF52" s="18"/>
      <c r="AG52" s="18"/>
      <c r="AH52" s="27">
        <f>COUNTA(月11[[#This Row],[1]:[ ]])</f>
        <v>5</v>
      </c>
    </row>
    <row r="53" spans="2:34" ht="30" customHeight="1" x14ac:dyDescent="0.25">
      <c r="B53" s="21" t="str">
        <f>MonthName&amp;"集計"</f>
        <v>11月集計</v>
      </c>
      <c r="C53" s="22">
        <f>SUBTOTAL(103,月11[1])</f>
        <v>0</v>
      </c>
      <c r="D53" s="22">
        <f>SUBTOTAL(103,月11[2])</f>
        <v>0</v>
      </c>
      <c r="E53" s="22">
        <f>SUBTOTAL(103,月11[3])</f>
        <v>0</v>
      </c>
      <c r="F53" s="22">
        <f>SUBTOTAL(103,月11[4])</f>
        <v>23</v>
      </c>
      <c r="G53" s="22">
        <f>SUBTOTAL(103,月11[5])</f>
        <v>23</v>
      </c>
      <c r="H53" s="22">
        <f>SUBTOTAL(103,月11[6])</f>
        <v>23</v>
      </c>
      <c r="I53" s="22">
        <f>SUBTOTAL(103,月11[7])</f>
        <v>21</v>
      </c>
      <c r="J53" s="22">
        <f>SUBTOTAL(103,月11[8])</f>
        <v>21</v>
      </c>
      <c r="K53" s="22">
        <f>SUBTOTAL(103,月11[9])</f>
        <v>21</v>
      </c>
      <c r="L53" s="22">
        <f>SUBTOTAL(103,月11[10])</f>
        <v>21</v>
      </c>
      <c r="M53" s="22">
        <f>SUBTOTAL(103,月11[11])</f>
        <v>21</v>
      </c>
      <c r="N53" s="22">
        <f>SUBTOTAL(103,月11[12])</f>
        <v>21</v>
      </c>
      <c r="O53" s="22">
        <f>SUBTOTAL(103,月11[13])</f>
        <v>21</v>
      </c>
      <c r="P53" s="22">
        <f>SUBTOTAL(103,月11[14])</f>
        <v>21</v>
      </c>
      <c r="Q53" s="22">
        <f>SUBTOTAL(103,月11[15])</f>
        <v>21</v>
      </c>
      <c r="R53" s="22">
        <f>SUBTOTAL(103,月11[16])</f>
        <v>21</v>
      </c>
      <c r="S53" s="22">
        <f>SUBTOTAL(103,月11[17])</f>
        <v>21</v>
      </c>
      <c r="T53" s="22">
        <f>SUBTOTAL(103,月11[18])</f>
        <v>21</v>
      </c>
      <c r="U53" s="22">
        <f>SUBTOTAL(103,月11[19])</f>
        <v>21</v>
      </c>
      <c r="V53" s="22">
        <f>SUBTOTAL(103,月11[20])</f>
        <v>24</v>
      </c>
      <c r="W53" s="22">
        <f>SUBTOTAL(103,月11[21])</f>
        <v>44</v>
      </c>
      <c r="X53" s="22">
        <f>SUBTOTAL(103,月11[22])</f>
        <v>23</v>
      </c>
      <c r="Y53" s="22">
        <f>SUBTOTAL(103,月11[23])</f>
        <v>23</v>
      </c>
      <c r="Z53" s="22">
        <f>SUBTOTAL(103,月11[24])</f>
        <v>23</v>
      </c>
      <c r="AA53" s="22">
        <f>SUBTOTAL(103,月11[25])</f>
        <v>0</v>
      </c>
      <c r="AB53" s="22">
        <f>SUBTOTAL(103,月11[26])</f>
        <v>2</v>
      </c>
      <c r="AC53" s="22">
        <f>SUBTOTAL(103,月11[27])</f>
        <v>21</v>
      </c>
      <c r="AD53" s="22">
        <f>SUBTOTAL(103,月11[28])</f>
        <v>21</v>
      </c>
      <c r="AE53" s="22">
        <f>SUBTOTAL(103,月11[29])</f>
        <v>21</v>
      </c>
      <c r="AF53" s="22">
        <f>SUBTOTAL(109,月11[30])</f>
        <v>0</v>
      </c>
      <c r="AG53" s="22">
        <f>SUBTOTAL(109,月11[[ ]])</f>
        <v>0</v>
      </c>
      <c r="AH53" s="22">
        <f>SUBTOTAL(109,月11[合計日数])</f>
        <v>544</v>
      </c>
    </row>
  </sheetData>
  <mergeCells count="6">
    <mergeCell ref="C6:AG6"/>
    <mergeCell ref="D4:F4"/>
    <mergeCell ref="H4:J4"/>
    <mergeCell ref="L4:M4"/>
    <mergeCell ref="O4:Q4"/>
    <mergeCell ref="S4:U4"/>
  </mergeCells>
  <phoneticPr fontId="10"/>
  <conditionalFormatting sqref="X10">
    <cfRule type="expression" dxfId="571" priority="20" stopIfTrue="1">
      <formula>X10=KeyCustom2</formula>
    </cfRule>
    <cfRule type="expression" dxfId="570" priority="21" stopIfTrue="1">
      <formula>X10=KeyCustom1</formula>
    </cfRule>
    <cfRule type="expression" dxfId="569" priority="22" stopIfTrue="1">
      <formula>X10=KeySick</formula>
    </cfRule>
    <cfRule type="expression" dxfId="568" priority="23" stopIfTrue="1">
      <formula>X10=KeyPersonal</formula>
    </cfRule>
    <cfRule type="expression" dxfId="567" priority="24" stopIfTrue="1">
      <formula>X10=KeyVacation</formula>
    </cfRule>
    <cfRule type="expression" priority="19" stopIfTrue="1">
      <formula>X10=""</formula>
    </cfRule>
  </conditionalFormatting>
  <conditionalFormatting sqref="X9:AG9 C9:V19 AG10 X11:AG19 C20:AG30 C31:V40 X31:AG40 C41:AG52">
    <cfRule type="expression" priority="43" stopIfTrue="1">
      <formula>C9=""</formula>
    </cfRule>
    <cfRule type="expression" dxfId="566" priority="44" stopIfTrue="1">
      <formula>C9=KeyCustom2</formula>
    </cfRule>
    <cfRule type="expression" dxfId="565" priority="45" stopIfTrue="1">
      <formula>C9=KeyCustom1</formula>
    </cfRule>
    <cfRule type="expression" dxfId="564" priority="46" stopIfTrue="1">
      <formula>C9=KeySick</formula>
    </cfRule>
    <cfRule type="expression" dxfId="563" priority="47" stopIfTrue="1">
      <formula>C9=KeyPersonal</formula>
    </cfRule>
    <cfRule type="expression" dxfId="562" priority="48" stopIfTrue="1">
      <formula>C9=KeyVacation</formula>
    </cfRule>
  </conditionalFormatting>
  <conditionalFormatting sqref="Y10:AB10">
    <cfRule type="expression" priority="25" stopIfTrue="1">
      <formula>Y10=""</formula>
    </cfRule>
    <cfRule type="expression" dxfId="561" priority="30" stopIfTrue="1">
      <formula>Y10=KeyVacation</formula>
    </cfRule>
    <cfRule type="expression" dxfId="560" priority="29" stopIfTrue="1">
      <formula>Y10=KeyPersonal</formula>
    </cfRule>
    <cfRule type="expression" dxfId="559" priority="28" stopIfTrue="1">
      <formula>Y10=KeySick</formula>
    </cfRule>
    <cfRule type="expression" dxfId="558" priority="27" stopIfTrue="1">
      <formula>Y10=KeyCustom1</formula>
    </cfRule>
    <cfRule type="expression" dxfId="557" priority="26" stopIfTrue="1">
      <formula>Y10=KeyCustom2</formula>
    </cfRule>
  </conditionalFormatting>
  <conditionalFormatting sqref="AD10">
    <cfRule type="expression" priority="37" stopIfTrue="1">
      <formula>AD10=""</formula>
    </cfRule>
    <cfRule type="expression" dxfId="556" priority="38" stopIfTrue="1">
      <formula>AD10=KeyCustom2</formula>
    </cfRule>
    <cfRule type="expression" dxfId="555" priority="39" stopIfTrue="1">
      <formula>AD10=KeyCustom1</formula>
    </cfRule>
    <cfRule type="expression" dxfId="554" priority="40" stopIfTrue="1">
      <formula>AD10=KeySick</formula>
    </cfRule>
    <cfRule type="expression" dxfId="553" priority="41" stopIfTrue="1">
      <formula>AD10=KeyPersonal</formula>
    </cfRule>
    <cfRule type="expression" dxfId="552" priority="42" stopIfTrue="1">
      <formula>AD10=KeyVacation</formula>
    </cfRule>
  </conditionalFormatting>
  <conditionalFormatting sqref="AE10">
    <cfRule type="expression" priority="1" stopIfTrue="1">
      <formula>AE10=""</formula>
    </cfRule>
    <cfRule type="expression" dxfId="551" priority="2" stopIfTrue="1">
      <formula>AE10=KeyCustom2</formula>
    </cfRule>
    <cfRule type="expression" dxfId="550" priority="3" stopIfTrue="1">
      <formula>AE10=KeyCustom1</formula>
    </cfRule>
    <cfRule type="expression" dxfId="549" priority="4" stopIfTrue="1">
      <formula>AE10=KeySick</formula>
    </cfRule>
    <cfRule type="expression" dxfId="548" priority="5" stopIfTrue="1">
      <formula>AE10=KeyPersonal</formula>
    </cfRule>
    <cfRule type="expression" dxfId="547" priority="6" stopIfTrue="1">
      <formula>AE10=KeyVacation</formula>
    </cfRule>
  </conditionalFormatting>
  <conditionalFormatting sqref="AF10">
    <cfRule type="expression" priority="13" stopIfTrue="1">
      <formula>AF10=""</formula>
    </cfRule>
    <cfRule type="expression" dxfId="546" priority="18" stopIfTrue="1">
      <formula>AF10=KeyVacation</formula>
    </cfRule>
    <cfRule type="expression" dxfId="545" priority="17" stopIfTrue="1">
      <formula>AF10=KeyPersonal</formula>
    </cfRule>
    <cfRule type="expression" dxfId="544" priority="16" stopIfTrue="1">
      <formula>AF10=KeySick</formula>
    </cfRule>
    <cfRule type="expression" dxfId="543" priority="15" stopIfTrue="1">
      <formula>AF10=KeyCustom1</formula>
    </cfRule>
    <cfRule type="expression" dxfId="542" priority="14" stopIfTrue="1">
      <formula>AF10=KeyCustom2</formula>
    </cfRule>
  </conditionalFormatting>
  <conditionalFormatting sqref="AH9:AH52">
    <cfRule type="dataBar" priority="49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{B0E27263-335F-4F89-A6C0-F6DE620FBAB7}</x14:id>
        </ext>
      </extLst>
    </cfRule>
  </conditionalFormatting>
  <dataValidations count="15">
    <dataValidation allowBlank="1" showInputMessage="1" showErrorMessage="1" prompt="この行の月の日付は、自動的に生成されます。従業員の欠勤と欠勤の種類を月の各日付の各列に入力します。空白は欠勤でないことを示します" sqref="C8" xr:uid="{97706874-D6EF-7649-8BB0-992E1F25B736}"/>
    <dataValidation allowBlank="1" showInputMessage="1" showErrorMessage="1" prompt="このセルには、この欠勤管理の月の名前が入ります。テーブルの最後のセルには、この月の欠勤日数の合計が表示されます。テーブルの列 B で従業員名を選択します" sqref="B2" xr:uid="{00000000-0002-0000-0A00-000001000000}"/>
    <dataValidation allowBlank="1" showInputMessage="1" showErrorMessage="1" prompt="この行には、テーブルで使用するキーが定義されています。セル C4 は休暇、G4 は私用、K4 は病欠です。セル N4 と R4 はカスタマイズ可能です" sqref="B4" xr:uid="{3113BD82-2D3E-8F4A-8BB6-5BEEE7BE0789}"/>
    <dataValidation allowBlank="1" showInputMessage="1" showErrorMessage="1" prompt="左側にカスタム キーを表すラベルを入力します" sqref="O4:Q4 S4:U4" xr:uid="{2D3A090B-F718-4F41-8211-E6CC79F16B14}"/>
    <dataValidation allowBlank="1" showErrorMessage="1" prompt="右側に文字を入力してラベルをカスタマイズし、別のキー項目を追加します" sqref="R4 N4" xr:uid="{4AA8F930-0666-B342-B223-6859D3ED72AA}"/>
    <dataValidation allowBlank="1" showErrorMessage="1" prompt="文字 &quot;S&quot; は病欠を表します" sqref="K4" xr:uid="{E3290C1F-2EBB-F545-A50F-DF2335729F55}"/>
    <dataValidation allowBlank="1" showErrorMessage="1" prompt="文字 &quot;P&quot; は私用による欠勤を表します" sqref="G4 W31:W40" xr:uid="{FE1B1844-2315-B443-8B6F-709F2D8FD91A}"/>
    <dataValidation allowBlank="1" showErrorMessage="1" prompt="文字 &quot;V&quot; は休暇のための欠勤を表します" sqref="C4 W9:W19 AC10" xr:uid="{1EA742A5-682B-AB4E-9F1E-EC4DA4D0EE38}"/>
    <dataValidation allowBlank="1" showInputMessage="1" showErrorMessage="1" prompt="自動的に更新されるタイトルが、このセルの内容です。タイトルを変更するには、1 月のワークシートの B1 を更新します" sqref="B2" xr:uid="{00000000-0002-0000-0A00-000008000000}"/>
    <dataValidation errorStyle="warning" allowBlank="1" showInputMessage="1" showErrorMessage="1" error="リストから名前を選択します。[キャンセル] を選択し、Alt キーを押しながら下方向キーを押してから、Enter キーを押して名前を選択します" prompt="従業員名ワークシートに従業員の名前を入力し、この列のリストから名前を選びます。Alt キーを押しながら下矢印キーを押して、Enter キーを押して名前を選択します" sqref="B8" xr:uid="{3B118AC1-307A-6645-A98D-9A80D2AE0EE3}"/>
    <dataValidation allowBlank="1" showInputMessage="1" showErrorMessage="1" prompt="このワークシートでは 11 月の欠勤を管理します" sqref="A1" xr:uid="{00000000-0002-0000-0A00-00000A000000}"/>
    <dataValidation allowBlank="1" showInputMessage="1" showErrorMessage="1" prompt="この列で、従業員の今月の欠勤日数の合計を自動的に計算します" sqref="AH8" xr:uid="{689D502A-5D97-B44F-AA8E-4AB5A8802DDE}"/>
    <dataValidation allowBlank="1" showInputMessage="1" showErrorMessage="1" prompt="1 月のワークシートに入力した年に基づいて自動的に更新される年" sqref="AH6" xr:uid="{CA024147-D189-C949-8452-0A51ECF8D4AA}"/>
    <dataValidation allowBlank="1" showInputMessage="1" showErrorMessage="1" prompt="この行の曜日は、AH4 の年に従い当月に応じて自動的に更新されます。月の各日付は、従業員の欠勤と欠勤の種類を記録するための列です" sqref="C7" xr:uid="{DEEC83F4-4C72-7D4D-B442-B00CC4990A25}"/>
    <dataValidation allowBlank="1" showInputMessage="1" showErrorMessage="1" prompt="このセルには、ワークシートのタイトルが入ります。" sqref="B1" xr:uid="{5B288F9F-2AF9-416E-82A2-69234D223868}"/>
  </dataValidations>
  <pageMargins left="0.7" right="0.7" top="0.75" bottom="0.75" header="0.3" footer="0.3"/>
  <pageSetup paperSize="9" fitToHeight="0" orientation="portrait" verticalDpi="4294967293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E27263-335F-4F89-A6C0-F6DE620FBAB7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AH9:AH52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98A422-6EAD-4A77-95FF-4F7CD848B8DB}">
          <x14:formula1>
            <xm:f>従業員名!$B$4:$B$47</xm:f>
          </x14:formula1>
          <xm:sqref>B9:B52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6" tint="0.39997558519241921"/>
  </sheetPr>
  <dimension ref="B1:AI53"/>
  <sheetViews>
    <sheetView showGridLines="0" topLeftCell="A12" zoomScaleNormal="100" workbookViewId="0">
      <selection activeCell="K19" sqref="K19"/>
    </sheetView>
  </sheetViews>
  <sheetFormatPr defaultColWidth="8.77734375" defaultRowHeight="30" customHeight="1" x14ac:dyDescent="0.25"/>
  <cols>
    <col min="1" max="1" width="2.88671875" customWidth="1"/>
    <col min="2" max="2" width="25.77734375" customWidth="1"/>
    <col min="3" max="33" width="4.77734375" customWidth="1"/>
    <col min="34" max="34" width="13.44140625" customWidth="1"/>
    <col min="35" max="35" width="2.88671875" customWidth="1"/>
  </cols>
  <sheetData>
    <row r="1" spans="2:35" ht="26.45" customHeight="1" x14ac:dyDescent="0.35">
      <c r="B1" s="2" t="s">
        <v>0</v>
      </c>
    </row>
    <row r="2" spans="2:35" ht="48.6" customHeight="1" x14ac:dyDescent="0.25">
      <c r="B2" s="28" t="s">
        <v>119</v>
      </c>
    </row>
    <row r="3" spans="2:35" ht="8.4499999999999993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2:35" ht="30" customHeight="1" x14ac:dyDescent="0.25">
      <c r="B4" s="8" t="s">
        <v>2</v>
      </c>
      <c r="C4" s="9" t="s">
        <v>3</v>
      </c>
      <c r="D4" s="37" t="s">
        <v>4</v>
      </c>
      <c r="E4" s="37"/>
      <c r="F4" s="37"/>
      <c r="G4" s="10" t="s">
        <v>5</v>
      </c>
      <c r="H4" s="37" t="s">
        <v>6</v>
      </c>
      <c r="I4" s="37"/>
      <c r="J4" s="37"/>
      <c r="K4" s="11"/>
      <c r="L4" s="37"/>
      <c r="M4" s="37"/>
      <c r="N4" s="12"/>
      <c r="O4" s="37" t="s">
        <v>7</v>
      </c>
      <c r="P4" s="37"/>
      <c r="Q4" s="37"/>
      <c r="R4" s="13"/>
      <c r="S4" s="37" t="s">
        <v>8</v>
      </c>
      <c r="T4" s="37"/>
      <c r="U4" s="37"/>
    </row>
    <row r="5" spans="2:35" ht="8.4499999999999993" customHeight="1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2:35" ht="15" customHeight="1" x14ac:dyDescent="0.25">
      <c r="B6" s="1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15">
        <v>2024</v>
      </c>
    </row>
    <row r="7" spans="2:35" ht="30" customHeight="1" x14ac:dyDescent="0.25">
      <c r="B7" s="15"/>
      <c r="C7" s="16" t="str">
        <f>TEXT(WEEKDAY(DATE($AH$6,12,1),1),"aaa")</f>
        <v>日</v>
      </c>
      <c r="D7" s="16" t="str">
        <f>TEXT(WEEKDAY(DATE($AH$6,12,2),1),"aaa")</f>
        <v>月</v>
      </c>
      <c r="E7" s="16" t="str">
        <f>TEXT(WEEKDAY(DATE($AH$6,12,3),1),"aaa")</f>
        <v>火</v>
      </c>
      <c r="F7" s="16" t="str">
        <f>TEXT(WEEKDAY(DATE($AH$6,12,4),1),"aaa")</f>
        <v>水</v>
      </c>
      <c r="G7" s="16" t="str">
        <f>TEXT(WEEKDAY(DATE($AH$6,12,5),1),"aaa")</f>
        <v>木</v>
      </c>
      <c r="H7" s="16" t="str">
        <f>TEXT(WEEKDAY(DATE($AH$6,12,6),1),"aaa")</f>
        <v>金</v>
      </c>
      <c r="I7" s="16" t="str">
        <f>TEXT(WEEKDAY(DATE($AH$6,12,7),1),"aaa")</f>
        <v>土</v>
      </c>
      <c r="J7" s="16" t="str">
        <f>TEXT(WEEKDAY(DATE($AH$6,12,8),1),"aaa")</f>
        <v>日</v>
      </c>
      <c r="K7" s="16" t="str">
        <f>TEXT(WEEKDAY(DATE($AH$6,12,9),1),"aaa")</f>
        <v>月</v>
      </c>
      <c r="L7" s="16" t="str">
        <f>TEXT(WEEKDAY(DATE($AH$6,12,10),1),"aaa")</f>
        <v>火</v>
      </c>
      <c r="M7" s="16" t="str">
        <f>TEXT(WEEKDAY(DATE($AH$6,12,11),1),"aaa")</f>
        <v>水</v>
      </c>
      <c r="N7" s="16" t="str">
        <f>TEXT(WEEKDAY(DATE($AH$6,12,12),1),"aaa")</f>
        <v>木</v>
      </c>
      <c r="O7" s="16" t="str">
        <f>TEXT(WEEKDAY(DATE($AH$6,12,13),1),"aaa")</f>
        <v>金</v>
      </c>
      <c r="P7" s="16" t="str">
        <f>TEXT(WEEKDAY(DATE($AH$6,12,14),1),"aaa")</f>
        <v>土</v>
      </c>
      <c r="Q7" s="16" t="str">
        <f>TEXT(WEEKDAY(DATE($AH$6,12,15),1),"aaa")</f>
        <v>日</v>
      </c>
      <c r="R7" s="16" t="str">
        <f>TEXT(WEEKDAY(DATE($AH$6,12,16),1),"aaa")</f>
        <v>月</v>
      </c>
      <c r="S7" s="16" t="str">
        <f>TEXT(WEEKDAY(DATE($AH$6,12,17),1),"aaa")</f>
        <v>火</v>
      </c>
      <c r="T7" s="16" t="str">
        <f>TEXT(WEEKDAY(DATE($AH$6,12,18),1),"aaa")</f>
        <v>水</v>
      </c>
      <c r="U7" s="16" t="str">
        <f>TEXT(WEEKDAY(DATE($AH$6,12,19),1),"aaa")</f>
        <v>木</v>
      </c>
      <c r="V7" s="16" t="str">
        <f>TEXT(WEEKDAY(DATE($AH$6,12,20),1),"aaa")</f>
        <v>金</v>
      </c>
      <c r="W7" s="16" t="str">
        <f>TEXT(WEEKDAY(DATE($AH$6,12,21),1),"aaa")</f>
        <v>土</v>
      </c>
      <c r="X7" s="16" t="str">
        <f>TEXT(WEEKDAY(DATE($AH$6,12,22),1),"aaa")</f>
        <v>日</v>
      </c>
      <c r="Y7" s="16" t="str">
        <f>TEXT(WEEKDAY(DATE($AH$6,12,23),1),"aaa")</f>
        <v>月</v>
      </c>
      <c r="Z7" s="16" t="str">
        <f>TEXT(WEEKDAY(DATE($AH$6,12,24),1),"aaa")</f>
        <v>火</v>
      </c>
      <c r="AA7" s="16" t="str">
        <f>TEXT(WEEKDAY(DATE($AH$6,12,25),1),"aaa")</f>
        <v>水</v>
      </c>
      <c r="AB7" s="16" t="str">
        <f>TEXT(WEEKDAY(DATE($AH$6,12,26),1),"aaa")</f>
        <v>木</v>
      </c>
      <c r="AC7" s="16" t="str">
        <f>TEXT(WEEKDAY(DATE($AH$6,12,27),1),"aaa")</f>
        <v>金</v>
      </c>
      <c r="AD7" s="16" t="str">
        <f>TEXT(WEEKDAY(DATE($AH$6,12,28),1),"aaa")</f>
        <v>土</v>
      </c>
      <c r="AE7" s="16" t="str">
        <f>TEXT(WEEKDAY(DATE($AH$6,12,29),1),"aaa")</f>
        <v>日</v>
      </c>
      <c r="AF7" s="16" t="str">
        <f>TEXT(WEEKDAY(DATE($AH$6,12,30),1),"aaa")</f>
        <v>月</v>
      </c>
      <c r="AG7" s="16" t="str">
        <f>TEXT(WEEKDAY(DATE($AH$6,12,31),1),"aaa")</f>
        <v>火</v>
      </c>
      <c r="AH7" s="15"/>
    </row>
    <row r="8" spans="2:35" ht="30" customHeight="1" x14ac:dyDescent="0.25">
      <c r="B8" s="17" t="s">
        <v>9</v>
      </c>
      <c r="C8" s="18" t="s">
        <v>10</v>
      </c>
      <c r="D8" s="18" t="s">
        <v>11</v>
      </c>
      <c r="E8" s="18" t="s">
        <v>12</v>
      </c>
      <c r="F8" s="18" t="s">
        <v>13</v>
      </c>
      <c r="G8" s="18" t="s">
        <v>14</v>
      </c>
      <c r="H8" s="18" t="s">
        <v>15</v>
      </c>
      <c r="I8" s="18" t="s">
        <v>16</v>
      </c>
      <c r="J8" s="18" t="s">
        <v>17</v>
      </c>
      <c r="K8" s="18" t="s">
        <v>18</v>
      </c>
      <c r="L8" s="18" t="s">
        <v>19</v>
      </c>
      <c r="M8" s="18" t="s">
        <v>20</v>
      </c>
      <c r="N8" s="18" t="s">
        <v>21</v>
      </c>
      <c r="O8" s="18" t="s">
        <v>22</v>
      </c>
      <c r="P8" s="18" t="s">
        <v>23</v>
      </c>
      <c r="Q8" s="18" t="s">
        <v>24</v>
      </c>
      <c r="R8" s="18" t="s">
        <v>25</v>
      </c>
      <c r="S8" s="18" t="s">
        <v>26</v>
      </c>
      <c r="T8" s="18" t="s">
        <v>27</v>
      </c>
      <c r="U8" s="18" t="s">
        <v>28</v>
      </c>
      <c r="V8" s="18" t="s">
        <v>29</v>
      </c>
      <c r="W8" s="18" t="s">
        <v>30</v>
      </c>
      <c r="X8" s="18" t="s">
        <v>31</v>
      </c>
      <c r="Y8" s="18" t="s">
        <v>32</v>
      </c>
      <c r="Z8" s="18" t="s">
        <v>33</v>
      </c>
      <c r="AA8" s="18" t="s">
        <v>34</v>
      </c>
      <c r="AB8" s="18" t="s">
        <v>35</v>
      </c>
      <c r="AC8" s="18" t="s">
        <v>36</v>
      </c>
      <c r="AD8" s="18" t="s">
        <v>37</v>
      </c>
      <c r="AE8" s="18" t="s">
        <v>38</v>
      </c>
      <c r="AF8" s="18" t="s">
        <v>39</v>
      </c>
      <c r="AG8" s="18" t="s">
        <v>64</v>
      </c>
      <c r="AH8" s="19" t="s">
        <v>41</v>
      </c>
    </row>
    <row r="9" spans="2:35" ht="30" customHeight="1" x14ac:dyDescent="0.25">
      <c r="B9" s="20" t="s">
        <v>75</v>
      </c>
      <c r="C9" s="18" t="s">
        <v>66</v>
      </c>
      <c r="D9" s="18" t="s">
        <v>66</v>
      </c>
      <c r="E9" s="18" t="s">
        <v>66</v>
      </c>
      <c r="F9" s="18" t="s">
        <v>66</v>
      </c>
      <c r="G9" s="18" t="s">
        <v>66</v>
      </c>
      <c r="H9" s="18" t="s">
        <v>66</v>
      </c>
      <c r="I9" s="18" t="s">
        <v>66</v>
      </c>
      <c r="J9" s="18" t="s">
        <v>66</v>
      </c>
      <c r="K9" s="18" t="s">
        <v>66</v>
      </c>
      <c r="L9" s="18" t="s">
        <v>66</v>
      </c>
      <c r="M9" s="18" t="s">
        <v>66</v>
      </c>
      <c r="N9" s="18" t="s">
        <v>66</v>
      </c>
      <c r="O9" s="18" t="s">
        <v>66</v>
      </c>
      <c r="P9" s="18"/>
      <c r="Q9" s="18"/>
      <c r="R9" s="18" t="s">
        <v>66</v>
      </c>
      <c r="S9" s="18" t="s">
        <v>66</v>
      </c>
      <c r="T9" s="18" t="s">
        <v>66</v>
      </c>
      <c r="U9" s="18" t="s">
        <v>66</v>
      </c>
      <c r="V9" s="18" t="s">
        <v>66</v>
      </c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27">
        <f>COUNTA($C9:$AG9)</f>
        <v>18</v>
      </c>
      <c r="AI9" s="27"/>
    </row>
    <row r="10" spans="2:35" ht="30" customHeight="1" x14ac:dyDescent="0.25">
      <c r="B10" s="20" t="s">
        <v>76</v>
      </c>
      <c r="C10" s="18" t="s">
        <v>66</v>
      </c>
      <c r="D10" s="18" t="s">
        <v>66</v>
      </c>
      <c r="E10" s="18" t="s">
        <v>66</v>
      </c>
      <c r="F10" s="18" t="s">
        <v>66</v>
      </c>
      <c r="G10" s="18" t="s">
        <v>66</v>
      </c>
      <c r="H10" s="18" t="s">
        <v>66</v>
      </c>
      <c r="I10" s="18" t="s">
        <v>66</v>
      </c>
      <c r="J10" s="18" t="s">
        <v>66</v>
      </c>
      <c r="K10" s="18" t="s">
        <v>66</v>
      </c>
      <c r="L10" s="18" t="s">
        <v>66</v>
      </c>
      <c r="M10" s="18" t="s">
        <v>66</v>
      </c>
      <c r="N10" s="18" t="s">
        <v>66</v>
      </c>
      <c r="O10" s="18" t="s">
        <v>66</v>
      </c>
      <c r="P10" s="18"/>
      <c r="Q10" s="18"/>
      <c r="R10" s="18" t="s">
        <v>66</v>
      </c>
      <c r="S10" s="18" t="s">
        <v>66</v>
      </c>
      <c r="T10" s="18" t="s">
        <v>66</v>
      </c>
      <c r="U10" s="18" t="s">
        <v>66</v>
      </c>
      <c r="V10" s="18" t="s">
        <v>66</v>
      </c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27">
        <f t="shared" ref="AH10:AH52" si="0">COUNTA($C10:$AG10)</f>
        <v>18</v>
      </c>
    </row>
    <row r="11" spans="2:35" ht="30" customHeight="1" x14ac:dyDescent="0.25">
      <c r="B11" s="20" t="s">
        <v>77</v>
      </c>
      <c r="C11" s="18" t="s">
        <v>66</v>
      </c>
      <c r="D11" s="18" t="s">
        <v>66</v>
      </c>
      <c r="E11" s="18" t="s">
        <v>66</v>
      </c>
      <c r="F11" s="18" t="s">
        <v>66</v>
      </c>
      <c r="G11" s="18" t="s">
        <v>66</v>
      </c>
      <c r="H11" s="18" t="s">
        <v>66</v>
      </c>
      <c r="I11" s="18" t="s">
        <v>66</v>
      </c>
      <c r="J11" s="18" t="s">
        <v>66</v>
      </c>
      <c r="K11" s="18" t="s">
        <v>66</v>
      </c>
      <c r="L11" s="18" t="s">
        <v>66</v>
      </c>
      <c r="M11" s="18" t="s">
        <v>66</v>
      </c>
      <c r="N11" s="18" t="s">
        <v>66</v>
      </c>
      <c r="O11" s="18" t="s">
        <v>66</v>
      </c>
      <c r="P11" s="18"/>
      <c r="Q11" s="18"/>
      <c r="R11" s="18" t="s">
        <v>66</v>
      </c>
      <c r="S11" s="18" t="s">
        <v>66</v>
      </c>
      <c r="T11" s="18" t="s">
        <v>66</v>
      </c>
      <c r="U11" s="18" t="s">
        <v>66</v>
      </c>
      <c r="V11" s="18" t="s">
        <v>66</v>
      </c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27">
        <f t="shared" si="0"/>
        <v>18</v>
      </c>
    </row>
    <row r="12" spans="2:35" ht="30" customHeight="1" x14ac:dyDescent="0.25">
      <c r="B12" s="20" t="s">
        <v>78</v>
      </c>
      <c r="C12" s="18" t="s">
        <v>66</v>
      </c>
      <c r="D12" s="18" t="s">
        <v>66</v>
      </c>
      <c r="E12" s="18" t="s">
        <v>66</v>
      </c>
      <c r="F12" s="18" t="s">
        <v>66</v>
      </c>
      <c r="G12" s="18" t="s">
        <v>66</v>
      </c>
      <c r="H12" s="18" t="s">
        <v>66</v>
      </c>
      <c r="I12" s="18" t="s">
        <v>66</v>
      </c>
      <c r="J12" s="18" t="s">
        <v>66</v>
      </c>
      <c r="K12" s="18" t="s">
        <v>66</v>
      </c>
      <c r="L12" s="18" t="s">
        <v>66</v>
      </c>
      <c r="M12" s="18" t="s">
        <v>66</v>
      </c>
      <c r="N12" s="18" t="s">
        <v>66</v>
      </c>
      <c r="O12" s="18" t="s">
        <v>66</v>
      </c>
      <c r="P12" s="18"/>
      <c r="Q12" s="18"/>
      <c r="R12" s="18" t="s">
        <v>66</v>
      </c>
      <c r="S12" s="18" t="s">
        <v>66</v>
      </c>
      <c r="T12" s="18" t="s">
        <v>66</v>
      </c>
      <c r="U12" s="18" t="s">
        <v>66</v>
      </c>
      <c r="V12" s="18" t="s">
        <v>66</v>
      </c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27">
        <f t="shared" si="0"/>
        <v>18</v>
      </c>
    </row>
    <row r="13" spans="2:35" ht="30" customHeight="1" x14ac:dyDescent="0.25">
      <c r="B13" s="20" t="s">
        <v>79</v>
      </c>
      <c r="C13" s="18" t="s">
        <v>66</v>
      </c>
      <c r="D13" s="18" t="s">
        <v>66</v>
      </c>
      <c r="E13" s="18" t="s">
        <v>66</v>
      </c>
      <c r="F13" s="18" t="s">
        <v>66</v>
      </c>
      <c r="G13" s="18" t="s">
        <v>66</v>
      </c>
      <c r="H13" s="18" t="s">
        <v>66</v>
      </c>
      <c r="I13" s="18" t="s">
        <v>66</v>
      </c>
      <c r="J13" s="18" t="s">
        <v>66</v>
      </c>
      <c r="K13" s="18" t="s">
        <v>66</v>
      </c>
      <c r="L13" s="18" t="s">
        <v>66</v>
      </c>
      <c r="M13" s="18" t="s">
        <v>66</v>
      </c>
      <c r="N13" s="18" t="s">
        <v>66</v>
      </c>
      <c r="O13" s="18" t="s">
        <v>66</v>
      </c>
      <c r="P13" s="18"/>
      <c r="Q13" s="18"/>
      <c r="R13" s="18" t="s">
        <v>66</v>
      </c>
      <c r="S13" s="18" t="s">
        <v>66</v>
      </c>
      <c r="T13" s="18" t="s">
        <v>66</v>
      </c>
      <c r="U13" s="18" t="s">
        <v>66</v>
      </c>
      <c r="V13" s="18" t="s">
        <v>66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27">
        <f t="shared" si="0"/>
        <v>18</v>
      </c>
    </row>
    <row r="14" spans="2:35" ht="30" customHeight="1" x14ac:dyDescent="0.25">
      <c r="B14" s="20" t="s">
        <v>80</v>
      </c>
      <c r="C14" s="18" t="s">
        <v>66</v>
      </c>
      <c r="D14" s="18" t="s">
        <v>66</v>
      </c>
      <c r="E14" s="18" t="s">
        <v>66</v>
      </c>
      <c r="F14" s="18" t="s">
        <v>66</v>
      </c>
      <c r="G14" s="18" t="s">
        <v>66</v>
      </c>
      <c r="H14" s="18" t="s">
        <v>66</v>
      </c>
      <c r="I14" s="18" t="s">
        <v>66</v>
      </c>
      <c r="J14" s="18" t="s">
        <v>66</v>
      </c>
      <c r="K14" s="18" t="s">
        <v>66</v>
      </c>
      <c r="L14" s="18" t="s">
        <v>66</v>
      </c>
      <c r="M14" s="18" t="s">
        <v>66</v>
      </c>
      <c r="N14" s="18" t="s">
        <v>66</v>
      </c>
      <c r="O14" s="18" t="s">
        <v>66</v>
      </c>
      <c r="P14" s="18"/>
      <c r="Q14" s="18"/>
      <c r="R14" s="18" t="s">
        <v>66</v>
      </c>
      <c r="S14" s="18" t="s">
        <v>66</v>
      </c>
      <c r="T14" s="18" t="s">
        <v>66</v>
      </c>
      <c r="U14" s="18" t="s">
        <v>66</v>
      </c>
      <c r="V14" s="18" t="s">
        <v>66</v>
      </c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27">
        <f t="shared" si="0"/>
        <v>18</v>
      </c>
    </row>
    <row r="15" spans="2:35" ht="30" customHeight="1" x14ac:dyDescent="0.25">
      <c r="B15" s="20" t="s">
        <v>81</v>
      </c>
      <c r="C15" s="18" t="s">
        <v>66</v>
      </c>
      <c r="D15" s="18" t="s">
        <v>66</v>
      </c>
      <c r="E15" s="18" t="s">
        <v>66</v>
      </c>
      <c r="F15" s="18" t="s">
        <v>66</v>
      </c>
      <c r="G15" s="18" t="s">
        <v>66</v>
      </c>
      <c r="H15" s="18" t="s">
        <v>66</v>
      </c>
      <c r="I15" s="18" t="s">
        <v>66</v>
      </c>
      <c r="J15" s="18" t="s">
        <v>66</v>
      </c>
      <c r="K15" s="18" t="s">
        <v>66</v>
      </c>
      <c r="L15" s="18" t="s">
        <v>66</v>
      </c>
      <c r="M15" s="18" t="s">
        <v>66</v>
      </c>
      <c r="N15" s="18" t="s">
        <v>66</v>
      </c>
      <c r="O15" s="18" t="s">
        <v>66</v>
      </c>
      <c r="P15" s="18"/>
      <c r="Q15" s="18"/>
      <c r="R15" s="18" t="s">
        <v>66</v>
      </c>
      <c r="S15" s="18" t="s">
        <v>66</v>
      </c>
      <c r="T15" s="18" t="s">
        <v>66</v>
      </c>
      <c r="U15" s="18" t="s">
        <v>66</v>
      </c>
      <c r="V15" s="18" t="s">
        <v>66</v>
      </c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27">
        <f t="shared" si="0"/>
        <v>18</v>
      </c>
    </row>
    <row r="16" spans="2:35" ht="30" customHeight="1" x14ac:dyDescent="0.25">
      <c r="B16" s="20" t="s">
        <v>82</v>
      </c>
      <c r="C16" s="18" t="s">
        <v>66</v>
      </c>
      <c r="D16" s="18" t="s">
        <v>66</v>
      </c>
      <c r="E16" s="18" t="s">
        <v>66</v>
      </c>
      <c r="F16" s="18" t="s">
        <v>66</v>
      </c>
      <c r="G16" s="18" t="s">
        <v>66</v>
      </c>
      <c r="H16" s="18" t="s">
        <v>66</v>
      </c>
      <c r="I16" s="18" t="s">
        <v>66</v>
      </c>
      <c r="J16" s="18" t="s">
        <v>66</v>
      </c>
      <c r="K16" s="18" t="s">
        <v>66</v>
      </c>
      <c r="L16" s="18" t="s">
        <v>66</v>
      </c>
      <c r="M16" s="18" t="s">
        <v>66</v>
      </c>
      <c r="N16" s="18" t="s">
        <v>66</v>
      </c>
      <c r="O16" s="18" t="s">
        <v>66</v>
      </c>
      <c r="P16" s="18"/>
      <c r="Q16" s="18"/>
      <c r="R16" s="18" t="s">
        <v>66</v>
      </c>
      <c r="S16" s="18" t="s">
        <v>66</v>
      </c>
      <c r="T16" s="18" t="s">
        <v>66</v>
      </c>
      <c r="U16" s="18" t="s">
        <v>66</v>
      </c>
      <c r="V16" s="18" t="s">
        <v>66</v>
      </c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27">
        <f t="shared" si="0"/>
        <v>18</v>
      </c>
    </row>
    <row r="17" spans="2:34" ht="30" customHeight="1" x14ac:dyDescent="0.25">
      <c r="B17" s="20" t="s">
        <v>83</v>
      </c>
      <c r="C17" s="18" t="s">
        <v>66</v>
      </c>
      <c r="D17" s="18" t="s">
        <v>66</v>
      </c>
      <c r="E17" s="18" t="s">
        <v>66</v>
      </c>
      <c r="F17" s="18" t="s">
        <v>66</v>
      </c>
      <c r="G17" s="18" t="s">
        <v>66</v>
      </c>
      <c r="H17" s="18" t="s">
        <v>66</v>
      </c>
      <c r="I17" s="18" t="s">
        <v>66</v>
      </c>
      <c r="J17" s="18" t="s">
        <v>66</v>
      </c>
      <c r="K17" s="18" t="s">
        <v>66</v>
      </c>
      <c r="L17" s="18" t="s">
        <v>66</v>
      </c>
      <c r="M17" s="18" t="s">
        <v>66</v>
      </c>
      <c r="N17" s="18" t="s">
        <v>66</v>
      </c>
      <c r="O17" s="18" t="s">
        <v>66</v>
      </c>
      <c r="P17" s="18"/>
      <c r="Q17" s="18"/>
      <c r="R17" s="18" t="s">
        <v>66</v>
      </c>
      <c r="S17" s="18" t="s">
        <v>66</v>
      </c>
      <c r="T17" s="18" t="s">
        <v>66</v>
      </c>
      <c r="U17" s="18" t="s">
        <v>66</v>
      </c>
      <c r="V17" s="18" t="s">
        <v>66</v>
      </c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27">
        <f t="shared" si="0"/>
        <v>18</v>
      </c>
    </row>
    <row r="18" spans="2:34" ht="30" customHeight="1" x14ac:dyDescent="0.25">
      <c r="B18" s="20" t="s">
        <v>84</v>
      </c>
      <c r="C18" s="18" t="s">
        <v>66</v>
      </c>
      <c r="D18" s="18" t="s">
        <v>66</v>
      </c>
      <c r="E18" s="18" t="s">
        <v>66</v>
      </c>
      <c r="F18" s="18" t="s">
        <v>66</v>
      </c>
      <c r="G18" s="18" t="s">
        <v>66</v>
      </c>
      <c r="H18" s="18" t="s">
        <v>66</v>
      </c>
      <c r="I18" s="18" t="s">
        <v>66</v>
      </c>
      <c r="J18" s="18" t="s">
        <v>66</v>
      </c>
      <c r="K18" s="18" t="s">
        <v>66</v>
      </c>
      <c r="L18" s="18" t="s">
        <v>66</v>
      </c>
      <c r="M18" s="18" t="s">
        <v>66</v>
      </c>
      <c r="N18" s="18" t="s">
        <v>66</v>
      </c>
      <c r="O18" s="18" t="s">
        <v>66</v>
      </c>
      <c r="P18" s="18"/>
      <c r="Q18" s="18"/>
      <c r="R18" s="18" t="s">
        <v>66</v>
      </c>
      <c r="S18" s="18" t="s">
        <v>66</v>
      </c>
      <c r="T18" s="18" t="s">
        <v>66</v>
      </c>
      <c r="U18" s="18" t="s">
        <v>66</v>
      </c>
      <c r="V18" s="18" t="s">
        <v>66</v>
      </c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27">
        <f t="shared" si="0"/>
        <v>18</v>
      </c>
    </row>
    <row r="19" spans="2:34" ht="30" customHeight="1" x14ac:dyDescent="0.25">
      <c r="B19" s="20" t="s">
        <v>85</v>
      </c>
      <c r="C19" s="18" t="s">
        <v>66</v>
      </c>
      <c r="D19" s="18" t="s">
        <v>66</v>
      </c>
      <c r="E19" s="18" t="s">
        <v>66</v>
      </c>
      <c r="F19" s="18" t="s">
        <v>66</v>
      </c>
      <c r="G19" s="18" t="s">
        <v>66</v>
      </c>
      <c r="H19" s="18" t="s">
        <v>66</v>
      </c>
      <c r="I19" s="18" t="s">
        <v>66</v>
      </c>
      <c r="J19" s="18" t="s">
        <v>66</v>
      </c>
      <c r="K19" s="18" t="s">
        <v>66</v>
      </c>
      <c r="L19" s="18" t="s">
        <v>66</v>
      </c>
      <c r="M19" s="18" t="s">
        <v>66</v>
      </c>
      <c r="N19" s="18" t="s">
        <v>66</v>
      </c>
      <c r="O19" s="18" t="s">
        <v>66</v>
      </c>
      <c r="P19" s="18"/>
      <c r="Q19" s="18"/>
      <c r="R19" s="18" t="s">
        <v>66</v>
      </c>
      <c r="S19" s="18" t="s">
        <v>66</v>
      </c>
      <c r="T19" s="18" t="s">
        <v>66</v>
      </c>
      <c r="U19" s="18" t="s">
        <v>66</v>
      </c>
      <c r="V19" s="18" t="s">
        <v>66</v>
      </c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7">
        <f t="shared" si="0"/>
        <v>18</v>
      </c>
    </row>
    <row r="20" spans="2:34" ht="30" customHeight="1" x14ac:dyDescent="0.25">
      <c r="B20" s="31" t="s">
        <v>86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7">
        <f t="shared" si="0"/>
        <v>0</v>
      </c>
    </row>
    <row r="21" spans="2:34" ht="30" customHeight="1" x14ac:dyDescent="0.25">
      <c r="B21" s="31" t="s">
        <v>87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7">
        <f t="shared" si="0"/>
        <v>0</v>
      </c>
    </row>
    <row r="22" spans="2:34" ht="30" customHeight="1" x14ac:dyDescent="0.25">
      <c r="B22" s="31" t="s">
        <v>88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7">
        <f t="shared" si="0"/>
        <v>0</v>
      </c>
    </row>
    <row r="23" spans="2:34" ht="30" customHeight="1" x14ac:dyDescent="0.25">
      <c r="B23" s="31" t="s">
        <v>89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7">
        <f t="shared" si="0"/>
        <v>0</v>
      </c>
    </row>
    <row r="24" spans="2:34" ht="30" customHeight="1" x14ac:dyDescent="0.25">
      <c r="B24" s="31" t="s">
        <v>90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7">
        <f t="shared" si="0"/>
        <v>0</v>
      </c>
    </row>
    <row r="25" spans="2:34" ht="30" customHeight="1" x14ac:dyDescent="0.25">
      <c r="B25" s="31" t="s">
        <v>91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7">
        <f t="shared" si="0"/>
        <v>0</v>
      </c>
    </row>
    <row r="26" spans="2:34" ht="30" customHeight="1" x14ac:dyDescent="0.25">
      <c r="B26" s="31" t="s">
        <v>92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27">
        <f t="shared" si="0"/>
        <v>0</v>
      </c>
    </row>
    <row r="27" spans="2:34" ht="30" customHeight="1" x14ac:dyDescent="0.25">
      <c r="B27" s="31" t="s">
        <v>93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7">
        <f t="shared" si="0"/>
        <v>0</v>
      </c>
    </row>
    <row r="28" spans="2:34" ht="30" customHeight="1" x14ac:dyDescent="0.25">
      <c r="B28" s="31" t="s">
        <v>94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27">
        <f t="shared" si="0"/>
        <v>0</v>
      </c>
    </row>
    <row r="29" spans="2:34" ht="30" customHeight="1" x14ac:dyDescent="0.25">
      <c r="B29" s="31" t="s">
        <v>95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7">
        <f t="shared" si="0"/>
        <v>0</v>
      </c>
    </row>
    <row r="30" spans="2:34" ht="30" customHeight="1" x14ac:dyDescent="0.25">
      <c r="B30" s="31" t="s">
        <v>96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27">
        <f t="shared" si="0"/>
        <v>0</v>
      </c>
    </row>
    <row r="31" spans="2:34" ht="30" customHeight="1" x14ac:dyDescent="0.25">
      <c r="B31" s="20" t="s">
        <v>97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 t="s">
        <v>66</v>
      </c>
      <c r="S31" s="18" t="s">
        <v>66</v>
      </c>
      <c r="T31" s="18" t="s">
        <v>66</v>
      </c>
      <c r="U31" s="18" t="s">
        <v>66</v>
      </c>
      <c r="V31" s="18" t="s">
        <v>66</v>
      </c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7">
        <f t="shared" si="0"/>
        <v>5</v>
      </c>
    </row>
    <row r="32" spans="2:34" ht="30" customHeight="1" x14ac:dyDescent="0.25">
      <c r="B32" s="20" t="s">
        <v>98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 t="s">
        <v>66</v>
      </c>
      <c r="S32" s="18" t="s">
        <v>66</v>
      </c>
      <c r="T32" s="18" t="s">
        <v>66</v>
      </c>
      <c r="U32" s="18" t="s">
        <v>66</v>
      </c>
      <c r="V32" s="18" t="s">
        <v>66</v>
      </c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27">
        <f t="shared" si="0"/>
        <v>5</v>
      </c>
    </row>
    <row r="33" spans="2:34" ht="30" customHeight="1" x14ac:dyDescent="0.25">
      <c r="B33" s="20" t="s">
        <v>99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 t="s">
        <v>66</v>
      </c>
      <c r="S33" s="18" t="s">
        <v>66</v>
      </c>
      <c r="T33" s="18" t="s">
        <v>66</v>
      </c>
      <c r="U33" s="18" t="s">
        <v>66</v>
      </c>
      <c r="V33" s="18" t="s">
        <v>66</v>
      </c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27">
        <f t="shared" si="0"/>
        <v>5</v>
      </c>
    </row>
    <row r="34" spans="2:34" ht="30" customHeight="1" x14ac:dyDescent="0.25">
      <c r="B34" s="20" t="s">
        <v>100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 t="s">
        <v>66</v>
      </c>
      <c r="S34" s="18" t="s">
        <v>66</v>
      </c>
      <c r="T34" s="18" t="s">
        <v>66</v>
      </c>
      <c r="U34" s="18" t="s">
        <v>66</v>
      </c>
      <c r="V34" s="18" t="s">
        <v>66</v>
      </c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7">
        <f t="shared" si="0"/>
        <v>5</v>
      </c>
    </row>
    <row r="35" spans="2:34" ht="30" customHeight="1" x14ac:dyDescent="0.25">
      <c r="B35" s="20" t="s">
        <v>101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 t="s">
        <v>66</v>
      </c>
      <c r="S35" s="18" t="s">
        <v>66</v>
      </c>
      <c r="T35" s="18" t="s">
        <v>66</v>
      </c>
      <c r="U35" s="18" t="s">
        <v>66</v>
      </c>
      <c r="V35" s="18" t="s">
        <v>66</v>
      </c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7">
        <f t="shared" si="0"/>
        <v>5</v>
      </c>
    </row>
    <row r="36" spans="2:34" ht="30" customHeight="1" x14ac:dyDescent="0.25">
      <c r="B36" s="20" t="s">
        <v>102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66</v>
      </c>
      <c r="S36" s="18" t="s">
        <v>66</v>
      </c>
      <c r="T36" s="18" t="s">
        <v>66</v>
      </c>
      <c r="U36" s="18" t="s">
        <v>66</v>
      </c>
      <c r="V36" s="18" t="s">
        <v>66</v>
      </c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7">
        <f t="shared" si="0"/>
        <v>5</v>
      </c>
    </row>
    <row r="37" spans="2:34" ht="30" customHeight="1" x14ac:dyDescent="0.25">
      <c r="B37" s="20" t="s">
        <v>103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 t="s">
        <v>66</v>
      </c>
      <c r="S37" s="18" t="s">
        <v>66</v>
      </c>
      <c r="T37" s="18" t="s">
        <v>66</v>
      </c>
      <c r="U37" s="18" t="s">
        <v>66</v>
      </c>
      <c r="V37" s="18" t="s">
        <v>66</v>
      </c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27">
        <f t="shared" si="0"/>
        <v>5</v>
      </c>
    </row>
    <row r="38" spans="2:34" ht="30" customHeight="1" x14ac:dyDescent="0.25">
      <c r="B38" s="20" t="s">
        <v>104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 t="s">
        <v>66</v>
      </c>
      <c r="S38" s="18" t="s">
        <v>66</v>
      </c>
      <c r="T38" s="18" t="s">
        <v>66</v>
      </c>
      <c r="U38" s="18" t="s">
        <v>66</v>
      </c>
      <c r="V38" s="18" t="s">
        <v>66</v>
      </c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7">
        <f t="shared" si="0"/>
        <v>5</v>
      </c>
    </row>
    <row r="39" spans="2:34" ht="30" customHeight="1" x14ac:dyDescent="0.25">
      <c r="B39" s="20" t="s">
        <v>105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 t="s">
        <v>66</v>
      </c>
      <c r="S39" s="18" t="s">
        <v>66</v>
      </c>
      <c r="T39" s="18" t="s">
        <v>66</v>
      </c>
      <c r="U39" s="18" t="s">
        <v>66</v>
      </c>
      <c r="V39" s="18" t="s">
        <v>66</v>
      </c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7">
        <f t="shared" si="0"/>
        <v>5</v>
      </c>
    </row>
    <row r="40" spans="2:34" ht="30" customHeight="1" x14ac:dyDescent="0.25">
      <c r="B40" s="20" t="s">
        <v>106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 t="s">
        <v>66</v>
      </c>
      <c r="S40" s="18" t="s">
        <v>66</v>
      </c>
      <c r="T40" s="18" t="s">
        <v>66</v>
      </c>
      <c r="U40" s="18" t="s">
        <v>66</v>
      </c>
      <c r="V40" s="18" t="s">
        <v>66</v>
      </c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27">
        <f t="shared" si="0"/>
        <v>5</v>
      </c>
    </row>
    <row r="41" spans="2:34" ht="30" customHeight="1" x14ac:dyDescent="0.25">
      <c r="B41" s="31" t="s">
        <v>107</v>
      </c>
      <c r="C41" s="33" t="s">
        <v>66</v>
      </c>
      <c r="D41" s="33" t="s">
        <v>66</v>
      </c>
      <c r="E41" s="33" t="s">
        <v>66</v>
      </c>
      <c r="F41" s="33" t="s">
        <v>66</v>
      </c>
      <c r="G41" s="33" t="s">
        <v>66</v>
      </c>
      <c r="H41" s="33" t="s">
        <v>66</v>
      </c>
      <c r="I41" s="33" t="s">
        <v>66</v>
      </c>
      <c r="J41" s="33" t="s">
        <v>66</v>
      </c>
      <c r="K41" s="33" t="s">
        <v>66</v>
      </c>
      <c r="L41" s="33" t="s">
        <v>66</v>
      </c>
      <c r="M41" s="33" t="s">
        <v>66</v>
      </c>
      <c r="N41" s="33" t="s">
        <v>66</v>
      </c>
      <c r="O41" s="33" t="s">
        <v>66</v>
      </c>
      <c r="P41" s="18"/>
      <c r="Q41" s="18"/>
      <c r="R41" s="18" t="s">
        <v>66</v>
      </c>
      <c r="S41" s="18" t="s">
        <v>66</v>
      </c>
      <c r="T41" s="18" t="s">
        <v>66</v>
      </c>
      <c r="U41" s="18" t="s">
        <v>66</v>
      </c>
      <c r="V41" s="18" t="s">
        <v>66</v>
      </c>
      <c r="W41" s="18"/>
      <c r="X41" s="18"/>
      <c r="Y41" s="33" t="s">
        <v>66</v>
      </c>
      <c r="Z41" s="33" t="s">
        <v>66</v>
      </c>
      <c r="AA41" s="18"/>
      <c r="AB41" s="18"/>
      <c r="AC41" s="18"/>
      <c r="AD41" s="18"/>
      <c r="AE41" s="18"/>
      <c r="AF41" s="18"/>
      <c r="AG41" s="18"/>
      <c r="AH41" s="27">
        <f t="shared" si="0"/>
        <v>20</v>
      </c>
    </row>
    <row r="42" spans="2:34" ht="30" customHeight="1" x14ac:dyDescent="0.25">
      <c r="B42" s="31" t="s">
        <v>108</v>
      </c>
      <c r="C42" s="33" t="s">
        <v>66</v>
      </c>
      <c r="D42" s="33" t="s">
        <v>66</v>
      </c>
      <c r="E42" s="33" t="s">
        <v>66</v>
      </c>
      <c r="F42" s="33" t="s">
        <v>66</v>
      </c>
      <c r="G42" s="33" t="s">
        <v>66</v>
      </c>
      <c r="H42" s="33" t="s">
        <v>66</v>
      </c>
      <c r="I42" s="33" t="s">
        <v>66</v>
      </c>
      <c r="J42" s="33" t="s">
        <v>66</v>
      </c>
      <c r="K42" s="33" t="s">
        <v>66</v>
      </c>
      <c r="L42" s="33" t="s">
        <v>66</v>
      </c>
      <c r="M42" s="33" t="s">
        <v>66</v>
      </c>
      <c r="N42" s="33" t="s">
        <v>66</v>
      </c>
      <c r="O42" s="33" t="s">
        <v>66</v>
      </c>
      <c r="P42" s="18"/>
      <c r="Q42" s="18"/>
      <c r="R42" s="18"/>
      <c r="S42" s="18"/>
      <c r="T42" s="18"/>
      <c r="U42" s="18"/>
      <c r="V42" s="18"/>
      <c r="W42" s="18"/>
      <c r="X42" s="18"/>
      <c r="Y42" s="33" t="s">
        <v>66</v>
      </c>
      <c r="Z42" s="33" t="s">
        <v>66</v>
      </c>
      <c r="AA42" s="18"/>
      <c r="AB42" s="18"/>
      <c r="AC42" s="18"/>
      <c r="AD42" s="18"/>
      <c r="AE42" s="18"/>
      <c r="AF42" s="18"/>
      <c r="AG42" s="18"/>
      <c r="AH42" s="27">
        <f t="shared" si="0"/>
        <v>15</v>
      </c>
    </row>
    <row r="43" spans="2:34" ht="30" customHeight="1" x14ac:dyDescent="0.25">
      <c r="B43" s="31" t="s">
        <v>109</v>
      </c>
      <c r="C43" s="33" t="s">
        <v>66</v>
      </c>
      <c r="D43" s="33" t="s">
        <v>66</v>
      </c>
      <c r="E43" s="33" t="s">
        <v>66</v>
      </c>
      <c r="F43" s="33" t="s">
        <v>66</v>
      </c>
      <c r="G43" s="33" t="s">
        <v>66</v>
      </c>
      <c r="H43" s="33" t="s">
        <v>66</v>
      </c>
      <c r="I43" s="33" t="s">
        <v>66</v>
      </c>
      <c r="J43" s="33" t="s">
        <v>66</v>
      </c>
      <c r="K43" s="33" t="s">
        <v>66</v>
      </c>
      <c r="L43" s="33" t="s">
        <v>66</v>
      </c>
      <c r="M43" s="33" t="s">
        <v>66</v>
      </c>
      <c r="N43" s="33" t="s">
        <v>66</v>
      </c>
      <c r="O43" s="33" t="s">
        <v>66</v>
      </c>
      <c r="P43" s="18"/>
      <c r="Q43" s="18"/>
      <c r="R43" s="18"/>
      <c r="S43" s="18"/>
      <c r="T43" s="18"/>
      <c r="U43" s="18"/>
      <c r="V43" s="18"/>
      <c r="W43" s="18"/>
      <c r="X43" s="18"/>
      <c r="Y43" s="33" t="s">
        <v>66</v>
      </c>
      <c r="Z43" s="33" t="s">
        <v>66</v>
      </c>
      <c r="AA43" s="18"/>
      <c r="AB43" s="18"/>
      <c r="AC43" s="18"/>
      <c r="AD43" s="18"/>
      <c r="AE43" s="18"/>
      <c r="AF43" s="18"/>
      <c r="AG43" s="18"/>
      <c r="AH43" s="27">
        <f t="shared" si="0"/>
        <v>15</v>
      </c>
    </row>
    <row r="44" spans="2:34" ht="30" customHeight="1" x14ac:dyDescent="0.25">
      <c r="B44" s="31" t="s">
        <v>110</v>
      </c>
      <c r="C44" s="33" t="s">
        <v>66</v>
      </c>
      <c r="D44" s="33" t="s">
        <v>66</v>
      </c>
      <c r="E44" s="33" t="s">
        <v>66</v>
      </c>
      <c r="F44" s="33" t="s">
        <v>66</v>
      </c>
      <c r="G44" s="33" t="s">
        <v>66</v>
      </c>
      <c r="H44" s="33" t="s">
        <v>66</v>
      </c>
      <c r="I44" s="33" t="s">
        <v>66</v>
      </c>
      <c r="J44" s="33" t="s">
        <v>66</v>
      </c>
      <c r="K44" s="33" t="s">
        <v>66</v>
      </c>
      <c r="L44" s="33" t="s">
        <v>66</v>
      </c>
      <c r="M44" s="33" t="s">
        <v>66</v>
      </c>
      <c r="N44" s="33" t="s">
        <v>66</v>
      </c>
      <c r="O44" s="33" t="s">
        <v>66</v>
      </c>
      <c r="P44" s="18"/>
      <c r="Q44" s="18"/>
      <c r="R44" s="18"/>
      <c r="S44" s="18"/>
      <c r="T44" s="18"/>
      <c r="U44" s="18"/>
      <c r="V44" s="18"/>
      <c r="W44" s="18"/>
      <c r="X44" s="18"/>
      <c r="Y44" s="33" t="s">
        <v>66</v>
      </c>
      <c r="Z44" s="33" t="s">
        <v>66</v>
      </c>
      <c r="AA44" s="18"/>
      <c r="AB44" s="18"/>
      <c r="AC44" s="18"/>
      <c r="AD44" s="18"/>
      <c r="AE44" s="18"/>
      <c r="AF44" s="18"/>
      <c r="AG44" s="18"/>
      <c r="AH44" s="27">
        <f t="shared" si="0"/>
        <v>15</v>
      </c>
    </row>
    <row r="45" spans="2:34" ht="30" customHeight="1" x14ac:dyDescent="0.25">
      <c r="B45" s="31" t="s">
        <v>111</v>
      </c>
      <c r="C45" s="33" t="s">
        <v>66</v>
      </c>
      <c r="D45" s="33" t="s">
        <v>66</v>
      </c>
      <c r="E45" s="33" t="s">
        <v>66</v>
      </c>
      <c r="F45" s="33" t="s">
        <v>66</v>
      </c>
      <c r="G45" s="33" t="s">
        <v>66</v>
      </c>
      <c r="H45" s="33" t="s">
        <v>66</v>
      </c>
      <c r="I45" s="33" t="s">
        <v>66</v>
      </c>
      <c r="J45" s="33" t="s">
        <v>66</v>
      </c>
      <c r="K45" s="33" t="s">
        <v>66</v>
      </c>
      <c r="L45" s="33" t="s">
        <v>66</v>
      </c>
      <c r="M45" s="33" t="s">
        <v>66</v>
      </c>
      <c r="N45" s="33" t="s">
        <v>66</v>
      </c>
      <c r="O45" s="33" t="s">
        <v>66</v>
      </c>
      <c r="P45" s="18"/>
      <c r="Q45" s="18"/>
      <c r="R45" s="18"/>
      <c r="S45" s="18"/>
      <c r="T45" s="18"/>
      <c r="U45" s="18"/>
      <c r="V45" s="18"/>
      <c r="W45" s="18"/>
      <c r="X45" s="18"/>
      <c r="Y45" s="33" t="s">
        <v>66</v>
      </c>
      <c r="Z45" s="33" t="s">
        <v>66</v>
      </c>
      <c r="AA45" s="18"/>
      <c r="AB45" s="18"/>
      <c r="AC45" s="18"/>
      <c r="AD45" s="18"/>
      <c r="AE45" s="18"/>
      <c r="AF45" s="18"/>
      <c r="AG45" s="18"/>
      <c r="AH45" s="27">
        <f t="shared" si="0"/>
        <v>15</v>
      </c>
    </row>
    <row r="46" spans="2:34" ht="30" customHeight="1" x14ac:dyDescent="0.25">
      <c r="B46" s="31" t="s">
        <v>112</v>
      </c>
      <c r="C46" s="33" t="s">
        <v>66</v>
      </c>
      <c r="D46" s="33" t="s">
        <v>66</v>
      </c>
      <c r="E46" s="33" t="s">
        <v>66</v>
      </c>
      <c r="F46" s="33" t="s">
        <v>66</v>
      </c>
      <c r="G46" s="33" t="s">
        <v>66</v>
      </c>
      <c r="H46" s="33" t="s">
        <v>66</v>
      </c>
      <c r="I46" s="33" t="s">
        <v>66</v>
      </c>
      <c r="J46" s="33" t="s">
        <v>66</v>
      </c>
      <c r="K46" s="33" t="s">
        <v>66</v>
      </c>
      <c r="L46" s="33" t="s">
        <v>66</v>
      </c>
      <c r="M46" s="33" t="s">
        <v>66</v>
      </c>
      <c r="N46" s="33" t="s">
        <v>66</v>
      </c>
      <c r="O46" s="33" t="s">
        <v>66</v>
      </c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27">
        <f t="shared" si="0"/>
        <v>13</v>
      </c>
    </row>
    <row r="47" spans="2:34" ht="30" customHeight="1" x14ac:dyDescent="0.25">
      <c r="B47" s="31" t="s">
        <v>113</v>
      </c>
      <c r="C47" s="33" t="s">
        <v>66</v>
      </c>
      <c r="D47" s="33" t="s">
        <v>66</v>
      </c>
      <c r="E47" s="33" t="s">
        <v>66</v>
      </c>
      <c r="F47" s="33" t="s">
        <v>66</v>
      </c>
      <c r="G47" s="33" t="s">
        <v>66</v>
      </c>
      <c r="H47" s="33" t="s">
        <v>66</v>
      </c>
      <c r="I47" s="33" t="s">
        <v>66</v>
      </c>
      <c r="J47" s="33" t="s">
        <v>66</v>
      </c>
      <c r="K47" s="33" t="s">
        <v>66</v>
      </c>
      <c r="L47" s="33" t="s">
        <v>66</v>
      </c>
      <c r="M47" s="33" t="s">
        <v>66</v>
      </c>
      <c r="N47" s="33" t="s">
        <v>66</v>
      </c>
      <c r="O47" s="33" t="s">
        <v>66</v>
      </c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27">
        <f t="shared" si="0"/>
        <v>13</v>
      </c>
    </row>
    <row r="48" spans="2:34" ht="30" customHeight="1" x14ac:dyDescent="0.25">
      <c r="B48" s="31" t="s">
        <v>114</v>
      </c>
      <c r="C48" s="33" t="s">
        <v>66</v>
      </c>
      <c r="D48" s="33" t="s">
        <v>66</v>
      </c>
      <c r="E48" s="33" t="s">
        <v>66</v>
      </c>
      <c r="F48" s="33" t="s">
        <v>66</v>
      </c>
      <c r="G48" s="33" t="s">
        <v>66</v>
      </c>
      <c r="H48" s="33" t="s">
        <v>66</v>
      </c>
      <c r="I48" s="33" t="s">
        <v>66</v>
      </c>
      <c r="J48" s="33" t="s">
        <v>66</v>
      </c>
      <c r="K48" s="33" t="s">
        <v>66</v>
      </c>
      <c r="L48" s="33" t="s">
        <v>66</v>
      </c>
      <c r="M48" s="33" t="s">
        <v>66</v>
      </c>
      <c r="N48" s="33" t="s">
        <v>66</v>
      </c>
      <c r="O48" s="33" t="s">
        <v>66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27">
        <f t="shared" si="0"/>
        <v>13</v>
      </c>
    </row>
    <row r="49" spans="2:34" ht="30" customHeight="1" x14ac:dyDescent="0.25">
      <c r="B49" s="31" t="s">
        <v>115</v>
      </c>
      <c r="C49" s="33" t="s">
        <v>66</v>
      </c>
      <c r="D49" s="33" t="s">
        <v>66</v>
      </c>
      <c r="E49" s="33" t="s">
        <v>66</v>
      </c>
      <c r="F49" s="33" t="s">
        <v>66</v>
      </c>
      <c r="G49" s="33" t="s">
        <v>66</v>
      </c>
      <c r="H49" s="33" t="s">
        <v>66</v>
      </c>
      <c r="I49" s="33" t="s">
        <v>66</v>
      </c>
      <c r="J49" s="33" t="s">
        <v>66</v>
      </c>
      <c r="K49" s="33" t="s">
        <v>66</v>
      </c>
      <c r="L49" s="33" t="s">
        <v>66</v>
      </c>
      <c r="M49" s="33" t="s">
        <v>66</v>
      </c>
      <c r="N49" s="33" t="s">
        <v>66</v>
      </c>
      <c r="O49" s="33" t="s">
        <v>66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27">
        <f t="shared" si="0"/>
        <v>13</v>
      </c>
    </row>
    <row r="50" spans="2:34" ht="30" customHeight="1" x14ac:dyDescent="0.25">
      <c r="B50" s="31" t="s">
        <v>116</v>
      </c>
      <c r="C50" s="33" t="s">
        <v>66</v>
      </c>
      <c r="D50" s="33" t="s">
        <v>66</v>
      </c>
      <c r="E50" s="33" t="s">
        <v>66</v>
      </c>
      <c r="F50" s="33" t="s">
        <v>66</v>
      </c>
      <c r="G50" s="33" t="s">
        <v>66</v>
      </c>
      <c r="H50" s="33" t="s">
        <v>66</v>
      </c>
      <c r="I50" s="33" t="s">
        <v>66</v>
      </c>
      <c r="J50" s="33" t="s">
        <v>66</v>
      </c>
      <c r="K50" s="33" t="s">
        <v>66</v>
      </c>
      <c r="L50" s="33" t="s">
        <v>66</v>
      </c>
      <c r="M50" s="33" t="s">
        <v>66</v>
      </c>
      <c r="N50" s="33" t="s">
        <v>66</v>
      </c>
      <c r="O50" s="33" t="s">
        <v>66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27">
        <f t="shared" si="0"/>
        <v>13</v>
      </c>
    </row>
    <row r="51" spans="2:34" ht="30" customHeight="1" x14ac:dyDescent="0.25">
      <c r="B51" s="31" t="s">
        <v>117</v>
      </c>
      <c r="C51" s="33" t="s">
        <v>66</v>
      </c>
      <c r="D51" s="33" t="s">
        <v>66</v>
      </c>
      <c r="E51" s="33" t="s">
        <v>66</v>
      </c>
      <c r="F51" s="33" t="s">
        <v>66</v>
      </c>
      <c r="G51" s="33" t="s">
        <v>66</v>
      </c>
      <c r="H51" s="33" t="s">
        <v>66</v>
      </c>
      <c r="I51" s="33" t="s">
        <v>66</v>
      </c>
      <c r="J51" s="33" t="s">
        <v>66</v>
      </c>
      <c r="K51" s="33" t="s">
        <v>66</v>
      </c>
      <c r="L51" s="33" t="s">
        <v>66</v>
      </c>
      <c r="M51" s="33" t="s">
        <v>66</v>
      </c>
      <c r="N51" s="33" t="s">
        <v>66</v>
      </c>
      <c r="O51" s="33" t="s">
        <v>66</v>
      </c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27">
        <f t="shared" si="0"/>
        <v>13</v>
      </c>
    </row>
    <row r="52" spans="2:34" ht="30" customHeight="1" x14ac:dyDescent="0.25">
      <c r="B52" s="31" t="s">
        <v>118</v>
      </c>
      <c r="C52" s="33" t="s">
        <v>66</v>
      </c>
      <c r="D52" s="33" t="s">
        <v>66</v>
      </c>
      <c r="E52" s="33" t="s">
        <v>66</v>
      </c>
      <c r="F52" s="33" t="s">
        <v>66</v>
      </c>
      <c r="G52" s="33" t="s">
        <v>66</v>
      </c>
      <c r="H52" s="33" t="s">
        <v>66</v>
      </c>
      <c r="I52" s="33" t="s">
        <v>66</v>
      </c>
      <c r="J52" s="33" t="s">
        <v>66</v>
      </c>
      <c r="K52" s="33" t="s">
        <v>66</v>
      </c>
      <c r="L52" s="33" t="s">
        <v>66</v>
      </c>
      <c r="M52" s="33" t="s">
        <v>66</v>
      </c>
      <c r="N52" s="33" t="s">
        <v>66</v>
      </c>
      <c r="O52" s="33" t="s">
        <v>66</v>
      </c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27">
        <f t="shared" si="0"/>
        <v>13</v>
      </c>
    </row>
    <row r="53" spans="2:34" ht="30" customHeight="1" x14ac:dyDescent="0.25">
      <c r="B53" s="21" t="str">
        <f>MonthName&amp;"集計"</f>
        <v>12月集計</v>
      </c>
      <c r="C53" s="22">
        <f>SUBTOTAL(103,月12[1])</f>
        <v>23</v>
      </c>
      <c r="D53" s="22">
        <f>SUBTOTAL(103,月12[2])</f>
        <v>23</v>
      </c>
      <c r="E53" s="22">
        <f>SUBTOTAL(103,月12[3])</f>
        <v>23</v>
      </c>
      <c r="F53" s="22">
        <f>SUBTOTAL(103,月12[4])</f>
        <v>23</v>
      </c>
      <c r="G53" s="22">
        <f>SUBTOTAL(103,月12[5])</f>
        <v>23</v>
      </c>
      <c r="H53" s="22">
        <f>SUBTOTAL(103,月12[6])</f>
        <v>23</v>
      </c>
      <c r="I53" s="22">
        <f>SUBTOTAL(103,月12[7])</f>
        <v>23</v>
      </c>
      <c r="J53" s="22">
        <f>SUBTOTAL(103,月12[8])</f>
        <v>23</v>
      </c>
      <c r="K53" s="22">
        <f>SUBTOTAL(103,月12[9])</f>
        <v>23</v>
      </c>
      <c r="L53" s="22">
        <f>SUBTOTAL(103,月12[10])</f>
        <v>23</v>
      </c>
      <c r="M53" s="22">
        <f>SUBTOTAL(103,月12[11])</f>
        <v>23</v>
      </c>
      <c r="N53" s="22">
        <f>SUBTOTAL(103,月12[12])</f>
        <v>23</v>
      </c>
      <c r="O53" s="22">
        <f>SUBTOTAL(103,月12[13])</f>
        <v>23</v>
      </c>
      <c r="P53" s="22">
        <f>SUBTOTAL(103,月12[14])</f>
        <v>0</v>
      </c>
      <c r="Q53" s="22">
        <f>SUBTOTAL(103,月12[15])</f>
        <v>0</v>
      </c>
      <c r="R53" s="22">
        <f>SUBTOTAL(103,月12[16])</f>
        <v>22</v>
      </c>
      <c r="S53" s="22">
        <f>SUBTOTAL(103,月12[17])</f>
        <v>22</v>
      </c>
      <c r="T53" s="22">
        <f>SUBTOTAL(103,月12[18])</f>
        <v>22</v>
      </c>
      <c r="U53" s="22">
        <f>SUBTOTAL(103,月12[19])</f>
        <v>22</v>
      </c>
      <c r="V53" s="22">
        <f>SUBTOTAL(103,月12[20])</f>
        <v>22</v>
      </c>
      <c r="W53" s="22">
        <f>SUBTOTAL(103,月12[21])</f>
        <v>0</v>
      </c>
      <c r="X53" s="22">
        <f>SUBTOTAL(103,月12[22])</f>
        <v>0</v>
      </c>
      <c r="Y53" s="22">
        <f>SUBTOTAL(103,月12[23])</f>
        <v>5</v>
      </c>
      <c r="Z53" s="22">
        <f>SUBTOTAL(103,月12[24])</f>
        <v>5</v>
      </c>
      <c r="AA53" s="22">
        <f>SUBTOTAL(103,月12[25])</f>
        <v>0</v>
      </c>
      <c r="AB53" s="22">
        <f>SUBTOTAL(103,月12[26])</f>
        <v>0</v>
      </c>
      <c r="AC53" s="22">
        <f>SUBTOTAL(103,月12[27])</f>
        <v>0</v>
      </c>
      <c r="AD53" s="22">
        <f>SUBTOTAL(103,月12[28])</f>
        <v>0</v>
      </c>
      <c r="AE53" s="22">
        <f>SUBTOTAL(103,月12[29])</f>
        <v>0</v>
      </c>
      <c r="AF53" s="22">
        <f>SUBTOTAL(109,月12[30])</f>
        <v>0</v>
      </c>
      <c r="AG53" s="22">
        <f>SUBTOTAL(109,月12[31])</f>
        <v>0</v>
      </c>
      <c r="AH53" s="22">
        <f>SUBTOTAL(109,月12[合計日数])</f>
        <v>419</v>
      </c>
    </row>
  </sheetData>
  <mergeCells count="6">
    <mergeCell ref="C6:AG6"/>
    <mergeCell ref="D4:F4"/>
    <mergeCell ref="H4:J4"/>
    <mergeCell ref="L4:M4"/>
    <mergeCell ref="O4:Q4"/>
    <mergeCell ref="S4:U4"/>
  </mergeCells>
  <phoneticPr fontId="10"/>
  <conditionalFormatting sqref="C9:H19 K9:Q19 W9:AG19 C20:AG40 D41:AG41 C42:AG52">
    <cfRule type="expression" dxfId="541" priority="288" stopIfTrue="1">
      <formula>C9=KeyPersonal</formula>
    </cfRule>
    <cfRule type="expression" dxfId="540" priority="287" stopIfTrue="1">
      <formula>C9=KeySick</formula>
    </cfRule>
    <cfRule type="expression" dxfId="539" priority="286" stopIfTrue="1">
      <formula>C9=KeyCustom1</formula>
    </cfRule>
    <cfRule type="expression" dxfId="538" priority="285" stopIfTrue="1">
      <formula>C9=KeyCustom2</formula>
    </cfRule>
    <cfRule type="expression" dxfId="537" priority="289" stopIfTrue="1">
      <formula>C9=KeyVacation</formula>
    </cfRule>
    <cfRule type="expression" priority="284" stopIfTrue="1">
      <formula>C9=""</formula>
    </cfRule>
  </conditionalFormatting>
  <conditionalFormatting sqref="I9:J19">
    <cfRule type="expression" dxfId="536" priority="279" stopIfTrue="1">
      <formula>I9=KeyCustom1</formula>
    </cfRule>
    <cfRule type="expression" dxfId="535" priority="282" stopIfTrue="1">
      <formula>I9=KeyVacation</formula>
    </cfRule>
    <cfRule type="expression" dxfId="534" priority="281" stopIfTrue="1">
      <formula>I9=KeyPersonal</formula>
    </cfRule>
    <cfRule type="expression" dxfId="533" priority="280" stopIfTrue="1">
      <formula>I9=KeySick</formula>
    </cfRule>
    <cfRule type="expression" dxfId="532" priority="278" stopIfTrue="1">
      <formula>I9=KeyCustom2</formula>
    </cfRule>
    <cfRule type="expression" priority="277" stopIfTrue="1">
      <formula>I9=""</formula>
    </cfRule>
  </conditionalFormatting>
  <conditionalFormatting sqref="R9:R19">
    <cfRule type="expression" dxfId="531" priority="264" stopIfTrue="1">
      <formula>R9=KeyVacation</formula>
    </cfRule>
    <cfRule type="expression" dxfId="530" priority="263" stopIfTrue="1">
      <formula>R9=KeyPersonal</formula>
    </cfRule>
    <cfRule type="expression" dxfId="529" priority="262" stopIfTrue="1">
      <formula>R9=KeySick</formula>
    </cfRule>
    <cfRule type="expression" dxfId="528" priority="260" stopIfTrue="1">
      <formula>R9=KeyCustom2</formula>
    </cfRule>
    <cfRule type="expression" dxfId="527" priority="261" stopIfTrue="1">
      <formula>R9=KeyCustom1</formula>
    </cfRule>
    <cfRule type="expression" priority="259" stopIfTrue="1">
      <formula>R9=""</formula>
    </cfRule>
  </conditionalFormatting>
  <conditionalFormatting sqref="S9:S19">
    <cfRule type="expression" priority="145" stopIfTrue="1">
      <formula>S9=""</formula>
    </cfRule>
    <cfRule type="expression" dxfId="526" priority="146" stopIfTrue="1">
      <formula>S9=KeyCustom2</formula>
    </cfRule>
    <cfRule type="expression" dxfId="525" priority="147" stopIfTrue="1">
      <formula>S9=KeyCustom1</formula>
    </cfRule>
    <cfRule type="expression" dxfId="524" priority="148" stopIfTrue="1">
      <formula>S9=KeySick</formula>
    </cfRule>
    <cfRule type="expression" dxfId="523" priority="149" stopIfTrue="1">
      <formula>S9=KeyPersonal</formula>
    </cfRule>
    <cfRule type="expression" dxfId="522" priority="150" stopIfTrue="1">
      <formula>S9=KeyVacation</formula>
    </cfRule>
  </conditionalFormatting>
  <conditionalFormatting sqref="T9:T19">
    <cfRule type="expression" dxfId="521" priority="102" stopIfTrue="1">
      <formula>T9=KeyVacation</formula>
    </cfRule>
    <cfRule type="expression" dxfId="520" priority="100" stopIfTrue="1">
      <formula>T9=KeySick</formula>
    </cfRule>
    <cfRule type="expression" dxfId="519" priority="101" stopIfTrue="1">
      <formula>T9=KeyPersonal</formula>
    </cfRule>
    <cfRule type="expression" dxfId="518" priority="99" stopIfTrue="1">
      <formula>T9=KeyCustom1</formula>
    </cfRule>
    <cfRule type="expression" dxfId="517" priority="98" stopIfTrue="1">
      <formula>T9=KeyCustom2</formula>
    </cfRule>
    <cfRule type="expression" priority="97" stopIfTrue="1">
      <formula>T9=""</formula>
    </cfRule>
  </conditionalFormatting>
  <conditionalFormatting sqref="U9:U19">
    <cfRule type="expression" dxfId="516" priority="54" stopIfTrue="1">
      <formula>U9=KeyVacation</formula>
    </cfRule>
    <cfRule type="expression" dxfId="515" priority="52" stopIfTrue="1">
      <formula>U9=KeySick</formula>
    </cfRule>
    <cfRule type="expression" dxfId="514" priority="51" stopIfTrue="1">
      <formula>U9=KeyCustom1</formula>
    </cfRule>
    <cfRule type="expression" dxfId="513" priority="50" stopIfTrue="1">
      <formula>U9=KeyCustom2</formula>
    </cfRule>
    <cfRule type="expression" priority="49" stopIfTrue="1">
      <formula>U9=""</formula>
    </cfRule>
    <cfRule type="expression" dxfId="512" priority="53" stopIfTrue="1">
      <formula>U9=KeyPersonal</formula>
    </cfRule>
  </conditionalFormatting>
  <conditionalFormatting sqref="V9:V19">
    <cfRule type="expression" dxfId="511" priority="6" stopIfTrue="1">
      <formula>V9=KeyVacation</formula>
    </cfRule>
    <cfRule type="expression" priority="1" stopIfTrue="1">
      <formula>V9=""</formula>
    </cfRule>
    <cfRule type="expression" dxfId="510" priority="5" stopIfTrue="1">
      <formula>V9=KeyPersonal</formula>
    </cfRule>
    <cfRule type="expression" dxfId="509" priority="4" stopIfTrue="1">
      <formula>V9=KeySick</formula>
    </cfRule>
    <cfRule type="expression" dxfId="508" priority="3" stopIfTrue="1">
      <formula>V9=KeyCustom1</formula>
    </cfRule>
    <cfRule type="expression" dxfId="507" priority="2" stopIfTrue="1">
      <formula>V9=KeyCustom2</formula>
    </cfRule>
  </conditionalFormatting>
  <conditionalFormatting sqref="AH9:AI9 AH10:AH52">
    <cfRule type="dataBar" priority="283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{F206A1C8-00DC-4ECA-A73C-8958C18C9E85}</x14:id>
        </ext>
      </extLst>
    </cfRule>
  </conditionalFormatting>
  <dataValidations count="14">
    <dataValidation allowBlank="1" showInputMessage="1" showErrorMessage="1" prompt="1 月のワークシートに入力した年に基づいて自動的に更新される年" sqref="AH6" xr:uid="{F939E1BE-E9C7-DD4A-972C-CB40EF785EA4}"/>
    <dataValidation allowBlank="1" showInputMessage="1" showErrorMessage="1" prompt="この列で、従業員の今月の欠勤日数の合計を自動的に計算します" sqref="AH8" xr:uid="{E810E773-697E-9042-BA14-6FFBF70DB80B}"/>
    <dataValidation allowBlank="1" showInputMessage="1" showErrorMessage="1" prompt="このワークシートでは 12 月の欠勤を管理します" sqref="A1" xr:uid="{00000000-0002-0000-0B00-000002000000}"/>
    <dataValidation errorStyle="warning" allowBlank="1" showInputMessage="1" showErrorMessage="1" error="リストから名前を選択します。[キャンセル] を選択し、Alt キーを押しながら下方向キーを押してから、Enter キーを押して名前を選択します" prompt="従業員名ワークシートに従業員の名前を入力し、この列のリストから名前を選びます。Alt キーを押しながら下矢印キーを押して、Enter キーを押して名前を選択します" sqref="B8" xr:uid="{F25CB198-02E4-9141-B0E1-E7775C53D7BD}"/>
    <dataValidation allowBlank="1" showErrorMessage="1" prompt="文字 &quot;V&quot; は休暇のための欠勤を表します" sqref="C4" xr:uid="{ED4A15C0-8DA5-2043-A297-E9A845742425}"/>
    <dataValidation allowBlank="1" showErrorMessage="1" prompt="文字 &quot;P&quot; は私用による欠勤を表します" sqref="G4" xr:uid="{7207D7FD-5017-EF42-9569-45A9524170F8}"/>
    <dataValidation allowBlank="1" showErrorMessage="1" prompt="文字 &quot;S&quot; は病欠を表します" sqref="K4" xr:uid="{4D084239-C8FB-C046-9230-A15D4D47B694}"/>
    <dataValidation allowBlank="1" showErrorMessage="1" prompt="右側に文字を入力してラベルをカスタマイズし、別のキー項目を追加します" sqref="R4 N4" xr:uid="{0DF704A8-DCAE-FA47-8E43-6E8199D9D1C3}"/>
    <dataValidation allowBlank="1" showInputMessage="1" showErrorMessage="1" prompt="左側にカスタム キーを表すラベルを入力します" sqref="O4:Q4 S4:U4" xr:uid="{FCF8A90C-1CD6-4D49-B950-62F1E1562EA4}"/>
    <dataValidation allowBlank="1" showInputMessage="1" showErrorMessage="1" prompt="このセルには、この欠勤管理の月の名前が入ります。テーブルの最後のセルには、この月の欠勤日数の合計が表示されます。テーブルの列 B で従業員名を選択します" sqref="B2" xr:uid="{00000000-0002-0000-0B00-00000B000000}"/>
    <dataValidation allowBlank="1" showInputMessage="1" showErrorMessage="1" prompt="この行の月の日付は、自動的に生成されます。従業員の欠勤と欠勤の種類を月の各日付の各列に入力します。空白は欠勤でないことを示します" sqref="C8" xr:uid="{0482EFB3-0A55-4547-B0F2-69F4B25A0231}"/>
    <dataValidation allowBlank="1" showInputMessage="1" showErrorMessage="1" prompt="このセルには、ワークシートのタイトルが入ります。" sqref="B1" xr:uid="{4AF13128-DD08-4C0A-948E-45D073004DEA}"/>
    <dataValidation allowBlank="1" showInputMessage="1" showErrorMessage="1" prompt="この行の曜日は、AH4 の年に従い当月に応じて自動的に更新されます。月の各日付は、従業員の欠勤と欠勤の種類を記録するための列です" sqref="C7" xr:uid="{CB1E42E3-65E1-5041-91B2-633C92F4BB63}"/>
    <dataValidation allowBlank="1" showInputMessage="1" showErrorMessage="1" prompt="この行には、テーブルで使用するキーが定義されています。セル C4 は休暇、G4 は私用、K4 は病欠です。セル N4 と R4 はカスタマイズ可能です" sqref="B4" xr:uid="{7C3D3AA3-51C0-46FC-A6A3-BE2B656A1D6B}"/>
  </dataValidations>
  <pageMargins left="0.7" right="0.7" top="0.75" bottom="0.75" header="0.3" footer="0.3"/>
  <pageSetup paperSize="9" fitToHeight="0" orientation="portrait" verticalDpi="4294967293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06A1C8-00DC-4ECA-A73C-8958C18C9E85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AH9:AI9 AH10:AH52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C0E053-E298-4687-B944-2D36C5634131}">
          <x14:formula1>
            <xm:f>従業員名!$B$4:$B$47</xm:f>
          </x14:formula1>
          <xm:sqref>B9:B52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8D499D697F8E34BB1354CC623911F0D" ma:contentTypeVersion="15" ma:contentTypeDescription="新しいドキュメントを作成します。" ma:contentTypeScope="" ma:versionID="a3c2a7a1dfe9a557e0c5ce19f827d542">
  <xsd:schema xmlns:xsd="http://www.w3.org/2001/XMLSchema" xmlns:xs="http://www.w3.org/2001/XMLSchema" xmlns:p="http://schemas.microsoft.com/office/2006/metadata/properties" xmlns:ns2="07f8d9fe-38e8-42aa-b498-9d5318343935" xmlns:ns3="6cf79f11-81b3-474f-9824-58cd960b5dfd" targetNamespace="http://schemas.microsoft.com/office/2006/metadata/properties" ma:root="true" ma:fieldsID="1e064b6542df16aaea4db424fa95a5b1" ns2:_="" ns3:_="">
    <xsd:import namespace="07f8d9fe-38e8-42aa-b498-9d5318343935"/>
    <xsd:import namespace="6cf79f11-81b3-474f-9824-58cd960b5d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f8d9fe-38e8-42aa-b498-9d53183439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画像タグ" ma:readOnly="false" ma:fieldId="{5cf76f15-5ced-4ddc-b409-7134ff3c332f}" ma:taxonomyMulti="true" ma:sspId="07c500b4-afd1-4259-9f56-b7506f7a01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79f11-81b3-474f-9824-58cd960b5df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7f8d9fe-38e8-42aa-b498-9d531834393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C1DB48D-B39A-4027-AC09-EC0D149B50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560108-7823-4CC1-BE64-ECE726EAF6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f8d9fe-38e8-42aa-b498-9d5318343935"/>
    <ds:schemaRef ds:uri="6cf79f11-81b3-474f-9824-58cd960b5d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416EBA-1ECE-4253-8F5F-379C4C21BCA1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07f8d9fe-38e8-42aa-b498-9d5318343935"/>
    <ds:schemaRef ds:uri="http://schemas.openxmlformats.org/package/2006/metadata/core-properties"/>
    <ds:schemaRef ds:uri="6cf79f11-81b3-474f-9824-58cd960b5dfd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185</vt:i4>
      </vt:variant>
    </vt:vector>
  </HeadingPairs>
  <TitlesOfParts>
    <vt:vector size="207" baseType="lpstr"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1月</vt:lpstr>
      <vt:lpstr>2月</vt:lpstr>
      <vt:lpstr>3月</vt:lpstr>
      <vt:lpstr>25年4月</vt:lpstr>
      <vt:lpstr>25年5月</vt:lpstr>
      <vt:lpstr>25年6月</vt:lpstr>
      <vt:lpstr>25年7月</vt:lpstr>
      <vt:lpstr>25年8月</vt:lpstr>
      <vt:lpstr>25年9月</vt:lpstr>
      <vt:lpstr>25年10月</vt:lpstr>
      <vt:lpstr>25年11月</vt:lpstr>
      <vt:lpstr>コピー元</vt:lpstr>
      <vt:lpstr>従業員名</vt:lpstr>
      <vt:lpstr>CalendarYear</vt:lpstr>
      <vt:lpstr>'25年10月'!ColumnTitle13</vt:lpstr>
      <vt:lpstr>'25年11月'!ColumnTitle13</vt:lpstr>
      <vt:lpstr>'25年4月'!ColumnTitle13</vt:lpstr>
      <vt:lpstr>'25年5月'!ColumnTitle13</vt:lpstr>
      <vt:lpstr>'25年6月'!ColumnTitle13</vt:lpstr>
      <vt:lpstr>'25年7月'!ColumnTitle13</vt:lpstr>
      <vt:lpstr>'25年8月'!ColumnTitle13</vt:lpstr>
      <vt:lpstr>'25年9月'!ColumnTitle13</vt:lpstr>
      <vt:lpstr>コピー元!ColumnTitle13</vt:lpstr>
      <vt:lpstr>ColumnTitle13</vt:lpstr>
      <vt:lpstr>Employee_Absence_Title</vt:lpstr>
      <vt:lpstr>Key_name</vt:lpstr>
      <vt:lpstr>KeyCustom1</vt:lpstr>
      <vt:lpstr>KeyCustom1Label</vt:lpstr>
      <vt:lpstr>KeyCustom2</vt:lpstr>
      <vt:lpstr>KeyCustom2Label</vt:lpstr>
      <vt:lpstr>KeyPersonal</vt:lpstr>
      <vt:lpstr>KeyPersonalLabel</vt:lpstr>
      <vt:lpstr>KeySick</vt:lpstr>
      <vt:lpstr>KeySickLabel</vt:lpstr>
      <vt:lpstr>KeyVacation</vt:lpstr>
      <vt:lpstr>KeyVacationLabel</vt:lpstr>
      <vt:lpstr>'10月'!MonthName</vt:lpstr>
      <vt:lpstr>'11月'!MonthName</vt:lpstr>
      <vt:lpstr>'12月'!MonthName</vt:lpstr>
      <vt:lpstr>'1月'!MonthName</vt:lpstr>
      <vt:lpstr>'25年10月'!MonthName</vt:lpstr>
      <vt:lpstr>'25年11月'!MonthName</vt:lpstr>
      <vt:lpstr>'25年4月'!MonthName</vt:lpstr>
      <vt:lpstr>'25年5月'!MonthName</vt:lpstr>
      <vt:lpstr>'25年6月'!MonthName</vt:lpstr>
      <vt:lpstr>'25年7月'!MonthName</vt:lpstr>
      <vt:lpstr>'25年8月'!MonthName</vt:lpstr>
      <vt:lpstr>'25年9月'!MonthName</vt:lpstr>
      <vt:lpstr>'2月'!MonthName</vt:lpstr>
      <vt:lpstr>'3月'!MonthName</vt:lpstr>
      <vt:lpstr>'4月'!MonthName</vt:lpstr>
      <vt:lpstr>'5月'!MonthName</vt:lpstr>
      <vt:lpstr>'6月'!MonthName</vt:lpstr>
      <vt:lpstr>'7月'!MonthName</vt:lpstr>
      <vt:lpstr>'8月'!MonthName</vt:lpstr>
      <vt:lpstr>'9月'!MonthName</vt:lpstr>
      <vt:lpstr>コピー元!MonthName</vt:lpstr>
      <vt:lpstr>'10月'!Print_Titles</vt:lpstr>
      <vt:lpstr>'11月'!Print_Titles</vt:lpstr>
      <vt:lpstr>'12月'!Print_Titles</vt:lpstr>
      <vt:lpstr>'1月'!Print_Titles</vt:lpstr>
      <vt:lpstr>'25年10月'!Print_Titles</vt:lpstr>
      <vt:lpstr>'25年11月'!Print_Titles</vt:lpstr>
      <vt:lpstr>'25年4月'!Print_Titles</vt:lpstr>
      <vt:lpstr>'25年5月'!Print_Titles</vt:lpstr>
      <vt:lpstr>'25年6月'!Print_Titles</vt:lpstr>
      <vt:lpstr>'25年7月'!Print_Titles</vt:lpstr>
      <vt:lpstr>'25年8月'!Print_Titles</vt:lpstr>
      <vt:lpstr>'25年9月'!Print_Titles</vt:lpstr>
      <vt:lpstr>'2月'!Print_Titles</vt:lpstr>
      <vt:lpstr>'3月'!Print_Titles</vt:lpstr>
      <vt:lpstr>'4月'!Print_Titles</vt:lpstr>
      <vt:lpstr>'5月'!Print_Titles</vt:lpstr>
      <vt:lpstr>'6月'!Print_Titles</vt:lpstr>
      <vt:lpstr>'7月'!Print_Titles</vt:lpstr>
      <vt:lpstr>'8月'!Print_Titles</vt:lpstr>
      <vt:lpstr>'9月'!Print_Titles</vt:lpstr>
      <vt:lpstr>コピー元!Print_Titles</vt:lpstr>
      <vt:lpstr>'25年10月'!Title1</vt:lpstr>
      <vt:lpstr>'25年11月'!Title1</vt:lpstr>
      <vt:lpstr>'25年4月'!Title1</vt:lpstr>
      <vt:lpstr>'25年5月'!Title1</vt:lpstr>
      <vt:lpstr>'25年6月'!Title1</vt:lpstr>
      <vt:lpstr>'25年7月'!Title1</vt:lpstr>
      <vt:lpstr>'25年8月'!Title1</vt:lpstr>
      <vt:lpstr>'25年9月'!Title1</vt:lpstr>
      <vt:lpstr>コピー元!Title1</vt:lpstr>
      <vt:lpstr>Title1</vt:lpstr>
      <vt:lpstr>'25年10月'!Title10</vt:lpstr>
      <vt:lpstr>'25年11月'!Title10</vt:lpstr>
      <vt:lpstr>'25年4月'!Title10</vt:lpstr>
      <vt:lpstr>'25年5月'!Title10</vt:lpstr>
      <vt:lpstr>'25年6月'!Title10</vt:lpstr>
      <vt:lpstr>'25年7月'!Title10</vt:lpstr>
      <vt:lpstr>'25年8月'!Title10</vt:lpstr>
      <vt:lpstr>'25年9月'!Title10</vt:lpstr>
      <vt:lpstr>コピー元!Title10</vt:lpstr>
      <vt:lpstr>Title10</vt:lpstr>
      <vt:lpstr>'25年10月'!Title11</vt:lpstr>
      <vt:lpstr>'25年11月'!Title11</vt:lpstr>
      <vt:lpstr>'25年4月'!Title11</vt:lpstr>
      <vt:lpstr>'25年5月'!Title11</vt:lpstr>
      <vt:lpstr>'25年6月'!Title11</vt:lpstr>
      <vt:lpstr>'25年7月'!Title11</vt:lpstr>
      <vt:lpstr>'25年8月'!Title11</vt:lpstr>
      <vt:lpstr>'25年9月'!Title11</vt:lpstr>
      <vt:lpstr>コピー元!Title11</vt:lpstr>
      <vt:lpstr>Title11</vt:lpstr>
      <vt:lpstr>'25年10月'!Title12</vt:lpstr>
      <vt:lpstr>'25年11月'!Title12</vt:lpstr>
      <vt:lpstr>'25年4月'!Title12</vt:lpstr>
      <vt:lpstr>'25年5月'!Title12</vt:lpstr>
      <vt:lpstr>'25年6月'!Title12</vt:lpstr>
      <vt:lpstr>'25年7月'!Title12</vt:lpstr>
      <vt:lpstr>'25年8月'!Title12</vt:lpstr>
      <vt:lpstr>'25年9月'!Title12</vt:lpstr>
      <vt:lpstr>コピー元!Title12</vt:lpstr>
      <vt:lpstr>Title12</vt:lpstr>
      <vt:lpstr>'25年10月'!Title2</vt:lpstr>
      <vt:lpstr>'25年11月'!Title2</vt:lpstr>
      <vt:lpstr>'25年4月'!Title2</vt:lpstr>
      <vt:lpstr>'25年5月'!Title2</vt:lpstr>
      <vt:lpstr>'25年6月'!Title2</vt:lpstr>
      <vt:lpstr>'25年7月'!Title2</vt:lpstr>
      <vt:lpstr>'25年8月'!Title2</vt:lpstr>
      <vt:lpstr>'25年9月'!Title2</vt:lpstr>
      <vt:lpstr>コピー元!Title2</vt:lpstr>
      <vt:lpstr>Title2</vt:lpstr>
      <vt:lpstr>'25年10月'!Title3</vt:lpstr>
      <vt:lpstr>'25年11月'!Title3</vt:lpstr>
      <vt:lpstr>'25年4月'!Title3</vt:lpstr>
      <vt:lpstr>'25年5月'!Title3</vt:lpstr>
      <vt:lpstr>'25年6月'!Title3</vt:lpstr>
      <vt:lpstr>'25年7月'!Title3</vt:lpstr>
      <vt:lpstr>'25年8月'!Title3</vt:lpstr>
      <vt:lpstr>'25年9月'!Title3</vt:lpstr>
      <vt:lpstr>コピー元!Title3</vt:lpstr>
      <vt:lpstr>Title3</vt:lpstr>
      <vt:lpstr>'25年10月'!Title4</vt:lpstr>
      <vt:lpstr>'25年11月'!Title4</vt:lpstr>
      <vt:lpstr>'25年4月'!Title4</vt:lpstr>
      <vt:lpstr>'25年5月'!Title4</vt:lpstr>
      <vt:lpstr>'25年6月'!Title4</vt:lpstr>
      <vt:lpstr>'25年7月'!Title4</vt:lpstr>
      <vt:lpstr>'25年8月'!Title4</vt:lpstr>
      <vt:lpstr>'25年9月'!Title4</vt:lpstr>
      <vt:lpstr>コピー元!Title4</vt:lpstr>
      <vt:lpstr>Title4</vt:lpstr>
      <vt:lpstr>'25年10月'!Title5</vt:lpstr>
      <vt:lpstr>'25年11月'!Title5</vt:lpstr>
      <vt:lpstr>'25年4月'!Title5</vt:lpstr>
      <vt:lpstr>'25年5月'!Title5</vt:lpstr>
      <vt:lpstr>'25年6月'!Title5</vt:lpstr>
      <vt:lpstr>'25年7月'!Title5</vt:lpstr>
      <vt:lpstr>'25年8月'!Title5</vt:lpstr>
      <vt:lpstr>'25年9月'!Title5</vt:lpstr>
      <vt:lpstr>コピー元!Title5</vt:lpstr>
      <vt:lpstr>Title5</vt:lpstr>
      <vt:lpstr>'25年10月'!Title6</vt:lpstr>
      <vt:lpstr>'25年11月'!Title6</vt:lpstr>
      <vt:lpstr>'25年4月'!Title6</vt:lpstr>
      <vt:lpstr>'25年5月'!Title6</vt:lpstr>
      <vt:lpstr>'25年6月'!Title6</vt:lpstr>
      <vt:lpstr>'25年7月'!Title6</vt:lpstr>
      <vt:lpstr>'25年8月'!Title6</vt:lpstr>
      <vt:lpstr>'25年9月'!Title6</vt:lpstr>
      <vt:lpstr>コピー元!Title6</vt:lpstr>
      <vt:lpstr>Title6</vt:lpstr>
      <vt:lpstr>'25年10月'!Title7</vt:lpstr>
      <vt:lpstr>'25年11月'!Title7</vt:lpstr>
      <vt:lpstr>'25年4月'!Title7</vt:lpstr>
      <vt:lpstr>'25年5月'!Title7</vt:lpstr>
      <vt:lpstr>'25年6月'!Title7</vt:lpstr>
      <vt:lpstr>'25年7月'!Title7</vt:lpstr>
      <vt:lpstr>'25年8月'!Title7</vt:lpstr>
      <vt:lpstr>'25年9月'!Title7</vt:lpstr>
      <vt:lpstr>コピー元!Title7</vt:lpstr>
      <vt:lpstr>Title7</vt:lpstr>
      <vt:lpstr>'25年10月'!Title8</vt:lpstr>
      <vt:lpstr>'25年11月'!Title8</vt:lpstr>
      <vt:lpstr>'25年4月'!Title8</vt:lpstr>
      <vt:lpstr>'25年5月'!Title8</vt:lpstr>
      <vt:lpstr>'25年6月'!Title8</vt:lpstr>
      <vt:lpstr>'25年7月'!Title8</vt:lpstr>
      <vt:lpstr>'25年8月'!Title8</vt:lpstr>
      <vt:lpstr>'25年9月'!Title8</vt:lpstr>
      <vt:lpstr>コピー元!Title8</vt:lpstr>
      <vt:lpstr>Title8</vt:lpstr>
      <vt:lpstr>'25年10月'!Title9</vt:lpstr>
      <vt:lpstr>'25年11月'!Title9</vt:lpstr>
      <vt:lpstr>'25年4月'!Title9</vt:lpstr>
      <vt:lpstr>'25年5月'!Title9</vt:lpstr>
      <vt:lpstr>'25年6月'!Title9</vt:lpstr>
      <vt:lpstr>'25年7月'!Title9</vt:lpstr>
      <vt:lpstr>'25年8月'!Title9</vt:lpstr>
      <vt:lpstr>'25年9月'!Title9</vt:lpstr>
      <vt:lpstr>コピー元!Title9</vt:lpstr>
      <vt:lpstr>Title9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2023-01-31T06:59:27Z</dcterms:created>
  <dcterms:modified xsi:type="dcterms:W3CDTF">2025-09-02T01:11:27Z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0x01010078D499D697F8E34BB1354CC623911F0D</vt:lpwstr>
  </property>
  <property fmtid="{D5CDD505-2E9C-101B-9397-08002B2CF9AE}" pid="3" name="MediaServiceImageTags">
    <vt:lpwstr/>
  </property>
</Properties>
</file>