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9fa0ad9214f682/Desktop/"/>
    </mc:Choice>
  </mc:AlternateContent>
  <xr:revisionPtr revIDLastSave="231" documentId="13_ncr:1_{4DE44658-6F24-4E64-A6F9-54A10B58713E}" xr6:coauthVersionLast="47" xr6:coauthVersionMax="47" xr10:uidLastSave="{C5F23CBF-051D-43E3-A85D-E619EE2365E3}"/>
  <bookViews>
    <workbookView xWindow="-108" yWindow="-108" windowWidth="23256" windowHeight="12456" xr2:uid="{00000000-000D-0000-FFFF-FFFF00000000}"/>
  </bookViews>
  <sheets>
    <sheet name="Cover Page" sheetId="14" r:id="rId1"/>
    <sheet name="Asian Paints" sheetId="10" r:id="rId2"/>
    <sheet name="Kansai Nerolac" sheetId="12" r:id="rId3"/>
    <sheet name="Shalimar Paints" sheetId="1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3" l="1"/>
  <c r="M40" i="13"/>
  <c r="H160" i="13"/>
  <c r="D160" i="13"/>
  <c r="H159" i="13"/>
  <c r="D159" i="13"/>
  <c r="H158" i="13"/>
  <c r="D158" i="13"/>
  <c r="H157" i="13"/>
  <c r="D157" i="13"/>
  <c r="H156" i="13"/>
  <c r="D156" i="13"/>
  <c r="H155" i="13"/>
  <c r="D155" i="13"/>
  <c r="H154" i="13"/>
  <c r="D154" i="13"/>
  <c r="H153" i="13"/>
  <c r="D153" i="13"/>
  <c r="H152" i="13"/>
  <c r="D152" i="13"/>
  <c r="H151" i="13"/>
  <c r="D151" i="13"/>
  <c r="H150" i="13"/>
  <c r="D150" i="13"/>
  <c r="H149" i="13"/>
  <c r="D149" i="13"/>
  <c r="H148" i="13"/>
  <c r="D148" i="13"/>
  <c r="H147" i="13"/>
  <c r="D147" i="13"/>
  <c r="H146" i="13"/>
  <c r="D146" i="13"/>
  <c r="H145" i="13"/>
  <c r="D145" i="13"/>
  <c r="H144" i="13"/>
  <c r="D144" i="13"/>
  <c r="H143" i="13"/>
  <c r="D143" i="13"/>
  <c r="H142" i="13"/>
  <c r="D142" i="13"/>
  <c r="H141" i="13"/>
  <c r="D141" i="13"/>
  <c r="H140" i="13"/>
  <c r="D140" i="13"/>
  <c r="H139" i="13"/>
  <c r="D139" i="13"/>
  <c r="H138" i="13"/>
  <c r="D138" i="13"/>
  <c r="H137" i="13"/>
  <c r="D137" i="13"/>
  <c r="H136" i="13"/>
  <c r="D136" i="13"/>
  <c r="H135" i="13"/>
  <c r="D135" i="13"/>
  <c r="H134" i="13"/>
  <c r="D134" i="13"/>
  <c r="H133" i="13"/>
  <c r="D133" i="13"/>
  <c r="H132" i="13"/>
  <c r="D132" i="13"/>
  <c r="H131" i="13"/>
  <c r="D131" i="13"/>
  <c r="H130" i="13"/>
  <c r="D130" i="13"/>
  <c r="H129" i="13"/>
  <c r="D129" i="13"/>
  <c r="H128" i="13"/>
  <c r="D128" i="13"/>
  <c r="H127" i="13"/>
  <c r="D127" i="13"/>
  <c r="H126" i="13"/>
  <c r="D126" i="13"/>
  <c r="H125" i="13"/>
  <c r="D125" i="13"/>
  <c r="H124" i="13"/>
  <c r="D124" i="13"/>
  <c r="H123" i="13"/>
  <c r="D123" i="13"/>
  <c r="H122" i="13"/>
  <c r="D122" i="13"/>
  <c r="H121" i="13"/>
  <c r="D121" i="13"/>
  <c r="H120" i="13"/>
  <c r="D120" i="13"/>
  <c r="H119" i="13"/>
  <c r="D119" i="13"/>
  <c r="H118" i="13"/>
  <c r="D118" i="13"/>
  <c r="H117" i="13"/>
  <c r="D117" i="13"/>
  <c r="H116" i="13"/>
  <c r="D116" i="13"/>
  <c r="H115" i="13"/>
  <c r="D115" i="13"/>
  <c r="H114" i="13"/>
  <c r="D114" i="13"/>
  <c r="H113" i="13"/>
  <c r="D113" i="13"/>
  <c r="H112" i="13"/>
  <c r="D112" i="13"/>
  <c r="H111" i="13"/>
  <c r="D111" i="13"/>
  <c r="H110" i="13"/>
  <c r="D110" i="13"/>
  <c r="H109" i="13"/>
  <c r="D109" i="13"/>
  <c r="H108" i="13"/>
  <c r="D108" i="13"/>
  <c r="H107" i="13"/>
  <c r="D107" i="13"/>
  <c r="H106" i="13"/>
  <c r="D106" i="13"/>
  <c r="H105" i="13"/>
  <c r="D105" i="13"/>
  <c r="H104" i="13"/>
  <c r="D104" i="13"/>
  <c r="H103" i="13"/>
  <c r="D103" i="13"/>
  <c r="H102" i="13"/>
  <c r="D102" i="13"/>
  <c r="H101" i="13"/>
  <c r="D101" i="13"/>
  <c r="H100" i="13"/>
  <c r="D100" i="13"/>
  <c r="H99" i="13"/>
  <c r="D99" i="13"/>
  <c r="H98" i="13"/>
  <c r="D98" i="13"/>
  <c r="H97" i="13"/>
  <c r="D97" i="13"/>
  <c r="H96" i="13"/>
  <c r="D96" i="13"/>
  <c r="H95" i="13"/>
  <c r="D95" i="13"/>
  <c r="H94" i="13"/>
  <c r="D94" i="13"/>
  <c r="H93" i="13"/>
  <c r="D93" i="13"/>
  <c r="H92" i="13"/>
  <c r="D92" i="13"/>
  <c r="H91" i="13"/>
  <c r="D91" i="13"/>
  <c r="H90" i="13"/>
  <c r="D90" i="13"/>
  <c r="H89" i="13"/>
  <c r="D89" i="13"/>
  <c r="H88" i="13"/>
  <c r="D88" i="13"/>
  <c r="H87" i="13"/>
  <c r="D87" i="13"/>
  <c r="H86" i="13"/>
  <c r="D86" i="13"/>
  <c r="H85" i="13"/>
  <c r="D85" i="13"/>
  <c r="H84" i="13"/>
  <c r="D84" i="13"/>
  <c r="H83" i="13"/>
  <c r="D83" i="13"/>
  <c r="H82" i="13"/>
  <c r="D82" i="13"/>
  <c r="H81" i="13"/>
  <c r="D81" i="13"/>
  <c r="H80" i="13"/>
  <c r="D80" i="13"/>
  <c r="H79" i="13"/>
  <c r="D79" i="13"/>
  <c r="H78" i="13"/>
  <c r="D78" i="13"/>
  <c r="H77" i="13"/>
  <c r="D77" i="13"/>
  <c r="H76" i="13"/>
  <c r="D76" i="13"/>
  <c r="H75" i="13"/>
  <c r="D75" i="13"/>
  <c r="H74" i="13"/>
  <c r="D74" i="13"/>
  <c r="H73" i="13"/>
  <c r="D73" i="13"/>
  <c r="H72" i="13"/>
  <c r="D72" i="13"/>
  <c r="H71" i="13"/>
  <c r="D71" i="13"/>
  <c r="H70" i="13"/>
  <c r="D70" i="13"/>
  <c r="H69" i="13"/>
  <c r="D69" i="13"/>
  <c r="H68" i="13"/>
  <c r="D68" i="13"/>
  <c r="H67" i="13"/>
  <c r="D67" i="13"/>
  <c r="M66" i="13"/>
  <c r="M68" i="13" s="1"/>
  <c r="H66" i="13"/>
  <c r="D66" i="13"/>
  <c r="H65" i="13"/>
  <c r="D65" i="13"/>
  <c r="Q64" i="13"/>
  <c r="P64" i="13"/>
  <c r="O64" i="13"/>
  <c r="N64" i="13"/>
  <c r="M64" i="13"/>
  <c r="H64" i="13"/>
  <c r="D64" i="13"/>
  <c r="M63" i="13"/>
  <c r="M65" i="13" s="1"/>
  <c r="H63" i="13"/>
  <c r="D63" i="13"/>
  <c r="P62" i="13"/>
  <c r="O62" i="13"/>
  <c r="N62" i="13"/>
  <c r="M62" i="13"/>
  <c r="H62" i="13"/>
  <c r="D62" i="13"/>
  <c r="H61" i="13"/>
  <c r="D61" i="13"/>
  <c r="H60" i="13"/>
  <c r="D60" i="13"/>
  <c r="H59" i="13"/>
  <c r="D59" i="13"/>
  <c r="H58" i="13"/>
  <c r="D58" i="13"/>
  <c r="H57" i="13"/>
  <c r="D57" i="13"/>
  <c r="M56" i="13"/>
  <c r="H56" i="13"/>
  <c r="D56" i="13"/>
  <c r="H55" i="13"/>
  <c r="D55" i="13"/>
  <c r="H54" i="13"/>
  <c r="D54" i="13"/>
  <c r="H53" i="13"/>
  <c r="D53" i="13"/>
  <c r="H52" i="13"/>
  <c r="D52" i="13"/>
  <c r="H51" i="13"/>
  <c r="D51" i="13"/>
  <c r="H50" i="13"/>
  <c r="D50" i="13"/>
  <c r="H49" i="13"/>
  <c r="D49" i="13"/>
  <c r="H48" i="13"/>
  <c r="D48" i="13"/>
  <c r="H47" i="13"/>
  <c r="D47" i="13"/>
  <c r="H46" i="13"/>
  <c r="D46" i="13"/>
  <c r="H45" i="13"/>
  <c r="D45" i="13"/>
  <c r="H44" i="13"/>
  <c r="D44" i="13"/>
  <c r="H43" i="13"/>
  <c r="D43" i="13"/>
  <c r="H42" i="13"/>
  <c r="D42" i="13"/>
  <c r="H41" i="13"/>
  <c r="D41" i="13"/>
  <c r="H40" i="13"/>
  <c r="D40" i="13"/>
  <c r="H39" i="13"/>
  <c r="D39" i="13"/>
  <c r="H38" i="13"/>
  <c r="D38" i="13"/>
  <c r="H37" i="13"/>
  <c r="D37" i="13"/>
  <c r="O36" i="13"/>
  <c r="O40" i="13" s="1"/>
  <c r="N36" i="13"/>
  <c r="N40" i="13" s="1"/>
  <c r="M36" i="13"/>
  <c r="H36" i="13"/>
  <c r="D36" i="13"/>
  <c r="H35" i="13"/>
  <c r="D35" i="13"/>
  <c r="H34" i="13"/>
  <c r="D34" i="13"/>
  <c r="H33" i="13"/>
  <c r="D33" i="13"/>
  <c r="H32" i="13"/>
  <c r="D32" i="13"/>
  <c r="H31" i="13"/>
  <c r="D31" i="13"/>
  <c r="H30" i="13"/>
  <c r="D30" i="13"/>
  <c r="H29" i="13"/>
  <c r="D29" i="13"/>
  <c r="H28" i="13"/>
  <c r="D28" i="13"/>
  <c r="N27" i="13"/>
  <c r="N29" i="13" s="1"/>
  <c r="H27" i="13"/>
  <c r="D27" i="13"/>
  <c r="H26" i="13"/>
  <c r="D26" i="13"/>
  <c r="H25" i="13"/>
  <c r="D25" i="13"/>
  <c r="H24" i="13"/>
  <c r="D24" i="13"/>
  <c r="H23" i="13"/>
  <c r="D23" i="13"/>
  <c r="Q22" i="13"/>
  <c r="Q24" i="13" s="1"/>
  <c r="P22" i="13"/>
  <c r="P24" i="13" s="1"/>
  <c r="O22" i="13"/>
  <c r="H22" i="13"/>
  <c r="D22" i="13"/>
  <c r="H21" i="13"/>
  <c r="D21" i="13"/>
  <c r="H20" i="13"/>
  <c r="D20" i="13"/>
  <c r="H19" i="13"/>
  <c r="D19" i="13"/>
  <c r="H18" i="13"/>
  <c r="D18" i="13"/>
  <c r="H17" i="13"/>
  <c r="D17" i="13"/>
  <c r="H16" i="13"/>
  <c r="D16" i="13"/>
  <c r="H15" i="13"/>
  <c r="D15" i="13"/>
  <c r="H14" i="13"/>
  <c r="D14" i="13"/>
  <c r="H13" i="13"/>
  <c r="D13" i="13"/>
  <c r="H12" i="13"/>
  <c r="D12" i="13"/>
  <c r="H11" i="13"/>
  <c r="D11" i="13"/>
  <c r="H10" i="13"/>
  <c r="D10" i="13"/>
  <c r="H9" i="13"/>
  <c r="D9" i="13"/>
  <c r="H8" i="13"/>
  <c r="D8" i="13"/>
  <c r="H7" i="13"/>
  <c r="D7" i="13"/>
  <c r="H6" i="13"/>
  <c r="D6" i="13"/>
  <c r="H5" i="13"/>
  <c r="D5" i="13"/>
  <c r="M9" i="13" s="1"/>
  <c r="M7" i="13" l="1"/>
  <c r="M6" i="13"/>
  <c r="O29" i="13"/>
  <c r="O28" i="13"/>
  <c r="O27" i="13"/>
  <c r="M47" i="13"/>
  <c r="M41" i="13"/>
  <c r="N41" i="13"/>
  <c r="M43" i="13"/>
  <c r="M5" i="13"/>
  <c r="M8" i="13" l="1"/>
  <c r="O15" i="13" s="1"/>
  <c r="O16" i="13" s="1"/>
  <c r="N31" i="13" s="1"/>
  <c r="M49" i="13" s="1"/>
  <c r="M48" i="13" s="1"/>
  <c r="N47" i="13"/>
  <c r="N48" i="13" l="1"/>
  <c r="O47" i="13"/>
  <c r="O48" i="13" l="1"/>
  <c r="P47" i="13"/>
  <c r="M40" i="12"/>
  <c r="P48" i="13" l="1"/>
  <c r="Q47" i="13"/>
  <c r="H160" i="12"/>
  <c r="D160" i="12"/>
  <c r="H159" i="12"/>
  <c r="D159" i="12"/>
  <c r="H158" i="12"/>
  <c r="D158" i="12"/>
  <c r="H157" i="12"/>
  <c r="D157" i="12"/>
  <c r="H156" i="12"/>
  <c r="D156" i="12"/>
  <c r="H155" i="12"/>
  <c r="D155" i="12"/>
  <c r="H154" i="12"/>
  <c r="D154" i="12"/>
  <c r="H153" i="12"/>
  <c r="D153" i="12"/>
  <c r="H152" i="12"/>
  <c r="D152" i="12"/>
  <c r="H151" i="12"/>
  <c r="D151" i="12"/>
  <c r="H150" i="12"/>
  <c r="D150" i="12"/>
  <c r="H149" i="12"/>
  <c r="D149" i="12"/>
  <c r="H148" i="12"/>
  <c r="D148" i="12"/>
  <c r="H147" i="12"/>
  <c r="D147" i="12"/>
  <c r="H146" i="12"/>
  <c r="D146" i="12"/>
  <c r="H145" i="12"/>
  <c r="D145" i="12"/>
  <c r="H144" i="12"/>
  <c r="D144" i="12"/>
  <c r="H143" i="12"/>
  <c r="D143" i="12"/>
  <c r="H142" i="12"/>
  <c r="D142" i="12"/>
  <c r="H141" i="12"/>
  <c r="D141" i="12"/>
  <c r="H140" i="12"/>
  <c r="D140" i="12"/>
  <c r="H139" i="12"/>
  <c r="D139" i="12"/>
  <c r="H138" i="12"/>
  <c r="D138" i="12"/>
  <c r="H137" i="12"/>
  <c r="D137" i="12"/>
  <c r="H136" i="12"/>
  <c r="D136" i="12"/>
  <c r="H135" i="12"/>
  <c r="D135" i="12"/>
  <c r="H134" i="12"/>
  <c r="D134" i="12"/>
  <c r="H133" i="12"/>
  <c r="D133" i="12"/>
  <c r="H132" i="12"/>
  <c r="D132" i="12"/>
  <c r="H131" i="12"/>
  <c r="D131" i="12"/>
  <c r="H130" i="12"/>
  <c r="D130" i="12"/>
  <c r="H129" i="12"/>
  <c r="D129" i="12"/>
  <c r="H128" i="12"/>
  <c r="D128" i="12"/>
  <c r="H127" i="12"/>
  <c r="D127" i="12"/>
  <c r="H126" i="12"/>
  <c r="D126" i="12"/>
  <c r="H125" i="12"/>
  <c r="D125" i="12"/>
  <c r="H124" i="12"/>
  <c r="D124" i="12"/>
  <c r="H123" i="12"/>
  <c r="D123" i="12"/>
  <c r="H122" i="12"/>
  <c r="D122" i="12"/>
  <c r="H121" i="12"/>
  <c r="D121" i="12"/>
  <c r="H120" i="12"/>
  <c r="D120" i="12"/>
  <c r="H119" i="12"/>
  <c r="D119" i="12"/>
  <c r="H118" i="12"/>
  <c r="D118" i="12"/>
  <c r="H117" i="12"/>
  <c r="D117" i="12"/>
  <c r="H116" i="12"/>
  <c r="D116" i="12"/>
  <c r="H115" i="12"/>
  <c r="D115" i="12"/>
  <c r="H114" i="12"/>
  <c r="D114" i="12"/>
  <c r="H113" i="12"/>
  <c r="D113" i="12"/>
  <c r="H112" i="12"/>
  <c r="D112" i="12"/>
  <c r="H111" i="12"/>
  <c r="D111" i="12"/>
  <c r="H110" i="12"/>
  <c r="D110" i="12"/>
  <c r="H109" i="12"/>
  <c r="D109" i="12"/>
  <c r="H108" i="12"/>
  <c r="D108" i="12"/>
  <c r="H107" i="12"/>
  <c r="D107" i="12"/>
  <c r="H106" i="12"/>
  <c r="D106" i="12"/>
  <c r="H105" i="12"/>
  <c r="D105" i="12"/>
  <c r="H104" i="12"/>
  <c r="D104" i="12"/>
  <c r="H103" i="12"/>
  <c r="D103" i="12"/>
  <c r="H102" i="12"/>
  <c r="D102" i="12"/>
  <c r="H101" i="12"/>
  <c r="D101" i="12"/>
  <c r="H100" i="12"/>
  <c r="D100" i="12"/>
  <c r="H99" i="12"/>
  <c r="D99" i="12"/>
  <c r="H98" i="12"/>
  <c r="D98" i="12"/>
  <c r="H97" i="12"/>
  <c r="D97" i="12"/>
  <c r="H96" i="12"/>
  <c r="D96" i="12"/>
  <c r="H95" i="12"/>
  <c r="D95" i="12"/>
  <c r="H94" i="12"/>
  <c r="D94" i="12"/>
  <c r="H93" i="12"/>
  <c r="D93" i="12"/>
  <c r="H92" i="12"/>
  <c r="D92" i="12"/>
  <c r="H91" i="12"/>
  <c r="D91" i="12"/>
  <c r="H90" i="12"/>
  <c r="D90" i="12"/>
  <c r="H89" i="12"/>
  <c r="D89" i="12"/>
  <c r="H88" i="12"/>
  <c r="D88" i="12"/>
  <c r="H87" i="12"/>
  <c r="D87" i="12"/>
  <c r="H86" i="12"/>
  <c r="D86" i="12"/>
  <c r="H85" i="12"/>
  <c r="D85" i="12"/>
  <c r="H84" i="12"/>
  <c r="D84" i="12"/>
  <c r="H83" i="12"/>
  <c r="D83" i="12"/>
  <c r="H82" i="12"/>
  <c r="D82" i="12"/>
  <c r="H81" i="12"/>
  <c r="D81" i="12"/>
  <c r="H80" i="12"/>
  <c r="D80" i="12"/>
  <c r="H79" i="12"/>
  <c r="D79" i="12"/>
  <c r="H78" i="12"/>
  <c r="D78" i="12"/>
  <c r="H77" i="12"/>
  <c r="D77" i="12"/>
  <c r="H76" i="12"/>
  <c r="D76" i="12"/>
  <c r="H75" i="12"/>
  <c r="D75" i="12"/>
  <c r="H74" i="12"/>
  <c r="D74" i="12"/>
  <c r="H73" i="12"/>
  <c r="D73" i="12"/>
  <c r="H72" i="12"/>
  <c r="D72" i="12"/>
  <c r="H71" i="12"/>
  <c r="D71" i="12"/>
  <c r="H70" i="12"/>
  <c r="D70" i="12"/>
  <c r="H69" i="12"/>
  <c r="D69" i="12"/>
  <c r="H68" i="12"/>
  <c r="D68" i="12"/>
  <c r="H67" i="12"/>
  <c r="D67" i="12"/>
  <c r="M66" i="12"/>
  <c r="H66" i="12"/>
  <c r="D66" i="12"/>
  <c r="H65" i="12"/>
  <c r="D65" i="12"/>
  <c r="Q64" i="12"/>
  <c r="P64" i="12"/>
  <c r="O64" i="12"/>
  <c r="N64" i="12"/>
  <c r="M64" i="12"/>
  <c r="H64" i="12"/>
  <c r="D64" i="12"/>
  <c r="H63" i="12"/>
  <c r="D63" i="12"/>
  <c r="P62" i="12"/>
  <c r="O62" i="12"/>
  <c r="N62" i="12"/>
  <c r="M62" i="12"/>
  <c r="H62" i="12"/>
  <c r="D62" i="12"/>
  <c r="H61" i="12"/>
  <c r="D61" i="12"/>
  <c r="H60" i="12"/>
  <c r="D60" i="12"/>
  <c r="H59" i="12"/>
  <c r="D59" i="12"/>
  <c r="H58" i="12"/>
  <c r="D58" i="12"/>
  <c r="H57" i="12"/>
  <c r="D57" i="12"/>
  <c r="M56" i="12"/>
  <c r="H56" i="12"/>
  <c r="D56" i="12"/>
  <c r="H55" i="12"/>
  <c r="D55" i="12"/>
  <c r="H54" i="12"/>
  <c r="D54" i="12"/>
  <c r="H53" i="12"/>
  <c r="D53" i="12"/>
  <c r="H52" i="12"/>
  <c r="D52" i="12"/>
  <c r="H51" i="12"/>
  <c r="D51" i="12"/>
  <c r="H50" i="12"/>
  <c r="D50" i="12"/>
  <c r="H49" i="12"/>
  <c r="D49" i="12"/>
  <c r="H48" i="12"/>
  <c r="D48" i="12"/>
  <c r="H47" i="12"/>
  <c r="D47" i="12"/>
  <c r="H46" i="12"/>
  <c r="D46" i="12"/>
  <c r="H45" i="12"/>
  <c r="D45" i="12"/>
  <c r="H44" i="12"/>
  <c r="D44" i="12"/>
  <c r="H43" i="12"/>
  <c r="D43" i="12"/>
  <c r="H42" i="12"/>
  <c r="D42" i="12"/>
  <c r="H41" i="12"/>
  <c r="D41" i="12"/>
  <c r="H40" i="12"/>
  <c r="D40" i="12"/>
  <c r="H39" i="12"/>
  <c r="D39" i="12"/>
  <c r="H38" i="12"/>
  <c r="D38" i="12"/>
  <c r="H37" i="12"/>
  <c r="D37" i="12"/>
  <c r="O36" i="12"/>
  <c r="O40" i="12" s="1"/>
  <c r="N36" i="12"/>
  <c r="N40" i="12" s="1"/>
  <c r="M36" i="12"/>
  <c r="M47" i="12" s="1"/>
  <c r="N47" i="12" s="1"/>
  <c r="H36" i="12"/>
  <c r="D36" i="12"/>
  <c r="H35" i="12"/>
  <c r="D35" i="12"/>
  <c r="H34" i="12"/>
  <c r="D34" i="12"/>
  <c r="H33" i="12"/>
  <c r="D33" i="12"/>
  <c r="H32" i="12"/>
  <c r="D32" i="12"/>
  <c r="H31" i="12"/>
  <c r="D31" i="12"/>
  <c r="H30" i="12"/>
  <c r="D30" i="12"/>
  <c r="H29" i="12"/>
  <c r="D29" i="12"/>
  <c r="H28" i="12"/>
  <c r="D28" i="12"/>
  <c r="N27" i="12"/>
  <c r="N29" i="12" s="1"/>
  <c r="H27" i="12"/>
  <c r="D27" i="12"/>
  <c r="H26" i="12"/>
  <c r="D26" i="12"/>
  <c r="H25" i="12"/>
  <c r="D25" i="12"/>
  <c r="P24" i="12"/>
  <c r="O24" i="12"/>
  <c r="H24" i="12"/>
  <c r="D24" i="12"/>
  <c r="H23" i="12"/>
  <c r="D23" i="12"/>
  <c r="Q22" i="12"/>
  <c r="Q24" i="12" s="1"/>
  <c r="P22" i="12"/>
  <c r="O22" i="12"/>
  <c r="H22" i="12"/>
  <c r="D22" i="12"/>
  <c r="H21" i="12"/>
  <c r="D21" i="12"/>
  <c r="H20" i="12"/>
  <c r="D20" i="12"/>
  <c r="H19" i="12"/>
  <c r="D19" i="12"/>
  <c r="H18" i="12"/>
  <c r="D18" i="12"/>
  <c r="H17" i="12"/>
  <c r="D17" i="12"/>
  <c r="H16" i="12"/>
  <c r="D16" i="12"/>
  <c r="H15" i="12"/>
  <c r="D15" i="12"/>
  <c r="H14" i="12"/>
  <c r="D14" i="12"/>
  <c r="H13" i="12"/>
  <c r="D13" i="12"/>
  <c r="H12" i="12"/>
  <c r="D12" i="12"/>
  <c r="H11" i="12"/>
  <c r="D11" i="12"/>
  <c r="H10" i="12"/>
  <c r="D10" i="12"/>
  <c r="H9" i="12"/>
  <c r="D9" i="12"/>
  <c r="H8" i="12"/>
  <c r="D8" i="12"/>
  <c r="H7" i="12"/>
  <c r="D7" i="12"/>
  <c r="H6" i="12"/>
  <c r="D6" i="12"/>
  <c r="H5" i="12"/>
  <c r="D5" i="12"/>
  <c r="M43" i="10"/>
  <c r="N41" i="10"/>
  <c r="M41" i="10"/>
  <c r="M9" i="12" l="1"/>
  <c r="M7" i="12"/>
  <c r="M6" i="12"/>
  <c r="R47" i="13"/>
  <c r="Q48" i="13"/>
  <c r="M63" i="12"/>
  <c r="M65" i="12" s="1"/>
  <c r="M68" i="12"/>
  <c r="O29" i="12"/>
  <c r="O28" i="12"/>
  <c r="O27" i="12"/>
  <c r="O47" i="12"/>
  <c r="M43" i="12"/>
  <c r="N41" i="12"/>
  <c r="M41" i="12"/>
  <c r="M5" i="12"/>
  <c r="M56" i="10"/>
  <c r="M8" i="12" l="1"/>
  <c r="O15" i="12" s="1"/>
  <c r="O16" i="12" s="1"/>
  <c r="N31" i="12" s="1"/>
  <c r="M49" i="12" s="1"/>
  <c r="M48" i="12" s="1"/>
  <c r="R48" i="13"/>
  <c r="S48" i="13" s="1"/>
  <c r="M52" i="13" s="1"/>
  <c r="M55" i="13" s="1"/>
  <c r="M57" i="13" s="1"/>
  <c r="S47" i="13"/>
  <c r="P47" i="12"/>
  <c r="Q22" i="10"/>
  <c r="H160" i="10"/>
  <c r="D160" i="10"/>
  <c r="H159" i="10"/>
  <c r="D159" i="10"/>
  <c r="H158" i="10"/>
  <c r="D158" i="10"/>
  <c r="H157" i="10"/>
  <c r="D157" i="10"/>
  <c r="H156" i="10"/>
  <c r="D156" i="10"/>
  <c r="H155" i="10"/>
  <c r="D155" i="10"/>
  <c r="H154" i="10"/>
  <c r="D154" i="10"/>
  <c r="H153" i="10"/>
  <c r="D153" i="10"/>
  <c r="H152" i="10"/>
  <c r="D152" i="10"/>
  <c r="H151" i="10"/>
  <c r="D151" i="10"/>
  <c r="H150" i="10"/>
  <c r="D150" i="10"/>
  <c r="H149" i="10"/>
  <c r="D149" i="10"/>
  <c r="H148" i="10"/>
  <c r="D148" i="10"/>
  <c r="H147" i="10"/>
  <c r="D147" i="10"/>
  <c r="H146" i="10"/>
  <c r="D146" i="10"/>
  <c r="H145" i="10"/>
  <c r="D145" i="10"/>
  <c r="H144" i="10"/>
  <c r="D144" i="10"/>
  <c r="H143" i="10"/>
  <c r="D143" i="10"/>
  <c r="H142" i="10"/>
  <c r="D142" i="10"/>
  <c r="H141" i="10"/>
  <c r="D141" i="10"/>
  <c r="H140" i="10"/>
  <c r="D140" i="10"/>
  <c r="H139" i="10"/>
  <c r="D139" i="10"/>
  <c r="H138" i="10"/>
  <c r="D138" i="10"/>
  <c r="H137" i="10"/>
  <c r="D137" i="10"/>
  <c r="H136" i="10"/>
  <c r="D136" i="10"/>
  <c r="H135" i="10"/>
  <c r="D135" i="10"/>
  <c r="H134" i="10"/>
  <c r="D134" i="10"/>
  <c r="H133" i="10"/>
  <c r="D133" i="10"/>
  <c r="H132" i="10"/>
  <c r="D132" i="10"/>
  <c r="H131" i="10"/>
  <c r="D131" i="10"/>
  <c r="H130" i="10"/>
  <c r="D130" i="10"/>
  <c r="H129" i="10"/>
  <c r="D129" i="10"/>
  <c r="H128" i="10"/>
  <c r="D128" i="10"/>
  <c r="H127" i="10"/>
  <c r="D127" i="10"/>
  <c r="H126" i="10"/>
  <c r="D126" i="10"/>
  <c r="H125" i="10"/>
  <c r="D125" i="10"/>
  <c r="H124" i="10"/>
  <c r="D124" i="10"/>
  <c r="H123" i="10"/>
  <c r="D123" i="10"/>
  <c r="H122" i="10"/>
  <c r="D122" i="10"/>
  <c r="H121" i="10"/>
  <c r="D121" i="10"/>
  <c r="H120" i="10"/>
  <c r="D120" i="10"/>
  <c r="H119" i="10"/>
  <c r="D119" i="10"/>
  <c r="H118" i="10"/>
  <c r="D118" i="10"/>
  <c r="H117" i="10"/>
  <c r="D117" i="10"/>
  <c r="H116" i="10"/>
  <c r="D116" i="10"/>
  <c r="H115" i="10"/>
  <c r="D115" i="10"/>
  <c r="H114" i="10"/>
  <c r="D114" i="10"/>
  <c r="H113" i="10"/>
  <c r="D113" i="10"/>
  <c r="H112" i="10"/>
  <c r="D112" i="10"/>
  <c r="H111" i="10"/>
  <c r="D111" i="10"/>
  <c r="H110" i="10"/>
  <c r="D110" i="10"/>
  <c r="M7" i="10" s="1"/>
  <c r="H109" i="10"/>
  <c r="D109" i="10"/>
  <c r="H108" i="10"/>
  <c r="D108" i="10"/>
  <c r="H107" i="10"/>
  <c r="D107" i="10"/>
  <c r="H106" i="10"/>
  <c r="D106" i="10"/>
  <c r="H105" i="10"/>
  <c r="D105" i="10"/>
  <c r="H104" i="10"/>
  <c r="D104" i="10"/>
  <c r="H103" i="10"/>
  <c r="D103" i="10"/>
  <c r="H102" i="10"/>
  <c r="D102" i="10"/>
  <c r="H101" i="10"/>
  <c r="D101" i="10"/>
  <c r="H100" i="10"/>
  <c r="D100" i="10"/>
  <c r="H99" i="10"/>
  <c r="D99" i="10"/>
  <c r="H98" i="10"/>
  <c r="D98" i="10"/>
  <c r="H97" i="10"/>
  <c r="D97" i="10"/>
  <c r="H96" i="10"/>
  <c r="D96" i="10"/>
  <c r="H95" i="10"/>
  <c r="D95" i="10"/>
  <c r="H94" i="10"/>
  <c r="D94" i="10"/>
  <c r="H93" i="10"/>
  <c r="D93" i="10"/>
  <c r="H92" i="10"/>
  <c r="D92" i="10"/>
  <c r="H91" i="10"/>
  <c r="D91" i="10"/>
  <c r="H90" i="10"/>
  <c r="D90" i="10"/>
  <c r="H89" i="10"/>
  <c r="D89" i="10"/>
  <c r="H88" i="10"/>
  <c r="D88" i="10"/>
  <c r="H87" i="10"/>
  <c r="D87" i="10"/>
  <c r="H86" i="10"/>
  <c r="D86" i="10"/>
  <c r="H85" i="10"/>
  <c r="D85" i="10"/>
  <c r="H84" i="10"/>
  <c r="D84" i="10"/>
  <c r="H83" i="10"/>
  <c r="D83" i="10"/>
  <c r="H82" i="10"/>
  <c r="D82" i="10"/>
  <c r="H81" i="10"/>
  <c r="D81" i="10"/>
  <c r="H80" i="10"/>
  <c r="D80" i="10"/>
  <c r="H79" i="10"/>
  <c r="D79" i="10"/>
  <c r="H78" i="10"/>
  <c r="D78" i="10"/>
  <c r="H77" i="10"/>
  <c r="D77" i="10"/>
  <c r="H76" i="10"/>
  <c r="D76" i="10"/>
  <c r="H75" i="10"/>
  <c r="D75" i="10"/>
  <c r="H74" i="10"/>
  <c r="D74" i="10"/>
  <c r="H73" i="10"/>
  <c r="D73" i="10"/>
  <c r="H72" i="10"/>
  <c r="D72" i="10"/>
  <c r="H71" i="10"/>
  <c r="D71" i="10"/>
  <c r="H70" i="10"/>
  <c r="D70" i="10"/>
  <c r="H69" i="10"/>
  <c r="D69" i="10"/>
  <c r="H68" i="10"/>
  <c r="D68" i="10"/>
  <c r="H67" i="10"/>
  <c r="D67" i="10"/>
  <c r="H66" i="10"/>
  <c r="D66" i="10"/>
  <c r="H65" i="10"/>
  <c r="D65" i="10"/>
  <c r="H64" i="10"/>
  <c r="D64" i="10"/>
  <c r="H63" i="10"/>
  <c r="D63" i="10"/>
  <c r="Q64" i="10"/>
  <c r="P64" i="10"/>
  <c r="O64" i="10"/>
  <c r="N64" i="10"/>
  <c r="M64" i="10"/>
  <c r="H62" i="10"/>
  <c r="D62" i="10"/>
  <c r="H61" i="10"/>
  <c r="D61" i="10"/>
  <c r="P62" i="10"/>
  <c r="O62" i="10"/>
  <c r="N62" i="10"/>
  <c r="M62" i="10"/>
  <c r="H60" i="10"/>
  <c r="D60" i="10"/>
  <c r="H59" i="10"/>
  <c r="D59" i="10"/>
  <c r="H58" i="10"/>
  <c r="D58" i="10"/>
  <c r="H57" i="10"/>
  <c r="D57" i="10"/>
  <c r="H56" i="10"/>
  <c r="D56" i="10"/>
  <c r="M6" i="10" s="1"/>
  <c r="H55" i="10"/>
  <c r="D55" i="10"/>
  <c r="H54" i="10"/>
  <c r="D54" i="10"/>
  <c r="H53" i="10"/>
  <c r="D53" i="10"/>
  <c r="H52" i="10"/>
  <c r="D52" i="10"/>
  <c r="H51" i="10"/>
  <c r="D51" i="10"/>
  <c r="H50" i="10"/>
  <c r="D50" i="10"/>
  <c r="H49" i="10"/>
  <c r="D49" i="10"/>
  <c r="H48" i="10"/>
  <c r="D48" i="10"/>
  <c r="H47" i="10"/>
  <c r="D47" i="10"/>
  <c r="H46" i="10"/>
  <c r="D46" i="10"/>
  <c r="H45" i="10"/>
  <c r="D45" i="10"/>
  <c r="H44" i="10"/>
  <c r="D44" i="10"/>
  <c r="H43" i="10"/>
  <c r="D43" i="10"/>
  <c r="H42" i="10"/>
  <c r="D42" i="10"/>
  <c r="H41" i="10"/>
  <c r="D41" i="10"/>
  <c r="H40" i="10"/>
  <c r="D40" i="10"/>
  <c r="H39" i="10"/>
  <c r="D39" i="10"/>
  <c r="H38" i="10"/>
  <c r="D38" i="10"/>
  <c r="H37" i="10"/>
  <c r="D37" i="10"/>
  <c r="O36" i="10"/>
  <c r="O40" i="10" s="1"/>
  <c r="N36" i="10"/>
  <c r="N40" i="10" s="1"/>
  <c r="M36" i="10"/>
  <c r="M40" i="10" s="1"/>
  <c r="H36" i="10"/>
  <c r="D36" i="10"/>
  <c r="H35" i="10"/>
  <c r="D35" i="10"/>
  <c r="H34" i="10"/>
  <c r="D34" i="10"/>
  <c r="H33" i="10"/>
  <c r="D33" i="10"/>
  <c r="H32" i="10"/>
  <c r="D32" i="10"/>
  <c r="H31" i="10"/>
  <c r="D31" i="10"/>
  <c r="H30" i="10"/>
  <c r="D30" i="10"/>
  <c r="H29" i="10"/>
  <c r="D29" i="10"/>
  <c r="H28" i="10"/>
  <c r="D28" i="10"/>
  <c r="N27" i="10"/>
  <c r="N29" i="10" s="1"/>
  <c r="H27" i="10"/>
  <c r="D27" i="10"/>
  <c r="H26" i="10"/>
  <c r="D26" i="10"/>
  <c r="H25" i="10"/>
  <c r="D25" i="10"/>
  <c r="H24" i="10"/>
  <c r="D24" i="10"/>
  <c r="H23" i="10"/>
  <c r="D23" i="10"/>
  <c r="Q24" i="10"/>
  <c r="P22" i="10"/>
  <c r="P24" i="10" s="1"/>
  <c r="O22" i="10"/>
  <c r="O24" i="10" s="1"/>
  <c r="H22" i="10"/>
  <c r="D22" i="10"/>
  <c r="H21" i="10"/>
  <c r="D21" i="10"/>
  <c r="H20" i="10"/>
  <c r="D20" i="10"/>
  <c r="H19" i="10"/>
  <c r="D19" i="10"/>
  <c r="H18" i="10"/>
  <c r="D18" i="10"/>
  <c r="H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M5" i="10" s="1"/>
  <c r="D9" i="10"/>
  <c r="H8" i="10"/>
  <c r="D8" i="10"/>
  <c r="H7" i="10"/>
  <c r="D7" i="10"/>
  <c r="H6" i="10"/>
  <c r="D6" i="10"/>
  <c r="H5" i="10"/>
  <c r="D5" i="10"/>
  <c r="M9" i="10" s="1"/>
  <c r="N48" i="12" l="1"/>
  <c r="O48" i="12"/>
  <c r="Q47" i="12"/>
  <c r="P48" i="12"/>
  <c r="M47" i="10"/>
  <c r="N47" i="10" s="1"/>
  <c r="O47" i="10" s="1"/>
  <c r="P47" i="10" s="1"/>
  <c r="Q47" i="10" s="1"/>
  <c r="M63" i="10"/>
  <c r="M65" i="10" s="1"/>
  <c r="O27" i="10"/>
  <c r="M66" i="10"/>
  <c r="M8" i="10"/>
  <c r="O15" i="10" s="1"/>
  <c r="O16" i="10" s="1"/>
  <c r="O29" i="10"/>
  <c r="O28" i="10"/>
  <c r="R47" i="12" l="1"/>
  <c r="Q48" i="12"/>
  <c r="N31" i="10"/>
  <c r="M49" i="10" s="1"/>
  <c r="M48" i="10" s="1"/>
  <c r="M68" i="10"/>
  <c r="R48" i="12" l="1"/>
  <c r="S48" i="12" s="1"/>
  <c r="M52" i="12" s="1"/>
  <c r="M55" i="12" s="1"/>
  <c r="M57" i="12" s="1"/>
  <c r="S47" i="12"/>
  <c r="N48" i="10"/>
  <c r="O48" i="10" l="1"/>
  <c r="P48" i="10" l="1"/>
  <c r="R47" i="10" l="1"/>
  <c r="Q48" i="10"/>
  <c r="R48" i="10" l="1"/>
  <c r="S48" i="10" s="1"/>
  <c r="S47" i="10"/>
  <c r="M52" i="10" l="1"/>
  <c r="M55" i="10" s="1"/>
  <c r="M57" i="10" s="1"/>
</calcChain>
</file>

<file path=xl/sharedStrings.xml><?xml version="1.0" encoding="utf-8"?>
<sst xmlns="http://schemas.openxmlformats.org/spreadsheetml/2006/main" count="256" uniqueCount="99">
  <si>
    <t>Date</t>
  </si>
  <si>
    <t>Beta Year 1</t>
  </si>
  <si>
    <t>Beta Year 2</t>
  </si>
  <si>
    <t>Beta Year 3</t>
  </si>
  <si>
    <t>Average Beta</t>
  </si>
  <si>
    <t>Particulars</t>
  </si>
  <si>
    <t>RISK PREMIUM/MARKET PREMIUIM(Rm-Rf)</t>
  </si>
  <si>
    <t>RISK FREE RATE OF 10 YEARS GOVERNMENT SECURITY(Rf)</t>
  </si>
  <si>
    <t>COST OF EQUITY(Rf+beta*(Rm-Rf)</t>
  </si>
  <si>
    <t>EXPECTED RETURN ON SECURITIES</t>
  </si>
  <si>
    <t>2021-22</t>
  </si>
  <si>
    <t>TOTAL DEBT</t>
  </si>
  <si>
    <t>COST OF DEBT</t>
  </si>
  <si>
    <t>Tax</t>
  </si>
  <si>
    <t>COST OF DEBT AFTER TAX</t>
  </si>
  <si>
    <t>VALUE OF EQUITY</t>
  </si>
  <si>
    <t>VALUE OF DEBT</t>
  </si>
  <si>
    <t>TOTAL</t>
  </si>
  <si>
    <t>WACC</t>
  </si>
  <si>
    <t>EBIT</t>
  </si>
  <si>
    <t>EBIT*(1-T)</t>
  </si>
  <si>
    <t>(+) Depreciation &amp; Amortization</t>
  </si>
  <si>
    <t>Less: Capital Expenditure</t>
  </si>
  <si>
    <t>Free Cash Flow of Firm</t>
  </si>
  <si>
    <t>Growth Rate</t>
  </si>
  <si>
    <t>Amount(in crs)</t>
  </si>
  <si>
    <t>FUTURE PERIOD</t>
  </si>
  <si>
    <t>2022-23</t>
  </si>
  <si>
    <t>2023-24</t>
  </si>
  <si>
    <t>2024-25</t>
  </si>
  <si>
    <t>2025-26</t>
  </si>
  <si>
    <t>2026-27</t>
  </si>
  <si>
    <t>Total</t>
  </si>
  <si>
    <t xml:space="preserve">PROJECTED cash flow </t>
  </si>
  <si>
    <t>P.V. of future cash flow</t>
  </si>
  <si>
    <t>Discounting rate</t>
  </si>
  <si>
    <t>PERPETUAL GROWTH RATE</t>
  </si>
  <si>
    <t>P.V of Cash Flow</t>
  </si>
  <si>
    <t>Value of Equity</t>
  </si>
  <si>
    <t>No. of Shares</t>
  </si>
  <si>
    <t>Value per Share</t>
  </si>
  <si>
    <t>Current Price of Stock</t>
  </si>
  <si>
    <t>EPS</t>
  </si>
  <si>
    <t>Growth in EPS</t>
  </si>
  <si>
    <t>Avg. Growth Rate in EPS</t>
  </si>
  <si>
    <t>P/E Ratio</t>
  </si>
  <si>
    <t>Average P/E</t>
  </si>
  <si>
    <t>Less:Changes in NWC</t>
  </si>
  <si>
    <t>Returns</t>
  </si>
  <si>
    <t>Total Debt ( long term)</t>
  </si>
  <si>
    <t>Beta Calculation</t>
  </si>
  <si>
    <t>Asian Paints Ltd</t>
  </si>
  <si>
    <t>CNX (NIFTY) 500</t>
  </si>
  <si>
    <t>Beta 3 Years</t>
  </si>
  <si>
    <t>YTM (Interest)</t>
  </si>
  <si>
    <t>Computation of Cost of Debt</t>
  </si>
  <si>
    <t>No. of shares</t>
  </si>
  <si>
    <t>Share Price</t>
  </si>
  <si>
    <t>INR (Crores)</t>
  </si>
  <si>
    <t>Weights</t>
  </si>
  <si>
    <t>Particulars (Growth rate)</t>
  </si>
  <si>
    <r>
      <t>Projected future cash flows (PV of cash flows (Firm Value) = PV of next 5 year + PV of cash flows from the end of 5</t>
    </r>
    <r>
      <rPr>
        <b/>
        <vertAlign val="superscript"/>
        <sz val="12"/>
        <color theme="0"/>
        <rFont val="Calibri"/>
        <family val="2"/>
        <scheme val="minor"/>
      </rPr>
      <t>th</t>
    </r>
    <r>
      <rPr>
        <b/>
        <sz val="12"/>
        <color theme="0"/>
        <rFont val="Calibri"/>
        <family val="2"/>
        <scheme val="minor"/>
      </rPr>
      <t xml:space="preserve"> year to perpetuity )</t>
    </r>
  </si>
  <si>
    <t>Expected Price / Value of share</t>
  </si>
  <si>
    <t>2027-28</t>
  </si>
  <si>
    <t>2028-29</t>
  </si>
  <si>
    <t>2029- Perpetuity</t>
  </si>
  <si>
    <t>Industry Growth Rate</t>
  </si>
  <si>
    <t>Expected EPS for 2025</t>
  </si>
  <si>
    <t>Average Growth Rate</t>
  </si>
  <si>
    <t xml:space="preserve">Total Debt </t>
  </si>
  <si>
    <t>Growth Rate (%)</t>
  </si>
  <si>
    <t>Growth Rate %</t>
  </si>
  <si>
    <t>Shalimar Paints Ltd</t>
  </si>
  <si>
    <t>Kansai Nerolac Ltd</t>
  </si>
  <si>
    <t>Name</t>
  </si>
  <si>
    <t>ID No</t>
  </si>
  <si>
    <t>Chirag Sharma</t>
  </si>
  <si>
    <t>Bhargav Popat</t>
  </si>
  <si>
    <t>Acchintya Kaul</t>
  </si>
  <si>
    <t>Varun Vipin Singh</t>
  </si>
  <si>
    <t>24A1HP052</t>
  </si>
  <si>
    <t>Aditya Vijay Wanjari</t>
  </si>
  <si>
    <t>24A1HP079</t>
  </si>
  <si>
    <t>Swaraj Sharad Bhamare</t>
  </si>
  <si>
    <t>24A1HP224</t>
  </si>
  <si>
    <t>24A1HP011</t>
  </si>
  <si>
    <t>24A1HP188</t>
  </si>
  <si>
    <t>24A1HP193</t>
  </si>
  <si>
    <t>Speciality Chemicals (Paint)</t>
  </si>
  <si>
    <t>Companies</t>
  </si>
  <si>
    <t>Large</t>
  </si>
  <si>
    <t>Mid</t>
  </si>
  <si>
    <t>Small</t>
  </si>
  <si>
    <t>Asian Paints</t>
  </si>
  <si>
    <t>Kansai Nerolac</t>
  </si>
  <si>
    <t>Shalimar Paints</t>
  </si>
  <si>
    <t>Section C</t>
  </si>
  <si>
    <t>Group 5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</si>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</sst>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₹&quot;\ #,##0.00;&quot;₹&quot;\ \-#,##0.00"/>
    <numFmt numFmtId="164" formatCode="0.0000"/>
    <numFmt numFmtId="165" formatCode="0.000%"/>
    <numFmt numFmtId="166" formatCode="\ #,##0.0;\(\ #,##0.0\);\-"/>
    <numFmt numFmtId="167" formatCode="0.0"/>
    <numFmt numFmtId="168" formatCode="0.000"/>
    <numFmt numFmtId="169" formatCode="0.0000E+00"/>
    <numFmt numFmtId="170" formatCode="\ #,##0.00;\(\ #,##0.00\);\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sz val="12"/>
      <color rgb="FF0000FF"/>
      <name val="Calibri"/>
      <family val="2"/>
      <scheme val="minor"/>
    </font>
    <font>
      <sz val="9"/>
      <color rgb="FF212529"/>
      <name val="Verdana"/>
      <family val="2"/>
    </font>
    <font>
      <b/>
      <sz val="11"/>
      <name val="Calibri"/>
      <family val="2"/>
      <scheme val="minor"/>
    </font>
    <font>
      <b/>
      <sz val="11"/>
      <color theme="1"/>
      <name val="Times New Roman"/>
      <family val="1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1" fillId="0" borderId="0">
      <alignment vertical="center"/>
    </xf>
  </cellStyleXfs>
  <cellXfs count="181">
    <xf numFmtId="0" fontId="0" fillId="0" borderId="0" xfId="0"/>
    <xf numFmtId="10" fontId="19" fillId="33" borderId="23" xfId="0" applyNumberFormat="1" applyFont="1" applyFill="1" applyBorder="1"/>
    <xf numFmtId="0" fontId="18" fillId="0" borderId="21" xfId="0" applyFont="1" applyBorder="1"/>
    <xf numFmtId="1" fontId="19" fillId="0" borderId="33" xfId="0" applyNumberFormat="1" applyFont="1" applyBorder="1" applyAlignment="1">
      <alignment horizontal="center"/>
    </xf>
    <xf numFmtId="0" fontId="18" fillId="0" borderId="38" xfId="0" applyFont="1" applyBorder="1"/>
    <xf numFmtId="0" fontId="18" fillId="0" borderId="41" xfId="0" applyFont="1" applyBorder="1"/>
    <xf numFmtId="2" fontId="19" fillId="0" borderId="28" xfId="0" applyNumberFormat="1" applyFont="1" applyBorder="1" applyAlignment="1">
      <alignment horizontal="center" wrapText="1"/>
    </xf>
    <xf numFmtId="2" fontId="18" fillId="0" borderId="42" xfId="0" applyNumberFormat="1" applyFont="1" applyBorder="1" applyAlignment="1">
      <alignment horizontal="center"/>
    </xf>
    <xf numFmtId="4" fontId="19" fillId="0" borderId="0" xfId="0" applyNumberFormat="1" applyFont="1" applyAlignment="1">
      <alignment horizontal="center" wrapText="1"/>
    </xf>
    <xf numFmtId="2" fontId="19" fillId="0" borderId="21" xfId="0" applyNumberFormat="1" applyFont="1" applyBorder="1" applyAlignment="1">
      <alignment horizontal="center" wrapText="1"/>
    </xf>
    <xf numFmtId="2" fontId="19" fillId="0" borderId="23" xfId="0" applyNumberFormat="1" applyFont="1" applyBorder="1" applyAlignment="1">
      <alignment horizontal="center" wrapText="1"/>
    </xf>
    <xf numFmtId="2" fontId="18" fillId="0" borderId="52" xfId="0" applyNumberFormat="1" applyFont="1" applyBorder="1" applyAlignment="1">
      <alignment horizontal="center"/>
    </xf>
    <xf numFmtId="0" fontId="19" fillId="0" borderId="0" xfId="0" applyFont="1"/>
    <xf numFmtId="4" fontId="19" fillId="0" borderId="53" xfId="0" applyNumberFormat="1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30" xfId="0" applyFont="1" applyBorder="1" applyAlignment="1">
      <alignment vertical="center"/>
    </xf>
    <xf numFmtId="0" fontId="18" fillId="0" borderId="48" xfId="0" applyFont="1" applyBorder="1" applyAlignment="1">
      <alignment horizontal="center"/>
    </xf>
    <xf numFmtId="0" fontId="18" fillId="0" borderId="31" xfId="43" applyFont="1" applyBorder="1" applyAlignment="1">
      <alignment horizontal="center"/>
    </xf>
    <xf numFmtId="0" fontId="18" fillId="0" borderId="37" xfId="43" applyFont="1" applyBorder="1" applyAlignment="1">
      <alignment horizontal="center"/>
    </xf>
    <xf numFmtId="0" fontId="19" fillId="0" borderId="55" xfId="0" applyFont="1" applyBorder="1" applyAlignment="1">
      <alignment horizontal="center" vertical="center"/>
    </xf>
    <xf numFmtId="0" fontId="19" fillId="0" borderId="26" xfId="0" applyFont="1" applyBorder="1" applyAlignment="1">
      <alignment vertical="center"/>
    </xf>
    <xf numFmtId="0" fontId="18" fillId="0" borderId="48" xfId="43" applyFont="1" applyBorder="1" applyAlignment="1">
      <alignment horizontal="center"/>
    </xf>
    <xf numFmtId="0" fontId="19" fillId="0" borderId="54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8" fillId="0" borderId="25" xfId="0" applyFont="1" applyBorder="1" applyAlignment="1">
      <alignment vertical="center"/>
    </xf>
    <xf numFmtId="0" fontId="19" fillId="0" borderId="23" xfId="0" applyFont="1" applyBorder="1" applyAlignment="1">
      <alignment horizontal="center" vertical="center"/>
    </xf>
    <xf numFmtId="10" fontId="19" fillId="0" borderId="26" xfId="0" applyNumberFormat="1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8" fillId="0" borderId="37" xfId="0" applyFont="1" applyBorder="1" applyAlignment="1">
      <alignment horizont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18" fillId="0" borderId="29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4" fontId="19" fillId="0" borderId="50" xfId="42" applyNumberFormat="1" applyFont="1" applyFill="1" applyBorder="1" applyAlignment="1">
      <alignment horizontal="center" vertical="center"/>
    </xf>
    <xf numFmtId="10" fontId="19" fillId="0" borderId="57" xfId="42" applyNumberFormat="1" applyFont="1" applyFill="1" applyBorder="1" applyAlignment="1">
      <alignment horizontal="center" vertical="center"/>
    </xf>
    <xf numFmtId="10" fontId="19" fillId="33" borderId="26" xfId="42" applyNumberFormat="1" applyFont="1" applyFill="1" applyBorder="1"/>
    <xf numFmtId="0" fontId="18" fillId="0" borderId="19" xfId="43" applyFont="1" applyBorder="1" applyAlignment="1"/>
    <xf numFmtId="0" fontId="18" fillId="0" borderId="21" xfId="43" applyFont="1" applyBorder="1" applyAlignment="1"/>
    <xf numFmtId="0" fontId="18" fillId="0" borderId="32" xfId="43" applyFont="1" applyBorder="1" applyAlignment="1"/>
    <xf numFmtId="0" fontId="18" fillId="0" borderId="39" xfId="43" applyFont="1" applyBorder="1" applyAlignment="1"/>
    <xf numFmtId="0" fontId="18" fillId="0" borderId="12" xfId="0" applyFont="1" applyBorder="1" applyAlignment="1">
      <alignment horizontal="center" vertical="center"/>
    </xf>
    <xf numFmtId="164" fontId="19" fillId="0" borderId="16" xfId="42" applyNumberFormat="1" applyFont="1" applyFill="1" applyBorder="1" applyAlignment="1">
      <alignment horizontal="center" vertical="center"/>
    </xf>
    <xf numFmtId="10" fontId="19" fillId="0" borderId="56" xfId="42" applyNumberFormat="1" applyFont="1" applyFill="1" applyBorder="1" applyAlignment="1">
      <alignment horizontal="center" vertical="center"/>
    </xf>
    <xf numFmtId="10" fontId="19" fillId="0" borderId="42" xfId="42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" fontId="19" fillId="0" borderId="37" xfId="0" applyNumberFormat="1" applyFont="1" applyBorder="1" applyAlignment="1">
      <alignment horizontal="center"/>
    </xf>
    <xf numFmtId="2" fontId="19" fillId="0" borderId="44" xfId="0" applyNumberFormat="1" applyFont="1" applyBorder="1" applyAlignment="1">
      <alignment horizontal="center" wrapText="1"/>
    </xf>
    <xf numFmtId="0" fontId="18" fillId="0" borderId="24" xfId="43" applyFont="1" applyBorder="1" applyAlignment="1"/>
    <xf numFmtId="0" fontId="18" fillId="0" borderId="44" xfId="43" applyFont="1" applyBorder="1" applyAlignment="1"/>
    <xf numFmtId="4" fontId="19" fillId="0" borderId="55" xfId="0" applyNumberFormat="1" applyFont="1" applyBorder="1" applyAlignment="1">
      <alignment horizontal="center" vertical="center"/>
    </xf>
    <xf numFmtId="165" fontId="19" fillId="0" borderId="47" xfId="0" applyNumberFormat="1" applyFont="1" applyBorder="1" applyAlignment="1">
      <alignment horizontal="center" vertical="center"/>
    </xf>
    <xf numFmtId="9" fontId="19" fillId="0" borderId="23" xfId="42" applyFont="1" applyBorder="1" applyAlignment="1">
      <alignment horizontal="center" vertical="center"/>
    </xf>
    <xf numFmtId="9" fontId="19" fillId="0" borderId="23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23" fillId="0" borderId="0" xfId="0" applyFont="1"/>
    <xf numFmtId="14" fontId="23" fillId="0" borderId="39" xfId="0" applyNumberFormat="1" applyFont="1" applyBorder="1"/>
    <xf numFmtId="0" fontId="23" fillId="0" borderId="40" xfId="0" applyFont="1" applyBorder="1"/>
    <xf numFmtId="0" fontId="23" fillId="0" borderId="12" xfId="0" applyFont="1" applyBorder="1" applyAlignment="1">
      <alignment wrapText="1"/>
    </xf>
    <xf numFmtId="0" fontId="23" fillId="0" borderId="14" xfId="0" applyFont="1" applyBorder="1" applyAlignment="1">
      <alignment wrapText="1"/>
    </xf>
    <xf numFmtId="0" fontId="23" fillId="0" borderId="16" xfId="0" applyFont="1" applyBorder="1" applyAlignment="1">
      <alignment wrapText="1"/>
    </xf>
    <xf numFmtId="0" fontId="23" fillId="0" borderId="0" xfId="0" applyFont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2" fontId="23" fillId="0" borderId="0" xfId="0" applyNumberFormat="1" applyFont="1"/>
    <xf numFmtId="0" fontId="23" fillId="0" borderId="20" xfId="0" applyFont="1" applyBorder="1" applyAlignment="1">
      <alignment horizontal="right"/>
    </xf>
    <xf numFmtId="0" fontId="23" fillId="0" borderId="44" xfId="0" applyFont="1" applyBorder="1"/>
    <xf numFmtId="0" fontId="23" fillId="0" borderId="47" xfId="0" applyFont="1" applyBorder="1" applyAlignment="1">
      <alignment horizontal="right"/>
    </xf>
    <xf numFmtId="0" fontId="23" fillId="0" borderId="37" xfId="0" applyFont="1" applyBorder="1" applyAlignment="1">
      <alignment horizontal="right"/>
    </xf>
    <xf numFmtId="0" fontId="23" fillId="0" borderId="24" xfId="0" applyFont="1" applyBorder="1"/>
    <xf numFmtId="14" fontId="23" fillId="0" borderId="41" xfId="0" applyNumberFormat="1" applyFont="1" applyBorder="1"/>
    <xf numFmtId="0" fontId="23" fillId="0" borderId="0" xfId="0" applyFont="1" applyAlignment="1">
      <alignment wrapText="1"/>
    </xf>
    <xf numFmtId="2" fontId="23" fillId="0" borderId="13" xfId="0" applyNumberFormat="1" applyFont="1" applyBorder="1"/>
    <xf numFmtId="2" fontId="23" fillId="0" borderId="15" xfId="0" applyNumberFormat="1" applyFont="1" applyBorder="1"/>
    <xf numFmtId="2" fontId="23" fillId="0" borderId="17" xfId="0" applyNumberFormat="1" applyFont="1" applyBorder="1"/>
    <xf numFmtId="10" fontId="23" fillId="0" borderId="40" xfId="42" applyNumberFormat="1" applyFont="1" applyBorder="1"/>
    <xf numFmtId="10" fontId="23" fillId="0" borderId="42" xfId="42" applyNumberFormat="1" applyFont="1" applyBorder="1"/>
    <xf numFmtId="0" fontId="24" fillId="36" borderId="37" xfId="0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center" vertical="center" wrapText="1"/>
    </xf>
    <xf numFmtId="0" fontId="24" fillId="39" borderId="37" xfId="0" applyFont="1" applyFill="1" applyBorder="1" applyAlignment="1">
      <alignment horizontal="center" vertical="center"/>
    </xf>
    <xf numFmtId="0" fontId="24" fillId="39" borderId="32" xfId="0" applyFont="1" applyFill="1" applyBorder="1" applyAlignment="1">
      <alignment horizontal="center" vertical="center" wrapText="1"/>
    </xf>
    <xf numFmtId="0" fontId="24" fillId="39" borderId="18" xfId="0" applyFont="1" applyFill="1" applyBorder="1" applyAlignment="1">
      <alignment horizontal="center" vertical="center"/>
    </xf>
    <xf numFmtId="0" fontId="24" fillId="36" borderId="56" xfId="0" applyFont="1" applyFill="1" applyBorder="1"/>
    <xf numFmtId="2" fontId="24" fillId="36" borderId="42" xfId="0" applyNumberFormat="1" applyFont="1" applyFill="1" applyBorder="1"/>
    <xf numFmtId="7" fontId="23" fillId="37" borderId="36" xfId="0" applyNumberFormat="1" applyFont="1" applyFill="1" applyBorder="1" applyAlignment="1">
      <alignment wrapText="1"/>
    </xf>
    <xf numFmtId="7" fontId="23" fillId="37" borderId="10" xfId="0" applyNumberFormat="1" applyFont="1" applyFill="1" applyBorder="1" applyAlignment="1">
      <alignment wrapText="1"/>
    </xf>
    <xf numFmtId="7" fontId="23" fillId="38" borderId="10" xfId="0" applyNumberFormat="1" applyFont="1" applyFill="1" applyBorder="1" applyAlignment="1">
      <alignment wrapText="1"/>
    </xf>
    <xf numFmtId="7" fontId="23" fillId="35" borderId="10" xfId="0" applyNumberFormat="1" applyFont="1" applyFill="1" applyBorder="1" applyAlignment="1">
      <alignment wrapText="1"/>
    </xf>
    <xf numFmtId="7" fontId="23" fillId="35" borderId="58" xfId="0" applyNumberFormat="1" applyFont="1" applyFill="1" applyBorder="1" applyAlignment="1">
      <alignment wrapText="1"/>
    </xf>
    <xf numFmtId="0" fontId="24" fillId="36" borderId="20" xfId="0" applyFont="1" applyFill="1" applyBorder="1"/>
    <xf numFmtId="2" fontId="26" fillId="33" borderId="13" xfId="0" applyNumberFormat="1" applyFont="1" applyFill="1" applyBorder="1"/>
    <xf numFmtId="0" fontId="26" fillId="33" borderId="12" xfId="0" applyFont="1" applyFill="1" applyBorder="1" applyAlignment="1">
      <alignment wrapText="1"/>
    </xf>
    <xf numFmtId="0" fontId="24" fillId="36" borderId="32" xfId="0" applyFont="1" applyFill="1" applyBorder="1" applyAlignment="1">
      <alignment horizontal="center"/>
    </xf>
    <xf numFmtId="17" fontId="24" fillId="36" borderId="37" xfId="0" applyNumberFormat="1" applyFont="1" applyFill="1" applyBorder="1" applyAlignment="1">
      <alignment horizontal="center"/>
    </xf>
    <xf numFmtId="0" fontId="24" fillId="36" borderId="48" xfId="0" applyFont="1" applyFill="1" applyBorder="1" applyAlignment="1">
      <alignment horizontal="center" vertical="center"/>
    </xf>
    <xf numFmtId="0" fontId="24" fillId="36" borderId="32" xfId="0" applyFont="1" applyFill="1" applyBorder="1" applyAlignment="1">
      <alignment horizontal="center" vertical="center"/>
    </xf>
    <xf numFmtId="10" fontId="24" fillId="36" borderId="37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center"/>
    </xf>
    <xf numFmtId="0" fontId="24" fillId="36" borderId="32" xfId="43" applyFont="1" applyFill="1" applyBorder="1">
      <alignment vertical="center"/>
    </xf>
    <xf numFmtId="0" fontId="24" fillId="36" borderId="31" xfId="43" applyFont="1" applyFill="1" applyBorder="1">
      <alignment vertical="center"/>
    </xf>
    <xf numFmtId="0" fontId="24" fillId="36" borderId="48" xfId="43" applyFont="1" applyFill="1" applyBorder="1">
      <alignment vertical="center"/>
    </xf>
    <xf numFmtId="0" fontId="24" fillId="36" borderId="49" xfId="43" applyFont="1" applyFill="1" applyBorder="1">
      <alignment vertical="center"/>
    </xf>
    <xf numFmtId="0" fontId="24" fillId="36" borderId="34" xfId="43" applyFont="1" applyFill="1" applyBorder="1">
      <alignment vertical="center"/>
    </xf>
    <xf numFmtId="0" fontId="25" fillId="36" borderId="35" xfId="0" applyFont="1" applyFill="1" applyBorder="1"/>
    <xf numFmtId="0" fontId="24" fillId="36" borderId="38" xfId="43" applyFont="1" applyFill="1" applyBorder="1" applyAlignment="1"/>
    <xf numFmtId="0" fontId="24" fillId="36" borderId="41" xfId="43" applyFont="1" applyFill="1" applyBorder="1" applyAlignment="1"/>
    <xf numFmtId="2" fontId="18" fillId="0" borderId="0" xfId="0" applyNumberFormat="1" applyFont="1" applyAlignment="1">
      <alignment horizontal="center"/>
    </xf>
    <xf numFmtId="0" fontId="18" fillId="0" borderId="37" xfId="0" applyFont="1" applyBorder="1"/>
    <xf numFmtId="3" fontId="20" fillId="0" borderId="55" xfId="0" applyNumberFormat="1" applyFont="1" applyBorder="1" applyAlignment="1">
      <alignment horizontal="right" vertical="center"/>
    </xf>
    <xf numFmtId="17" fontId="24" fillId="36" borderId="43" xfId="0" applyNumberFormat="1" applyFont="1" applyFill="1" applyBorder="1" applyAlignment="1">
      <alignment horizontal="center" vertical="center"/>
    </xf>
    <xf numFmtId="168" fontId="19" fillId="0" borderId="23" xfId="0" applyNumberFormat="1" applyFont="1" applyBorder="1" applyAlignment="1">
      <alignment horizontal="center" vertical="center"/>
    </xf>
    <xf numFmtId="2" fontId="19" fillId="0" borderId="23" xfId="0" applyNumberFormat="1" applyFont="1" applyBorder="1" applyAlignment="1">
      <alignment horizontal="center" vertical="center"/>
    </xf>
    <xf numFmtId="2" fontId="24" fillId="36" borderId="52" xfId="0" applyNumberFormat="1" applyFont="1" applyFill="1" applyBorder="1"/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 wrapText="1"/>
    </xf>
    <xf numFmtId="2" fontId="19" fillId="0" borderId="0" xfId="0" applyNumberFormat="1" applyFont="1"/>
    <xf numFmtId="9" fontId="28" fillId="33" borderId="23" xfId="42" applyFont="1" applyFill="1" applyBorder="1"/>
    <xf numFmtId="10" fontId="28" fillId="33" borderId="23" xfId="42" applyNumberFormat="1" applyFont="1" applyFill="1" applyBorder="1"/>
    <xf numFmtId="0" fontId="28" fillId="0" borderId="20" xfId="0" applyFont="1" applyBorder="1" applyAlignment="1">
      <alignment horizontal="center" vertical="center"/>
    </xf>
    <xf numFmtId="167" fontId="28" fillId="0" borderId="23" xfId="0" applyNumberFormat="1" applyFont="1" applyBorder="1" applyAlignment="1">
      <alignment horizontal="center" vertical="center"/>
    </xf>
    <xf numFmtId="0" fontId="28" fillId="34" borderId="23" xfId="0" applyFont="1" applyFill="1" applyBorder="1" applyAlignment="1">
      <alignment horizontal="center" vertical="center" wrapText="1"/>
    </xf>
    <xf numFmtId="167" fontId="28" fillId="34" borderId="23" xfId="0" applyNumberFormat="1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3" fontId="28" fillId="0" borderId="45" xfId="0" applyNumberFormat="1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/>
    </xf>
    <xf numFmtId="2" fontId="28" fillId="0" borderId="38" xfId="0" applyNumberFormat="1" applyFont="1" applyBorder="1" applyAlignment="1">
      <alignment horizontal="center"/>
    </xf>
    <xf numFmtId="2" fontId="28" fillId="0" borderId="43" xfId="0" applyNumberFormat="1" applyFont="1" applyBorder="1" applyAlignment="1">
      <alignment horizontal="center"/>
    </xf>
    <xf numFmtId="2" fontId="28" fillId="0" borderId="40" xfId="0" applyNumberFormat="1" applyFont="1" applyBorder="1" applyAlignment="1">
      <alignment horizontal="center"/>
    </xf>
    <xf numFmtId="2" fontId="28" fillId="0" borderId="39" xfId="0" applyNumberFormat="1" applyFont="1" applyBorder="1" applyAlignment="1">
      <alignment horizontal="center"/>
    </xf>
    <xf numFmtId="2" fontId="28" fillId="0" borderId="51" xfId="0" applyNumberFormat="1" applyFont="1" applyBorder="1" applyAlignment="1">
      <alignment horizontal="center"/>
    </xf>
    <xf numFmtId="166" fontId="28" fillId="0" borderId="21" xfId="0" applyNumberFormat="1" applyFont="1" applyBorder="1" applyAlignment="1">
      <alignment horizontal="center" wrapText="1"/>
    </xf>
    <xf numFmtId="2" fontId="28" fillId="0" borderId="23" xfId="0" applyNumberFormat="1" applyFont="1" applyBorder="1" applyAlignment="1">
      <alignment horizontal="center" wrapText="1"/>
    </xf>
    <xf numFmtId="2" fontId="28" fillId="0" borderId="28" xfId="0" applyNumberFormat="1" applyFont="1" applyBorder="1" applyAlignment="1">
      <alignment horizontal="center" wrapText="1"/>
    </xf>
    <xf numFmtId="166" fontId="28" fillId="0" borderId="23" xfId="0" applyNumberFormat="1" applyFont="1" applyBorder="1" applyAlignment="1">
      <alignment horizontal="center" wrapText="1"/>
    </xf>
    <xf numFmtId="9" fontId="28" fillId="0" borderId="26" xfId="0" applyNumberFormat="1" applyFont="1" applyBorder="1" applyAlignment="1">
      <alignment horizontal="center"/>
    </xf>
    <xf numFmtId="2" fontId="30" fillId="0" borderId="23" xfId="0" applyNumberFormat="1" applyFont="1" applyBorder="1" applyAlignment="1">
      <alignment horizontal="right"/>
    </xf>
    <xf numFmtId="9" fontId="18" fillId="0" borderId="0" xfId="42" applyFont="1" applyAlignment="1">
      <alignment horizontal="center"/>
    </xf>
    <xf numFmtId="2" fontId="18" fillId="0" borderId="37" xfId="42" applyNumberFormat="1" applyFont="1" applyBorder="1" applyAlignment="1">
      <alignment horizontal="center"/>
    </xf>
    <xf numFmtId="0" fontId="18" fillId="0" borderId="32" xfId="0" applyFont="1" applyBorder="1"/>
    <xf numFmtId="9" fontId="29" fillId="0" borderId="43" xfId="42" applyFont="1" applyBorder="1" applyAlignment="1">
      <alignment horizontal="center"/>
    </xf>
    <xf numFmtId="9" fontId="18" fillId="0" borderId="59" xfId="42" applyFont="1" applyBorder="1" applyAlignment="1">
      <alignment horizontal="center"/>
    </xf>
    <xf numFmtId="0" fontId="30" fillId="0" borderId="0" xfId="0" applyFont="1"/>
    <xf numFmtId="169" fontId="23" fillId="0" borderId="37" xfId="0" applyNumberFormat="1" applyFont="1" applyBorder="1" applyAlignment="1">
      <alignment horizontal="right"/>
    </xf>
    <xf numFmtId="2" fontId="28" fillId="34" borderId="23" xfId="0" applyNumberFormat="1" applyFont="1" applyFill="1" applyBorder="1" applyAlignment="1">
      <alignment horizontal="center" vertical="center" wrapText="1"/>
    </xf>
    <xf numFmtId="0" fontId="22" fillId="0" borderId="0" xfId="0" applyFont="1"/>
    <xf numFmtId="170" fontId="28" fillId="0" borderId="21" xfId="0" applyNumberFormat="1" applyFont="1" applyBorder="1" applyAlignment="1">
      <alignment horizontal="center" wrapText="1"/>
    </xf>
    <xf numFmtId="170" fontId="28" fillId="0" borderId="23" xfId="0" applyNumberFormat="1" applyFont="1" applyBorder="1" applyAlignment="1">
      <alignment horizontal="center" wrapText="1"/>
    </xf>
    <xf numFmtId="2" fontId="28" fillId="0" borderId="11" xfId="0" applyNumberFormat="1" applyFont="1" applyBorder="1" applyAlignment="1">
      <alignment horizontal="center" vertical="center"/>
    </xf>
    <xf numFmtId="0" fontId="31" fillId="0" borderId="0" xfId="0" applyFont="1"/>
    <xf numFmtId="0" fontId="13" fillId="39" borderId="0" xfId="0" applyFont="1" applyFill="1" applyAlignment="1">
      <alignment horizontal="center"/>
    </xf>
    <xf numFmtId="0" fontId="24" fillId="36" borderId="32" xfId="0" applyFont="1" applyFill="1" applyBorder="1" applyAlignment="1">
      <alignment horizontal="center"/>
    </xf>
    <xf numFmtId="0" fontId="24" fillId="36" borderId="48" xfId="0" applyFont="1" applyFill="1" applyBorder="1" applyAlignment="1">
      <alignment horizontal="center"/>
    </xf>
    <xf numFmtId="0" fontId="24" fillId="36" borderId="31" xfId="0" applyFont="1" applyFill="1" applyBorder="1" applyAlignment="1">
      <alignment horizontal="center"/>
    </xf>
    <xf numFmtId="0" fontId="24" fillId="36" borderId="38" xfId="0" applyFont="1" applyFill="1" applyBorder="1" applyAlignment="1">
      <alignment horizontal="center"/>
    </xf>
    <xf numFmtId="0" fontId="22" fillId="0" borderId="24" xfId="0" applyFont="1" applyBorder="1"/>
    <xf numFmtId="0" fontId="18" fillId="0" borderId="19" xfId="0" applyFont="1" applyBorder="1" applyAlignment="1">
      <alignment horizontal="left"/>
    </xf>
    <xf numFmtId="0" fontId="18" fillId="0" borderId="44" xfId="0" applyFont="1" applyBorder="1" applyAlignment="1">
      <alignment horizontal="left"/>
    </xf>
    <xf numFmtId="0" fontId="18" fillId="0" borderId="32" xfId="0" applyFont="1" applyBorder="1" applyAlignment="1">
      <alignment horizontal="left"/>
    </xf>
    <xf numFmtId="0" fontId="24" fillId="36" borderId="32" xfId="0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/>
    </xf>
    <xf numFmtId="0" fontId="22" fillId="0" borderId="21" xfId="0" applyFont="1" applyBorder="1"/>
    <xf numFmtId="10" fontId="19" fillId="0" borderId="32" xfId="42" applyNumberFormat="1" applyFont="1" applyFill="1" applyBorder="1" applyAlignment="1">
      <alignment horizontal="center" vertical="center"/>
    </xf>
    <xf numFmtId="10" fontId="19" fillId="0" borderId="48" xfId="42" applyNumberFormat="1" applyFont="1" applyFill="1" applyBorder="1" applyAlignment="1">
      <alignment horizontal="center" vertical="center"/>
    </xf>
    <xf numFmtId="10" fontId="19" fillId="0" borderId="31" xfId="42" applyNumberFormat="1" applyFont="1" applyFill="1" applyBorder="1" applyAlignment="1">
      <alignment horizontal="center" vertical="center"/>
    </xf>
    <xf numFmtId="0" fontId="24" fillId="36" borderId="19" xfId="0" applyFont="1" applyFill="1" applyBorder="1" applyAlignment="1">
      <alignment horizontal="center"/>
    </xf>
    <xf numFmtId="0" fontId="19" fillId="33" borderId="21" xfId="0" applyFont="1" applyFill="1" applyBorder="1" applyAlignment="1">
      <alignment horizontal="left"/>
    </xf>
    <xf numFmtId="0" fontId="19" fillId="33" borderId="24" xfId="0" applyFont="1" applyFill="1" applyBorder="1" applyAlignment="1">
      <alignment horizontal="left"/>
    </xf>
    <xf numFmtId="0" fontId="17" fillId="0" borderId="0" xfId="0" applyFont="1" applyFill="1"/>
    <xf numFmtId="0" fontId="16" fillId="40" borderId="0" xfId="0" applyFont="1" applyFill="1" applyAlignment="1">
      <alignment horizontal="center"/>
    </xf>
    <xf numFmtId="0" fontId="32" fillId="40" borderId="0" xfId="0" applyFont="1" applyFill="1" applyAlignment="1">
      <alignment horizontal="center"/>
    </xf>
    <xf numFmtId="0" fontId="33" fillId="40" borderId="43" xfId="0" applyFont="1" applyFill="1" applyBorder="1" applyAlignment="1">
      <alignment horizontal="center" vertical="center" wrapText="1"/>
    </xf>
    <xf numFmtId="0" fontId="33" fillId="40" borderId="52" xfId="0" applyFont="1" applyFill="1" applyBorder="1" applyAlignment="1">
      <alignment horizontal="center" vertical="center" wrapText="1"/>
    </xf>
    <xf numFmtId="0" fontId="33" fillId="40" borderId="52" xfId="0" applyFont="1" applyFill="1" applyBorder="1" applyAlignment="1">
      <alignment horizontal="center" vertical="center" wrapText="1"/>
    </xf>
    <xf numFmtId="0" fontId="33" fillId="40" borderId="42" xfId="0" applyFont="1" applyFill="1" applyBorder="1" applyAlignment="1">
      <alignment horizontal="center" vertical="center" wrapText="1"/>
    </xf>
    <xf numFmtId="0" fontId="16" fillId="41" borderId="0" xfId="0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3" xr:uid="{2524FD9D-DA2C-4B3D-9CD6-4704AD2281CE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FF0000"/>
      <color rgb="FF73F9EF"/>
      <color rgb="FFFFFF61"/>
      <color rgb="FFFF81FF"/>
      <color rgb="FFC8A3FF"/>
      <color rgb="FFA66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3815-EC70-4951-A76B-96BE067F9072}">
  <dimension ref="B4:J22"/>
  <sheetViews>
    <sheetView showGridLines="0" tabSelected="1" workbookViewId="0">
      <selection activeCell="H21" sqref="H21"/>
    </sheetView>
  </sheetViews>
  <sheetFormatPr defaultRowHeight="14.4" x14ac:dyDescent="0.3"/>
  <cols>
    <col min="2" max="2" width="23.33203125" bestFit="1" customWidth="1"/>
    <col min="3" max="3" width="22.44140625" customWidth="1"/>
    <col min="6" max="6" width="22.6640625" customWidth="1"/>
    <col min="7" max="7" width="24.33203125" bestFit="1" customWidth="1"/>
    <col min="8" max="8" width="16.21875" customWidth="1"/>
    <col min="11" max="11" width="18.44140625" customWidth="1"/>
    <col min="12" max="12" width="20.21875" customWidth="1"/>
  </cols>
  <sheetData>
    <row r="4" spans="2:10" x14ac:dyDescent="0.3">
      <c r="D4" s="173"/>
      <c r="E4" s="173"/>
      <c r="F4" s="173"/>
      <c r="G4" s="173"/>
      <c r="H4" s="173"/>
      <c r="I4" s="173"/>
      <c r="J4" s="173"/>
    </row>
    <row r="5" spans="2:10" x14ac:dyDescent="0.3">
      <c r="D5" s="173"/>
      <c r="E5" s="173"/>
      <c r="F5" s="173"/>
      <c r="G5" s="173"/>
      <c r="H5" s="173"/>
      <c r="I5" s="173"/>
      <c r="J5" s="173"/>
    </row>
    <row r="6" spans="2:10" x14ac:dyDescent="0.3">
      <c r="D6" s="173"/>
      <c r="E6" s="173"/>
      <c r="F6" s="173"/>
      <c r="G6" s="173"/>
      <c r="H6" s="173"/>
      <c r="I6" s="173"/>
      <c r="J6" s="173"/>
    </row>
    <row r="7" spans="2:10" ht="15" thickBot="1" x14ac:dyDescent="0.35">
      <c r="D7" s="173"/>
      <c r="E7" s="173"/>
      <c r="F7" s="155" t="s">
        <v>74</v>
      </c>
      <c r="G7" s="155" t="s">
        <v>75</v>
      </c>
      <c r="H7" s="173"/>
      <c r="I7" s="173"/>
      <c r="J7" s="173"/>
    </row>
    <row r="8" spans="2:10" x14ac:dyDescent="0.3">
      <c r="D8" s="173"/>
      <c r="E8" s="173"/>
      <c r="F8" s="176" t="s">
        <v>79</v>
      </c>
      <c r="G8" s="176" t="s">
        <v>80</v>
      </c>
      <c r="H8" s="173"/>
      <c r="I8" s="173"/>
      <c r="J8" s="173"/>
    </row>
    <row r="9" spans="2:10" ht="15" thickBot="1" x14ac:dyDescent="0.35">
      <c r="D9" s="173"/>
      <c r="E9" s="173"/>
      <c r="F9" s="177"/>
      <c r="G9" s="177"/>
      <c r="H9" s="173"/>
      <c r="I9" s="173"/>
      <c r="J9" s="173"/>
    </row>
    <row r="10" spans="2:10" ht="15" thickBot="1" x14ac:dyDescent="0.35">
      <c r="D10" s="173"/>
      <c r="E10" s="173"/>
      <c r="F10" s="178" t="s">
        <v>81</v>
      </c>
      <c r="G10" s="179" t="s">
        <v>82</v>
      </c>
      <c r="H10" s="173"/>
      <c r="I10" s="173"/>
      <c r="J10" s="173"/>
    </row>
    <row r="11" spans="2:10" ht="21" customHeight="1" thickBot="1" x14ac:dyDescent="0.35">
      <c r="D11" s="173"/>
      <c r="E11" s="173"/>
      <c r="F11" s="178" t="s">
        <v>83</v>
      </c>
      <c r="G11" s="179" t="s">
        <v>84</v>
      </c>
      <c r="H11" s="173"/>
      <c r="I11" s="173"/>
      <c r="J11" s="173"/>
    </row>
    <row r="12" spans="2:10" ht="18.600000000000001" customHeight="1" thickBot="1" x14ac:dyDescent="0.35">
      <c r="D12" s="173"/>
      <c r="E12" s="173"/>
      <c r="F12" s="178" t="s">
        <v>76</v>
      </c>
      <c r="G12" s="179" t="s">
        <v>85</v>
      </c>
      <c r="H12" s="173"/>
      <c r="I12" s="173"/>
      <c r="J12" s="173"/>
    </row>
    <row r="13" spans="2:10" ht="21.6" customHeight="1" thickBot="1" x14ac:dyDescent="0.35">
      <c r="C13" s="173"/>
      <c r="D13" s="173"/>
      <c r="E13" s="173"/>
      <c r="F13" s="178" t="s">
        <v>77</v>
      </c>
      <c r="G13" s="179" t="s">
        <v>86</v>
      </c>
      <c r="H13" s="173"/>
      <c r="I13" s="173"/>
      <c r="J13" s="173"/>
    </row>
    <row r="14" spans="2:10" ht="18.600000000000001" customHeight="1" thickBot="1" x14ac:dyDescent="0.35">
      <c r="B14" s="173"/>
      <c r="C14" s="173"/>
      <c r="D14" s="173"/>
      <c r="E14" s="173"/>
      <c r="F14" s="178" t="s">
        <v>78</v>
      </c>
      <c r="G14" s="179" t="s">
        <v>87</v>
      </c>
      <c r="H14" s="173"/>
      <c r="I14" s="173"/>
      <c r="J14" s="173"/>
    </row>
    <row r="15" spans="2:10" ht="21" customHeight="1" x14ac:dyDescent="0.3">
      <c r="B15" s="173"/>
      <c r="C15" s="173"/>
      <c r="D15" s="173"/>
      <c r="E15" s="173"/>
      <c r="H15" s="173"/>
      <c r="I15" s="173"/>
      <c r="J15" s="173"/>
    </row>
    <row r="16" spans="2:10" x14ac:dyDescent="0.3">
      <c r="F16" s="155" t="s">
        <v>96</v>
      </c>
      <c r="G16" s="155" t="s">
        <v>98</v>
      </c>
    </row>
    <row r="17" spans="6:7" x14ac:dyDescent="0.3">
      <c r="F17" s="180" t="s">
        <v>97</v>
      </c>
      <c r="G17" s="180" t="s">
        <v>88</v>
      </c>
    </row>
    <row r="19" spans="6:7" x14ac:dyDescent="0.3">
      <c r="G19" s="155" t="s">
        <v>89</v>
      </c>
    </row>
    <row r="20" spans="6:7" x14ac:dyDescent="0.3">
      <c r="F20" s="155" t="s">
        <v>90</v>
      </c>
      <c r="G20" s="174" t="s">
        <v>93</v>
      </c>
    </row>
    <row r="21" spans="6:7" x14ac:dyDescent="0.3">
      <c r="F21" s="155" t="s">
        <v>91</v>
      </c>
      <c r="G21" s="174" t="s">
        <v>94</v>
      </c>
    </row>
    <row r="22" spans="6:7" x14ac:dyDescent="0.3">
      <c r="F22" s="155" t="s">
        <v>92</v>
      </c>
      <c r="G22" s="175" t="s">
        <v>95</v>
      </c>
    </row>
  </sheetData>
  <mergeCells count="2">
    <mergeCell ref="F8:F9"/>
    <mergeCell ref="G8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07D1-82B8-4DB1-8061-4A06F8732B8D}">
  <sheetPr>
    <tabColor rgb="FFFF0000"/>
  </sheetPr>
  <dimension ref="B2:S161"/>
  <sheetViews>
    <sheetView showGridLines="0" zoomScale="85" zoomScaleNormal="85" workbookViewId="0">
      <selection activeCell="O64" sqref="O64"/>
    </sheetView>
  </sheetViews>
  <sheetFormatPr defaultRowHeight="15.6" x14ac:dyDescent="0.3"/>
  <cols>
    <col min="1" max="1" width="1.88671875" style="55" customWidth="1"/>
    <col min="2" max="2" width="11.6640625" style="55" customWidth="1"/>
    <col min="3" max="3" width="15.33203125" style="55" customWidth="1"/>
    <col min="4" max="4" width="8.88671875" style="55"/>
    <col min="5" max="5" width="5.33203125" style="55" customWidth="1"/>
    <col min="6" max="6" width="11.88671875" style="55" bestFit="1" customWidth="1"/>
    <col min="7" max="7" width="17.77734375" style="55" customWidth="1"/>
    <col min="8" max="8" width="8.88671875" style="55"/>
    <col min="9" max="9" width="3.5546875" style="55" customWidth="1"/>
    <col min="10" max="10" width="3.77734375" style="55" customWidth="1"/>
    <col min="11" max="11" width="4.33203125" style="55" customWidth="1"/>
    <col min="12" max="12" width="32.33203125" style="55" bestFit="1" customWidth="1"/>
    <col min="13" max="13" width="19" style="55" customWidth="1"/>
    <col min="14" max="14" width="37" style="55" customWidth="1"/>
    <col min="15" max="15" width="17" style="55" customWidth="1"/>
    <col min="16" max="16" width="16.6640625" style="55" customWidth="1"/>
    <col min="17" max="17" width="18.33203125" style="55" customWidth="1"/>
    <col min="18" max="18" width="17.6640625" style="55" customWidth="1"/>
    <col min="19" max="19" width="21.44140625" style="55" bestFit="1" customWidth="1"/>
    <col min="20" max="16384" width="8.88671875" style="55"/>
  </cols>
  <sheetData>
    <row r="2" spans="2:15" ht="16.2" thickBot="1" x14ac:dyDescent="0.35"/>
    <row r="3" spans="2:15" ht="31.8" thickBot="1" x14ac:dyDescent="0.35">
      <c r="B3" s="79" t="s">
        <v>0</v>
      </c>
      <c r="C3" s="80" t="s">
        <v>51</v>
      </c>
      <c r="D3" s="79" t="s">
        <v>48</v>
      </c>
      <c r="F3" s="81" t="s">
        <v>0</v>
      </c>
      <c r="G3" s="82" t="s">
        <v>52</v>
      </c>
      <c r="H3" s="83" t="s">
        <v>48</v>
      </c>
    </row>
    <row r="4" spans="2:15" ht="16.2" thickBot="1" x14ac:dyDescent="0.35">
      <c r="B4" s="56">
        <v>45613</v>
      </c>
      <c r="C4" s="86">
        <v>2428.15</v>
      </c>
      <c r="D4" s="77"/>
      <c r="F4" s="56">
        <v>45613</v>
      </c>
      <c r="G4" s="87">
        <v>22004.35</v>
      </c>
      <c r="H4" s="57"/>
      <c r="L4" s="156" t="s">
        <v>50</v>
      </c>
      <c r="M4" s="158"/>
    </row>
    <row r="5" spans="2:15" x14ac:dyDescent="0.3">
      <c r="B5" s="56">
        <v>45606</v>
      </c>
      <c r="C5" s="87">
        <v>2483.15</v>
      </c>
      <c r="D5" s="77">
        <f>C4/C5-1</f>
        <v>-2.214928618891332E-2</v>
      </c>
      <c r="F5" s="56">
        <v>45606</v>
      </c>
      <c r="G5" s="87">
        <v>21963.1</v>
      </c>
      <c r="H5" s="77">
        <f>G4/G5-1</f>
        <v>1.8781501700579906E-3</v>
      </c>
      <c r="L5" s="58" t="s">
        <v>1</v>
      </c>
      <c r="M5" s="74">
        <f>SLOPE(D5:D56,H5:H56)</f>
        <v>0.94523173986036402</v>
      </c>
    </row>
    <row r="6" spans="2:15" x14ac:dyDescent="0.3">
      <c r="B6" s="56">
        <v>45599</v>
      </c>
      <c r="C6" s="87">
        <v>2769.45</v>
      </c>
      <c r="D6" s="77">
        <f t="shared" ref="D6:D69" si="0">C5/C6-1</f>
        <v>-0.10337792702522153</v>
      </c>
      <c r="F6" s="56">
        <v>45599</v>
      </c>
      <c r="G6" s="87">
        <v>22645.65</v>
      </c>
      <c r="H6" s="77">
        <f t="shared" ref="H6:H69" si="1">G5/G6-1</f>
        <v>-3.0140446399198217E-2</v>
      </c>
      <c r="L6" s="59" t="s">
        <v>2</v>
      </c>
      <c r="M6" s="75">
        <f>SLOPE(D56:D109,H56:H109)</f>
        <v>0.67919627465023469</v>
      </c>
    </row>
    <row r="7" spans="2:15" ht="16.2" thickBot="1" x14ac:dyDescent="0.35">
      <c r="B7" s="56">
        <v>45592</v>
      </c>
      <c r="C7" s="87">
        <v>2939.85</v>
      </c>
      <c r="D7" s="77">
        <f t="shared" si="0"/>
        <v>-5.7962140925557404E-2</v>
      </c>
      <c r="F7" s="56">
        <v>45592</v>
      </c>
      <c r="G7" s="87">
        <v>22823.55</v>
      </c>
      <c r="H7" s="77">
        <f t="shared" si="1"/>
        <v>-7.7945805976720184E-3</v>
      </c>
      <c r="L7" s="60" t="s">
        <v>3</v>
      </c>
      <c r="M7" s="76">
        <f>SLOPE(D110:D160,H110:H160)</f>
        <v>1.1030156478842355</v>
      </c>
    </row>
    <row r="8" spans="2:15" x14ac:dyDescent="0.3">
      <c r="B8" s="56">
        <v>45585</v>
      </c>
      <c r="C8" s="87">
        <v>2958</v>
      </c>
      <c r="D8" s="77">
        <f t="shared" si="0"/>
        <v>-6.135902636916879E-3</v>
      </c>
      <c r="F8" s="56">
        <v>45585</v>
      </c>
      <c r="G8" s="87">
        <v>22499.05</v>
      </c>
      <c r="H8" s="77">
        <f t="shared" si="1"/>
        <v>1.4422831186205576E-2</v>
      </c>
      <c r="L8" s="93" t="s">
        <v>4</v>
      </c>
      <c r="M8" s="92">
        <f>AVERAGE(M5:M7)</f>
        <v>0.90914788746494468</v>
      </c>
    </row>
    <row r="9" spans="2:15" ht="16.2" thickBot="1" x14ac:dyDescent="0.35">
      <c r="B9" s="56">
        <v>45578</v>
      </c>
      <c r="C9" s="87">
        <v>2992.15</v>
      </c>
      <c r="D9" s="77">
        <f t="shared" si="0"/>
        <v>-1.1413197867753966E-2</v>
      </c>
      <c r="F9" s="56">
        <v>45578</v>
      </c>
      <c r="G9" s="87">
        <v>23440.7</v>
      </c>
      <c r="H9" s="77">
        <f t="shared" si="1"/>
        <v>-4.0171581906683684E-2</v>
      </c>
      <c r="L9" s="84" t="s">
        <v>53</v>
      </c>
      <c r="M9" s="85">
        <f>SLOPE(D5:D160,H5:H160)</f>
        <v>0.95792111167628469</v>
      </c>
    </row>
    <row r="10" spans="2:15" x14ac:dyDescent="0.3">
      <c r="B10" s="56">
        <v>45571</v>
      </c>
      <c r="C10" s="87">
        <v>3037.2</v>
      </c>
      <c r="D10" s="77">
        <f t="shared" si="0"/>
        <v>-1.4832740682207191E-2</v>
      </c>
      <c r="F10" s="56">
        <v>45571</v>
      </c>
      <c r="G10" s="87">
        <v>23611.25</v>
      </c>
      <c r="H10" s="77">
        <f t="shared" si="1"/>
        <v>-7.2232516279315817E-3</v>
      </c>
    </row>
    <row r="11" spans="2:15" ht="16.2" thickBot="1" x14ac:dyDescent="0.35">
      <c r="B11" s="56">
        <v>45564</v>
      </c>
      <c r="C11" s="87">
        <v>3072.5</v>
      </c>
      <c r="D11" s="77">
        <f t="shared" si="0"/>
        <v>-1.1489015459723362E-2</v>
      </c>
      <c r="F11" s="56">
        <v>45564</v>
      </c>
      <c r="G11" s="87">
        <v>23534.95</v>
      </c>
      <c r="H11" s="77">
        <f t="shared" si="1"/>
        <v>3.2419869173292426E-3</v>
      </c>
    </row>
    <row r="12" spans="2:15" x14ac:dyDescent="0.3">
      <c r="B12" s="56">
        <v>45557</v>
      </c>
      <c r="C12" s="87">
        <v>3310.75</v>
      </c>
      <c r="D12" s="77">
        <f t="shared" si="0"/>
        <v>-7.1962546250849524E-2</v>
      </c>
      <c r="F12" s="56">
        <v>45557</v>
      </c>
      <c r="G12" s="87">
        <v>24489.55</v>
      </c>
      <c r="H12" s="77">
        <f t="shared" si="1"/>
        <v>-3.897989142307634E-2</v>
      </c>
      <c r="L12" s="170" t="s">
        <v>5</v>
      </c>
      <c r="M12" s="170"/>
      <c r="N12" s="170"/>
      <c r="O12" s="91">
        <v>2024</v>
      </c>
    </row>
    <row r="13" spans="2:15" x14ac:dyDescent="0.3">
      <c r="B13" s="56">
        <v>45550</v>
      </c>
      <c r="C13" s="87">
        <v>3306.95</v>
      </c>
      <c r="D13" s="77">
        <f t="shared" si="0"/>
        <v>1.1490950876185124E-3</v>
      </c>
      <c r="F13" s="56">
        <v>45550</v>
      </c>
      <c r="G13" s="87">
        <v>24193.8</v>
      </c>
      <c r="H13" s="77">
        <f t="shared" si="1"/>
        <v>1.2224206201588927E-2</v>
      </c>
      <c r="L13" s="171" t="s">
        <v>6</v>
      </c>
      <c r="M13" s="171"/>
      <c r="N13" s="171"/>
      <c r="O13" s="119">
        <v>0.1</v>
      </c>
    </row>
    <row r="14" spans="2:15" x14ac:dyDescent="0.3">
      <c r="B14" s="56">
        <v>45543</v>
      </c>
      <c r="C14" s="87">
        <v>3358.05</v>
      </c>
      <c r="D14" s="77">
        <f t="shared" si="0"/>
        <v>-1.5217164723574816E-2</v>
      </c>
      <c r="F14" s="56">
        <v>45543</v>
      </c>
      <c r="G14" s="87">
        <v>23928.2</v>
      </c>
      <c r="H14" s="77">
        <f t="shared" si="1"/>
        <v>1.1099873789085724E-2</v>
      </c>
      <c r="L14" s="171" t="s">
        <v>7</v>
      </c>
      <c r="M14" s="171"/>
      <c r="N14" s="171"/>
      <c r="O14" s="120">
        <v>7.8299999999999995E-2</v>
      </c>
    </row>
    <row r="15" spans="2:15" x14ac:dyDescent="0.3">
      <c r="B15" s="56">
        <v>45536</v>
      </c>
      <c r="C15" s="87">
        <v>3273.7</v>
      </c>
      <c r="D15" s="77">
        <f t="shared" si="0"/>
        <v>2.57659528973333E-2</v>
      </c>
      <c r="F15" s="56">
        <v>45536</v>
      </c>
      <c r="G15" s="87">
        <v>23477.7</v>
      </c>
      <c r="H15" s="77">
        <f t="shared" si="1"/>
        <v>1.9188421353028673E-2</v>
      </c>
      <c r="L15" s="171" t="s">
        <v>8</v>
      </c>
      <c r="M15" s="171"/>
      <c r="N15" s="171"/>
      <c r="O15" s="1">
        <f>O14+M8*(O13)</f>
        <v>0.16921478874649448</v>
      </c>
    </row>
    <row r="16" spans="2:15" ht="16.2" thickBot="1" x14ac:dyDescent="0.35">
      <c r="B16" s="56">
        <v>45529</v>
      </c>
      <c r="C16" s="87">
        <v>3126.8</v>
      </c>
      <c r="D16" s="77">
        <f t="shared" si="0"/>
        <v>4.698093897914779E-2</v>
      </c>
      <c r="F16" s="56">
        <v>45529</v>
      </c>
      <c r="G16" s="87">
        <v>23734.55</v>
      </c>
      <c r="H16" s="77">
        <f t="shared" si="1"/>
        <v>-1.0821776692627405E-2</v>
      </c>
      <c r="L16" s="172" t="s">
        <v>9</v>
      </c>
      <c r="M16" s="172"/>
      <c r="N16" s="172"/>
      <c r="O16" s="35">
        <f>O15</f>
        <v>0.16921478874649448</v>
      </c>
    </row>
    <row r="17" spans="2:17" ht="16.2" thickBot="1" x14ac:dyDescent="0.35">
      <c r="B17" s="56">
        <v>45522</v>
      </c>
      <c r="C17" s="87">
        <v>3154.65</v>
      </c>
      <c r="D17" s="77">
        <f t="shared" si="0"/>
        <v>-8.8282376808836993E-3</v>
      </c>
      <c r="F17" s="56">
        <v>45522</v>
      </c>
      <c r="G17" s="87">
        <v>23418.65</v>
      </c>
      <c r="H17" s="77">
        <f t="shared" si="1"/>
        <v>1.34892489532914E-2</v>
      </c>
    </row>
    <row r="18" spans="2:17" ht="16.2" thickBot="1" x14ac:dyDescent="0.35">
      <c r="B18" s="56">
        <v>45515</v>
      </c>
      <c r="C18" s="87">
        <v>3048.15</v>
      </c>
      <c r="D18" s="77">
        <f t="shared" si="0"/>
        <v>3.4939225431819265E-2</v>
      </c>
      <c r="F18" s="56">
        <v>45515</v>
      </c>
      <c r="G18" s="87">
        <v>23056.5</v>
      </c>
      <c r="H18" s="77">
        <f t="shared" si="1"/>
        <v>1.5707067421334653E-2</v>
      </c>
      <c r="L18" s="170" t="s">
        <v>55</v>
      </c>
      <c r="M18" s="170"/>
      <c r="N18" s="170"/>
      <c r="O18" s="156" t="s">
        <v>58</v>
      </c>
      <c r="P18" s="157"/>
      <c r="Q18" s="158"/>
    </row>
    <row r="19" spans="2:17" x14ac:dyDescent="0.3">
      <c r="B19" s="56">
        <v>45508</v>
      </c>
      <c r="C19" s="87">
        <v>3040.6</v>
      </c>
      <c r="D19" s="77">
        <f t="shared" si="0"/>
        <v>2.4830625534435491E-3</v>
      </c>
      <c r="F19" s="56">
        <v>45508</v>
      </c>
      <c r="G19" s="87">
        <v>22923.5</v>
      </c>
      <c r="H19" s="77">
        <f t="shared" si="1"/>
        <v>5.8019063406546945E-3</v>
      </c>
      <c r="L19" s="165" t="s">
        <v>5</v>
      </c>
      <c r="M19" s="165"/>
      <c r="N19" s="165"/>
      <c r="O19" s="40" t="s">
        <v>28</v>
      </c>
      <c r="P19" s="31" t="s">
        <v>27</v>
      </c>
      <c r="Q19" s="32" t="s">
        <v>10</v>
      </c>
    </row>
    <row r="20" spans="2:17" x14ac:dyDescent="0.3">
      <c r="B20" s="56">
        <v>45501</v>
      </c>
      <c r="C20" s="87">
        <v>3106.7</v>
      </c>
      <c r="D20" s="77">
        <f t="shared" si="0"/>
        <v>-2.1276595744680771E-2</v>
      </c>
      <c r="F20" s="56">
        <v>45501</v>
      </c>
      <c r="G20" s="87">
        <v>23259.45</v>
      </c>
      <c r="H20" s="77">
        <f t="shared" si="1"/>
        <v>-1.4443591744430773E-2</v>
      </c>
      <c r="L20" s="166" t="s">
        <v>11</v>
      </c>
      <c r="M20" s="166"/>
      <c r="N20" s="166"/>
      <c r="O20" s="125">
        <v>2516</v>
      </c>
      <c r="P20" s="126">
        <v>1933</v>
      </c>
      <c r="Q20" s="127">
        <v>1587</v>
      </c>
    </row>
    <row r="21" spans="2:17" x14ac:dyDescent="0.3">
      <c r="B21" s="56">
        <v>45494</v>
      </c>
      <c r="C21" s="87">
        <v>2950.15</v>
      </c>
      <c r="D21" s="77">
        <f t="shared" si="0"/>
        <v>5.3065098384827758E-2</v>
      </c>
      <c r="F21" s="56">
        <v>45494</v>
      </c>
      <c r="G21" s="87">
        <v>23292.05</v>
      </c>
      <c r="H21" s="77">
        <f t="shared" si="1"/>
        <v>-1.3996191833693938E-3</v>
      </c>
      <c r="L21" s="166" t="s">
        <v>54</v>
      </c>
      <c r="M21" s="166"/>
      <c r="N21" s="166"/>
      <c r="O21" s="125">
        <v>205</v>
      </c>
      <c r="P21" s="126">
        <v>144</v>
      </c>
      <c r="Q21" s="127">
        <v>95</v>
      </c>
    </row>
    <row r="22" spans="2:17" ht="16.2" thickBot="1" x14ac:dyDescent="0.35">
      <c r="B22" s="56">
        <v>45487</v>
      </c>
      <c r="C22" s="87">
        <v>2946.05</v>
      </c>
      <c r="D22" s="77">
        <f t="shared" si="0"/>
        <v>1.3916939631031244E-3</v>
      </c>
      <c r="F22" s="56">
        <v>45487</v>
      </c>
      <c r="G22" s="87">
        <v>22853.599999999999</v>
      </c>
      <c r="H22" s="77">
        <f t="shared" si="1"/>
        <v>1.9185161199986034E-2</v>
      </c>
      <c r="L22" s="166" t="s">
        <v>12</v>
      </c>
      <c r="M22" s="166"/>
      <c r="N22" s="166"/>
      <c r="O22" s="41">
        <f>O21/O20</f>
        <v>8.1478537360890307E-2</v>
      </c>
      <c r="P22" s="33">
        <f>P21/P20</f>
        <v>7.4495602690118984E-2</v>
      </c>
      <c r="Q22" s="33">
        <f t="shared" ref="Q22" si="2">Q21/Q20</f>
        <v>5.9861373660995587E-2</v>
      </c>
    </row>
    <row r="23" spans="2:17" ht="16.2" thickBot="1" x14ac:dyDescent="0.35">
      <c r="B23" s="56">
        <v>45480</v>
      </c>
      <c r="C23" s="87">
        <v>2999.15</v>
      </c>
      <c r="D23" s="77">
        <f t="shared" si="0"/>
        <v>-1.7705016421319386E-2</v>
      </c>
      <c r="F23" s="56">
        <v>45480</v>
      </c>
      <c r="G23" s="87">
        <v>23095.45</v>
      </c>
      <c r="H23" s="77">
        <f t="shared" si="1"/>
        <v>-1.0471759589010032E-2</v>
      </c>
      <c r="L23" s="166" t="s">
        <v>13</v>
      </c>
      <c r="M23" s="166"/>
      <c r="N23" s="166"/>
      <c r="O23" s="167">
        <v>0.25</v>
      </c>
      <c r="P23" s="168"/>
      <c r="Q23" s="169"/>
    </row>
    <row r="24" spans="2:17" ht="16.2" thickBot="1" x14ac:dyDescent="0.35">
      <c r="B24" s="56">
        <v>45473</v>
      </c>
      <c r="C24" s="87">
        <v>2935.9</v>
      </c>
      <c r="D24" s="77">
        <f t="shared" si="0"/>
        <v>2.1543649306856594E-2</v>
      </c>
      <c r="F24" s="56">
        <v>45473</v>
      </c>
      <c r="G24" s="87">
        <v>22987.65</v>
      </c>
      <c r="H24" s="77">
        <f t="shared" si="1"/>
        <v>4.6894745656906878E-3</v>
      </c>
      <c r="L24" s="160" t="s">
        <v>14</v>
      </c>
      <c r="M24" s="160"/>
      <c r="N24" s="160"/>
      <c r="O24" s="42">
        <f>O22*(1-$O$23)</f>
        <v>6.1108903020667731E-2</v>
      </c>
      <c r="P24" s="34">
        <f>P22*(1-$O$23)</f>
        <v>5.5871702017589238E-2</v>
      </c>
      <c r="Q24" s="43">
        <f>Q22*(1-$O$23)</f>
        <v>4.489603024574669E-2</v>
      </c>
    </row>
    <row r="25" spans="2:17" ht="16.2" thickBot="1" x14ac:dyDescent="0.35">
      <c r="B25" s="56">
        <v>45466</v>
      </c>
      <c r="C25" s="87">
        <v>2917.05</v>
      </c>
      <c r="D25" s="77">
        <f t="shared" si="0"/>
        <v>6.4620078503967449E-3</v>
      </c>
      <c r="F25" s="56">
        <v>45466</v>
      </c>
      <c r="G25" s="87">
        <v>22559.7</v>
      </c>
      <c r="H25" s="77">
        <f t="shared" si="1"/>
        <v>1.8969667149829172E-2</v>
      </c>
      <c r="O25" s="61"/>
      <c r="P25" s="61"/>
      <c r="Q25" s="61"/>
    </row>
    <row r="26" spans="2:17" ht="16.2" thickBot="1" x14ac:dyDescent="0.35">
      <c r="B26" s="56">
        <v>45459</v>
      </c>
      <c r="C26" s="87">
        <v>2890.85</v>
      </c>
      <c r="D26" s="77">
        <f t="shared" si="0"/>
        <v>9.0630783333622844E-3</v>
      </c>
      <c r="F26" s="56">
        <v>45459</v>
      </c>
      <c r="G26" s="87">
        <v>22236.2</v>
      </c>
      <c r="H26" s="77">
        <f t="shared" si="1"/>
        <v>1.4548349088423285E-2</v>
      </c>
      <c r="L26" s="156" t="s">
        <v>5</v>
      </c>
      <c r="M26" s="156"/>
      <c r="N26" s="95">
        <v>45352</v>
      </c>
      <c r="O26" s="96" t="s">
        <v>59</v>
      </c>
      <c r="P26" s="97" t="s">
        <v>56</v>
      </c>
      <c r="Q26" s="79" t="s">
        <v>57</v>
      </c>
    </row>
    <row r="27" spans="2:17" x14ac:dyDescent="0.3">
      <c r="B27" s="56">
        <v>45452</v>
      </c>
      <c r="C27" s="87">
        <v>2921.6</v>
      </c>
      <c r="D27" s="77">
        <f t="shared" si="0"/>
        <v>-1.0525054764512598E-2</v>
      </c>
      <c r="F27" s="56">
        <v>45452</v>
      </c>
      <c r="G27" s="87">
        <v>22214.3</v>
      </c>
      <c r="H27" s="77">
        <f t="shared" si="1"/>
        <v>9.8585145604412894E-4</v>
      </c>
      <c r="L27" s="161" t="s">
        <v>15</v>
      </c>
      <c r="M27" s="161"/>
      <c r="N27" s="3">
        <f>P27*Q27</f>
        <v>2359140000000</v>
      </c>
      <c r="O27" s="22">
        <f>N27/$N$29</f>
        <v>0.98944763662290824</v>
      </c>
      <c r="P27" s="128">
        <v>959000000</v>
      </c>
      <c r="Q27" s="129">
        <v>2460</v>
      </c>
    </row>
    <row r="28" spans="2:17" ht="16.2" thickBot="1" x14ac:dyDescent="0.35">
      <c r="B28" s="56">
        <v>45445</v>
      </c>
      <c r="C28" s="87">
        <v>2927.7</v>
      </c>
      <c r="D28" s="77">
        <f t="shared" si="0"/>
        <v>-2.0835468114902556E-3</v>
      </c>
      <c r="F28" s="56">
        <v>45445</v>
      </c>
      <c r="G28" s="87">
        <v>21764.15</v>
      </c>
      <c r="H28" s="77">
        <f t="shared" si="1"/>
        <v>2.0683095825014819E-2</v>
      </c>
      <c r="L28" s="162" t="s">
        <v>16</v>
      </c>
      <c r="M28" s="162"/>
      <c r="N28" s="130">
        <v>25160000000</v>
      </c>
      <c r="O28" s="44">
        <f>N28/$N$29</f>
        <v>1.055236337709181E-2</v>
      </c>
      <c r="P28" s="62"/>
      <c r="Q28" s="63"/>
    </row>
    <row r="29" spans="2:17" ht="16.2" thickBot="1" x14ac:dyDescent="0.35">
      <c r="B29" s="56">
        <v>45438</v>
      </c>
      <c r="C29" s="87">
        <v>2881.2</v>
      </c>
      <c r="D29" s="77">
        <f t="shared" si="0"/>
        <v>1.6139108704706473E-2</v>
      </c>
      <c r="F29" s="56">
        <v>45438</v>
      </c>
      <c r="G29" s="87">
        <v>21103.3</v>
      </c>
      <c r="H29" s="77">
        <f t="shared" si="1"/>
        <v>3.1315007605445588E-2</v>
      </c>
      <c r="L29" s="163" t="s">
        <v>17</v>
      </c>
      <c r="M29" s="163"/>
      <c r="N29" s="46">
        <f>SUM(N27:N28)</f>
        <v>2384300000000</v>
      </c>
      <c r="O29" s="45">
        <f>N29/$N$29</f>
        <v>1</v>
      </c>
      <c r="P29" s="64"/>
      <c r="Q29" s="65"/>
    </row>
    <row r="30" spans="2:17" ht="16.2" thickBot="1" x14ac:dyDescent="0.35">
      <c r="B30" s="56">
        <v>45431</v>
      </c>
      <c r="C30" s="87">
        <v>2874.75</v>
      </c>
      <c r="D30" s="77">
        <f t="shared" si="0"/>
        <v>2.2436733629009886E-3</v>
      </c>
      <c r="F30" s="56">
        <v>45431</v>
      </c>
      <c r="G30" s="87">
        <v>21483.75</v>
      </c>
      <c r="H30" s="77">
        <f t="shared" si="1"/>
        <v>-1.7708733344970029E-2</v>
      </c>
    </row>
    <row r="31" spans="2:17" ht="16.2" thickBot="1" x14ac:dyDescent="0.35">
      <c r="B31" s="56">
        <v>45424</v>
      </c>
      <c r="C31" s="87">
        <v>2809.9</v>
      </c>
      <c r="D31" s="77">
        <f t="shared" si="0"/>
        <v>2.3079113135698659E-2</v>
      </c>
      <c r="F31" s="56">
        <v>45424</v>
      </c>
      <c r="G31" s="87">
        <v>21064.55</v>
      </c>
      <c r="H31" s="77">
        <f t="shared" si="1"/>
        <v>1.9900733697135742E-2</v>
      </c>
      <c r="L31" s="164" t="s">
        <v>18</v>
      </c>
      <c r="M31" s="164"/>
      <c r="N31" s="98">
        <f>O16*O27+O24*O28</f>
        <v>0.1680740161571132</v>
      </c>
    </row>
    <row r="32" spans="2:17" x14ac:dyDescent="0.3">
      <c r="B32" s="56">
        <v>45417</v>
      </c>
      <c r="C32" s="87">
        <v>2771.25</v>
      </c>
      <c r="D32" s="77">
        <f t="shared" si="0"/>
        <v>1.3946774921064442E-2</v>
      </c>
      <c r="F32" s="56">
        <v>45417</v>
      </c>
      <c r="G32" s="87">
        <v>20469.099999999999</v>
      </c>
      <c r="H32" s="77">
        <f t="shared" si="1"/>
        <v>2.9090189602864802E-2</v>
      </c>
    </row>
    <row r="33" spans="2:19" ht="16.2" thickBot="1" x14ac:dyDescent="0.35">
      <c r="B33" s="56">
        <v>45410</v>
      </c>
      <c r="C33" s="87">
        <v>2929.75</v>
      </c>
      <c r="D33" s="77">
        <f t="shared" si="0"/>
        <v>-5.4100179196177156E-2</v>
      </c>
      <c r="F33" s="56">
        <v>45410</v>
      </c>
      <c r="G33" s="87">
        <v>20959.55</v>
      </c>
      <c r="H33" s="77">
        <f t="shared" si="1"/>
        <v>-2.3399834443010525E-2</v>
      </c>
    </row>
    <row r="34" spans="2:19" ht="16.2" thickBot="1" x14ac:dyDescent="0.35">
      <c r="B34" s="56">
        <v>45403</v>
      </c>
      <c r="C34" s="87">
        <v>2844.15</v>
      </c>
      <c r="D34" s="77">
        <f t="shared" si="0"/>
        <v>3.0096865495842229E-2</v>
      </c>
      <c r="F34" s="56">
        <v>45403</v>
      </c>
      <c r="G34" s="87">
        <v>20839.349999999999</v>
      </c>
      <c r="H34" s="77">
        <f t="shared" si="1"/>
        <v>5.7679342205971817E-3</v>
      </c>
      <c r="L34" s="94" t="s">
        <v>60</v>
      </c>
      <c r="M34" s="94" t="s">
        <v>28</v>
      </c>
      <c r="N34" s="99" t="s">
        <v>27</v>
      </c>
      <c r="O34" s="99" t="s">
        <v>10</v>
      </c>
    </row>
    <row r="35" spans="2:19" x14ac:dyDescent="0.3">
      <c r="B35" s="56">
        <v>45396</v>
      </c>
      <c r="C35" s="87">
        <v>2808.55</v>
      </c>
      <c r="D35" s="77">
        <f t="shared" si="0"/>
        <v>1.2675579925584435E-2</v>
      </c>
      <c r="F35" s="56">
        <v>45396</v>
      </c>
      <c r="G35" s="87">
        <v>20385.2</v>
      </c>
      <c r="H35" s="77">
        <f t="shared" si="1"/>
        <v>2.2278417675568374E-2</v>
      </c>
      <c r="L35" s="4" t="s">
        <v>19</v>
      </c>
      <c r="M35" s="131">
        <v>8405</v>
      </c>
      <c r="N35" s="132">
        <v>6691</v>
      </c>
      <c r="O35" s="133">
        <v>5099</v>
      </c>
    </row>
    <row r="36" spans="2:19" x14ac:dyDescent="0.3">
      <c r="B36" s="56">
        <v>45389</v>
      </c>
      <c r="C36" s="87">
        <v>2854.5</v>
      </c>
      <c r="D36" s="77">
        <f t="shared" si="0"/>
        <v>-1.6097390085829333E-2</v>
      </c>
      <c r="F36" s="56">
        <v>45389</v>
      </c>
      <c r="G36" s="87">
        <v>20745.5</v>
      </c>
      <c r="H36" s="77">
        <f t="shared" si="1"/>
        <v>-1.7367621893904617E-2</v>
      </c>
      <c r="L36" s="2" t="s">
        <v>20</v>
      </c>
      <c r="M36" s="9">
        <f>M35*(1-$O$23)</f>
        <v>6303.75</v>
      </c>
      <c r="N36" s="10">
        <f>N35*(1-$O$23)</f>
        <v>5018.25</v>
      </c>
      <c r="O36" s="6">
        <f t="shared" ref="O36" si="3">O35*(1-$O$23)</f>
        <v>3824.25</v>
      </c>
    </row>
    <row r="37" spans="2:19" x14ac:dyDescent="0.3">
      <c r="B37" s="56">
        <v>45382</v>
      </c>
      <c r="C37" s="87">
        <v>2883.45</v>
      </c>
      <c r="D37" s="77">
        <f t="shared" si="0"/>
        <v>-1.0040056182697765E-2</v>
      </c>
      <c r="F37" s="56">
        <v>45382</v>
      </c>
      <c r="G37" s="87">
        <v>20715.099999999999</v>
      </c>
      <c r="H37" s="77">
        <f t="shared" si="1"/>
        <v>1.4675285178444852E-3</v>
      </c>
      <c r="L37" s="2" t="s">
        <v>21</v>
      </c>
      <c r="M37" s="134">
        <v>853</v>
      </c>
      <c r="N37" s="135">
        <v>858</v>
      </c>
      <c r="O37" s="133">
        <v>816</v>
      </c>
    </row>
    <row r="38" spans="2:19" x14ac:dyDescent="0.3">
      <c r="B38" s="56">
        <v>45375</v>
      </c>
      <c r="C38" s="87">
        <v>2846.75</v>
      </c>
      <c r="D38" s="77">
        <f t="shared" si="0"/>
        <v>1.2891894265390391E-2</v>
      </c>
      <c r="F38" s="56">
        <v>45375</v>
      </c>
      <c r="G38" s="87">
        <v>20255.150000000001</v>
      </c>
      <c r="H38" s="77">
        <f t="shared" si="1"/>
        <v>2.2707805175473661E-2</v>
      </c>
      <c r="L38" s="2" t="s">
        <v>47</v>
      </c>
      <c r="M38" s="136">
        <v>-103</v>
      </c>
      <c r="N38" s="137">
        <v>755</v>
      </c>
      <c r="O38" s="138">
        <v>2795</v>
      </c>
    </row>
    <row r="39" spans="2:19" x14ac:dyDescent="0.3">
      <c r="B39" s="56">
        <v>45368</v>
      </c>
      <c r="C39" s="87">
        <v>2841.5</v>
      </c>
      <c r="D39" s="77">
        <f t="shared" si="0"/>
        <v>1.8476156959352785E-3</v>
      </c>
      <c r="F39" s="56">
        <v>45368</v>
      </c>
      <c r="G39" s="87">
        <v>19994.599999999999</v>
      </c>
      <c r="H39" s="77">
        <f t="shared" si="1"/>
        <v>1.3031018374961345E-2</v>
      </c>
      <c r="L39" s="2" t="s">
        <v>22</v>
      </c>
      <c r="M39" s="136">
        <v>-511</v>
      </c>
      <c r="N39" s="136">
        <v>-1420</v>
      </c>
      <c r="O39" s="139">
        <v>-2491</v>
      </c>
    </row>
    <row r="40" spans="2:19" ht="16.2" thickBot="1" x14ac:dyDescent="0.35">
      <c r="B40" s="56">
        <v>45361</v>
      </c>
      <c r="C40" s="87">
        <v>2867.55</v>
      </c>
      <c r="D40" s="77">
        <f t="shared" si="0"/>
        <v>-9.0844100364423364E-3</v>
      </c>
      <c r="F40" s="56">
        <v>45361</v>
      </c>
      <c r="G40" s="87">
        <v>19825.2</v>
      </c>
      <c r="H40" s="77">
        <f t="shared" si="1"/>
        <v>8.5446805076365706E-3</v>
      </c>
      <c r="L40" s="2" t="s">
        <v>23</v>
      </c>
      <c r="M40" s="47">
        <f>M36+M37-M38-M39</f>
        <v>7770.75</v>
      </c>
      <c r="N40" s="10">
        <f>N36+N37-N38-N39</f>
        <v>6541.25</v>
      </c>
      <c r="O40" s="6">
        <f>O36+O37-O38-O39</f>
        <v>4336.25</v>
      </c>
      <c r="Q40" s="8"/>
    </row>
    <row r="41" spans="2:19" ht="16.2" thickBot="1" x14ac:dyDescent="0.35">
      <c r="B41" s="56">
        <v>45354</v>
      </c>
      <c r="C41" s="87">
        <v>2870.55</v>
      </c>
      <c r="D41" s="77">
        <f t="shared" si="0"/>
        <v>-1.0450958875476424E-3</v>
      </c>
      <c r="F41" s="56">
        <v>45354</v>
      </c>
      <c r="G41" s="87">
        <v>20434.8</v>
      </c>
      <c r="H41" s="77">
        <f t="shared" si="1"/>
        <v>-2.9831463973222117E-2</v>
      </c>
      <c r="L41" s="5" t="s">
        <v>24</v>
      </c>
      <c r="M41" s="143">
        <f>(M40-N40)/N40*100</f>
        <v>18.796101662526276</v>
      </c>
      <c r="N41" s="11">
        <f>(N40-O40)/N40*100</f>
        <v>33.709153449264285</v>
      </c>
      <c r="O41" s="7"/>
      <c r="P41" s="66"/>
    </row>
    <row r="42" spans="2:19" ht="16.2" thickBot="1" x14ac:dyDescent="0.35">
      <c r="B42" s="56">
        <v>45347</v>
      </c>
      <c r="C42" s="87">
        <v>2831.75</v>
      </c>
      <c r="D42" s="77">
        <f t="shared" si="0"/>
        <v>1.3701774521055921E-2</v>
      </c>
      <c r="F42" s="56">
        <v>45347</v>
      </c>
      <c r="G42" s="87">
        <v>20349.8</v>
      </c>
      <c r="H42" s="77">
        <f t="shared" si="1"/>
        <v>4.1769452279629693E-3</v>
      </c>
      <c r="L42" s="109" t="s">
        <v>66</v>
      </c>
      <c r="M42" s="145">
        <v>0.12</v>
      </c>
      <c r="N42" s="108"/>
      <c r="O42" s="142"/>
      <c r="P42" s="66"/>
    </row>
    <row r="43" spans="2:19" ht="16.2" thickBot="1" x14ac:dyDescent="0.35">
      <c r="B43" s="56">
        <v>45340</v>
      </c>
      <c r="C43" s="87">
        <v>2985.95</v>
      </c>
      <c r="D43" s="77">
        <f t="shared" si="0"/>
        <v>-5.1641856025720356E-2</v>
      </c>
      <c r="F43" s="56">
        <v>45340</v>
      </c>
      <c r="G43" s="87">
        <v>20313.5</v>
      </c>
      <c r="H43" s="77">
        <f t="shared" si="1"/>
        <v>1.7869889482362566E-3</v>
      </c>
      <c r="L43" s="144" t="s">
        <v>68</v>
      </c>
      <c r="M43" s="146">
        <f>((N40-O40)/O40+(M40-N40)/N40)/2</f>
        <v>0.34823245411833909</v>
      </c>
      <c r="N43" s="108"/>
      <c r="O43" s="108"/>
      <c r="P43" s="66"/>
    </row>
    <row r="44" spans="2:19" ht="16.2" thickBot="1" x14ac:dyDescent="0.35">
      <c r="B44" s="56">
        <v>45333</v>
      </c>
      <c r="C44" s="87">
        <v>3007.9</v>
      </c>
      <c r="D44" s="77">
        <f t="shared" si="0"/>
        <v>-7.2974500482064775E-3</v>
      </c>
      <c r="F44" s="56">
        <v>45333</v>
      </c>
      <c r="G44" s="87">
        <v>20164.900000000001</v>
      </c>
      <c r="H44" s="77">
        <f t="shared" si="1"/>
        <v>7.3692406111609543E-3</v>
      </c>
    </row>
    <row r="45" spans="2:19" ht="18" thickBot="1" x14ac:dyDescent="0.35">
      <c r="B45" s="56">
        <v>45326</v>
      </c>
      <c r="C45" s="87">
        <v>2951.65</v>
      </c>
      <c r="D45" s="77">
        <f t="shared" si="0"/>
        <v>1.9057137533244006E-2</v>
      </c>
      <c r="F45" s="56">
        <v>45326</v>
      </c>
      <c r="G45" s="87">
        <v>19961.5</v>
      </c>
      <c r="H45" s="77">
        <f t="shared" si="1"/>
        <v>1.0189615008892261E-2</v>
      </c>
      <c r="L45" s="100" t="s">
        <v>61</v>
      </c>
      <c r="M45" s="101"/>
      <c r="N45" s="102"/>
      <c r="O45" s="103"/>
      <c r="P45" s="104"/>
      <c r="Q45" s="105"/>
      <c r="R45" s="159" t="s">
        <v>25</v>
      </c>
      <c r="S45" s="158"/>
    </row>
    <row r="46" spans="2:19" ht="16.2" thickBot="1" x14ac:dyDescent="0.35">
      <c r="B46" s="56">
        <v>45319</v>
      </c>
      <c r="C46" s="87">
        <v>2936.3</v>
      </c>
      <c r="D46" s="77">
        <f t="shared" si="0"/>
        <v>5.2276674726696726E-3</v>
      </c>
      <c r="F46" s="56">
        <v>45319</v>
      </c>
      <c r="G46" s="87">
        <v>19910.8</v>
      </c>
      <c r="H46" s="77">
        <f t="shared" si="1"/>
        <v>2.5463567511099239E-3</v>
      </c>
      <c r="L46" s="38" t="s">
        <v>26</v>
      </c>
      <c r="M46" s="18" t="s">
        <v>29</v>
      </c>
      <c r="N46" s="21" t="s">
        <v>30</v>
      </c>
      <c r="O46" s="18" t="s">
        <v>31</v>
      </c>
      <c r="P46" s="16" t="s">
        <v>63</v>
      </c>
      <c r="Q46" s="28" t="s">
        <v>64</v>
      </c>
      <c r="R46" s="17" t="s">
        <v>65</v>
      </c>
      <c r="S46" s="17" t="s">
        <v>32</v>
      </c>
    </row>
    <row r="47" spans="2:19" x14ac:dyDescent="0.3">
      <c r="B47" s="56">
        <v>45312</v>
      </c>
      <c r="C47" s="87">
        <v>2949.2</v>
      </c>
      <c r="D47" s="77">
        <f t="shared" si="0"/>
        <v>-4.3740675437405896E-3</v>
      </c>
      <c r="F47" s="56">
        <v>45312</v>
      </c>
      <c r="G47" s="87">
        <v>19393</v>
      </c>
      <c r="H47" s="77">
        <f t="shared" si="1"/>
        <v>2.6700355798483955E-2</v>
      </c>
      <c r="L47" s="36" t="s">
        <v>33</v>
      </c>
      <c r="M47" s="50">
        <f>M40*(1+M42)</f>
        <v>8703.2400000000016</v>
      </c>
      <c r="N47" s="22">
        <f>M47*(1+M42)</f>
        <v>9747.6288000000022</v>
      </c>
      <c r="O47" s="19">
        <f>N47*(1+$M$42)</f>
        <v>10917.344256000004</v>
      </c>
      <c r="P47" s="22">
        <f>O47*(1+$M$42)</f>
        <v>12227.425566720005</v>
      </c>
      <c r="Q47" s="19">
        <f>P47*(1+$M$42)</f>
        <v>13694.716634726406</v>
      </c>
      <c r="R47" s="29">
        <f>Q47*(1+M50)</f>
        <v>14242.505300115463</v>
      </c>
      <c r="S47" s="13">
        <f>SUM(M47:R47)</f>
        <v>69532.860557561886</v>
      </c>
    </row>
    <row r="48" spans="2:19" x14ac:dyDescent="0.3">
      <c r="B48" s="56">
        <v>45305</v>
      </c>
      <c r="C48" s="87">
        <v>3165.85</v>
      </c>
      <c r="D48" s="77">
        <f t="shared" si="0"/>
        <v>-6.8433438097193489E-2</v>
      </c>
      <c r="F48" s="56">
        <v>45305</v>
      </c>
      <c r="G48" s="87">
        <v>19606.400000000001</v>
      </c>
      <c r="H48" s="77">
        <f t="shared" si="1"/>
        <v>-1.088420107719934E-2</v>
      </c>
      <c r="L48" s="37" t="s">
        <v>34</v>
      </c>
      <c r="M48" s="25">
        <f>(M47)/(1+$M$49)</f>
        <v>7450.9319440501631</v>
      </c>
      <c r="N48" s="23">
        <f>(N47)/(1+$M$49)^2</f>
        <v>7144.2765286320027</v>
      </c>
      <c r="O48" s="25">
        <f>(O47)/(1+$M$49)^3</f>
        <v>6850.2420235256559</v>
      </c>
      <c r="P48" s="23">
        <f>(P47)/(1+$M$49)^4</f>
        <v>6568.3089943135647</v>
      </c>
      <c r="Q48" s="25">
        <f>(Q47)/(1+$M$49)^5</f>
        <v>6297.9793847598921</v>
      </c>
      <c r="R48" s="14">
        <f>((R47)/(M49-M50))/(1+M49)^5</f>
        <v>51141.509860323909</v>
      </c>
      <c r="S48" s="14">
        <f>SUM(M48:R48)</f>
        <v>85453.248735605186</v>
      </c>
    </row>
    <row r="49" spans="2:19" ht="16.2" thickBot="1" x14ac:dyDescent="0.35">
      <c r="B49" s="56">
        <v>45298</v>
      </c>
      <c r="C49" s="87">
        <v>3277.8</v>
      </c>
      <c r="D49" s="77">
        <f t="shared" si="0"/>
        <v>-3.4154005735554382E-2</v>
      </c>
      <c r="F49" s="56">
        <v>45298</v>
      </c>
      <c r="G49" s="87">
        <v>19745.599999999999</v>
      </c>
      <c r="H49" s="77">
        <f t="shared" si="1"/>
        <v>-7.0496718256217727E-3</v>
      </c>
      <c r="L49" s="49" t="s">
        <v>35</v>
      </c>
      <c r="M49" s="51">
        <f>N31</f>
        <v>0.1680740161571132</v>
      </c>
      <c r="N49" s="24"/>
      <c r="O49" s="26"/>
      <c r="P49" s="27"/>
      <c r="Q49" s="20"/>
      <c r="R49" s="30"/>
      <c r="S49" s="15"/>
    </row>
    <row r="50" spans="2:19" ht="16.2" thickBot="1" x14ac:dyDescent="0.35">
      <c r="B50" s="56">
        <v>45291</v>
      </c>
      <c r="C50" s="87">
        <v>3355.55</v>
      </c>
      <c r="D50" s="77">
        <f t="shared" si="0"/>
        <v>-2.3170568163192296E-2</v>
      </c>
      <c r="F50" s="56">
        <v>45291</v>
      </c>
      <c r="G50" s="87">
        <v>19590.599999999999</v>
      </c>
      <c r="H50" s="77">
        <f t="shared" si="1"/>
        <v>7.9119577756678883E-3</v>
      </c>
      <c r="L50" s="48" t="s">
        <v>36</v>
      </c>
      <c r="M50" s="140">
        <v>0.04</v>
      </c>
      <c r="N50" s="12"/>
      <c r="O50" s="12"/>
      <c r="P50" s="12"/>
      <c r="Q50" s="12"/>
      <c r="R50" s="12"/>
      <c r="S50" s="12"/>
    </row>
    <row r="51" spans="2:19" ht="16.2" thickBot="1" x14ac:dyDescent="0.35">
      <c r="B51" s="56">
        <v>45284</v>
      </c>
      <c r="C51" s="87">
        <v>3402.4</v>
      </c>
      <c r="D51" s="77">
        <f t="shared" si="0"/>
        <v>-1.3769691982130183E-2</v>
      </c>
      <c r="F51" s="56">
        <v>45284</v>
      </c>
      <c r="G51" s="87">
        <v>19429.150000000001</v>
      </c>
      <c r="H51" s="77">
        <f t="shared" si="1"/>
        <v>8.3096790132350939E-3</v>
      </c>
    </row>
    <row r="52" spans="2:19" x14ac:dyDescent="0.3">
      <c r="B52" s="56">
        <v>45277</v>
      </c>
      <c r="C52" s="87">
        <v>3341.3</v>
      </c>
      <c r="D52" s="77">
        <f t="shared" si="0"/>
        <v>1.8286295753149995E-2</v>
      </c>
      <c r="F52" s="56">
        <v>45277</v>
      </c>
      <c r="G52" s="87">
        <v>19054.7</v>
      </c>
      <c r="H52" s="77">
        <f t="shared" si="1"/>
        <v>1.9651319621930563E-2</v>
      </c>
      <c r="L52" s="36" t="s">
        <v>37</v>
      </c>
      <c r="M52" s="67">
        <f>S48</f>
        <v>85453.248735605186</v>
      </c>
    </row>
    <row r="53" spans="2:19" x14ac:dyDescent="0.3">
      <c r="B53" s="56">
        <v>45270</v>
      </c>
      <c r="C53" s="87">
        <v>3313.9</v>
      </c>
      <c r="D53" s="77">
        <f t="shared" si="0"/>
        <v>8.2682036271461978E-3</v>
      </c>
      <c r="F53" s="56">
        <v>45270</v>
      </c>
      <c r="G53" s="87">
        <v>19145.05</v>
      </c>
      <c r="H53" s="77">
        <f t="shared" si="1"/>
        <v>-4.7192355204086489E-3</v>
      </c>
      <c r="L53" s="37" t="s">
        <v>49</v>
      </c>
      <c r="M53" s="141">
        <v>1103</v>
      </c>
    </row>
    <row r="54" spans="2:19" ht="16.2" thickBot="1" x14ac:dyDescent="0.35">
      <c r="B54" s="56">
        <v>45263</v>
      </c>
      <c r="C54" s="87">
        <v>3232</v>
      </c>
      <c r="D54" s="77">
        <f t="shared" si="0"/>
        <v>2.5340346534653557E-2</v>
      </c>
      <c r="F54" s="56">
        <v>45263</v>
      </c>
      <c r="G54" s="87">
        <v>18703.5</v>
      </c>
      <c r="H54" s="77">
        <f t="shared" si="1"/>
        <v>2.3607880877910548E-2</v>
      </c>
      <c r="L54" s="68"/>
      <c r="M54" s="69"/>
    </row>
    <row r="55" spans="2:19" ht="16.2" thickBot="1" x14ac:dyDescent="0.35">
      <c r="B55" s="56">
        <v>45256</v>
      </c>
      <c r="C55" s="87">
        <v>3173.4</v>
      </c>
      <c r="D55" s="77">
        <f t="shared" si="0"/>
        <v>1.8465998613474532E-2</v>
      </c>
      <c r="F55" s="56">
        <v>45256</v>
      </c>
      <c r="G55" s="87">
        <v>18115.349999999999</v>
      </c>
      <c r="H55" s="77">
        <f t="shared" si="1"/>
        <v>3.2466941019632545E-2</v>
      </c>
      <c r="L55" s="38" t="s">
        <v>38</v>
      </c>
      <c r="M55" s="70">
        <f>M52-M53</f>
        <v>84350.248735605186</v>
      </c>
    </row>
    <row r="56" spans="2:19" ht="16.2" thickBot="1" x14ac:dyDescent="0.35">
      <c r="B56" s="56">
        <v>45249</v>
      </c>
      <c r="C56" s="87">
        <v>3136.15</v>
      </c>
      <c r="D56" s="77">
        <f t="shared" si="0"/>
        <v>1.187762064952258E-2</v>
      </c>
      <c r="F56" s="56">
        <v>45249</v>
      </c>
      <c r="G56" s="87">
        <v>17643.5</v>
      </c>
      <c r="H56" s="77">
        <f t="shared" si="1"/>
        <v>2.6743559951256657E-2</v>
      </c>
      <c r="L56" s="39" t="s">
        <v>39</v>
      </c>
      <c r="M56" s="110">
        <f>P27</f>
        <v>959000000</v>
      </c>
    </row>
    <row r="57" spans="2:19" ht="16.2" thickBot="1" x14ac:dyDescent="0.35">
      <c r="B57" s="56">
        <v>45242</v>
      </c>
      <c r="C57" s="88">
        <v>3168.9</v>
      </c>
      <c r="D57" s="77">
        <f t="shared" si="0"/>
        <v>-1.0334816497838406E-2</v>
      </c>
      <c r="F57" s="56">
        <v>45242</v>
      </c>
      <c r="G57" s="88">
        <v>17600.5</v>
      </c>
      <c r="H57" s="77">
        <f t="shared" si="1"/>
        <v>2.4431124115791292E-3</v>
      </c>
      <c r="L57" s="38" t="s">
        <v>40</v>
      </c>
      <c r="M57" s="70">
        <f>M55/M56</f>
        <v>8.7956463749327618E-5</v>
      </c>
    </row>
    <row r="58" spans="2:19" ht="16.2" thickBot="1" x14ac:dyDescent="0.35">
      <c r="B58" s="56">
        <v>45235</v>
      </c>
      <c r="C58" s="88">
        <v>3076.45</v>
      </c>
      <c r="D58" s="77">
        <f t="shared" si="0"/>
        <v>3.005087032131204E-2</v>
      </c>
      <c r="F58" s="56">
        <v>45235</v>
      </c>
      <c r="G58" s="88">
        <v>17256.599999999999</v>
      </c>
      <c r="H58" s="77">
        <f t="shared" si="1"/>
        <v>1.9928607025717859E-2</v>
      </c>
    </row>
    <row r="59" spans="2:19" ht="16.2" thickBot="1" x14ac:dyDescent="0.35">
      <c r="B59" s="56">
        <v>45228</v>
      </c>
      <c r="C59" s="88">
        <v>2977.85</v>
      </c>
      <c r="D59" s="77">
        <f t="shared" si="0"/>
        <v>3.3111137229880683E-2</v>
      </c>
      <c r="F59" s="56">
        <v>45228</v>
      </c>
      <c r="G59" s="88">
        <v>17000.95</v>
      </c>
      <c r="H59" s="77">
        <f t="shared" si="1"/>
        <v>1.5037394969104501E-2</v>
      </c>
      <c r="L59" s="106" t="s">
        <v>5</v>
      </c>
      <c r="M59" s="111">
        <v>45597</v>
      </c>
      <c r="N59" s="111">
        <v>45231</v>
      </c>
      <c r="O59" s="111">
        <v>44866</v>
      </c>
      <c r="P59" s="111">
        <v>44501</v>
      </c>
      <c r="Q59" s="111">
        <v>44136</v>
      </c>
    </row>
    <row r="60" spans="2:19" x14ac:dyDescent="0.3">
      <c r="B60" s="56">
        <v>45221</v>
      </c>
      <c r="C60" s="88">
        <v>2955.15</v>
      </c>
      <c r="D60" s="77">
        <f t="shared" si="0"/>
        <v>7.681505168942282E-3</v>
      </c>
      <c r="F60" s="56">
        <v>45221</v>
      </c>
      <c r="G60" s="88">
        <v>16765.45</v>
      </c>
      <c r="H60" s="77">
        <f t="shared" si="1"/>
        <v>1.4046744942724398E-2</v>
      </c>
      <c r="L60" s="36" t="s">
        <v>41</v>
      </c>
      <c r="M60" s="121">
        <v>2460</v>
      </c>
      <c r="N60" s="121">
        <v>2459</v>
      </c>
      <c r="O60" s="121">
        <v>3590</v>
      </c>
      <c r="P60" s="121">
        <v>2422</v>
      </c>
      <c r="Q60" s="121">
        <v>2136</v>
      </c>
    </row>
    <row r="61" spans="2:19" x14ac:dyDescent="0.3">
      <c r="B61" s="56">
        <v>45214</v>
      </c>
      <c r="C61" s="88">
        <v>3105.85</v>
      </c>
      <c r="D61" s="77">
        <f t="shared" si="0"/>
        <v>-4.8521338763945376E-2</v>
      </c>
      <c r="F61" s="56">
        <v>45214</v>
      </c>
      <c r="G61" s="88">
        <v>17208.75</v>
      </c>
      <c r="H61" s="77">
        <f t="shared" si="1"/>
        <v>-2.5760151085930105E-2</v>
      </c>
      <c r="L61" s="37" t="s">
        <v>42</v>
      </c>
      <c r="M61" s="122">
        <v>54.06</v>
      </c>
      <c r="N61" s="123">
        <v>41.06</v>
      </c>
      <c r="O61" s="123">
        <v>37.1</v>
      </c>
      <c r="P61" s="124">
        <v>36</v>
      </c>
      <c r="Q61" s="123">
        <v>31.3</v>
      </c>
    </row>
    <row r="62" spans="2:19" x14ac:dyDescent="0.3">
      <c r="B62" s="56">
        <v>45207</v>
      </c>
      <c r="C62" s="88">
        <v>3148.8</v>
      </c>
      <c r="D62" s="77">
        <f t="shared" si="0"/>
        <v>-1.3640116869918839E-2</v>
      </c>
      <c r="F62" s="56">
        <v>45207</v>
      </c>
      <c r="G62" s="88">
        <v>17390.349999999999</v>
      </c>
      <c r="H62" s="77">
        <f t="shared" si="1"/>
        <v>-1.0442573036195224E-2</v>
      </c>
      <c r="L62" s="37" t="s">
        <v>43</v>
      </c>
      <c r="M62" s="52">
        <f>(M61/N61)-1</f>
        <v>0.31660983925961994</v>
      </c>
      <c r="N62" s="52">
        <f>(N61/O61)-1</f>
        <v>0.10673854447439357</v>
      </c>
      <c r="O62" s="52">
        <f>(O61/P61)-1</f>
        <v>3.0555555555555669E-2</v>
      </c>
      <c r="P62" s="52">
        <f>(P61/Q61)-1</f>
        <v>0.15015974440894575</v>
      </c>
      <c r="Q62" s="25"/>
    </row>
    <row r="63" spans="2:19" x14ac:dyDescent="0.3">
      <c r="B63" s="56">
        <v>45200</v>
      </c>
      <c r="C63" s="88">
        <v>3195.75</v>
      </c>
      <c r="D63" s="77">
        <f t="shared" si="0"/>
        <v>-1.4691386998357148E-2</v>
      </c>
      <c r="F63" s="56">
        <v>45200</v>
      </c>
      <c r="G63" s="88">
        <v>17293.599999999999</v>
      </c>
      <c r="H63" s="77">
        <f t="shared" si="1"/>
        <v>5.5945552111764663E-3</v>
      </c>
      <c r="L63" s="37" t="s">
        <v>44</v>
      </c>
      <c r="M63" s="53">
        <f>AVERAGE(M62:P62)</f>
        <v>0.15101592092462873</v>
      </c>
      <c r="N63" s="25"/>
      <c r="O63" s="25"/>
      <c r="P63" s="25"/>
      <c r="Q63" s="25"/>
    </row>
    <row r="64" spans="2:19" x14ac:dyDescent="0.3">
      <c r="B64" s="56">
        <v>45193</v>
      </c>
      <c r="C64" s="88">
        <v>3161.05</v>
      </c>
      <c r="D64" s="77">
        <f t="shared" si="0"/>
        <v>1.0977365116021431E-2</v>
      </c>
      <c r="F64" s="56">
        <v>45193</v>
      </c>
      <c r="G64" s="88">
        <v>17292.599999999999</v>
      </c>
      <c r="H64" s="77">
        <f t="shared" si="1"/>
        <v>5.7828203971599379E-5</v>
      </c>
      <c r="L64" s="37" t="s">
        <v>45</v>
      </c>
      <c r="M64" s="113">
        <f>M60/M61</f>
        <v>45.504994450610432</v>
      </c>
      <c r="N64" s="113">
        <f>N60/N61</f>
        <v>59.887968826108128</v>
      </c>
      <c r="O64" s="113">
        <f>O60/O61</f>
        <v>96.7654986522911</v>
      </c>
      <c r="P64" s="113">
        <f>P60/P61</f>
        <v>67.277777777777771</v>
      </c>
      <c r="Q64" s="113">
        <f>Q60/Q61</f>
        <v>68.242811501597444</v>
      </c>
    </row>
    <row r="65" spans="2:17" x14ac:dyDescent="0.3">
      <c r="B65" s="56">
        <v>45186</v>
      </c>
      <c r="C65" s="88">
        <v>3274.85</v>
      </c>
      <c r="D65" s="77">
        <f t="shared" si="0"/>
        <v>-3.4749683191596437E-2</v>
      </c>
      <c r="F65" s="56">
        <v>45186</v>
      </c>
      <c r="G65" s="88">
        <v>17260.8</v>
      </c>
      <c r="H65" s="77">
        <f t="shared" si="1"/>
        <v>1.8423248053391905E-3</v>
      </c>
      <c r="L65" s="37" t="s">
        <v>67</v>
      </c>
      <c r="M65" s="113">
        <f>M61*(1+M63)</f>
        <v>62.223920685185426</v>
      </c>
      <c r="N65" s="25"/>
      <c r="O65" s="25"/>
      <c r="P65" s="25"/>
      <c r="Q65" s="25"/>
    </row>
    <row r="66" spans="2:17" x14ac:dyDescent="0.3">
      <c r="B66" s="56">
        <v>45179</v>
      </c>
      <c r="C66" s="88">
        <v>3196.65</v>
      </c>
      <c r="D66" s="77">
        <f t="shared" si="0"/>
        <v>2.4463109818090745E-2</v>
      </c>
      <c r="F66" s="56">
        <v>45179</v>
      </c>
      <c r="G66" s="88">
        <v>17665.8</v>
      </c>
      <c r="H66" s="77">
        <f t="shared" si="1"/>
        <v>-2.2925652956560127E-2</v>
      </c>
      <c r="L66" s="37" t="s">
        <v>46</v>
      </c>
      <c r="M66" s="112">
        <f>AVERAGE(M64:Q64)</f>
        <v>67.53581024167697</v>
      </c>
      <c r="N66" s="25"/>
      <c r="O66" s="25"/>
      <c r="P66" s="25"/>
      <c r="Q66" s="25"/>
    </row>
    <row r="67" spans="2:17" ht="16.2" thickBot="1" x14ac:dyDescent="0.35">
      <c r="B67" s="56">
        <v>45172</v>
      </c>
      <c r="C67" s="88">
        <v>3238.05</v>
      </c>
      <c r="D67" s="77">
        <f t="shared" si="0"/>
        <v>-1.2785472738222059E-2</v>
      </c>
      <c r="F67" s="56">
        <v>45172</v>
      </c>
      <c r="G67" s="88">
        <v>17487.45</v>
      </c>
      <c r="H67" s="77">
        <f t="shared" si="1"/>
        <v>1.0198742526783322E-2</v>
      </c>
      <c r="L67" s="71"/>
      <c r="M67" s="54"/>
      <c r="N67" s="54"/>
      <c r="O67" s="54"/>
      <c r="P67" s="54"/>
      <c r="Q67" s="54"/>
    </row>
    <row r="68" spans="2:17" ht="16.2" thickBot="1" x14ac:dyDescent="0.35">
      <c r="B68" s="56">
        <v>45165</v>
      </c>
      <c r="C68" s="88">
        <v>3259.55</v>
      </c>
      <c r="D68" s="77">
        <f t="shared" si="0"/>
        <v>-6.5960025156847069E-3</v>
      </c>
      <c r="F68" s="56">
        <v>45165</v>
      </c>
      <c r="G68" s="88">
        <v>17074.55</v>
      </c>
      <c r="H68" s="77">
        <f t="shared" si="1"/>
        <v>2.4182189281708899E-2</v>
      </c>
      <c r="L68" s="107" t="s">
        <v>62</v>
      </c>
      <c r="M68" s="114">
        <f>M65*M66</f>
        <v>4202.3428998878417</v>
      </c>
    </row>
    <row r="69" spans="2:17" x14ac:dyDescent="0.3">
      <c r="B69" s="56">
        <v>45158</v>
      </c>
      <c r="C69" s="88">
        <v>3259.3</v>
      </c>
      <c r="D69" s="77">
        <f t="shared" si="0"/>
        <v>7.6703586659787604E-5</v>
      </c>
      <c r="F69" s="56">
        <v>45158</v>
      </c>
      <c r="G69" s="88">
        <v>16820.849999999999</v>
      </c>
      <c r="H69" s="77">
        <f t="shared" si="1"/>
        <v>1.5082472051055618E-2</v>
      </c>
    </row>
    <row r="70" spans="2:17" x14ac:dyDescent="0.3">
      <c r="B70" s="56">
        <v>45151</v>
      </c>
      <c r="C70" s="88">
        <v>3163.55</v>
      </c>
      <c r="D70" s="77">
        <f t="shared" ref="D70:D133" si="4">C69/C70-1</f>
        <v>3.0266630841933928E-2</v>
      </c>
      <c r="F70" s="56">
        <v>45151</v>
      </c>
      <c r="G70" s="88">
        <v>16757.7</v>
      </c>
      <c r="H70" s="77">
        <f t="shared" ref="H70:H133" si="5">G69/G70-1</f>
        <v>3.7684169068545881E-3</v>
      </c>
    </row>
    <row r="71" spans="2:17" x14ac:dyDescent="0.3">
      <c r="B71" s="56">
        <v>45144</v>
      </c>
      <c r="C71" s="88">
        <v>3185.35</v>
      </c>
      <c r="D71" s="77">
        <f t="shared" si="4"/>
        <v>-6.8438319179995322E-3</v>
      </c>
      <c r="F71" s="56">
        <v>45144</v>
      </c>
      <c r="G71" s="88">
        <v>16860.150000000001</v>
      </c>
      <c r="H71" s="77">
        <f t="shared" si="5"/>
        <v>-6.0764583944983297E-3</v>
      </c>
    </row>
    <row r="72" spans="2:17" x14ac:dyDescent="0.3">
      <c r="B72" s="56">
        <v>45137</v>
      </c>
      <c r="C72" s="88">
        <v>3339.65</v>
      </c>
      <c r="D72" s="77">
        <f t="shared" si="4"/>
        <v>-4.620244636414006E-2</v>
      </c>
      <c r="F72" s="56">
        <v>45137</v>
      </c>
      <c r="G72" s="88">
        <v>16890.599999999999</v>
      </c>
      <c r="H72" s="77">
        <f t="shared" si="5"/>
        <v>-1.8027778764517777E-3</v>
      </c>
    </row>
    <row r="73" spans="2:17" x14ac:dyDescent="0.3">
      <c r="B73" s="56">
        <v>45130</v>
      </c>
      <c r="C73" s="88">
        <v>3390.7</v>
      </c>
      <c r="D73" s="77">
        <f t="shared" si="4"/>
        <v>-1.5055888164685727E-2</v>
      </c>
      <c r="F73" s="56">
        <v>45130</v>
      </c>
      <c r="G73" s="88">
        <v>16948.349999999999</v>
      </c>
      <c r="H73" s="77">
        <f t="shared" si="5"/>
        <v>-3.4074113409270357E-3</v>
      </c>
    </row>
    <row r="74" spans="2:17" x14ac:dyDescent="0.3">
      <c r="B74" s="56">
        <v>45123</v>
      </c>
      <c r="C74" s="88">
        <v>3517.7</v>
      </c>
      <c r="D74" s="77">
        <f t="shared" si="4"/>
        <v>-3.6103135571538214E-2</v>
      </c>
      <c r="F74" s="56">
        <v>45123</v>
      </c>
      <c r="G74" s="88">
        <v>16904.3</v>
      </c>
      <c r="H74" s="77">
        <f t="shared" si="5"/>
        <v>2.6058458498725567E-3</v>
      </c>
    </row>
    <row r="75" spans="2:17" x14ac:dyDescent="0.3">
      <c r="B75" s="56">
        <v>45116</v>
      </c>
      <c r="C75" s="88">
        <v>3429.75</v>
      </c>
      <c r="D75" s="77">
        <f t="shared" si="4"/>
        <v>2.564326845980025E-2</v>
      </c>
      <c r="F75" s="56">
        <v>45116</v>
      </c>
      <c r="G75" s="88">
        <v>16765.45</v>
      </c>
      <c r="H75" s="77">
        <f t="shared" si="5"/>
        <v>8.2819131010500868E-3</v>
      </c>
    </row>
    <row r="76" spans="2:17" x14ac:dyDescent="0.3">
      <c r="B76" s="56">
        <v>45109</v>
      </c>
      <c r="C76" s="88">
        <v>3343.7</v>
      </c>
      <c r="D76" s="77">
        <f t="shared" si="4"/>
        <v>2.5734964261147963E-2</v>
      </c>
      <c r="F76" s="56">
        <v>45109</v>
      </c>
      <c r="G76" s="88">
        <v>16564.900000000001</v>
      </c>
      <c r="H76" s="77">
        <f t="shared" si="5"/>
        <v>1.2106924883337644E-2</v>
      </c>
    </row>
    <row r="77" spans="2:17" x14ac:dyDescent="0.3">
      <c r="B77" s="56">
        <v>45102</v>
      </c>
      <c r="C77" s="88">
        <v>3362.05</v>
      </c>
      <c r="D77" s="77">
        <f t="shared" si="4"/>
        <v>-5.4579795065511361E-3</v>
      </c>
      <c r="F77" s="56">
        <v>45102</v>
      </c>
      <c r="G77" s="88">
        <v>16430</v>
      </c>
      <c r="H77" s="77">
        <f t="shared" si="5"/>
        <v>8.2105903834450711E-3</v>
      </c>
    </row>
    <row r="78" spans="2:17" x14ac:dyDescent="0.3">
      <c r="B78" s="56">
        <v>45095</v>
      </c>
      <c r="C78" s="88">
        <v>3297.7</v>
      </c>
      <c r="D78" s="77">
        <f t="shared" si="4"/>
        <v>1.9513600388149532E-2</v>
      </c>
      <c r="F78" s="56">
        <v>45095</v>
      </c>
      <c r="G78" s="88">
        <v>16011.8</v>
      </c>
      <c r="H78" s="77">
        <f t="shared" si="5"/>
        <v>2.6118237799622745E-2</v>
      </c>
    </row>
    <row r="79" spans="2:17" x14ac:dyDescent="0.3">
      <c r="B79" s="56">
        <v>45088</v>
      </c>
      <c r="C79" s="88">
        <v>3316.85</v>
      </c>
      <c r="D79" s="77">
        <f t="shared" si="4"/>
        <v>-5.7735502057675303E-3</v>
      </c>
      <c r="F79" s="56">
        <v>45088</v>
      </c>
      <c r="G79" s="88">
        <v>16181.45</v>
      </c>
      <c r="H79" s="77">
        <f t="shared" si="5"/>
        <v>-1.0484227309666361E-2</v>
      </c>
    </row>
    <row r="80" spans="2:17" x14ac:dyDescent="0.3">
      <c r="B80" s="56">
        <v>45081</v>
      </c>
      <c r="C80" s="88">
        <v>3180.55</v>
      </c>
      <c r="D80" s="77">
        <f t="shared" si="4"/>
        <v>4.2854223326154184E-2</v>
      </c>
      <c r="F80" s="56">
        <v>45081</v>
      </c>
      <c r="G80" s="88">
        <v>15877.4</v>
      </c>
      <c r="H80" s="77">
        <f t="shared" si="5"/>
        <v>1.914986080844483E-2</v>
      </c>
    </row>
    <row r="81" spans="2:8" x14ac:dyDescent="0.3">
      <c r="B81" s="56">
        <v>45074</v>
      </c>
      <c r="C81" s="88">
        <v>3237.25</v>
      </c>
      <c r="D81" s="77">
        <f t="shared" si="4"/>
        <v>-1.7514866012819486E-2</v>
      </c>
      <c r="F81" s="56">
        <v>45074</v>
      </c>
      <c r="G81" s="88">
        <v>15811.2</v>
      </c>
      <c r="H81" s="77">
        <f t="shared" si="5"/>
        <v>4.1869054847196718E-3</v>
      </c>
    </row>
    <row r="82" spans="2:8" x14ac:dyDescent="0.3">
      <c r="B82" s="56">
        <v>45067</v>
      </c>
      <c r="C82" s="88">
        <v>3128.4</v>
      </c>
      <c r="D82" s="77">
        <f t="shared" si="4"/>
        <v>3.4794143971359048E-2</v>
      </c>
      <c r="F82" s="56">
        <v>45067</v>
      </c>
      <c r="G82" s="88">
        <v>15696.75</v>
      </c>
      <c r="H82" s="77">
        <f t="shared" si="5"/>
        <v>7.2913182665201859E-3</v>
      </c>
    </row>
    <row r="83" spans="2:8" x14ac:dyDescent="0.3">
      <c r="B83" s="56">
        <v>45060</v>
      </c>
      <c r="C83" s="88">
        <v>3084.45</v>
      </c>
      <c r="D83" s="77">
        <f t="shared" si="4"/>
        <v>1.4248893643923566E-2</v>
      </c>
      <c r="F83" s="56">
        <v>45060</v>
      </c>
      <c r="G83" s="88">
        <v>15407.55</v>
      </c>
      <c r="H83" s="77">
        <f t="shared" si="5"/>
        <v>1.8770018594779891E-2</v>
      </c>
    </row>
    <row r="84" spans="2:8" x14ac:dyDescent="0.3">
      <c r="B84" s="56">
        <v>45053</v>
      </c>
      <c r="C84" s="88">
        <v>3131.1</v>
      </c>
      <c r="D84" s="77">
        <f t="shared" si="4"/>
        <v>-1.4898917313404314E-2</v>
      </c>
      <c r="F84" s="56">
        <v>45053</v>
      </c>
      <c r="G84" s="88">
        <v>15477.35</v>
      </c>
      <c r="H84" s="77">
        <f t="shared" si="5"/>
        <v>-4.509815956866059E-3</v>
      </c>
    </row>
    <row r="85" spans="2:8" x14ac:dyDescent="0.3">
      <c r="B85" s="56">
        <v>45046</v>
      </c>
      <c r="C85" s="88">
        <v>3012.95</v>
      </c>
      <c r="D85" s="77">
        <f t="shared" si="4"/>
        <v>3.921405931064248E-2</v>
      </c>
      <c r="F85" s="56">
        <v>45046</v>
      </c>
      <c r="G85" s="88">
        <v>15278.6</v>
      </c>
      <c r="H85" s="77">
        <f t="shared" si="5"/>
        <v>1.3008390821148463E-2</v>
      </c>
    </row>
    <row r="86" spans="2:8" x14ac:dyDescent="0.3">
      <c r="B86" s="56">
        <v>45039</v>
      </c>
      <c r="C86" s="88">
        <v>2902.35</v>
      </c>
      <c r="D86" s="77">
        <f t="shared" si="4"/>
        <v>3.8107051182662222E-2</v>
      </c>
      <c r="F86" s="56">
        <v>45039</v>
      </c>
      <c r="G86" s="88">
        <v>15219.55</v>
      </c>
      <c r="H86" s="77">
        <f t="shared" si="5"/>
        <v>3.8798781829949558E-3</v>
      </c>
    </row>
    <row r="87" spans="2:8" x14ac:dyDescent="0.3">
      <c r="B87" s="56">
        <v>45032</v>
      </c>
      <c r="C87" s="88">
        <v>2882.1</v>
      </c>
      <c r="D87" s="77">
        <f t="shared" si="4"/>
        <v>7.0261267825544316E-3</v>
      </c>
      <c r="F87" s="56">
        <v>45032</v>
      </c>
      <c r="G87" s="88">
        <v>14847.1</v>
      </c>
      <c r="H87" s="77">
        <f t="shared" si="5"/>
        <v>2.508570697307877E-2</v>
      </c>
    </row>
    <row r="88" spans="2:8" x14ac:dyDescent="0.3">
      <c r="B88" s="56">
        <v>45025</v>
      </c>
      <c r="C88" s="88">
        <v>2809.75</v>
      </c>
      <c r="D88" s="77">
        <f t="shared" si="4"/>
        <v>2.5749621852477977E-2</v>
      </c>
      <c r="F88" s="56">
        <v>45025</v>
      </c>
      <c r="G88" s="88">
        <v>14954.25</v>
      </c>
      <c r="H88" s="77">
        <f t="shared" si="5"/>
        <v>-7.1651871541534851E-3</v>
      </c>
    </row>
    <row r="89" spans="2:8" x14ac:dyDescent="0.3">
      <c r="B89" s="56">
        <v>45018</v>
      </c>
      <c r="C89" s="88">
        <v>2809.85</v>
      </c>
      <c r="D89" s="77">
        <f t="shared" si="4"/>
        <v>-3.5589088385523659E-5</v>
      </c>
      <c r="F89" s="56">
        <v>45018</v>
      </c>
      <c r="G89" s="88">
        <v>14759.2</v>
      </c>
      <c r="H89" s="77">
        <f t="shared" si="5"/>
        <v>1.3215485934196858E-2</v>
      </c>
    </row>
    <row r="90" spans="2:8" x14ac:dyDescent="0.3">
      <c r="B90" s="56">
        <v>45011</v>
      </c>
      <c r="C90" s="88">
        <v>2761.65</v>
      </c>
      <c r="D90" s="77">
        <f t="shared" si="4"/>
        <v>1.7453334057538017E-2</v>
      </c>
      <c r="F90" s="56">
        <v>45011</v>
      </c>
      <c r="G90" s="88">
        <v>14557.85</v>
      </c>
      <c r="H90" s="77">
        <f t="shared" si="5"/>
        <v>1.3831025872639291E-2</v>
      </c>
    </row>
    <row r="91" spans="2:8" x14ac:dyDescent="0.3">
      <c r="B91" s="56">
        <v>45004</v>
      </c>
      <c r="C91" s="88">
        <v>2798.5</v>
      </c>
      <c r="D91" s="77">
        <f t="shared" si="4"/>
        <v>-1.3167768447382544E-2</v>
      </c>
      <c r="F91" s="56">
        <v>45004</v>
      </c>
      <c r="G91" s="88">
        <v>14279</v>
      </c>
      <c r="H91" s="77">
        <f t="shared" si="5"/>
        <v>1.9528678478885064E-2</v>
      </c>
    </row>
    <row r="92" spans="2:8" x14ac:dyDescent="0.3">
      <c r="B92" s="56">
        <v>44997</v>
      </c>
      <c r="C92" s="88">
        <v>2862.65</v>
      </c>
      <c r="D92" s="77">
        <f t="shared" si="4"/>
        <v>-2.2409306062564416E-2</v>
      </c>
      <c r="F92" s="56">
        <v>44997</v>
      </c>
      <c r="G92" s="88">
        <v>14420.85</v>
      </c>
      <c r="H92" s="77">
        <f t="shared" si="5"/>
        <v>-9.8364520815347189E-3</v>
      </c>
    </row>
    <row r="93" spans="2:8" x14ac:dyDescent="0.3">
      <c r="B93" s="56">
        <v>44990</v>
      </c>
      <c r="C93" s="88">
        <v>2830.2</v>
      </c>
      <c r="D93" s="77">
        <f t="shared" si="4"/>
        <v>1.1465620804183452E-2</v>
      </c>
      <c r="F93" s="56">
        <v>44990</v>
      </c>
      <c r="G93" s="88">
        <v>14679.85</v>
      </c>
      <c r="H93" s="77">
        <f t="shared" si="5"/>
        <v>-1.7643232049373792E-2</v>
      </c>
    </row>
    <row r="94" spans="2:8" x14ac:dyDescent="0.3">
      <c r="B94" s="56">
        <v>44983</v>
      </c>
      <c r="C94" s="88">
        <v>2828.85</v>
      </c>
      <c r="D94" s="77">
        <f t="shared" si="4"/>
        <v>4.772257277692038E-4</v>
      </c>
      <c r="F94" s="56">
        <v>44983</v>
      </c>
      <c r="G94" s="88">
        <v>14774.75</v>
      </c>
      <c r="H94" s="77">
        <f t="shared" si="5"/>
        <v>-6.423120526574011E-3</v>
      </c>
    </row>
    <row r="95" spans="2:8" x14ac:dyDescent="0.3">
      <c r="B95" s="56">
        <v>44976</v>
      </c>
      <c r="C95" s="88">
        <v>2738.5</v>
      </c>
      <c r="D95" s="77">
        <f t="shared" si="4"/>
        <v>3.2992514150082197E-2</v>
      </c>
      <c r="F95" s="56">
        <v>44976</v>
      </c>
      <c r="G95" s="88">
        <v>14630.45</v>
      </c>
      <c r="H95" s="77">
        <f t="shared" si="5"/>
        <v>9.8629912272008013E-3</v>
      </c>
    </row>
    <row r="96" spans="2:8" x14ac:dyDescent="0.3">
      <c r="B96" s="56">
        <v>44969</v>
      </c>
      <c r="C96" s="88">
        <v>2833.6</v>
      </c>
      <c r="D96" s="77">
        <f t="shared" si="4"/>
        <v>-3.3561547148503679E-2</v>
      </c>
      <c r="F96" s="56">
        <v>44969</v>
      </c>
      <c r="G96" s="88">
        <v>15003.95</v>
      </c>
      <c r="H96" s="77">
        <f t="shared" si="5"/>
        <v>-2.4893444726222125E-2</v>
      </c>
    </row>
    <row r="97" spans="2:8" x14ac:dyDescent="0.3">
      <c r="B97" s="56">
        <v>44962</v>
      </c>
      <c r="C97" s="88">
        <v>2804.6</v>
      </c>
      <c r="D97" s="77">
        <f t="shared" si="4"/>
        <v>1.0340155458888889E-2</v>
      </c>
      <c r="F97" s="56">
        <v>44962</v>
      </c>
      <c r="G97" s="88">
        <v>15015.85</v>
      </c>
      <c r="H97" s="77">
        <f t="shared" si="5"/>
        <v>-7.9249592930130675E-4</v>
      </c>
    </row>
    <row r="98" spans="2:8" x14ac:dyDescent="0.3">
      <c r="B98" s="56">
        <v>44955</v>
      </c>
      <c r="C98" s="88">
        <v>2760.4</v>
      </c>
      <c r="D98" s="77">
        <f t="shared" si="4"/>
        <v>1.6012172148963888E-2</v>
      </c>
      <c r="F98" s="56">
        <v>44955</v>
      </c>
      <c r="G98" s="88">
        <v>14962.35</v>
      </c>
      <c r="H98" s="77">
        <f t="shared" si="5"/>
        <v>3.5756415268992647E-3</v>
      </c>
    </row>
    <row r="99" spans="2:8" x14ac:dyDescent="0.3">
      <c r="B99" s="56">
        <v>44948</v>
      </c>
      <c r="C99" s="88">
        <v>2722.65</v>
      </c>
      <c r="D99" s="77">
        <f t="shared" si="4"/>
        <v>1.3865168126641292E-2</v>
      </c>
      <c r="F99" s="56">
        <v>44948</v>
      </c>
      <c r="G99" s="88">
        <v>14874.75</v>
      </c>
      <c r="H99" s="77">
        <f t="shared" si="5"/>
        <v>5.889174607976555E-3</v>
      </c>
    </row>
    <row r="100" spans="2:8" x14ac:dyDescent="0.3">
      <c r="B100" s="56">
        <v>44941</v>
      </c>
      <c r="C100" s="88">
        <v>2787.8</v>
      </c>
      <c r="D100" s="77">
        <f t="shared" si="4"/>
        <v>-2.3369682186670571E-2</v>
      </c>
      <c r="F100" s="56">
        <v>44941</v>
      </c>
      <c r="G100" s="88">
        <v>15347.9</v>
      </c>
      <c r="H100" s="77">
        <f t="shared" si="5"/>
        <v>-3.0828321789951652E-2</v>
      </c>
    </row>
    <row r="101" spans="2:8" x14ac:dyDescent="0.3">
      <c r="B101" s="56">
        <v>44934</v>
      </c>
      <c r="C101" s="88">
        <v>2909.15</v>
      </c>
      <c r="D101" s="77">
        <f t="shared" si="4"/>
        <v>-4.1713215200316234E-2</v>
      </c>
      <c r="F101" s="56">
        <v>44934</v>
      </c>
      <c r="G101" s="88">
        <v>15346.1</v>
      </c>
      <c r="H101" s="77">
        <f t="shared" si="5"/>
        <v>1.1729364463941572E-4</v>
      </c>
    </row>
    <row r="102" spans="2:8" x14ac:dyDescent="0.3">
      <c r="B102" s="56">
        <v>44927</v>
      </c>
      <c r="C102" s="88">
        <v>2978.4</v>
      </c>
      <c r="D102" s="77">
        <f t="shared" si="4"/>
        <v>-2.325073865162508E-2</v>
      </c>
      <c r="F102" s="56">
        <v>44927</v>
      </c>
      <c r="G102" s="88">
        <v>15272</v>
      </c>
      <c r="H102" s="77">
        <f t="shared" si="5"/>
        <v>4.8520167627030819E-3</v>
      </c>
    </row>
    <row r="103" spans="2:8" x14ac:dyDescent="0.3">
      <c r="B103" s="56">
        <v>44920</v>
      </c>
      <c r="C103" s="88">
        <v>3087.9</v>
      </c>
      <c r="D103" s="77">
        <f t="shared" si="4"/>
        <v>-3.546099290780147E-2</v>
      </c>
      <c r="F103" s="56">
        <v>44920</v>
      </c>
      <c r="G103" s="88">
        <v>15448.85</v>
      </c>
      <c r="H103" s="77">
        <f t="shared" si="5"/>
        <v>-1.1447454017612935E-2</v>
      </c>
    </row>
    <row r="104" spans="2:8" x14ac:dyDescent="0.3">
      <c r="B104" s="56">
        <v>44913</v>
      </c>
      <c r="C104" s="88">
        <v>3057.9</v>
      </c>
      <c r="D104" s="77">
        <f t="shared" si="4"/>
        <v>9.8106543706464322E-3</v>
      </c>
      <c r="F104" s="56">
        <v>44913</v>
      </c>
      <c r="G104" s="88">
        <v>15046</v>
      </c>
      <c r="H104" s="77">
        <f t="shared" si="5"/>
        <v>2.6774558022065742E-2</v>
      </c>
    </row>
    <row r="105" spans="2:8" x14ac:dyDescent="0.3">
      <c r="B105" s="56">
        <v>44906</v>
      </c>
      <c r="C105" s="88">
        <v>3055.9</v>
      </c>
      <c r="D105" s="77">
        <f t="shared" si="4"/>
        <v>6.544716777381332E-4</v>
      </c>
      <c r="F105" s="56">
        <v>44906</v>
      </c>
      <c r="G105" s="88">
        <v>15636.35</v>
      </c>
      <c r="H105" s="77">
        <f t="shared" si="5"/>
        <v>-3.7754974786315287E-2</v>
      </c>
    </row>
    <row r="106" spans="2:8" x14ac:dyDescent="0.3">
      <c r="B106" s="56">
        <v>44899</v>
      </c>
      <c r="C106" s="88">
        <v>3226.95</v>
      </c>
      <c r="D106" s="77">
        <f t="shared" si="4"/>
        <v>-5.3006709121616313E-2</v>
      </c>
      <c r="F106" s="56">
        <v>44899</v>
      </c>
      <c r="G106" s="88">
        <v>15812.75</v>
      </c>
      <c r="H106" s="77">
        <f t="shared" si="5"/>
        <v>-1.1155554852887661E-2</v>
      </c>
    </row>
    <row r="107" spans="2:8" x14ac:dyDescent="0.3">
      <c r="B107" s="56">
        <v>44892</v>
      </c>
      <c r="C107" s="88">
        <v>3143.45</v>
      </c>
      <c r="D107" s="77">
        <f t="shared" si="4"/>
        <v>2.6563171038190614E-2</v>
      </c>
      <c r="F107" s="56">
        <v>44892</v>
      </c>
      <c r="G107" s="88">
        <v>15963.5</v>
      </c>
      <c r="H107" s="77">
        <f t="shared" si="5"/>
        <v>-9.4434177968490962E-3</v>
      </c>
    </row>
    <row r="108" spans="2:8" x14ac:dyDescent="0.3">
      <c r="B108" s="56">
        <v>44885</v>
      </c>
      <c r="C108" s="88">
        <v>3108.15</v>
      </c>
      <c r="D108" s="77">
        <f t="shared" si="4"/>
        <v>1.1357238228528077E-2</v>
      </c>
      <c r="F108" s="56">
        <v>44885</v>
      </c>
      <c r="G108" s="88">
        <v>15727.25</v>
      </c>
      <c r="H108" s="77">
        <f t="shared" si="5"/>
        <v>1.5021698008234052E-2</v>
      </c>
    </row>
    <row r="109" spans="2:8" x14ac:dyDescent="0.3">
      <c r="B109" s="56">
        <v>44878</v>
      </c>
      <c r="C109" s="88">
        <v>3095.5</v>
      </c>
      <c r="D109" s="77">
        <f t="shared" si="4"/>
        <v>4.0865772896139241E-3</v>
      </c>
      <c r="F109" s="56">
        <v>44878</v>
      </c>
      <c r="G109" s="88">
        <v>15550.85</v>
      </c>
      <c r="H109" s="77">
        <f t="shared" si="5"/>
        <v>1.1343431387994762E-2</v>
      </c>
    </row>
    <row r="110" spans="2:8" x14ac:dyDescent="0.3">
      <c r="B110" s="56">
        <v>44871</v>
      </c>
      <c r="C110" s="89">
        <v>3055.4</v>
      </c>
      <c r="D110" s="77">
        <f t="shared" si="4"/>
        <v>1.3124304510047757E-2</v>
      </c>
      <c r="F110" s="56">
        <v>44871</v>
      </c>
      <c r="G110" s="89">
        <v>15649.1</v>
      </c>
      <c r="H110" s="77">
        <f t="shared" si="5"/>
        <v>-6.2783163249005014E-3</v>
      </c>
    </row>
    <row r="111" spans="2:8" x14ac:dyDescent="0.3">
      <c r="B111" s="56">
        <v>44864</v>
      </c>
      <c r="C111" s="89">
        <v>3181.35</v>
      </c>
      <c r="D111" s="77">
        <f t="shared" si="4"/>
        <v>-3.9590111116349913E-2</v>
      </c>
      <c r="F111" s="56">
        <v>44864</v>
      </c>
      <c r="G111" s="89">
        <v>15530.85</v>
      </c>
      <c r="H111" s="77">
        <f t="shared" si="5"/>
        <v>7.6138781843877457E-3</v>
      </c>
    </row>
    <row r="112" spans="2:8" x14ac:dyDescent="0.3">
      <c r="B112" s="56">
        <v>44857</v>
      </c>
      <c r="C112" s="89">
        <v>3053.4</v>
      </c>
      <c r="D112" s="77">
        <f t="shared" si="4"/>
        <v>4.1904106897229232E-2</v>
      </c>
      <c r="F112" s="56">
        <v>44857</v>
      </c>
      <c r="G112" s="89">
        <v>15241.6</v>
      </c>
      <c r="H112" s="77">
        <f t="shared" si="5"/>
        <v>1.8977666386731151E-2</v>
      </c>
    </row>
    <row r="113" spans="2:8" x14ac:dyDescent="0.3">
      <c r="B113" s="56">
        <v>44850</v>
      </c>
      <c r="C113" s="89">
        <v>3092.4</v>
      </c>
      <c r="D113" s="77">
        <f t="shared" si="4"/>
        <v>-1.2611563833915374E-2</v>
      </c>
      <c r="F113" s="56">
        <v>44850</v>
      </c>
      <c r="G113" s="89">
        <v>15081.1</v>
      </c>
      <c r="H113" s="77">
        <f t="shared" si="5"/>
        <v>1.0642459767523649E-2</v>
      </c>
    </row>
    <row r="114" spans="2:8" x14ac:dyDescent="0.3">
      <c r="B114" s="56">
        <v>44843</v>
      </c>
      <c r="C114" s="89">
        <v>3185.5</v>
      </c>
      <c r="D114" s="77">
        <f t="shared" si="4"/>
        <v>-2.9226181133260032E-2</v>
      </c>
      <c r="F114" s="56">
        <v>44843</v>
      </c>
      <c r="G114" s="89">
        <v>14815.1</v>
      </c>
      <c r="H114" s="77">
        <f t="shared" si="5"/>
        <v>1.7954654372903223E-2</v>
      </c>
    </row>
    <row r="115" spans="2:8" x14ac:dyDescent="0.3">
      <c r="B115" s="56">
        <v>44836</v>
      </c>
      <c r="C115" s="89">
        <v>3343.7</v>
      </c>
      <c r="D115" s="77">
        <f t="shared" si="4"/>
        <v>-4.731285701468424E-2</v>
      </c>
      <c r="F115" s="56">
        <v>44836</v>
      </c>
      <c r="G115" s="89">
        <v>15036.7</v>
      </c>
      <c r="H115" s="77">
        <f t="shared" si="5"/>
        <v>-1.4737276131066013E-2</v>
      </c>
    </row>
    <row r="116" spans="2:8" x14ac:dyDescent="0.3">
      <c r="B116" s="56">
        <v>44829</v>
      </c>
      <c r="C116" s="89">
        <v>3342.45</v>
      </c>
      <c r="D116" s="77">
        <f t="shared" si="4"/>
        <v>3.739771724333707E-4</v>
      </c>
      <c r="F116" s="56">
        <v>44829</v>
      </c>
      <c r="G116" s="89">
        <v>14829.35</v>
      </c>
      <c r="H116" s="77">
        <f t="shared" si="5"/>
        <v>1.3982406511411583E-2</v>
      </c>
    </row>
    <row r="117" spans="2:8" x14ac:dyDescent="0.3">
      <c r="B117" s="56">
        <v>44822</v>
      </c>
      <c r="C117" s="89">
        <v>3395.25</v>
      </c>
      <c r="D117" s="77">
        <f t="shared" si="4"/>
        <v>-1.5551137618732058E-2</v>
      </c>
      <c r="F117" s="56">
        <v>44822</v>
      </c>
      <c r="G117" s="89">
        <v>15057.65</v>
      </c>
      <c r="H117" s="77">
        <f t="shared" si="5"/>
        <v>-1.5161728423757959E-2</v>
      </c>
    </row>
    <row r="118" spans="2:8" x14ac:dyDescent="0.3">
      <c r="B118" s="56">
        <v>44815</v>
      </c>
      <c r="C118" s="89">
        <v>3322.55</v>
      </c>
      <c r="D118" s="77">
        <f t="shared" si="4"/>
        <v>2.1880784337331205E-2</v>
      </c>
      <c r="F118" s="56">
        <v>44815</v>
      </c>
      <c r="G118" s="89">
        <v>15243.95</v>
      </c>
      <c r="H118" s="77">
        <f t="shared" si="5"/>
        <v>-1.2221241869725397E-2</v>
      </c>
    </row>
    <row r="119" spans="2:8" x14ac:dyDescent="0.3">
      <c r="B119" s="56">
        <v>44808</v>
      </c>
      <c r="C119" s="89">
        <v>3441.85</v>
      </c>
      <c r="D119" s="77">
        <f t="shared" si="4"/>
        <v>-3.4661591876461673E-2</v>
      </c>
      <c r="F119" s="56">
        <v>44808</v>
      </c>
      <c r="G119" s="89">
        <v>15467.4</v>
      </c>
      <c r="H119" s="77">
        <f t="shared" si="5"/>
        <v>-1.4446513311868747E-2</v>
      </c>
    </row>
    <row r="120" spans="2:8" x14ac:dyDescent="0.3">
      <c r="B120" s="56">
        <v>44801</v>
      </c>
      <c r="C120" s="89">
        <v>3431.05</v>
      </c>
      <c r="D120" s="77">
        <f t="shared" si="4"/>
        <v>3.1477244575275343E-3</v>
      </c>
      <c r="F120" s="56">
        <v>44801</v>
      </c>
      <c r="G120" s="89">
        <v>15201.6</v>
      </c>
      <c r="H120" s="77">
        <f t="shared" si="5"/>
        <v>1.7485001578781079E-2</v>
      </c>
    </row>
    <row r="121" spans="2:8" x14ac:dyDescent="0.3">
      <c r="B121" s="56">
        <v>44794</v>
      </c>
      <c r="C121" s="89">
        <v>3323.55</v>
      </c>
      <c r="D121" s="77">
        <f t="shared" si="4"/>
        <v>3.2344932376525026E-2</v>
      </c>
      <c r="F121" s="56">
        <v>44794</v>
      </c>
      <c r="G121" s="89">
        <v>15147.55</v>
      </c>
      <c r="H121" s="77">
        <f t="shared" si="5"/>
        <v>3.5682338067872799E-3</v>
      </c>
    </row>
    <row r="122" spans="2:8" x14ac:dyDescent="0.3">
      <c r="B122" s="56">
        <v>44787</v>
      </c>
      <c r="C122" s="89">
        <v>3482.55</v>
      </c>
      <c r="D122" s="77">
        <f t="shared" si="4"/>
        <v>-4.5656200198130659E-2</v>
      </c>
      <c r="F122" s="56">
        <v>44787</v>
      </c>
      <c r="G122" s="89">
        <v>15236.65</v>
      </c>
      <c r="H122" s="77">
        <f t="shared" si="5"/>
        <v>-5.8477421217918435E-3</v>
      </c>
    </row>
    <row r="123" spans="2:8" x14ac:dyDescent="0.3">
      <c r="B123" s="56">
        <v>44780</v>
      </c>
      <c r="C123" s="89">
        <v>3427.85</v>
      </c>
      <c r="D123" s="77">
        <f t="shared" si="4"/>
        <v>1.5957524395758371E-2</v>
      </c>
      <c r="F123" s="56">
        <v>44780</v>
      </c>
      <c r="G123" s="89">
        <v>15140.55</v>
      </c>
      <c r="H123" s="77">
        <f t="shared" si="5"/>
        <v>6.3471934639098837E-3</v>
      </c>
    </row>
    <row r="124" spans="2:8" x14ac:dyDescent="0.3">
      <c r="B124" s="56">
        <v>44773</v>
      </c>
      <c r="C124" s="89">
        <v>3473.9</v>
      </c>
      <c r="D124" s="77">
        <f t="shared" si="4"/>
        <v>-1.3255994703359364E-2</v>
      </c>
      <c r="F124" s="56">
        <v>44773</v>
      </c>
      <c r="G124" s="89">
        <v>14900.4</v>
      </c>
      <c r="H124" s="77">
        <f t="shared" si="5"/>
        <v>1.6117016992832411E-2</v>
      </c>
    </row>
    <row r="125" spans="2:8" x14ac:dyDescent="0.3">
      <c r="B125" s="56">
        <v>44766</v>
      </c>
      <c r="C125" s="89">
        <v>3333.75</v>
      </c>
      <c r="D125" s="77">
        <f t="shared" si="4"/>
        <v>4.2039745031871023E-2</v>
      </c>
      <c r="F125" s="56">
        <v>44766</v>
      </c>
      <c r="G125" s="89">
        <v>14665.65</v>
      </c>
      <c r="H125" s="77">
        <f t="shared" si="5"/>
        <v>1.6006791379856944E-2</v>
      </c>
    </row>
    <row r="126" spans="2:8" x14ac:dyDescent="0.3">
      <c r="B126" s="56">
        <v>44759</v>
      </c>
      <c r="C126" s="89">
        <v>3067.4</v>
      </c>
      <c r="D126" s="77">
        <f t="shared" si="4"/>
        <v>8.6832496576905394E-2</v>
      </c>
      <c r="F126" s="56">
        <v>44759</v>
      </c>
      <c r="G126" s="89">
        <v>14336.6</v>
      </c>
      <c r="H126" s="77">
        <f t="shared" si="5"/>
        <v>2.2951745881171215E-2</v>
      </c>
    </row>
    <row r="127" spans="2:8" x14ac:dyDescent="0.3">
      <c r="B127" s="56">
        <v>44752</v>
      </c>
      <c r="C127" s="89">
        <v>2978.15</v>
      </c>
      <c r="D127" s="77">
        <f t="shared" si="4"/>
        <v>2.996826889176174E-2</v>
      </c>
      <c r="F127" s="56">
        <v>44752</v>
      </c>
      <c r="G127" s="89">
        <v>13790.2</v>
      </c>
      <c r="H127" s="77">
        <f t="shared" si="5"/>
        <v>3.9622340502675879E-2</v>
      </c>
    </row>
    <row r="128" spans="2:8" x14ac:dyDescent="0.3">
      <c r="B128" s="56">
        <v>44745</v>
      </c>
      <c r="C128" s="89">
        <v>2879.8</v>
      </c>
      <c r="D128" s="77">
        <f t="shared" si="4"/>
        <v>3.4151677199805608E-2</v>
      </c>
      <c r="F128" s="56">
        <v>44745</v>
      </c>
      <c r="G128" s="89">
        <v>13828.25</v>
      </c>
      <c r="H128" s="77">
        <f t="shared" si="5"/>
        <v>-2.7516135447362977E-3</v>
      </c>
    </row>
    <row r="129" spans="2:8" x14ac:dyDescent="0.3">
      <c r="B129" s="56">
        <v>44738</v>
      </c>
      <c r="C129" s="89">
        <v>2773.15</v>
      </c>
      <c r="D129" s="77">
        <f t="shared" si="4"/>
        <v>3.8458071146530104E-2</v>
      </c>
      <c r="F129" s="56">
        <v>44738</v>
      </c>
      <c r="G129" s="89">
        <v>13394.45</v>
      </c>
      <c r="H129" s="77">
        <f t="shared" si="5"/>
        <v>3.2386548159872186E-2</v>
      </c>
    </row>
    <row r="130" spans="2:8" x14ac:dyDescent="0.3">
      <c r="B130" s="56">
        <v>44731</v>
      </c>
      <c r="C130" s="89">
        <v>2760.9</v>
      </c>
      <c r="D130" s="77">
        <f t="shared" si="4"/>
        <v>4.436958962657167E-3</v>
      </c>
      <c r="F130" s="56">
        <v>44731</v>
      </c>
      <c r="G130" s="89">
        <v>13322.5</v>
      </c>
      <c r="H130" s="77">
        <f t="shared" si="5"/>
        <v>5.4006380183899694E-3</v>
      </c>
    </row>
    <row r="131" spans="2:8" x14ac:dyDescent="0.3">
      <c r="B131" s="56">
        <v>44724</v>
      </c>
      <c r="C131" s="89">
        <v>2580.1999999999998</v>
      </c>
      <c r="D131" s="77">
        <f t="shared" si="4"/>
        <v>7.0033330749554423E-2</v>
      </c>
      <c r="F131" s="56">
        <v>44724</v>
      </c>
      <c r="G131" s="89">
        <v>12994.75</v>
      </c>
      <c r="H131" s="77">
        <f t="shared" si="5"/>
        <v>2.522172415783297E-2</v>
      </c>
    </row>
    <row r="132" spans="2:8" x14ac:dyDescent="0.3">
      <c r="B132" s="56">
        <v>44717</v>
      </c>
      <c r="C132" s="89">
        <v>2708.75</v>
      </c>
      <c r="D132" s="77">
        <f t="shared" si="4"/>
        <v>-4.7457314259344741E-2</v>
      </c>
      <c r="F132" s="56">
        <v>44717</v>
      </c>
      <c r="G132" s="89">
        <v>13781.75</v>
      </c>
      <c r="H132" s="77">
        <f t="shared" si="5"/>
        <v>-5.7104504144974366E-2</v>
      </c>
    </row>
    <row r="133" spans="2:8" x14ac:dyDescent="0.3">
      <c r="B133" s="56">
        <v>44710</v>
      </c>
      <c r="C133" s="89">
        <v>2886.9</v>
      </c>
      <c r="D133" s="77">
        <f t="shared" si="4"/>
        <v>-6.1709792510997952E-2</v>
      </c>
      <c r="F133" s="56">
        <v>44710</v>
      </c>
      <c r="G133" s="89">
        <v>14077.9</v>
      </c>
      <c r="H133" s="77">
        <f t="shared" si="5"/>
        <v>-2.1036518230701962E-2</v>
      </c>
    </row>
    <row r="134" spans="2:8" x14ac:dyDescent="0.3">
      <c r="B134" s="56">
        <v>44703</v>
      </c>
      <c r="C134" s="89">
        <v>2834.85</v>
      </c>
      <c r="D134" s="77">
        <f t="shared" ref="D134:D160" si="6">C133/C134-1</f>
        <v>1.8360759828562445E-2</v>
      </c>
      <c r="F134" s="56">
        <v>44703</v>
      </c>
      <c r="G134" s="89">
        <v>13873.15</v>
      </c>
      <c r="H134" s="77">
        <f t="shared" ref="H134:H160" si="7">G133/G134-1</f>
        <v>1.4758724586701577E-2</v>
      </c>
    </row>
    <row r="135" spans="2:8" x14ac:dyDescent="0.3">
      <c r="B135" s="56">
        <v>44696</v>
      </c>
      <c r="C135" s="89">
        <v>3109.95</v>
      </c>
      <c r="D135" s="77">
        <f t="shared" si="6"/>
        <v>-8.8458013794433965E-2</v>
      </c>
      <c r="F135" s="56">
        <v>44696</v>
      </c>
      <c r="G135" s="89">
        <v>13895.05</v>
      </c>
      <c r="H135" s="77">
        <f t="shared" si="7"/>
        <v>-1.5761008416665945E-3</v>
      </c>
    </row>
    <row r="136" spans="2:8" x14ac:dyDescent="0.3">
      <c r="B136" s="56">
        <v>44689</v>
      </c>
      <c r="C136" s="89">
        <v>3064</v>
      </c>
      <c r="D136" s="77">
        <f t="shared" si="6"/>
        <v>1.4996736292428148E-2</v>
      </c>
      <c r="F136" s="56">
        <v>44689</v>
      </c>
      <c r="G136" s="89">
        <v>13471.5</v>
      </c>
      <c r="H136" s="77">
        <f t="shared" si="7"/>
        <v>3.1440448353932338E-2</v>
      </c>
    </row>
    <row r="137" spans="2:8" x14ac:dyDescent="0.3">
      <c r="B137" s="56">
        <v>44682</v>
      </c>
      <c r="C137" s="89">
        <v>3016.25</v>
      </c>
      <c r="D137" s="77">
        <f t="shared" si="6"/>
        <v>1.5830915872357965E-2</v>
      </c>
      <c r="F137" s="56">
        <v>44682</v>
      </c>
      <c r="G137" s="89">
        <v>14145.75</v>
      </c>
      <c r="H137" s="77">
        <f t="shared" si="7"/>
        <v>-4.7664492868882857E-2</v>
      </c>
    </row>
    <row r="138" spans="2:8" x14ac:dyDescent="0.3">
      <c r="B138" s="56">
        <v>44675</v>
      </c>
      <c r="C138" s="89">
        <v>3237.2</v>
      </c>
      <c r="D138" s="77">
        <f t="shared" si="6"/>
        <v>-6.8253428889163414E-2</v>
      </c>
      <c r="F138" s="56">
        <v>44675</v>
      </c>
      <c r="G138" s="89">
        <v>14783.35</v>
      </c>
      <c r="H138" s="77">
        <f t="shared" si="7"/>
        <v>-4.3129601883199697E-2</v>
      </c>
    </row>
    <row r="139" spans="2:8" x14ac:dyDescent="0.3">
      <c r="B139" s="56">
        <v>44668</v>
      </c>
      <c r="C139" s="89">
        <v>3164.4</v>
      </c>
      <c r="D139" s="77">
        <f t="shared" si="6"/>
        <v>2.3005941094678128E-2</v>
      </c>
      <c r="F139" s="56">
        <v>44668</v>
      </c>
      <c r="G139" s="89">
        <v>14894.85</v>
      </c>
      <c r="H139" s="77">
        <f t="shared" si="7"/>
        <v>-7.4858088533956701E-3</v>
      </c>
    </row>
    <row r="140" spans="2:8" x14ac:dyDescent="0.3">
      <c r="B140" s="56">
        <v>44661</v>
      </c>
      <c r="C140" s="89">
        <v>3080.65</v>
      </c>
      <c r="D140" s="77">
        <f t="shared" si="6"/>
        <v>2.7185821174102953E-2</v>
      </c>
      <c r="F140" s="56">
        <v>44661</v>
      </c>
      <c r="G140" s="89">
        <v>15138.55</v>
      </c>
      <c r="H140" s="77">
        <f t="shared" si="7"/>
        <v>-1.6097975037239309E-2</v>
      </c>
    </row>
    <row r="141" spans="2:8" x14ac:dyDescent="0.3">
      <c r="B141" s="56">
        <v>44654</v>
      </c>
      <c r="C141" s="89">
        <v>3206.25</v>
      </c>
      <c r="D141" s="77">
        <f t="shared" si="6"/>
        <v>-3.9173489278752416E-2</v>
      </c>
      <c r="F141" s="56">
        <v>44654</v>
      </c>
      <c r="G141" s="89">
        <v>15342.4</v>
      </c>
      <c r="H141" s="77">
        <f t="shared" si="7"/>
        <v>-1.3286708728751706E-2</v>
      </c>
    </row>
    <row r="142" spans="2:8" x14ac:dyDescent="0.3">
      <c r="B142" s="56">
        <v>44647</v>
      </c>
      <c r="C142" s="89">
        <v>3114.15</v>
      </c>
      <c r="D142" s="77">
        <f t="shared" si="6"/>
        <v>2.9574683300419125E-2</v>
      </c>
      <c r="F142" s="56">
        <v>44647</v>
      </c>
      <c r="G142" s="89">
        <v>15087.3</v>
      </c>
      <c r="H142" s="77">
        <f t="shared" si="7"/>
        <v>1.6908260590032809E-2</v>
      </c>
    </row>
    <row r="143" spans="2:8" x14ac:dyDescent="0.3">
      <c r="B143" s="56">
        <v>44640</v>
      </c>
      <c r="C143" s="89">
        <v>3046.95</v>
      </c>
      <c r="D143" s="77">
        <f t="shared" si="6"/>
        <v>2.2054841726973029E-2</v>
      </c>
      <c r="F143" s="56">
        <v>44640</v>
      </c>
      <c r="G143" s="89">
        <v>14651.7</v>
      </c>
      <c r="H143" s="77">
        <f t="shared" si="7"/>
        <v>2.9730338459018402E-2</v>
      </c>
    </row>
    <row r="144" spans="2:8" x14ac:dyDescent="0.3">
      <c r="B144" s="56">
        <v>44633</v>
      </c>
      <c r="C144" s="89">
        <v>3136.6</v>
      </c>
      <c r="D144" s="77">
        <f t="shared" si="6"/>
        <v>-2.8581903972454303E-2</v>
      </c>
      <c r="F144" s="56">
        <v>44633</v>
      </c>
      <c r="G144" s="89">
        <v>14721.7</v>
      </c>
      <c r="H144" s="77">
        <f t="shared" si="7"/>
        <v>-4.7548856450002619E-3</v>
      </c>
    </row>
    <row r="145" spans="2:16" x14ac:dyDescent="0.3">
      <c r="B145" s="56">
        <v>44626</v>
      </c>
      <c r="C145" s="89">
        <v>2932</v>
      </c>
      <c r="D145" s="77">
        <f t="shared" si="6"/>
        <v>6.9781718963165096E-2</v>
      </c>
      <c r="F145" s="56">
        <v>44626</v>
      </c>
      <c r="G145" s="89">
        <v>14237.15</v>
      </c>
      <c r="H145" s="77">
        <f t="shared" si="7"/>
        <v>3.4034199260385867E-2</v>
      </c>
    </row>
    <row r="146" spans="2:16" x14ac:dyDescent="0.3">
      <c r="B146" s="56">
        <v>44619</v>
      </c>
      <c r="C146" s="89">
        <v>2738.15</v>
      </c>
      <c r="D146" s="77">
        <f t="shared" si="6"/>
        <v>7.0795975384840171E-2</v>
      </c>
      <c r="F146" s="56">
        <v>44619</v>
      </c>
      <c r="G146" s="89">
        <v>13893.15</v>
      </c>
      <c r="H146" s="77">
        <f t="shared" si="7"/>
        <v>2.4760403508203632E-2</v>
      </c>
    </row>
    <row r="147" spans="2:16" x14ac:dyDescent="0.3">
      <c r="B147" s="56">
        <v>44612</v>
      </c>
      <c r="C147" s="89">
        <v>3119.2</v>
      </c>
      <c r="D147" s="77">
        <f t="shared" si="6"/>
        <v>-0.12216273403436773</v>
      </c>
      <c r="F147" s="56">
        <v>44612</v>
      </c>
      <c r="G147" s="89">
        <v>14187.4</v>
      </c>
      <c r="H147" s="77">
        <f t="shared" si="7"/>
        <v>-2.074023429240035E-2</v>
      </c>
    </row>
    <row r="148" spans="2:16" x14ac:dyDescent="0.3">
      <c r="B148" s="56">
        <v>44605</v>
      </c>
      <c r="C148" s="89">
        <v>3258.45</v>
      </c>
      <c r="D148" s="77">
        <f t="shared" si="6"/>
        <v>-4.2735042735042694E-2</v>
      </c>
      <c r="F148" s="56">
        <v>44605</v>
      </c>
      <c r="G148" s="89">
        <v>14710.7</v>
      </c>
      <c r="H148" s="77">
        <f t="shared" si="7"/>
        <v>-3.5572746368289776E-2</v>
      </c>
    </row>
    <row r="149" spans="2:16" x14ac:dyDescent="0.3">
      <c r="B149" s="56">
        <v>44598</v>
      </c>
      <c r="C149" s="89">
        <v>3216.3</v>
      </c>
      <c r="D149" s="77">
        <f t="shared" si="6"/>
        <v>1.3105120790970926E-2</v>
      </c>
      <c r="F149" s="56">
        <v>44598</v>
      </c>
      <c r="G149" s="89">
        <v>14891.3</v>
      </c>
      <c r="H149" s="77">
        <f t="shared" si="7"/>
        <v>-1.2127886752667516E-2</v>
      </c>
    </row>
    <row r="150" spans="2:16" x14ac:dyDescent="0.3">
      <c r="B150" s="56">
        <v>44591</v>
      </c>
      <c r="C150" s="89">
        <v>3236.65</v>
      </c>
      <c r="D150" s="77">
        <f t="shared" si="6"/>
        <v>-6.2873650224769539E-3</v>
      </c>
      <c r="F150" s="56">
        <v>44591</v>
      </c>
      <c r="G150" s="89">
        <v>15085.45</v>
      </c>
      <c r="H150" s="77">
        <f t="shared" si="7"/>
        <v>-1.2870017135717005E-2</v>
      </c>
    </row>
    <row r="151" spans="2:16" x14ac:dyDescent="0.3">
      <c r="B151" s="56">
        <v>44584</v>
      </c>
      <c r="C151" s="89">
        <v>3110.85</v>
      </c>
      <c r="D151" s="77">
        <f t="shared" si="6"/>
        <v>4.043910828230235E-2</v>
      </c>
      <c r="F151" s="56">
        <v>44584</v>
      </c>
      <c r="G151" s="89">
        <v>14723.25</v>
      </c>
      <c r="H151" s="77">
        <f t="shared" si="7"/>
        <v>2.4600546754283137E-2</v>
      </c>
    </row>
    <row r="152" spans="2:16" x14ac:dyDescent="0.3">
      <c r="B152" s="56">
        <v>44577</v>
      </c>
      <c r="C152" s="89">
        <v>3274.85</v>
      </c>
      <c r="D152" s="77">
        <f t="shared" si="6"/>
        <v>-5.0078629555552201E-2</v>
      </c>
      <c r="F152" s="56">
        <v>44577</v>
      </c>
      <c r="G152" s="89">
        <v>15180.8</v>
      </c>
      <c r="H152" s="77">
        <f t="shared" si="7"/>
        <v>-3.0140045320404707E-2</v>
      </c>
    </row>
    <row r="153" spans="2:16" x14ac:dyDescent="0.3">
      <c r="B153" s="56">
        <v>44570</v>
      </c>
      <c r="C153" s="89">
        <v>3364.4</v>
      </c>
      <c r="D153" s="77">
        <f t="shared" si="6"/>
        <v>-2.6616930210438761E-2</v>
      </c>
      <c r="F153" s="56">
        <v>44570</v>
      </c>
      <c r="G153" s="89">
        <v>15730.4</v>
      </c>
      <c r="H153" s="77">
        <f t="shared" si="7"/>
        <v>-3.4938717387987595E-2</v>
      </c>
    </row>
    <row r="154" spans="2:16" x14ac:dyDescent="0.3">
      <c r="B154" s="56">
        <v>44563</v>
      </c>
      <c r="C154" s="89">
        <v>3576.3</v>
      </c>
      <c r="D154" s="77">
        <f t="shared" si="6"/>
        <v>-5.9251181388585983E-2</v>
      </c>
      <c r="F154" s="56">
        <v>44563</v>
      </c>
      <c r="G154" s="89">
        <v>15348.55</v>
      </c>
      <c r="H154" s="77">
        <f t="shared" si="7"/>
        <v>2.4878571591453236E-2</v>
      </c>
      <c r="P154" s="115"/>
    </row>
    <row r="155" spans="2:16" x14ac:dyDescent="0.3">
      <c r="B155" s="56">
        <v>44556</v>
      </c>
      <c r="C155" s="89">
        <v>3382.95</v>
      </c>
      <c r="D155" s="77">
        <f t="shared" si="6"/>
        <v>5.7154258856914941E-2</v>
      </c>
      <c r="F155" s="56">
        <v>44556</v>
      </c>
      <c r="G155" s="89">
        <v>14996.2</v>
      </c>
      <c r="H155" s="77">
        <f t="shared" si="7"/>
        <v>2.34959523079179E-2</v>
      </c>
      <c r="P155" s="116"/>
    </row>
    <row r="156" spans="2:16" x14ac:dyDescent="0.3">
      <c r="B156" s="56">
        <v>44549</v>
      </c>
      <c r="C156" s="89">
        <v>3284.8</v>
      </c>
      <c r="D156" s="77">
        <f t="shared" si="6"/>
        <v>2.9880053580126464E-2</v>
      </c>
      <c r="F156" s="56">
        <v>44549</v>
      </c>
      <c r="G156" s="89">
        <v>14664.8</v>
      </c>
      <c r="H156" s="77">
        <f t="shared" si="7"/>
        <v>2.2598330696634195E-2</v>
      </c>
      <c r="P156" s="117"/>
    </row>
    <row r="157" spans="2:16" x14ac:dyDescent="0.3">
      <c r="B157" s="56">
        <v>44542</v>
      </c>
      <c r="C157" s="89">
        <v>3243.7</v>
      </c>
      <c r="D157" s="77">
        <f t="shared" si="6"/>
        <v>1.2670715540894717E-2</v>
      </c>
      <c r="F157" s="56">
        <v>44542</v>
      </c>
      <c r="G157" s="89">
        <v>14673.15</v>
      </c>
      <c r="H157" s="77">
        <f t="shared" si="7"/>
        <v>-5.690666285017576E-4</v>
      </c>
      <c r="P157" s="116"/>
    </row>
    <row r="158" spans="2:16" x14ac:dyDescent="0.3">
      <c r="B158" s="56">
        <v>44535</v>
      </c>
      <c r="C158" s="89">
        <v>3283.15</v>
      </c>
      <c r="D158" s="77">
        <f t="shared" si="6"/>
        <v>-1.2015899364939187E-2</v>
      </c>
      <c r="F158" s="56">
        <v>44535</v>
      </c>
      <c r="G158" s="89">
        <v>15155</v>
      </c>
      <c r="H158" s="77">
        <f t="shared" si="7"/>
        <v>-3.1794787198944241E-2</v>
      </c>
      <c r="P158" s="117"/>
    </row>
    <row r="159" spans="2:16" x14ac:dyDescent="0.3">
      <c r="B159" s="56">
        <v>44528</v>
      </c>
      <c r="C159" s="89">
        <v>3110.45</v>
      </c>
      <c r="D159" s="77">
        <f t="shared" si="6"/>
        <v>5.5522512819688563E-2</v>
      </c>
      <c r="F159" s="56">
        <v>44528</v>
      </c>
      <c r="G159" s="89">
        <v>14856.3</v>
      </c>
      <c r="H159" s="77">
        <f t="shared" si="7"/>
        <v>2.0105948318221989E-2</v>
      </c>
      <c r="P159" s="116"/>
    </row>
    <row r="160" spans="2:16" ht="16.2" thickBot="1" x14ac:dyDescent="0.35">
      <c r="B160" s="72">
        <v>44521</v>
      </c>
      <c r="C160" s="90">
        <v>3143.1</v>
      </c>
      <c r="D160" s="78">
        <f t="shared" si="6"/>
        <v>-1.0387833667398483E-2</v>
      </c>
      <c r="F160" s="72">
        <v>44521</v>
      </c>
      <c r="G160" s="89">
        <v>14707.2</v>
      </c>
      <c r="H160" s="78">
        <f t="shared" si="7"/>
        <v>1.0137891644908414E-2</v>
      </c>
      <c r="P160" s="117"/>
    </row>
    <row r="161" spans="3:16" x14ac:dyDescent="0.3">
      <c r="C161" s="73"/>
      <c r="P161" s="118"/>
    </row>
  </sheetData>
  <mergeCells count="21">
    <mergeCell ref="L13:N13"/>
    <mergeCell ref="L14:N14"/>
    <mergeCell ref="L15:N15"/>
    <mergeCell ref="L16:N16"/>
    <mergeCell ref="L18:N18"/>
    <mergeCell ref="O18:Q18"/>
    <mergeCell ref="R45:S45"/>
    <mergeCell ref="L4:M4"/>
    <mergeCell ref="L24:N24"/>
    <mergeCell ref="L26:M26"/>
    <mergeCell ref="L27:M27"/>
    <mergeCell ref="L28:M28"/>
    <mergeCell ref="L29:M29"/>
    <mergeCell ref="L31:M31"/>
    <mergeCell ref="L19:N19"/>
    <mergeCell ref="L20:N20"/>
    <mergeCell ref="L21:N21"/>
    <mergeCell ref="L22:N22"/>
    <mergeCell ref="L23:N23"/>
    <mergeCell ref="O23:Q23"/>
    <mergeCell ref="L12:N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6103-BAC2-46FB-8F63-49A0DF4CD604}">
  <sheetPr>
    <tabColor rgb="FFFF0000"/>
  </sheetPr>
  <dimension ref="B2:S161"/>
  <sheetViews>
    <sheetView showGridLines="0" zoomScale="86" zoomScaleNormal="86" workbookViewId="0">
      <selection activeCell="N75" sqref="N75"/>
    </sheetView>
  </sheetViews>
  <sheetFormatPr defaultRowHeight="15.6" x14ac:dyDescent="0.3"/>
  <cols>
    <col min="1" max="1" width="1.88671875" style="55" customWidth="1"/>
    <col min="2" max="2" width="11.6640625" style="55" customWidth="1"/>
    <col min="3" max="3" width="15.33203125" style="55" customWidth="1"/>
    <col min="4" max="4" width="8.88671875" style="55"/>
    <col min="5" max="5" width="5.33203125" style="55" customWidth="1"/>
    <col min="6" max="6" width="11.77734375" style="55" bestFit="1" customWidth="1"/>
    <col min="7" max="7" width="17.77734375" style="55" customWidth="1"/>
    <col min="8" max="8" width="8.88671875" style="55"/>
    <col min="9" max="9" width="3.5546875" style="55" customWidth="1"/>
    <col min="10" max="10" width="3.77734375" style="55" customWidth="1"/>
    <col min="11" max="11" width="4.33203125" style="55" customWidth="1"/>
    <col min="12" max="12" width="32.33203125" style="55" bestFit="1" customWidth="1"/>
    <col min="13" max="13" width="21.44140625" style="55" bestFit="1" customWidth="1"/>
    <col min="14" max="14" width="37" style="55" customWidth="1"/>
    <col min="15" max="15" width="17" style="55" customWidth="1"/>
    <col min="16" max="16" width="16.6640625" style="55" customWidth="1"/>
    <col min="17" max="17" width="18.33203125" style="55" customWidth="1"/>
    <col min="18" max="18" width="17.6640625" style="55" customWidth="1"/>
    <col min="19" max="19" width="21.44140625" style="55" bestFit="1" customWidth="1"/>
    <col min="20" max="16384" width="8.88671875" style="55"/>
  </cols>
  <sheetData>
    <row r="2" spans="2:15" ht="16.2" thickBot="1" x14ac:dyDescent="0.35">
      <c r="M2" s="150"/>
    </row>
    <row r="3" spans="2:15" ht="31.8" thickBot="1" x14ac:dyDescent="0.35">
      <c r="B3" s="79" t="s">
        <v>0</v>
      </c>
      <c r="C3" s="80" t="s">
        <v>73</v>
      </c>
      <c r="D3" s="79" t="s">
        <v>48</v>
      </c>
      <c r="F3" s="81" t="s">
        <v>0</v>
      </c>
      <c r="G3" s="82" t="s">
        <v>52</v>
      </c>
      <c r="H3" s="83" t="s">
        <v>48</v>
      </c>
    </row>
    <row r="4" spans="2:15" ht="16.2" thickBot="1" x14ac:dyDescent="0.35">
      <c r="B4" s="56">
        <v>45613</v>
      </c>
      <c r="C4" s="86">
        <v>267.25</v>
      </c>
      <c r="D4" s="77"/>
      <c r="F4" s="56">
        <v>45613</v>
      </c>
      <c r="G4" s="87">
        <v>22004.35</v>
      </c>
      <c r="H4" s="57"/>
      <c r="L4" s="156" t="s">
        <v>50</v>
      </c>
      <c r="M4" s="158"/>
    </row>
    <row r="5" spans="2:15" x14ac:dyDescent="0.3">
      <c r="B5" s="56">
        <v>45606</v>
      </c>
      <c r="C5" s="87">
        <v>259.25</v>
      </c>
      <c r="D5" s="77">
        <f>C4/C5-1</f>
        <v>3.0858244937319146E-2</v>
      </c>
      <c r="F5" s="56">
        <v>45606</v>
      </c>
      <c r="G5" s="87">
        <v>21963.1</v>
      </c>
      <c r="H5" s="77">
        <f>G4/G5-1</f>
        <v>1.8781501700579906E-3</v>
      </c>
      <c r="L5" s="58" t="s">
        <v>1</v>
      </c>
      <c r="M5" s="74">
        <f>SLOPE(D5:D56,H5:H56)</f>
        <v>0.96422561168419874</v>
      </c>
    </row>
    <row r="6" spans="2:15" x14ac:dyDescent="0.3">
      <c r="B6" s="56">
        <v>45599</v>
      </c>
      <c r="C6" s="87">
        <v>271.14999999999998</v>
      </c>
      <c r="D6" s="77">
        <f t="shared" ref="D6:D69" si="0">C5/C6-1</f>
        <v>-4.3887147335423093E-2</v>
      </c>
      <c r="F6" s="56">
        <v>45599</v>
      </c>
      <c r="G6" s="87">
        <v>22645.65</v>
      </c>
      <c r="H6" s="77">
        <f t="shared" ref="H6:H69" si="1">G5/G6-1</f>
        <v>-3.0140446399198217E-2</v>
      </c>
      <c r="L6" s="59" t="s">
        <v>2</v>
      </c>
      <c r="M6" s="75">
        <f>SLOPE(D56:D109,H56:H109)</f>
        <v>0.62807477162684244</v>
      </c>
    </row>
    <row r="7" spans="2:15" ht="16.2" thickBot="1" x14ac:dyDescent="0.35">
      <c r="B7" s="56">
        <v>45592</v>
      </c>
      <c r="C7" s="87">
        <v>287</v>
      </c>
      <c r="D7" s="77">
        <f t="shared" si="0"/>
        <v>-5.5226480836237046E-2</v>
      </c>
      <c r="F7" s="56">
        <v>45592</v>
      </c>
      <c r="G7" s="87">
        <v>22823.55</v>
      </c>
      <c r="H7" s="77">
        <f t="shared" si="1"/>
        <v>-7.7945805976720184E-3</v>
      </c>
      <c r="L7" s="60" t="s">
        <v>3</v>
      </c>
      <c r="M7" s="76">
        <f>SLOPE(D110:D160,H110:H160)</f>
        <v>1.100249315158627</v>
      </c>
    </row>
    <row r="8" spans="2:15" x14ac:dyDescent="0.3">
      <c r="B8" s="56">
        <v>45585</v>
      </c>
      <c r="C8" s="87">
        <v>279.14999999999998</v>
      </c>
      <c r="D8" s="77">
        <f t="shared" si="0"/>
        <v>2.8121081855633223E-2</v>
      </c>
      <c r="F8" s="56">
        <v>45585</v>
      </c>
      <c r="G8" s="87">
        <v>22499.05</v>
      </c>
      <c r="H8" s="77">
        <f t="shared" si="1"/>
        <v>1.4422831186205576E-2</v>
      </c>
      <c r="L8" s="93" t="s">
        <v>4</v>
      </c>
      <c r="M8" s="92">
        <f>AVERAGE(M5:M7)</f>
        <v>0.89751656615655617</v>
      </c>
    </row>
    <row r="9" spans="2:15" ht="16.2" thickBot="1" x14ac:dyDescent="0.35">
      <c r="B9" s="56">
        <v>45578</v>
      </c>
      <c r="C9" s="87">
        <v>287.05</v>
      </c>
      <c r="D9" s="77">
        <f t="shared" si="0"/>
        <v>-2.7521337746037378E-2</v>
      </c>
      <c r="F9" s="56">
        <v>45578</v>
      </c>
      <c r="G9" s="87">
        <v>23440.7</v>
      </c>
      <c r="H9" s="77">
        <f t="shared" si="1"/>
        <v>-4.0171581906683684E-2</v>
      </c>
      <c r="L9" s="84" t="s">
        <v>53</v>
      </c>
      <c r="M9" s="85">
        <f>SLOPE(D5:D160,H5:H160)</f>
        <v>0.9658902742556863</v>
      </c>
    </row>
    <row r="10" spans="2:15" x14ac:dyDescent="0.3">
      <c r="B10" s="56">
        <v>45571</v>
      </c>
      <c r="C10" s="87">
        <v>288.75</v>
      </c>
      <c r="D10" s="77">
        <f t="shared" si="0"/>
        <v>-5.8874458874458302E-3</v>
      </c>
      <c r="F10" s="56">
        <v>45571</v>
      </c>
      <c r="G10" s="87">
        <v>23611.25</v>
      </c>
      <c r="H10" s="77">
        <f t="shared" si="1"/>
        <v>-7.2232516279315817E-3</v>
      </c>
    </row>
    <row r="11" spans="2:15" ht="16.2" thickBot="1" x14ac:dyDescent="0.35">
      <c r="B11" s="56">
        <v>45564</v>
      </c>
      <c r="C11" s="87">
        <v>292.10000000000002</v>
      </c>
      <c r="D11" s="77">
        <f t="shared" si="0"/>
        <v>-1.1468675111263371E-2</v>
      </c>
      <c r="F11" s="56">
        <v>45564</v>
      </c>
      <c r="G11" s="87">
        <v>23534.95</v>
      </c>
      <c r="H11" s="77">
        <f t="shared" si="1"/>
        <v>3.2419869173292426E-3</v>
      </c>
    </row>
    <row r="12" spans="2:15" x14ac:dyDescent="0.3">
      <c r="B12" s="56">
        <v>45557</v>
      </c>
      <c r="C12" s="87">
        <v>309.35000000000002</v>
      </c>
      <c r="D12" s="77">
        <f t="shared" si="0"/>
        <v>-5.5762081784386575E-2</v>
      </c>
      <c r="F12" s="56">
        <v>45557</v>
      </c>
      <c r="G12" s="87">
        <v>24489.55</v>
      </c>
      <c r="H12" s="77">
        <f t="shared" si="1"/>
        <v>-3.897989142307634E-2</v>
      </c>
      <c r="L12" s="170" t="s">
        <v>5</v>
      </c>
      <c r="M12" s="170"/>
      <c r="N12" s="170"/>
      <c r="O12" s="91">
        <v>2024</v>
      </c>
    </row>
    <row r="13" spans="2:15" x14ac:dyDescent="0.3">
      <c r="B13" s="56">
        <v>45550</v>
      </c>
      <c r="C13" s="87">
        <v>302.14999999999998</v>
      </c>
      <c r="D13" s="77">
        <f t="shared" si="0"/>
        <v>2.3829223895416307E-2</v>
      </c>
      <c r="F13" s="56">
        <v>45550</v>
      </c>
      <c r="G13" s="87">
        <v>24193.8</v>
      </c>
      <c r="H13" s="77">
        <f t="shared" si="1"/>
        <v>1.2224206201588927E-2</v>
      </c>
      <c r="L13" s="171" t="s">
        <v>6</v>
      </c>
      <c r="M13" s="171"/>
      <c r="N13" s="171"/>
      <c r="O13" s="119">
        <v>0.1</v>
      </c>
    </row>
    <row r="14" spans="2:15" x14ac:dyDescent="0.3">
      <c r="B14" s="56">
        <v>45543</v>
      </c>
      <c r="C14" s="87">
        <v>311.39999999999998</v>
      </c>
      <c r="D14" s="77">
        <f t="shared" si="0"/>
        <v>-2.9704560051380891E-2</v>
      </c>
      <c r="F14" s="56">
        <v>45543</v>
      </c>
      <c r="G14" s="87">
        <v>23928.2</v>
      </c>
      <c r="H14" s="77">
        <f t="shared" si="1"/>
        <v>1.1099873789085724E-2</v>
      </c>
      <c r="L14" s="171" t="s">
        <v>7</v>
      </c>
      <c r="M14" s="171"/>
      <c r="N14" s="171"/>
      <c r="O14" s="120">
        <v>9.8299999999999998E-2</v>
      </c>
    </row>
    <row r="15" spans="2:15" x14ac:dyDescent="0.3">
      <c r="B15" s="56">
        <v>45536</v>
      </c>
      <c r="C15" s="87">
        <v>306.05</v>
      </c>
      <c r="D15" s="77">
        <f t="shared" si="0"/>
        <v>1.7480803790230315E-2</v>
      </c>
      <c r="F15" s="56">
        <v>45536</v>
      </c>
      <c r="G15" s="87">
        <v>23477.7</v>
      </c>
      <c r="H15" s="77">
        <f t="shared" si="1"/>
        <v>1.9188421353028673E-2</v>
      </c>
      <c r="L15" s="171" t="s">
        <v>8</v>
      </c>
      <c r="M15" s="171"/>
      <c r="N15" s="171"/>
      <c r="O15" s="1">
        <f>O14+M8*(O13)</f>
        <v>0.18805165661565562</v>
      </c>
    </row>
    <row r="16" spans="2:15" ht="16.2" thickBot="1" x14ac:dyDescent="0.35">
      <c r="B16" s="56">
        <v>45529</v>
      </c>
      <c r="C16" s="87">
        <v>296.5</v>
      </c>
      <c r="D16" s="77">
        <f t="shared" si="0"/>
        <v>3.2209106239460494E-2</v>
      </c>
      <c r="F16" s="56">
        <v>45529</v>
      </c>
      <c r="G16" s="87">
        <v>23734.55</v>
      </c>
      <c r="H16" s="77">
        <f t="shared" si="1"/>
        <v>-1.0821776692627405E-2</v>
      </c>
      <c r="L16" s="172" t="s">
        <v>9</v>
      </c>
      <c r="M16" s="172"/>
      <c r="N16" s="172"/>
      <c r="O16" s="35">
        <f>O15</f>
        <v>0.18805165661565562</v>
      </c>
    </row>
    <row r="17" spans="2:17" ht="16.2" thickBot="1" x14ac:dyDescent="0.35">
      <c r="B17" s="56">
        <v>45522</v>
      </c>
      <c r="C17" s="87">
        <v>294.3</v>
      </c>
      <c r="D17" s="77">
        <f t="shared" si="0"/>
        <v>7.4753652735304321E-3</v>
      </c>
      <c r="F17" s="56">
        <v>45522</v>
      </c>
      <c r="G17" s="87">
        <v>23418.65</v>
      </c>
      <c r="H17" s="77">
        <f t="shared" si="1"/>
        <v>1.34892489532914E-2</v>
      </c>
    </row>
    <row r="18" spans="2:17" ht="16.2" thickBot="1" x14ac:dyDescent="0.35">
      <c r="B18" s="56">
        <v>45515</v>
      </c>
      <c r="C18" s="87">
        <v>290.10000000000002</v>
      </c>
      <c r="D18" s="77">
        <f t="shared" si="0"/>
        <v>1.4477766287487093E-2</v>
      </c>
      <c r="F18" s="56">
        <v>45515</v>
      </c>
      <c r="G18" s="87">
        <v>23056.5</v>
      </c>
      <c r="H18" s="77">
        <f t="shared" si="1"/>
        <v>1.5707067421334653E-2</v>
      </c>
      <c r="L18" s="170" t="s">
        <v>55</v>
      </c>
      <c r="M18" s="170"/>
      <c r="N18" s="170"/>
      <c r="O18" s="156" t="s">
        <v>58</v>
      </c>
      <c r="P18" s="157"/>
      <c r="Q18" s="158"/>
    </row>
    <row r="19" spans="2:17" x14ac:dyDescent="0.3">
      <c r="B19" s="56">
        <v>45508</v>
      </c>
      <c r="C19" s="87">
        <v>293.7</v>
      </c>
      <c r="D19" s="77">
        <f t="shared" si="0"/>
        <v>-1.225740551583232E-2</v>
      </c>
      <c r="F19" s="56">
        <v>45508</v>
      </c>
      <c r="G19" s="87">
        <v>22923.5</v>
      </c>
      <c r="H19" s="77">
        <f t="shared" si="1"/>
        <v>5.8019063406546945E-3</v>
      </c>
      <c r="L19" s="165" t="s">
        <v>5</v>
      </c>
      <c r="M19" s="165"/>
      <c r="N19" s="165"/>
      <c r="O19" s="40" t="s">
        <v>28</v>
      </c>
      <c r="P19" s="31" t="s">
        <v>27</v>
      </c>
      <c r="Q19" s="32" t="s">
        <v>10</v>
      </c>
    </row>
    <row r="20" spans="2:17" x14ac:dyDescent="0.3">
      <c r="B20" s="56">
        <v>45501</v>
      </c>
      <c r="C20" s="87">
        <v>302.60000000000002</v>
      </c>
      <c r="D20" s="77">
        <f t="shared" si="0"/>
        <v>-2.941176470588247E-2</v>
      </c>
      <c r="F20" s="56">
        <v>45501</v>
      </c>
      <c r="G20" s="87">
        <v>23259.45</v>
      </c>
      <c r="H20" s="77">
        <f t="shared" si="1"/>
        <v>-1.4443591744430773E-2</v>
      </c>
      <c r="L20" s="166" t="s">
        <v>11</v>
      </c>
      <c r="M20" s="166"/>
      <c r="N20" s="166"/>
      <c r="O20" s="125">
        <v>276.42</v>
      </c>
      <c r="P20" s="126">
        <v>287.04000000000002</v>
      </c>
      <c r="Q20" s="127">
        <v>203</v>
      </c>
    </row>
    <row r="21" spans="2:17" x14ac:dyDescent="0.3">
      <c r="B21" s="56">
        <v>45494</v>
      </c>
      <c r="C21" s="87">
        <v>275.3</v>
      </c>
      <c r="D21" s="77">
        <f t="shared" si="0"/>
        <v>9.9164547766073419E-2</v>
      </c>
      <c r="F21" s="56">
        <v>45494</v>
      </c>
      <c r="G21" s="87">
        <v>23292.05</v>
      </c>
      <c r="H21" s="77">
        <f t="shared" si="1"/>
        <v>-1.3996191833693938E-3</v>
      </c>
      <c r="L21" s="166" t="s">
        <v>54</v>
      </c>
      <c r="M21" s="166"/>
      <c r="N21" s="166"/>
      <c r="O21" s="125">
        <v>29.21</v>
      </c>
      <c r="P21" s="126">
        <v>29</v>
      </c>
      <c r="Q21" s="127">
        <v>28.59</v>
      </c>
    </row>
    <row r="22" spans="2:17" ht="16.2" thickBot="1" x14ac:dyDescent="0.35">
      <c r="B22" s="56">
        <v>45487</v>
      </c>
      <c r="C22" s="87">
        <v>271.5</v>
      </c>
      <c r="D22" s="77">
        <f t="shared" si="0"/>
        <v>1.3996316758747795E-2</v>
      </c>
      <c r="F22" s="56">
        <v>45487</v>
      </c>
      <c r="G22" s="87">
        <v>22853.599999999999</v>
      </c>
      <c r="H22" s="77">
        <f t="shared" si="1"/>
        <v>1.9185161199986034E-2</v>
      </c>
      <c r="L22" s="166" t="s">
        <v>12</v>
      </c>
      <c r="M22" s="166"/>
      <c r="N22" s="166"/>
      <c r="O22" s="41">
        <f>O21/O20</f>
        <v>0.10567252731350843</v>
      </c>
      <c r="P22" s="33">
        <f>P21/P20</f>
        <v>0.10103121516164994</v>
      </c>
      <c r="Q22" s="33">
        <f t="shared" ref="Q22" si="2">Q21/Q20</f>
        <v>0.14083743842364532</v>
      </c>
    </row>
    <row r="23" spans="2:17" ht="16.2" thickBot="1" x14ac:dyDescent="0.35">
      <c r="B23" s="56">
        <v>45480</v>
      </c>
      <c r="C23" s="87">
        <v>278.10000000000002</v>
      </c>
      <c r="D23" s="77">
        <f t="shared" si="0"/>
        <v>-2.373247033441217E-2</v>
      </c>
      <c r="F23" s="56">
        <v>45480</v>
      </c>
      <c r="G23" s="87">
        <v>23095.45</v>
      </c>
      <c r="H23" s="77">
        <f t="shared" si="1"/>
        <v>-1.0471759589010032E-2</v>
      </c>
      <c r="L23" s="166" t="s">
        <v>13</v>
      </c>
      <c r="M23" s="166"/>
      <c r="N23" s="166"/>
      <c r="O23" s="167">
        <v>0.25</v>
      </c>
      <c r="P23" s="168"/>
      <c r="Q23" s="169"/>
    </row>
    <row r="24" spans="2:17" ht="16.2" thickBot="1" x14ac:dyDescent="0.35">
      <c r="B24" s="56">
        <v>45473</v>
      </c>
      <c r="C24" s="87">
        <v>266.95</v>
      </c>
      <c r="D24" s="77">
        <f t="shared" si="0"/>
        <v>4.1768121371043465E-2</v>
      </c>
      <c r="F24" s="56">
        <v>45473</v>
      </c>
      <c r="G24" s="87">
        <v>22987.65</v>
      </c>
      <c r="H24" s="77">
        <f t="shared" si="1"/>
        <v>4.6894745656906878E-3</v>
      </c>
      <c r="L24" s="160" t="s">
        <v>14</v>
      </c>
      <c r="M24" s="160"/>
      <c r="N24" s="160"/>
      <c r="O24" s="42">
        <f>O22*(1-$O$23)</f>
        <v>7.9254395485131329E-2</v>
      </c>
      <c r="P24" s="34">
        <f>P22*(1-$O$23)</f>
        <v>7.5773411371237456E-2</v>
      </c>
      <c r="Q24" s="43">
        <f>Q22*(1-$O$23)</f>
        <v>0.10562807881773399</v>
      </c>
    </row>
    <row r="25" spans="2:17" ht="16.2" thickBot="1" x14ac:dyDescent="0.35">
      <c r="B25" s="56">
        <v>45466</v>
      </c>
      <c r="C25" s="87">
        <v>270.10000000000002</v>
      </c>
      <c r="D25" s="77">
        <f t="shared" si="0"/>
        <v>-1.166234727878579E-2</v>
      </c>
      <c r="F25" s="56">
        <v>45466</v>
      </c>
      <c r="G25" s="87">
        <v>22559.7</v>
      </c>
      <c r="H25" s="77">
        <f t="shared" si="1"/>
        <v>1.8969667149829172E-2</v>
      </c>
      <c r="O25" s="61"/>
      <c r="P25" s="61"/>
      <c r="Q25" s="61"/>
    </row>
    <row r="26" spans="2:17" ht="16.2" thickBot="1" x14ac:dyDescent="0.35">
      <c r="B26" s="56">
        <v>45459</v>
      </c>
      <c r="C26" s="87">
        <v>274.14999999999998</v>
      </c>
      <c r="D26" s="77">
        <f t="shared" si="0"/>
        <v>-1.4772934524894921E-2</v>
      </c>
      <c r="F26" s="56">
        <v>45459</v>
      </c>
      <c r="G26" s="87">
        <v>22236.2</v>
      </c>
      <c r="H26" s="77">
        <f t="shared" si="1"/>
        <v>1.4548349088423285E-2</v>
      </c>
      <c r="L26" s="156" t="s">
        <v>5</v>
      </c>
      <c r="M26" s="156"/>
      <c r="N26" s="95">
        <v>45352</v>
      </c>
      <c r="O26" s="96" t="s">
        <v>59</v>
      </c>
      <c r="P26" s="97" t="s">
        <v>56</v>
      </c>
      <c r="Q26" s="79" t="s">
        <v>57</v>
      </c>
    </row>
    <row r="27" spans="2:17" x14ac:dyDescent="0.3">
      <c r="B27" s="56">
        <v>45452</v>
      </c>
      <c r="C27" s="87">
        <v>282.89999999999998</v>
      </c>
      <c r="D27" s="77">
        <f t="shared" si="0"/>
        <v>-3.0929657122658161E-2</v>
      </c>
      <c r="F27" s="56">
        <v>45452</v>
      </c>
      <c r="G27" s="87">
        <v>22214.3</v>
      </c>
      <c r="H27" s="77">
        <f t="shared" si="1"/>
        <v>9.8585145604412894E-4</v>
      </c>
      <c r="L27" s="161" t="s">
        <v>15</v>
      </c>
      <c r="M27" s="161"/>
      <c r="N27" s="3">
        <f>P27*Q27</f>
        <v>226507740000.00003</v>
      </c>
      <c r="O27" s="22">
        <f>N27/$N$29</f>
        <v>0.98794400568338436</v>
      </c>
      <c r="P27" s="147">
        <v>818900000</v>
      </c>
      <c r="Q27" s="129">
        <v>276.60000000000002</v>
      </c>
    </row>
    <row r="28" spans="2:17" ht="16.2" thickBot="1" x14ac:dyDescent="0.35">
      <c r="B28" s="56">
        <v>45445</v>
      </c>
      <c r="C28" s="87">
        <v>278</v>
      </c>
      <c r="D28" s="77">
        <f t="shared" si="0"/>
        <v>1.7625899280575563E-2</v>
      </c>
      <c r="F28" s="56">
        <v>45445</v>
      </c>
      <c r="G28" s="87">
        <v>21764.15</v>
      </c>
      <c r="H28" s="77">
        <f t="shared" si="1"/>
        <v>2.0683095825014819E-2</v>
      </c>
      <c r="L28" s="162" t="s">
        <v>16</v>
      </c>
      <c r="M28" s="162"/>
      <c r="N28" s="130">
        <v>2764100000</v>
      </c>
      <c r="O28" s="44">
        <f>N28/$N$29</f>
        <v>1.2055994316615594E-2</v>
      </c>
      <c r="P28" s="62"/>
      <c r="Q28" s="63"/>
    </row>
    <row r="29" spans="2:17" ht="16.2" thickBot="1" x14ac:dyDescent="0.35">
      <c r="B29" s="56">
        <v>45438</v>
      </c>
      <c r="C29" s="87">
        <v>269.60000000000002</v>
      </c>
      <c r="D29" s="77">
        <f t="shared" si="0"/>
        <v>3.1157270029673612E-2</v>
      </c>
      <c r="F29" s="56">
        <v>45438</v>
      </c>
      <c r="G29" s="87">
        <v>21103.3</v>
      </c>
      <c r="H29" s="77">
        <f t="shared" si="1"/>
        <v>3.1315007605445588E-2</v>
      </c>
      <c r="L29" s="163" t="s">
        <v>17</v>
      </c>
      <c r="M29" s="163"/>
      <c r="N29" s="46">
        <f>SUM(N27:N28)</f>
        <v>229271840000.00003</v>
      </c>
      <c r="O29" s="45">
        <f>N29/$N$29</f>
        <v>1</v>
      </c>
      <c r="P29" s="64"/>
      <c r="Q29" s="65"/>
    </row>
    <row r="30" spans="2:17" ht="16.2" thickBot="1" x14ac:dyDescent="0.35">
      <c r="B30" s="56">
        <v>45431</v>
      </c>
      <c r="C30" s="87">
        <v>273.25</v>
      </c>
      <c r="D30" s="77">
        <f t="shared" si="0"/>
        <v>-1.3357731015553487E-2</v>
      </c>
      <c r="F30" s="56">
        <v>45431</v>
      </c>
      <c r="G30" s="87">
        <v>21483.75</v>
      </c>
      <c r="H30" s="77">
        <f t="shared" si="1"/>
        <v>-1.7708733344970029E-2</v>
      </c>
    </row>
    <row r="31" spans="2:17" ht="16.2" thickBot="1" x14ac:dyDescent="0.35">
      <c r="B31" s="56">
        <v>45424</v>
      </c>
      <c r="C31" s="87">
        <v>276.8</v>
      </c>
      <c r="D31" s="77">
        <f t="shared" si="0"/>
        <v>-1.2825144508670561E-2</v>
      </c>
      <c r="F31" s="56">
        <v>45424</v>
      </c>
      <c r="G31" s="87">
        <v>21064.55</v>
      </c>
      <c r="H31" s="77">
        <f t="shared" si="1"/>
        <v>1.9900733697135742E-2</v>
      </c>
      <c r="L31" s="164" t="s">
        <v>18</v>
      </c>
      <c r="M31" s="164"/>
      <c r="N31" s="98">
        <f>O16*O27+O24*O28</f>
        <v>0.18673999745380265</v>
      </c>
    </row>
    <row r="32" spans="2:17" x14ac:dyDescent="0.3">
      <c r="B32" s="56">
        <v>45417</v>
      </c>
      <c r="C32" s="87">
        <v>277.85000000000002</v>
      </c>
      <c r="D32" s="77">
        <f t="shared" si="0"/>
        <v>-3.7790174554616085E-3</v>
      </c>
      <c r="F32" s="56">
        <v>45417</v>
      </c>
      <c r="G32" s="87">
        <v>20469.099999999999</v>
      </c>
      <c r="H32" s="77">
        <f t="shared" si="1"/>
        <v>2.9090189602864802E-2</v>
      </c>
    </row>
    <row r="33" spans="2:19" ht="16.2" thickBot="1" x14ac:dyDescent="0.35">
      <c r="B33" s="56">
        <v>45410</v>
      </c>
      <c r="C33" s="87">
        <v>287.55</v>
      </c>
      <c r="D33" s="77">
        <f t="shared" si="0"/>
        <v>-3.373326378021213E-2</v>
      </c>
      <c r="F33" s="56">
        <v>45410</v>
      </c>
      <c r="G33" s="87">
        <v>20959.55</v>
      </c>
      <c r="H33" s="77">
        <f t="shared" si="1"/>
        <v>-2.3399834443010525E-2</v>
      </c>
    </row>
    <row r="34" spans="2:19" ht="16.2" thickBot="1" x14ac:dyDescent="0.35">
      <c r="B34" s="56">
        <v>45403</v>
      </c>
      <c r="C34" s="87">
        <v>279.89999999999998</v>
      </c>
      <c r="D34" s="77">
        <f t="shared" si="0"/>
        <v>2.7331189710610992E-2</v>
      </c>
      <c r="F34" s="56">
        <v>45403</v>
      </c>
      <c r="G34" s="87">
        <v>20839.349999999999</v>
      </c>
      <c r="H34" s="77">
        <f t="shared" si="1"/>
        <v>5.7679342205971817E-3</v>
      </c>
      <c r="L34" s="94" t="s">
        <v>60</v>
      </c>
      <c r="M34" s="94" t="s">
        <v>28</v>
      </c>
      <c r="N34" s="99" t="s">
        <v>27</v>
      </c>
      <c r="O34" s="99" t="s">
        <v>10</v>
      </c>
    </row>
    <row r="35" spans="2:19" x14ac:dyDescent="0.3">
      <c r="B35" s="56">
        <v>45396</v>
      </c>
      <c r="C35" s="87">
        <v>273.35000000000002</v>
      </c>
      <c r="D35" s="77">
        <f t="shared" si="0"/>
        <v>2.3961953539418213E-2</v>
      </c>
      <c r="F35" s="56">
        <v>45396</v>
      </c>
      <c r="G35" s="87">
        <v>20385.2</v>
      </c>
      <c r="H35" s="77">
        <f t="shared" si="1"/>
        <v>2.2278417675568374E-2</v>
      </c>
      <c r="L35" s="4" t="s">
        <v>19</v>
      </c>
      <c r="M35" s="131">
        <v>1758.24</v>
      </c>
      <c r="N35" s="132">
        <v>824.72</v>
      </c>
      <c r="O35" s="133">
        <v>668.81</v>
      </c>
    </row>
    <row r="36" spans="2:19" x14ac:dyDescent="0.3">
      <c r="B36" s="56">
        <v>45389</v>
      </c>
      <c r="C36" s="87">
        <v>280.39999999999998</v>
      </c>
      <c r="D36" s="77">
        <f t="shared" si="0"/>
        <v>-2.5142653352353661E-2</v>
      </c>
      <c r="F36" s="56">
        <v>45389</v>
      </c>
      <c r="G36" s="87">
        <v>20745.5</v>
      </c>
      <c r="H36" s="77">
        <f t="shared" si="1"/>
        <v>-1.7367621893904617E-2</v>
      </c>
      <c r="L36" s="2" t="s">
        <v>20</v>
      </c>
      <c r="M36" s="9">
        <f>M35*(1-$O$23)</f>
        <v>1318.68</v>
      </c>
      <c r="N36" s="10">
        <f>N35*(1-$O$23)</f>
        <v>618.54</v>
      </c>
      <c r="O36" s="6">
        <f t="shared" ref="O36" si="3">O35*(1-$O$23)</f>
        <v>501.60749999999996</v>
      </c>
    </row>
    <row r="37" spans="2:19" x14ac:dyDescent="0.3">
      <c r="B37" s="56">
        <v>45382</v>
      </c>
      <c r="C37" s="87">
        <v>285.14999999999998</v>
      </c>
      <c r="D37" s="77">
        <f t="shared" si="0"/>
        <v>-1.6657899351218641E-2</v>
      </c>
      <c r="F37" s="56">
        <v>45382</v>
      </c>
      <c r="G37" s="87">
        <v>20715.099999999999</v>
      </c>
      <c r="H37" s="77">
        <f t="shared" si="1"/>
        <v>1.4675285178444852E-3</v>
      </c>
      <c r="L37" s="2" t="s">
        <v>21</v>
      </c>
      <c r="M37" s="134">
        <v>179.96</v>
      </c>
      <c r="N37" s="135">
        <v>164.63</v>
      </c>
      <c r="O37" s="133">
        <v>153.82</v>
      </c>
    </row>
    <row r="38" spans="2:19" x14ac:dyDescent="0.3">
      <c r="B38" s="56">
        <v>45375</v>
      </c>
      <c r="C38" s="87">
        <v>262.25</v>
      </c>
      <c r="D38" s="77">
        <f t="shared" si="0"/>
        <v>8.7321258341277241E-2</v>
      </c>
      <c r="F38" s="56">
        <v>45375</v>
      </c>
      <c r="G38" s="87">
        <v>20255.150000000001</v>
      </c>
      <c r="H38" s="77">
        <f t="shared" si="1"/>
        <v>2.2707805175473661E-2</v>
      </c>
      <c r="L38" s="2" t="s">
        <v>47</v>
      </c>
      <c r="M38" s="136">
        <v>68.23</v>
      </c>
      <c r="N38" s="136">
        <v>-247</v>
      </c>
      <c r="O38" s="139">
        <v>-405.78</v>
      </c>
    </row>
    <row r="39" spans="2:19" x14ac:dyDescent="0.3">
      <c r="B39" s="56">
        <v>45368</v>
      </c>
      <c r="C39" s="87">
        <v>268.64999999999998</v>
      </c>
      <c r="D39" s="77">
        <f t="shared" si="0"/>
        <v>-2.3822817792666928E-2</v>
      </c>
      <c r="F39" s="56">
        <v>45368</v>
      </c>
      <c r="G39" s="87">
        <v>19994.599999999999</v>
      </c>
      <c r="H39" s="77">
        <f t="shared" si="1"/>
        <v>1.3031018374961345E-2</v>
      </c>
      <c r="L39" s="2" t="s">
        <v>22</v>
      </c>
      <c r="M39" s="136">
        <v>-237</v>
      </c>
      <c r="N39" s="136">
        <v>-123.17</v>
      </c>
      <c r="O39" s="139">
        <v>-219</v>
      </c>
    </row>
    <row r="40" spans="2:19" ht="16.2" thickBot="1" x14ac:dyDescent="0.35">
      <c r="B40" s="56">
        <v>45361</v>
      </c>
      <c r="C40" s="87">
        <v>271.35000000000002</v>
      </c>
      <c r="D40" s="77">
        <f t="shared" si="0"/>
        <v>-9.9502487562190822E-3</v>
      </c>
      <c r="F40" s="56">
        <v>45361</v>
      </c>
      <c r="G40" s="87">
        <v>19825.2</v>
      </c>
      <c r="H40" s="77">
        <f t="shared" si="1"/>
        <v>8.5446805076365706E-3</v>
      </c>
      <c r="L40" s="2" t="s">
        <v>23</v>
      </c>
      <c r="M40" s="47">
        <f>M36+M37-M38-M39</f>
        <v>1667.41</v>
      </c>
      <c r="N40" s="10">
        <f>N36+N37-N38-N39</f>
        <v>1153.3400000000001</v>
      </c>
      <c r="O40" s="6">
        <f>O36+O37-O38-O39</f>
        <v>1280.2075</v>
      </c>
      <c r="Q40" s="8"/>
    </row>
    <row r="41" spans="2:19" ht="16.2" thickBot="1" x14ac:dyDescent="0.35">
      <c r="B41" s="56">
        <v>45354</v>
      </c>
      <c r="C41" s="87">
        <v>284.05</v>
      </c>
      <c r="D41" s="77">
        <f t="shared" si="0"/>
        <v>-4.4710438303115607E-2</v>
      </c>
      <c r="F41" s="56">
        <v>45354</v>
      </c>
      <c r="G41" s="87">
        <v>20434.8</v>
      </c>
      <c r="H41" s="77">
        <f t="shared" si="1"/>
        <v>-2.9831463973222117E-2</v>
      </c>
      <c r="L41" s="5" t="s">
        <v>71</v>
      </c>
      <c r="M41" s="143">
        <f>(M40-N40)/N40*100</f>
        <v>44.572285709331148</v>
      </c>
      <c r="N41" s="11">
        <f>(N40-O40)/N40*100</f>
        <v>-11.000008670470098</v>
      </c>
      <c r="O41" s="7"/>
      <c r="P41" s="66"/>
    </row>
    <row r="42" spans="2:19" ht="16.2" thickBot="1" x14ac:dyDescent="0.35">
      <c r="B42" s="56">
        <v>45347</v>
      </c>
      <c r="C42" s="87">
        <v>290.05</v>
      </c>
      <c r="D42" s="77">
        <f t="shared" si="0"/>
        <v>-2.0686088605412878E-2</v>
      </c>
      <c r="F42" s="56">
        <v>45347</v>
      </c>
      <c r="G42" s="87">
        <v>20349.8</v>
      </c>
      <c r="H42" s="77">
        <f t="shared" si="1"/>
        <v>4.1769452279629693E-3</v>
      </c>
      <c r="L42" s="109" t="s">
        <v>66</v>
      </c>
      <c r="M42" s="145">
        <v>0.12</v>
      </c>
      <c r="N42" s="108"/>
      <c r="O42" s="142"/>
      <c r="P42" s="66"/>
    </row>
    <row r="43" spans="2:19" ht="16.2" thickBot="1" x14ac:dyDescent="0.35">
      <c r="B43" s="56">
        <v>45340</v>
      </c>
      <c r="C43" s="87">
        <v>301.95</v>
      </c>
      <c r="D43" s="77">
        <f t="shared" si="0"/>
        <v>-3.9410498426891816E-2</v>
      </c>
      <c r="F43" s="56">
        <v>45340</v>
      </c>
      <c r="G43" s="87">
        <v>20313.5</v>
      </c>
      <c r="H43" s="77">
        <f t="shared" si="1"/>
        <v>1.7869889482362566E-3</v>
      </c>
      <c r="L43" s="144" t="s">
        <v>68</v>
      </c>
      <c r="M43" s="146">
        <f>((N40-O40)/O40+(M40-N40)/N40)/2</f>
        <v>0.17331184381136877</v>
      </c>
      <c r="N43" s="108"/>
      <c r="O43" s="108"/>
      <c r="P43" s="66"/>
    </row>
    <row r="44" spans="2:19" ht="16.2" thickBot="1" x14ac:dyDescent="0.35">
      <c r="B44" s="56">
        <v>45333</v>
      </c>
      <c r="C44" s="87">
        <v>304.39999999999998</v>
      </c>
      <c r="D44" s="77">
        <f t="shared" si="0"/>
        <v>-8.0486202365308568E-3</v>
      </c>
      <c r="F44" s="56">
        <v>45333</v>
      </c>
      <c r="G44" s="87">
        <v>20164.900000000001</v>
      </c>
      <c r="H44" s="77">
        <f t="shared" si="1"/>
        <v>7.3692406111609543E-3</v>
      </c>
    </row>
    <row r="45" spans="2:19" ht="18" thickBot="1" x14ac:dyDescent="0.35">
      <c r="B45" s="56">
        <v>45326</v>
      </c>
      <c r="C45" s="87">
        <v>316.75</v>
      </c>
      <c r="D45" s="77">
        <f t="shared" si="0"/>
        <v>-3.8989739542225843E-2</v>
      </c>
      <c r="F45" s="56">
        <v>45326</v>
      </c>
      <c r="G45" s="87">
        <v>19961.5</v>
      </c>
      <c r="H45" s="77">
        <f t="shared" si="1"/>
        <v>1.0189615008892261E-2</v>
      </c>
      <c r="L45" s="100" t="s">
        <v>61</v>
      </c>
      <c r="M45" s="101"/>
      <c r="N45" s="102"/>
      <c r="O45" s="103"/>
      <c r="P45" s="104"/>
      <c r="Q45" s="105"/>
      <c r="R45" s="159" t="s">
        <v>25</v>
      </c>
      <c r="S45" s="158"/>
    </row>
    <row r="46" spans="2:19" ht="16.2" thickBot="1" x14ac:dyDescent="0.35">
      <c r="B46" s="56">
        <v>45319</v>
      </c>
      <c r="C46" s="87">
        <v>340.5</v>
      </c>
      <c r="D46" s="77">
        <f t="shared" si="0"/>
        <v>-6.9750367107195288E-2</v>
      </c>
      <c r="F46" s="56">
        <v>45319</v>
      </c>
      <c r="G46" s="87">
        <v>19910.8</v>
      </c>
      <c r="H46" s="77">
        <f t="shared" si="1"/>
        <v>2.5463567511099239E-3</v>
      </c>
      <c r="L46" s="38" t="s">
        <v>26</v>
      </c>
      <c r="M46" s="18" t="s">
        <v>29</v>
      </c>
      <c r="N46" s="21" t="s">
        <v>30</v>
      </c>
      <c r="O46" s="18" t="s">
        <v>31</v>
      </c>
      <c r="P46" s="16" t="s">
        <v>63</v>
      </c>
      <c r="Q46" s="28" t="s">
        <v>64</v>
      </c>
      <c r="R46" s="17" t="s">
        <v>65</v>
      </c>
      <c r="S46" s="17" t="s">
        <v>32</v>
      </c>
    </row>
    <row r="47" spans="2:19" x14ac:dyDescent="0.3">
      <c r="B47" s="56">
        <v>45312</v>
      </c>
      <c r="C47" s="87">
        <v>332.75</v>
      </c>
      <c r="D47" s="77">
        <f t="shared" si="0"/>
        <v>2.3290758827948954E-2</v>
      </c>
      <c r="F47" s="56">
        <v>45312</v>
      </c>
      <c r="G47" s="87">
        <v>19393</v>
      </c>
      <c r="H47" s="77">
        <f t="shared" si="1"/>
        <v>2.6700355798483955E-2</v>
      </c>
      <c r="L47" s="36" t="s">
        <v>33</v>
      </c>
      <c r="M47" s="50">
        <f>M40*(1+M42)</f>
        <v>1867.4992000000002</v>
      </c>
      <c r="N47" s="22">
        <f>M47*(1+M42)</f>
        <v>2091.5991040000004</v>
      </c>
      <c r="O47" s="19">
        <f>N47*(1+$M$42)</f>
        <v>2342.5909964800007</v>
      </c>
      <c r="P47" s="22">
        <f>O47*(1+$M$42)</f>
        <v>2623.701916057601</v>
      </c>
      <c r="Q47" s="19">
        <f>P47*(1+$M$42)</f>
        <v>2938.5461459845133</v>
      </c>
      <c r="R47" s="29">
        <f>Q47*(1+M50)</f>
        <v>3056.0879918238938</v>
      </c>
      <c r="S47" s="13">
        <f>SUM(M47:R47)</f>
        <v>14920.025354346009</v>
      </c>
    </row>
    <row r="48" spans="2:19" x14ac:dyDescent="0.3">
      <c r="B48" s="56">
        <v>45305</v>
      </c>
      <c r="C48" s="87">
        <v>344.3</v>
      </c>
      <c r="D48" s="77">
        <f t="shared" si="0"/>
        <v>-3.3546325878594296E-2</v>
      </c>
      <c r="F48" s="56">
        <v>45305</v>
      </c>
      <c r="G48" s="87">
        <v>19606.400000000001</v>
      </c>
      <c r="H48" s="77">
        <f t="shared" si="1"/>
        <v>-1.088420107719934E-2</v>
      </c>
      <c r="L48" s="37" t="s">
        <v>34</v>
      </c>
      <c r="M48" s="25">
        <f>(M47)/(1+$M$49)</f>
        <v>1573.6380369809674</v>
      </c>
      <c r="N48" s="23">
        <f>(N47)/(1+$M$49)^2</f>
        <v>1485.1396305847466</v>
      </c>
      <c r="O48" s="25">
        <f>(O47)/(1+$M$49)^3</f>
        <v>1401.6182060297226</v>
      </c>
      <c r="P48" s="23">
        <f>(P47)/(1+$M$49)^4</f>
        <v>1322.7938673352071</v>
      </c>
      <c r="Q48" s="25">
        <f>(Q47)/(1+$M$49)^5</f>
        <v>1248.4024593374379</v>
      </c>
      <c r="R48" s="14">
        <f>((R47)/(M49-M50))/(1+M49)^5</f>
        <v>8847.8845593525675</v>
      </c>
      <c r="S48" s="14">
        <f>SUM(M48:R48)</f>
        <v>15879.476759620649</v>
      </c>
    </row>
    <row r="49" spans="2:19" ht="16.2" thickBot="1" x14ac:dyDescent="0.35">
      <c r="B49" s="56">
        <v>45298</v>
      </c>
      <c r="C49" s="87">
        <v>340.3</v>
      </c>
      <c r="D49" s="77">
        <f t="shared" si="0"/>
        <v>1.1754334410813971E-2</v>
      </c>
      <c r="F49" s="56">
        <v>45298</v>
      </c>
      <c r="G49" s="87">
        <v>19745.599999999999</v>
      </c>
      <c r="H49" s="77">
        <f t="shared" si="1"/>
        <v>-7.0496718256217727E-3</v>
      </c>
      <c r="L49" s="49" t="s">
        <v>35</v>
      </c>
      <c r="M49" s="51">
        <f>N31</f>
        <v>0.18673999745380265</v>
      </c>
      <c r="N49" s="24"/>
      <c r="O49" s="26"/>
      <c r="P49" s="27"/>
      <c r="Q49" s="20"/>
      <c r="R49" s="30"/>
      <c r="S49" s="15"/>
    </row>
    <row r="50" spans="2:19" ht="16.2" thickBot="1" x14ac:dyDescent="0.35">
      <c r="B50" s="56">
        <v>45291</v>
      </c>
      <c r="C50" s="87">
        <v>336.7</v>
      </c>
      <c r="D50" s="77">
        <f t="shared" si="0"/>
        <v>1.0692010692010756E-2</v>
      </c>
      <c r="F50" s="56">
        <v>45291</v>
      </c>
      <c r="G50" s="87">
        <v>19590.599999999999</v>
      </c>
      <c r="H50" s="77">
        <f t="shared" si="1"/>
        <v>7.9119577756678883E-3</v>
      </c>
      <c r="L50" s="48" t="s">
        <v>36</v>
      </c>
      <c r="M50" s="140">
        <v>0.04</v>
      </c>
      <c r="N50" s="12"/>
      <c r="O50" s="12"/>
      <c r="P50" s="12"/>
      <c r="Q50" s="12"/>
      <c r="R50" s="12"/>
      <c r="S50" s="12"/>
    </row>
    <row r="51" spans="2:19" ht="16.2" thickBot="1" x14ac:dyDescent="0.35">
      <c r="B51" s="56">
        <v>45284</v>
      </c>
      <c r="C51" s="87">
        <v>333.25</v>
      </c>
      <c r="D51" s="77">
        <f t="shared" si="0"/>
        <v>1.0352588147036768E-2</v>
      </c>
      <c r="F51" s="56">
        <v>45284</v>
      </c>
      <c r="G51" s="87">
        <v>19429.150000000001</v>
      </c>
      <c r="H51" s="77">
        <f t="shared" si="1"/>
        <v>8.3096790132350939E-3</v>
      </c>
    </row>
    <row r="52" spans="2:19" x14ac:dyDescent="0.3">
      <c r="B52" s="56">
        <v>45277</v>
      </c>
      <c r="C52" s="87">
        <v>322.45</v>
      </c>
      <c r="D52" s="77">
        <f t="shared" si="0"/>
        <v>3.3493564893781969E-2</v>
      </c>
      <c r="F52" s="56">
        <v>45277</v>
      </c>
      <c r="G52" s="87">
        <v>19054.7</v>
      </c>
      <c r="H52" s="77">
        <f t="shared" si="1"/>
        <v>1.9651319621930563E-2</v>
      </c>
      <c r="L52" s="36" t="s">
        <v>37</v>
      </c>
      <c r="M52" s="67">
        <f>S48</f>
        <v>15879.476759620649</v>
      </c>
    </row>
    <row r="53" spans="2:19" x14ac:dyDescent="0.3">
      <c r="B53" s="56">
        <v>45270</v>
      </c>
      <c r="C53" s="87">
        <v>332.9</v>
      </c>
      <c r="D53" s="77">
        <f t="shared" si="0"/>
        <v>-3.1390808050465568E-2</v>
      </c>
      <c r="F53" s="56">
        <v>45270</v>
      </c>
      <c r="G53" s="87">
        <v>19145.05</v>
      </c>
      <c r="H53" s="77">
        <f t="shared" si="1"/>
        <v>-4.7192355204086489E-3</v>
      </c>
      <c r="L53" s="37" t="s">
        <v>69</v>
      </c>
      <c r="M53" s="141">
        <v>1285.4000000000001</v>
      </c>
    </row>
    <row r="54" spans="2:19" ht="16.2" thickBot="1" x14ac:dyDescent="0.35">
      <c r="B54" s="56">
        <v>45263</v>
      </c>
      <c r="C54" s="87">
        <v>330.35</v>
      </c>
      <c r="D54" s="77">
        <f t="shared" si="0"/>
        <v>7.7190858180715693E-3</v>
      </c>
      <c r="F54" s="56">
        <v>45263</v>
      </c>
      <c r="G54" s="87">
        <v>18703.5</v>
      </c>
      <c r="H54" s="77">
        <f t="shared" si="1"/>
        <v>2.3607880877910548E-2</v>
      </c>
      <c r="L54" s="68"/>
      <c r="M54" s="69"/>
    </row>
    <row r="55" spans="2:19" ht="16.2" thickBot="1" x14ac:dyDescent="0.35">
      <c r="B55" s="56">
        <v>45256</v>
      </c>
      <c r="C55" s="87">
        <v>320.05</v>
      </c>
      <c r="D55" s="77">
        <f t="shared" si="0"/>
        <v>3.2182471488829911E-2</v>
      </c>
      <c r="F55" s="56">
        <v>45256</v>
      </c>
      <c r="G55" s="87">
        <v>18115.349999999999</v>
      </c>
      <c r="H55" s="77">
        <f t="shared" si="1"/>
        <v>3.2466941019632545E-2</v>
      </c>
      <c r="L55" s="38" t="s">
        <v>38</v>
      </c>
      <c r="M55" s="70">
        <f>M52-M53</f>
        <v>14594.07675962065</v>
      </c>
    </row>
    <row r="56" spans="2:19" ht="16.2" thickBot="1" x14ac:dyDescent="0.35">
      <c r="B56" s="56">
        <v>45249</v>
      </c>
      <c r="C56" s="87">
        <v>320.35000000000002</v>
      </c>
      <c r="D56" s="77">
        <f t="shared" si="0"/>
        <v>-9.3647572967070492E-4</v>
      </c>
      <c r="F56" s="56">
        <v>45249</v>
      </c>
      <c r="G56" s="87">
        <v>17643.5</v>
      </c>
      <c r="H56" s="77">
        <f t="shared" si="1"/>
        <v>2.6743559951256657E-2</v>
      </c>
      <c r="L56" s="39" t="s">
        <v>39</v>
      </c>
      <c r="M56" s="110">
        <f>P27</f>
        <v>818900000</v>
      </c>
    </row>
    <row r="57" spans="2:19" ht="16.2" thickBot="1" x14ac:dyDescent="0.35">
      <c r="B57" s="56">
        <v>45242</v>
      </c>
      <c r="C57" s="88">
        <v>325.39999999999998</v>
      </c>
      <c r="D57" s="77">
        <f t="shared" si="0"/>
        <v>-1.551936078672389E-2</v>
      </c>
      <c r="F57" s="56">
        <v>45242</v>
      </c>
      <c r="G57" s="88">
        <v>17600.5</v>
      </c>
      <c r="H57" s="77">
        <f t="shared" si="1"/>
        <v>2.4431124115791292E-3</v>
      </c>
      <c r="L57" s="38" t="s">
        <v>40</v>
      </c>
      <c r="M57" s="148">
        <f>M55/M56</f>
        <v>1.7821561557724571E-5</v>
      </c>
    </row>
    <row r="58" spans="2:19" ht="16.2" thickBot="1" x14ac:dyDescent="0.35">
      <c r="B58" s="56">
        <v>45235</v>
      </c>
      <c r="C58" s="88">
        <v>304.39999999999998</v>
      </c>
      <c r="D58" s="77">
        <f t="shared" si="0"/>
        <v>6.8988173455978963E-2</v>
      </c>
      <c r="F58" s="56">
        <v>45235</v>
      </c>
      <c r="G58" s="88">
        <v>17256.599999999999</v>
      </c>
      <c r="H58" s="77">
        <f t="shared" si="1"/>
        <v>1.9928607025717859E-2</v>
      </c>
    </row>
    <row r="59" spans="2:19" ht="16.2" thickBot="1" x14ac:dyDescent="0.35">
      <c r="B59" s="56">
        <v>45228</v>
      </c>
      <c r="C59" s="88">
        <v>305</v>
      </c>
      <c r="D59" s="77">
        <f t="shared" si="0"/>
        <v>-1.9672131147541183E-3</v>
      </c>
      <c r="F59" s="56">
        <v>45228</v>
      </c>
      <c r="G59" s="88">
        <v>17000.95</v>
      </c>
      <c r="H59" s="77">
        <f t="shared" si="1"/>
        <v>1.5037394969104501E-2</v>
      </c>
      <c r="L59" s="106" t="s">
        <v>5</v>
      </c>
      <c r="M59" s="111">
        <v>45597</v>
      </c>
      <c r="N59" s="111">
        <v>45231</v>
      </c>
      <c r="O59" s="111">
        <v>44866</v>
      </c>
      <c r="P59" s="111">
        <v>44501</v>
      </c>
      <c r="Q59" s="111">
        <v>44136</v>
      </c>
    </row>
    <row r="60" spans="2:19" x14ac:dyDescent="0.3">
      <c r="B60" s="56">
        <v>45221</v>
      </c>
      <c r="C60" s="88">
        <v>313.55</v>
      </c>
      <c r="D60" s="77">
        <f t="shared" si="0"/>
        <v>-2.7268378249083125E-2</v>
      </c>
      <c r="F60" s="56">
        <v>45221</v>
      </c>
      <c r="G60" s="88">
        <v>16765.45</v>
      </c>
      <c r="H60" s="77">
        <f t="shared" si="1"/>
        <v>1.4046744942724398E-2</v>
      </c>
      <c r="L60" s="36" t="s">
        <v>41</v>
      </c>
      <c r="M60" s="121">
        <v>276.60000000000002</v>
      </c>
      <c r="N60" s="121">
        <v>316.64999999999998</v>
      </c>
      <c r="O60" s="121">
        <v>325.63</v>
      </c>
      <c r="P60" s="121">
        <v>363.37</v>
      </c>
      <c r="Q60" s="121">
        <v>342.67</v>
      </c>
    </row>
    <row r="61" spans="2:19" x14ac:dyDescent="0.3">
      <c r="B61" s="56">
        <v>45214</v>
      </c>
      <c r="C61" s="88">
        <v>321.25</v>
      </c>
      <c r="D61" s="77">
        <f t="shared" si="0"/>
        <v>-2.3968871595330676E-2</v>
      </c>
      <c r="F61" s="56">
        <v>45214</v>
      </c>
      <c r="G61" s="88">
        <v>17208.75</v>
      </c>
      <c r="H61" s="77">
        <f t="shared" si="1"/>
        <v>-2.5760151085930105E-2</v>
      </c>
      <c r="L61" s="37" t="s">
        <v>42</v>
      </c>
      <c r="M61" s="122">
        <v>14.66</v>
      </c>
      <c r="N61" s="123">
        <v>5.86</v>
      </c>
      <c r="O61" s="123">
        <v>4.4400000000000004</v>
      </c>
      <c r="P61" s="149">
        <v>6.55</v>
      </c>
      <c r="Q61" s="123">
        <v>6.44</v>
      </c>
    </row>
    <row r="62" spans="2:19" x14ac:dyDescent="0.3">
      <c r="B62" s="56">
        <v>45207</v>
      </c>
      <c r="C62" s="88">
        <v>322.89999999999998</v>
      </c>
      <c r="D62" s="77">
        <f t="shared" si="0"/>
        <v>-5.1099411582532506E-3</v>
      </c>
      <c r="F62" s="56">
        <v>45207</v>
      </c>
      <c r="G62" s="88">
        <v>17390.349999999999</v>
      </c>
      <c r="H62" s="77">
        <f t="shared" si="1"/>
        <v>-1.0442573036195224E-2</v>
      </c>
      <c r="L62" s="37" t="s">
        <v>43</v>
      </c>
      <c r="M62" s="52">
        <f>(M61/N61)-1</f>
        <v>1.5017064846416379</v>
      </c>
      <c r="N62" s="52">
        <f>(N61/O61)-1</f>
        <v>0.31981981981981988</v>
      </c>
      <c r="O62" s="52">
        <f>(O61/P61)-1</f>
        <v>-0.32213740458015261</v>
      </c>
      <c r="P62" s="52">
        <f>(P61/Q61)-1</f>
        <v>1.7080745341614856E-2</v>
      </c>
      <c r="Q62" s="25"/>
    </row>
    <row r="63" spans="2:19" x14ac:dyDescent="0.3">
      <c r="B63" s="56">
        <v>45200</v>
      </c>
      <c r="C63" s="88">
        <v>323.8</v>
      </c>
      <c r="D63" s="77">
        <f t="shared" si="0"/>
        <v>-2.77949351451523E-3</v>
      </c>
      <c r="F63" s="56">
        <v>45200</v>
      </c>
      <c r="G63" s="88">
        <v>17293.599999999999</v>
      </c>
      <c r="H63" s="77">
        <f t="shared" si="1"/>
        <v>5.5945552111764663E-3</v>
      </c>
      <c r="L63" s="37" t="s">
        <v>44</v>
      </c>
      <c r="M63" s="53">
        <f>AVERAGE(M62:P62)</f>
        <v>0.37911741130573001</v>
      </c>
      <c r="N63" s="25"/>
      <c r="O63" s="25"/>
      <c r="P63" s="25"/>
      <c r="Q63" s="25"/>
    </row>
    <row r="64" spans="2:19" x14ac:dyDescent="0.3">
      <c r="B64" s="56">
        <v>45193</v>
      </c>
      <c r="C64" s="88">
        <v>317.45</v>
      </c>
      <c r="D64" s="77">
        <f t="shared" si="0"/>
        <v>2.0003150102378298E-2</v>
      </c>
      <c r="F64" s="56">
        <v>45193</v>
      </c>
      <c r="G64" s="88">
        <v>17292.599999999999</v>
      </c>
      <c r="H64" s="77">
        <f t="shared" si="1"/>
        <v>5.7828203971599379E-5</v>
      </c>
      <c r="L64" s="37" t="s">
        <v>45</v>
      </c>
      <c r="M64" s="113">
        <f>M60/M61</f>
        <v>18.86766712141883</v>
      </c>
      <c r="N64" s="113">
        <f>N60/N61</f>
        <v>54.035836177474394</v>
      </c>
      <c r="O64" s="113">
        <f>O60/O61</f>
        <v>73.340090090090087</v>
      </c>
      <c r="P64" s="113">
        <f>P60/P61</f>
        <v>55.476335877862596</v>
      </c>
      <c r="Q64" s="113">
        <f>Q60/Q61</f>
        <v>53.209627329192543</v>
      </c>
    </row>
    <row r="65" spans="2:17" x14ac:dyDescent="0.3">
      <c r="B65" s="56">
        <v>45186</v>
      </c>
      <c r="C65" s="88">
        <v>322.45</v>
      </c>
      <c r="D65" s="77">
        <f t="shared" si="0"/>
        <v>-1.5506280043417586E-2</v>
      </c>
      <c r="F65" s="56">
        <v>45186</v>
      </c>
      <c r="G65" s="88">
        <v>17260.8</v>
      </c>
      <c r="H65" s="77">
        <f t="shared" si="1"/>
        <v>1.8423248053391905E-3</v>
      </c>
      <c r="L65" s="37" t="s">
        <v>67</v>
      </c>
      <c r="M65" s="113">
        <f>M61*(1+M63)</f>
        <v>20.217861249742004</v>
      </c>
      <c r="N65" s="25"/>
      <c r="O65" s="25"/>
      <c r="P65" s="25"/>
      <c r="Q65" s="25"/>
    </row>
    <row r="66" spans="2:17" x14ac:dyDescent="0.3">
      <c r="B66" s="56">
        <v>45179</v>
      </c>
      <c r="C66" s="88">
        <v>326.64999999999998</v>
      </c>
      <c r="D66" s="77">
        <f t="shared" si="0"/>
        <v>-1.2857798867289105E-2</v>
      </c>
      <c r="F66" s="56">
        <v>45179</v>
      </c>
      <c r="G66" s="88">
        <v>17665.8</v>
      </c>
      <c r="H66" s="77">
        <f t="shared" si="1"/>
        <v>-2.2925652956560127E-2</v>
      </c>
      <c r="L66" s="37" t="s">
        <v>46</v>
      </c>
      <c r="M66" s="112">
        <f>AVERAGE(M64:Q64)</f>
        <v>50.985911319207688</v>
      </c>
      <c r="N66" s="25"/>
      <c r="O66" s="25"/>
      <c r="P66" s="25"/>
      <c r="Q66" s="25"/>
    </row>
    <row r="67" spans="2:17" ht="16.2" thickBot="1" x14ac:dyDescent="0.35">
      <c r="B67" s="56">
        <v>45172</v>
      </c>
      <c r="C67" s="88">
        <v>337.25</v>
      </c>
      <c r="D67" s="77">
        <f t="shared" si="0"/>
        <v>-3.1430689399555289E-2</v>
      </c>
      <c r="F67" s="56">
        <v>45172</v>
      </c>
      <c r="G67" s="88">
        <v>17487.45</v>
      </c>
      <c r="H67" s="77">
        <f t="shared" si="1"/>
        <v>1.0198742526783322E-2</v>
      </c>
      <c r="L67" s="71"/>
      <c r="M67" s="54"/>
      <c r="N67" s="54"/>
      <c r="O67" s="54"/>
      <c r="P67" s="54"/>
      <c r="Q67" s="54"/>
    </row>
    <row r="68" spans="2:17" ht="16.2" thickBot="1" x14ac:dyDescent="0.35">
      <c r="B68" s="56">
        <v>45165</v>
      </c>
      <c r="C68" s="88">
        <v>340</v>
      </c>
      <c r="D68" s="77">
        <f t="shared" si="0"/>
        <v>-8.0882352941176183E-3</v>
      </c>
      <c r="F68" s="56">
        <v>45165</v>
      </c>
      <c r="G68" s="88">
        <v>17074.55</v>
      </c>
      <c r="H68" s="77">
        <f t="shared" si="1"/>
        <v>2.4182189281708899E-2</v>
      </c>
      <c r="L68" s="107" t="s">
        <v>62</v>
      </c>
      <c r="M68" s="114">
        <f>M65*M66</f>
        <v>1030.8260807433912</v>
      </c>
    </row>
    <row r="69" spans="2:17" x14ac:dyDescent="0.3">
      <c r="B69" s="56">
        <v>45158</v>
      </c>
      <c r="C69" s="88">
        <v>322.2</v>
      </c>
      <c r="D69" s="77">
        <f t="shared" si="0"/>
        <v>5.5245189323401611E-2</v>
      </c>
      <c r="F69" s="56">
        <v>45158</v>
      </c>
      <c r="G69" s="88">
        <v>16820.849999999999</v>
      </c>
      <c r="H69" s="77">
        <f t="shared" si="1"/>
        <v>1.5082472051055618E-2</v>
      </c>
    </row>
    <row r="70" spans="2:17" x14ac:dyDescent="0.3">
      <c r="B70" s="56">
        <v>45151</v>
      </c>
      <c r="C70" s="88">
        <v>328.1</v>
      </c>
      <c r="D70" s="77">
        <f t="shared" ref="D70:D133" si="4">C69/C70-1</f>
        <v>-1.7982322462663958E-2</v>
      </c>
      <c r="F70" s="56">
        <v>45151</v>
      </c>
      <c r="G70" s="88">
        <v>16757.7</v>
      </c>
      <c r="H70" s="77">
        <f t="shared" ref="H70:H133" si="5">G69/G70-1</f>
        <v>3.7684169068545881E-3</v>
      </c>
    </row>
    <row r="71" spans="2:17" x14ac:dyDescent="0.3">
      <c r="B71" s="56">
        <v>45144</v>
      </c>
      <c r="C71" s="88">
        <v>329</v>
      </c>
      <c r="D71" s="77">
        <f t="shared" si="4"/>
        <v>-2.7355623100303594E-3</v>
      </c>
      <c r="F71" s="56">
        <v>45144</v>
      </c>
      <c r="G71" s="88">
        <v>16860.150000000001</v>
      </c>
      <c r="H71" s="77">
        <f t="shared" si="5"/>
        <v>-6.0764583944983297E-3</v>
      </c>
    </row>
    <row r="72" spans="2:17" x14ac:dyDescent="0.3">
      <c r="B72" s="56">
        <v>45137</v>
      </c>
      <c r="C72" s="88">
        <v>327.10000000000002</v>
      </c>
      <c r="D72" s="77">
        <f t="shared" si="4"/>
        <v>5.8086212167531848E-3</v>
      </c>
      <c r="F72" s="56">
        <v>45137</v>
      </c>
      <c r="G72" s="88">
        <v>16890.599999999999</v>
      </c>
      <c r="H72" s="77">
        <f t="shared" si="5"/>
        <v>-1.8027778764517777E-3</v>
      </c>
    </row>
    <row r="73" spans="2:17" x14ac:dyDescent="0.3">
      <c r="B73" s="56">
        <v>45130</v>
      </c>
      <c r="C73" s="88">
        <v>327.60000000000002</v>
      </c>
      <c r="D73" s="77">
        <f t="shared" si="4"/>
        <v>-1.5262515262515208E-3</v>
      </c>
      <c r="F73" s="56">
        <v>45130</v>
      </c>
      <c r="G73" s="88">
        <v>16948.349999999999</v>
      </c>
      <c r="H73" s="77">
        <f t="shared" si="5"/>
        <v>-3.4074113409270357E-3</v>
      </c>
    </row>
    <row r="74" spans="2:17" x14ac:dyDescent="0.3">
      <c r="B74" s="56">
        <v>45123</v>
      </c>
      <c r="C74" s="88">
        <v>322.8</v>
      </c>
      <c r="D74" s="77">
        <f t="shared" si="4"/>
        <v>1.4869888475836479E-2</v>
      </c>
      <c r="F74" s="56">
        <v>45123</v>
      </c>
      <c r="G74" s="88">
        <v>16904.3</v>
      </c>
      <c r="H74" s="77">
        <f t="shared" si="5"/>
        <v>2.6058458498725567E-3</v>
      </c>
    </row>
    <row r="75" spans="2:17" x14ac:dyDescent="0.3">
      <c r="B75" s="56">
        <v>45116</v>
      </c>
      <c r="C75" s="88">
        <v>307.89999999999998</v>
      </c>
      <c r="D75" s="77">
        <f t="shared" si="4"/>
        <v>4.839233517375785E-2</v>
      </c>
      <c r="F75" s="56">
        <v>45116</v>
      </c>
      <c r="G75" s="88">
        <v>16765.45</v>
      </c>
      <c r="H75" s="77">
        <f t="shared" si="5"/>
        <v>8.2819131010500868E-3</v>
      </c>
    </row>
    <row r="76" spans="2:17" x14ac:dyDescent="0.3">
      <c r="B76" s="56">
        <v>45109</v>
      </c>
      <c r="C76" s="88">
        <v>313.8</v>
      </c>
      <c r="D76" s="77">
        <f t="shared" si="4"/>
        <v>-1.8801784576163216E-2</v>
      </c>
      <c r="F76" s="56">
        <v>45109</v>
      </c>
      <c r="G76" s="88">
        <v>16564.900000000001</v>
      </c>
      <c r="H76" s="77">
        <f t="shared" si="5"/>
        <v>1.2106924883337644E-2</v>
      </c>
    </row>
    <row r="77" spans="2:17" x14ac:dyDescent="0.3">
      <c r="B77" s="56">
        <v>45102</v>
      </c>
      <c r="C77" s="88">
        <v>300.3</v>
      </c>
      <c r="D77" s="77">
        <f t="shared" si="4"/>
        <v>4.4955044955044876E-2</v>
      </c>
      <c r="F77" s="56">
        <v>45102</v>
      </c>
      <c r="G77" s="88">
        <v>16430</v>
      </c>
      <c r="H77" s="77">
        <f t="shared" si="5"/>
        <v>8.2105903834450711E-3</v>
      </c>
    </row>
    <row r="78" spans="2:17" x14ac:dyDescent="0.3">
      <c r="B78" s="56">
        <v>45095</v>
      </c>
      <c r="C78" s="88">
        <v>305.60000000000002</v>
      </c>
      <c r="D78" s="77">
        <f t="shared" si="4"/>
        <v>-1.7342931937172845E-2</v>
      </c>
      <c r="F78" s="56">
        <v>45095</v>
      </c>
      <c r="G78" s="88">
        <v>16011.8</v>
      </c>
      <c r="H78" s="77">
        <f t="shared" si="5"/>
        <v>2.6118237799622745E-2</v>
      </c>
    </row>
    <row r="79" spans="2:17" x14ac:dyDescent="0.3">
      <c r="B79" s="56">
        <v>45088</v>
      </c>
      <c r="C79" s="88">
        <v>301.83</v>
      </c>
      <c r="D79" s="77">
        <f t="shared" si="4"/>
        <v>1.2490474770566307E-2</v>
      </c>
      <c r="F79" s="56">
        <v>45088</v>
      </c>
      <c r="G79" s="88">
        <v>16181.45</v>
      </c>
      <c r="H79" s="77">
        <f t="shared" si="5"/>
        <v>-1.0484227309666361E-2</v>
      </c>
    </row>
    <row r="80" spans="2:17" x14ac:dyDescent="0.3">
      <c r="B80" s="56">
        <v>45081</v>
      </c>
      <c r="C80" s="88">
        <v>289.07</v>
      </c>
      <c r="D80" s="77">
        <f t="shared" si="4"/>
        <v>4.4141557408240217E-2</v>
      </c>
      <c r="F80" s="56">
        <v>45081</v>
      </c>
      <c r="G80" s="88">
        <v>15877.4</v>
      </c>
      <c r="H80" s="77">
        <f t="shared" si="5"/>
        <v>1.914986080844483E-2</v>
      </c>
    </row>
    <row r="81" spans="2:8" x14ac:dyDescent="0.3">
      <c r="B81" s="56">
        <v>45074</v>
      </c>
      <c r="C81" s="88">
        <v>284.07</v>
      </c>
      <c r="D81" s="77">
        <f t="shared" si="4"/>
        <v>1.76012954553455E-2</v>
      </c>
      <c r="F81" s="56">
        <v>45074</v>
      </c>
      <c r="G81" s="88">
        <v>15811.2</v>
      </c>
      <c r="H81" s="77">
        <f t="shared" si="5"/>
        <v>4.1869054847196718E-3</v>
      </c>
    </row>
    <row r="82" spans="2:8" x14ac:dyDescent="0.3">
      <c r="B82" s="56">
        <v>45067</v>
      </c>
      <c r="C82" s="88">
        <v>273.52999999999997</v>
      </c>
      <c r="D82" s="77">
        <f t="shared" si="4"/>
        <v>3.853325046612821E-2</v>
      </c>
      <c r="F82" s="56">
        <v>45067</v>
      </c>
      <c r="G82" s="88">
        <v>15696.75</v>
      </c>
      <c r="H82" s="77">
        <f t="shared" si="5"/>
        <v>7.2913182665201859E-3</v>
      </c>
    </row>
    <row r="83" spans="2:8" x14ac:dyDescent="0.3">
      <c r="B83" s="56">
        <v>45060</v>
      </c>
      <c r="C83" s="88">
        <v>272.27</v>
      </c>
      <c r="D83" s="77">
        <f t="shared" si="4"/>
        <v>4.6277592096080067E-3</v>
      </c>
      <c r="F83" s="56">
        <v>45060</v>
      </c>
      <c r="G83" s="88">
        <v>15407.55</v>
      </c>
      <c r="H83" s="77">
        <f t="shared" si="5"/>
        <v>1.8770018594779891E-2</v>
      </c>
    </row>
    <row r="84" spans="2:8" x14ac:dyDescent="0.3">
      <c r="B84" s="56">
        <v>45053</v>
      </c>
      <c r="C84" s="88">
        <v>278.89999999999998</v>
      </c>
      <c r="D84" s="77">
        <f t="shared" si="4"/>
        <v>-2.377196127644321E-2</v>
      </c>
      <c r="F84" s="56">
        <v>45053</v>
      </c>
      <c r="G84" s="88">
        <v>15477.35</v>
      </c>
      <c r="H84" s="77">
        <f t="shared" si="5"/>
        <v>-4.509815956866059E-3</v>
      </c>
    </row>
    <row r="85" spans="2:8" x14ac:dyDescent="0.3">
      <c r="B85" s="56">
        <v>45046</v>
      </c>
      <c r="C85" s="88">
        <v>262.77</v>
      </c>
      <c r="D85" s="77">
        <f t="shared" si="4"/>
        <v>6.138448072458802E-2</v>
      </c>
      <c r="F85" s="56">
        <v>45046</v>
      </c>
      <c r="G85" s="88">
        <v>15278.6</v>
      </c>
      <c r="H85" s="77">
        <f t="shared" si="5"/>
        <v>1.3008390821148463E-2</v>
      </c>
    </row>
    <row r="86" spans="2:8" x14ac:dyDescent="0.3">
      <c r="B86" s="56">
        <v>45039</v>
      </c>
      <c r="C86" s="88">
        <v>253.43</v>
      </c>
      <c r="D86" s="77">
        <f t="shared" si="4"/>
        <v>3.6854358205421489E-2</v>
      </c>
      <c r="F86" s="56">
        <v>45039</v>
      </c>
      <c r="G86" s="88">
        <v>15219.55</v>
      </c>
      <c r="H86" s="77">
        <f t="shared" si="5"/>
        <v>3.8798781829949558E-3</v>
      </c>
    </row>
    <row r="87" spans="2:8" x14ac:dyDescent="0.3">
      <c r="B87" s="56">
        <v>45032</v>
      </c>
      <c r="C87" s="88">
        <v>254.83</v>
      </c>
      <c r="D87" s="77">
        <f t="shared" si="4"/>
        <v>-5.4938586508652687E-3</v>
      </c>
      <c r="F87" s="56">
        <v>45032</v>
      </c>
      <c r="G87" s="88">
        <v>14847.1</v>
      </c>
      <c r="H87" s="77">
        <f t="shared" si="5"/>
        <v>2.508570697307877E-2</v>
      </c>
    </row>
    <row r="88" spans="2:8" x14ac:dyDescent="0.3">
      <c r="B88" s="56">
        <v>45025</v>
      </c>
      <c r="C88" s="88">
        <v>254.13</v>
      </c>
      <c r="D88" s="77">
        <f t="shared" si="4"/>
        <v>2.7544957305316586E-3</v>
      </c>
      <c r="F88" s="56">
        <v>45025</v>
      </c>
      <c r="G88" s="88">
        <v>14954.25</v>
      </c>
      <c r="H88" s="77">
        <f t="shared" si="5"/>
        <v>-7.1651871541534851E-3</v>
      </c>
    </row>
    <row r="89" spans="2:8" x14ac:dyDescent="0.3">
      <c r="B89" s="56">
        <v>45018</v>
      </c>
      <c r="C89" s="88">
        <v>261.27</v>
      </c>
      <c r="D89" s="77">
        <f t="shared" si="4"/>
        <v>-2.7328051441038004E-2</v>
      </c>
      <c r="F89" s="56">
        <v>45018</v>
      </c>
      <c r="G89" s="88">
        <v>14759.2</v>
      </c>
      <c r="H89" s="77">
        <f t="shared" si="5"/>
        <v>1.3215485934196858E-2</v>
      </c>
    </row>
    <row r="90" spans="2:8" x14ac:dyDescent="0.3">
      <c r="B90" s="56">
        <v>45011</v>
      </c>
      <c r="C90" s="88">
        <v>257.87</v>
      </c>
      <c r="D90" s="77">
        <f t="shared" si="4"/>
        <v>1.3184938147128289E-2</v>
      </c>
      <c r="F90" s="56">
        <v>45011</v>
      </c>
      <c r="G90" s="88">
        <v>14557.85</v>
      </c>
      <c r="H90" s="77">
        <f t="shared" si="5"/>
        <v>1.3831025872639291E-2</v>
      </c>
    </row>
    <row r="91" spans="2:8" x14ac:dyDescent="0.3">
      <c r="B91" s="56">
        <v>45004</v>
      </c>
      <c r="C91" s="88">
        <v>256.27</v>
      </c>
      <c r="D91" s="77">
        <f t="shared" si="4"/>
        <v>6.2434151480861289E-3</v>
      </c>
      <c r="F91" s="56">
        <v>45004</v>
      </c>
      <c r="G91" s="88">
        <v>14279</v>
      </c>
      <c r="H91" s="77">
        <f t="shared" si="5"/>
        <v>1.9528678478885064E-2</v>
      </c>
    </row>
    <row r="92" spans="2:8" x14ac:dyDescent="0.3">
      <c r="B92" s="56">
        <v>44997</v>
      </c>
      <c r="C92" s="88">
        <v>266.13</v>
      </c>
      <c r="D92" s="77">
        <f t="shared" si="4"/>
        <v>-3.7049562244016121E-2</v>
      </c>
      <c r="F92" s="56">
        <v>44997</v>
      </c>
      <c r="G92" s="88">
        <v>14420.85</v>
      </c>
      <c r="H92" s="77">
        <f t="shared" si="5"/>
        <v>-9.8364520815347189E-3</v>
      </c>
    </row>
    <row r="93" spans="2:8" x14ac:dyDescent="0.3">
      <c r="B93" s="56">
        <v>44990</v>
      </c>
      <c r="C93" s="88">
        <v>272.17</v>
      </c>
      <c r="D93" s="77">
        <f t="shared" si="4"/>
        <v>-2.2192012345225498E-2</v>
      </c>
      <c r="F93" s="56">
        <v>44990</v>
      </c>
      <c r="G93" s="88">
        <v>14679.85</v>
      </c>
      <c r="H93" s="77">
        <f t="shared" si="5"/>
        <v>-1.7643232049373792E-2</v>
      </c>
    </row>
    <row r="94" spans="2:8" x14ac:dyDescent="0.3">
      <c r="B94" s="56">
        <v>44983</v>
      </c>
      <c r="C94" s="88">
        <v>273.73</v>
      </c>
      <c r="D94" s="77">
        <f t="shared" si="4"/>
        <v>-5.6990465056807604E-3</v>
      </c>
      <c r="F94" s="56">
        <v>44983</v>
      </c>
      <c r="G94" s="88">
        <v>14774.75</v>
      </c>
      <c r="H94" s="77">
        <f t="shared" si="5"/>
        <v>-6.423120526574011E-3</v>
      </c>
    </row>
    <row r="95" spans="2:8" x14ac:dyDescent="0.3">
      <c r="B95" s="56">
        <v>44976</v>
      </c>
      <c r="C95" s="88">
        <v>279.47000000000003</v>
      </c>
      <c r="D95" s="77">
        <f t="shared" si="4"/>
        <v>-2.0538877160339197E-2</v>
      </c>
      <c r="F95" s="56">
        <v>44976</v>
      </c>
      <c r="G95" s="88">
        <v>14630.45</v>
      </c>
      <c r="H95" s="77">
        <f t="shared" si="5"/>
        <v>9.8629912272008013E-3</v>
      </c>
    </row>
    <row r="96" spans="2:8" x14ac:dyDescent="0.3">
      <c r="B96" s="56">
        <v>44969</v>
      </c>
      <c r="C96" s="88">
        <v>276.43</v>
      </c>
      <c r="D96" s="77">
        <f t="shared" si="4"/>
        <v>1.0997359186774247E-2</v>
      </c>
      <c r="F96" s="56">
        <v>44969</v>
      </c>
      <c r="G96" s="88">
        <v>15003.95</v>
      </c>
      <c r="H96" s="77">
        <f t="shared" si="5"/>
        <v>-2.4893444726222125E-2</v>
      </c>
    </row>
    <row r="97" spans="2:8" x14ac:dyDescent="0.3">
      <c r="B97" s="56">
        <v>44962</v>
      </c>
      <c r="C97" s="88">
        <v>279.73</v>
      </c>
      <c r="D97" s="77">
        <f t="shared" si="4"/>
        <v>-1.1797090051120729E-2</v>
      </c>
      <c r="F97" s="56">
        <v>44962</v>
      </c>
      <c r="G97" s="88">
        <v>15015.85</v>
      </c>
      <c r="H97" s="77">
        <f t="shared" si="5"/>
        <v>-7.9249592930130675E-4</v>
      </c>
    </row>
    <row r="98" spans="2:8" x14ac:dyDescent="0.3">
      <c r="B98" s="56">
        <v>44955</v>
      </c>
      <c r="C98" s="88">
        <v>278.43</v>
      </c>
      <c r="D98" s="77">
        <f t="shared" si="4"/>
        <v>4.6690371008870635E-3</v>
      </c>
      <c r="F98" s="56">
        <v>44955</v>
      </c>
      <c r="G98" s="88">
        <v>14962.35</v>
      </c>
      <c r="H98" s="77">
        <f t="shared" si="5"/>
        <v>3.5756415268992647E-3</v>
      </c>
    </row>
    <row r="99" spans="2:8" x14ac:dyDescent="0.3">
      <c r="B99" s="56">
        <v>44948</v>
      </c>
      <c r="C99" s="88">
        <v>273.57</v>
      </c>
      <c r="D99" s="77">
        <f t="shared" si="4"/>
        <v>1.7765105823007055E-2</v>
      </c>
      <c r="F99" s="56">
        <v>44948</v>
      </c>
      <c r="G99" s="88">
        <v>14874.75</v>
      </c>
      <c r="H99" s="77">
        <f t="shared" si="5"/>
        <v>5.889174607976555E-3</v>
      </c>
    </row>
    <row r="100" spans="2:8" x14ac:dyDescent="0.3">
      <c r="B100" s="56">
        <v>44941</v>
      </c>
      <c r="C100" s="88">
        <v>279.02999999999997</v>
      </c>
      <c r="D100" s="77">
        <f t="shared" si="4"/>
        <v>-1.9567788409848297E-2</v>
      </c>
      <c r="F100" s="56">
        <v>44941</v>
      </c>
      <c r="G100" s="88">
        <v>15347.9</v>
      </c>
      <c r="H100" s="77">
        <f t="shared" si="5"/>
        <v>-3.0828321789951652E-2</v>
      </c>
    </row>
    <row r="101" spans="2:8" x14ac:dyDescent="0.3">
      <c r="B101" s="56">
        <v>44934</v>
      </c>
      <c r="C101" s="88">
        <v>275.60000000000002</v>
      </c>
      <c r="D101" s="77">
        <f t="shared" si="4"/>
        <v>1.2445573294629808E-2</v>
      </c>
      <c r="F101" s="56">
        <v>44934</v>
      </c>
      <c r="G101" s="88">
        <v>15346.1</v>
      </c>
      <c r="H101" s="77">
        <f t="shared" si="5"/>
        <v>1.1729364463941572E-4</v>
      </c>
    </row>
    <row r="102" spans="2:8" x14ac:dyDescent="0.3">
      <c r="B102" s="56">
        <v>44927</v>
      </c>
      <c r="C102" s="88">
        <v>279.60000000000002</v>
      </c>
      <c r="D102" s="77">
        <f t="shared" si="4"/>
        <v>-1.4306151645207432E-2</v>
      </c>
      <c r="F102" s="56">
        <v>44927</v>
      </c>
      <c r="G102" s="88">
        <v>15272</v>
      </c>
      <c r="H102" s="77">
        <f t="shared" si="5"/>
        <v>4.8520167627030819E-3</v>
      </c>
    </row>
    <row r="103" spans="2:8" x14ac:dyDescent="0.3">
      <c r="B103" s="56">
        <v>44920</v>
      </c>
      <c r="C103" s="88">
        <v>292.83</v>
      </c>
      <c r="D103" s="77">
        <f t="shared" si="4"/>
        <v>-4.5179797151930989E-2</v>
      </c>
      <c r="F103" s="56">
        <v>44920</v>
      </c>
      <c r="G103" s="88">
        <v>15448.85</v>
      </c>
      <c r="H103" s="77">
        <f t="shared" si="5"/>
        <v>-1.1447454017612935E-2</v>
      </c>
    </row>
    <row r="104" spans="2:8" x14ac:dyDescent="0.3">
      <c r="B104" s="56">
        <v>44913</v>
      </c>
      <c r="C104" s="88">
        <v>281.97000000000003</v>
      </c>
      <c r="D104" s="77">
        <f t="shared" si="4"/>
        <v>3.8514735610171158E-2</v>
      </c>
      <c r="F104" s="56">
        <v>44913</v>
      </c>
      <c r="G104" s="88">
        <v>15046</v>
      </c>
      <c r="H104" s="77">
        <f t="shared" si="5"/>
        <v>2.6774558022065742E-2</v>
      </c>
    </row>
    <row r="105" spans="2:8" x14ac:dyDescent="0.3">
      <c r="B105" s="56">
        <v>44906</v>
      </c>
      <c r="C105" s="88">
        <v>286.47000000000003</v>
      </c>
      <c r="D105" s="77">
        <f t="shared" si="4"/>
        <v>-1.5708451146716929E-2</v>
      </c>
      <c r="F105" s="56">
        <v>44906</v>
      </c>
      <c r="G105" s="88">
        <v>15636.35</v>
      </c>
      <c r="H105" s="77">
        <f t="shared" si="5"/>
        <v>-3.7754974786315287E-2</v>
      </c>
    </row>
    <row r="106" spans="2:8" x14ac:dyDescent="0.3">
      <c r="B106" s="56">
        <v>44899</v>
      </c>
      <c r="C106" s="88">
        <v>297.77</v>
      </c>
      <c r="D106" s="77">
        <f t="shared" si="4"/>
        <v>-3.7948752392786278E-2</v>
      </c>
      <c r="F106" s="56">
        <v>44899</v>
      </c>
      <c r="G106" s="88">
        <v>15812.75</v>
      </c>
      <c r="H106" s="77">
        <f t="shared" si="5"/>
        <v>-1.1155554852887661E-2</v>
      </c>
    </row>
    <row r="107" spans="2:8" x14ac:dyDescent="0.3">
      <c r="B107" s="56">
        <v>44892</v>
      </c>
      <c r="C107" s="88">
        <v>293.8</v>
      </c>
      <c r="D107" s="77">
        <f t="shared" si="4"/>
        <v>1.351259360108914E-2</v>
      </c>
      <c r="F107" s="56">
        <v>44892</v>
      </c>
      <c r="G107" s="88">
        <v>15963.5</v>
      </c>
      <c r="H107" s="77">
        <f t="shared" si="5"/>
        <v>-9.4434177968490962E-3</v>
      </c>
    </row>
    <row r="108" spans="2:8" x14ac:dyDescent="0.3">
      <c r="B108" s="56">
        <v>44885</v>
      </c>
      <c r="C108" s="88">
        <v>290.2</v>
      </c>
      <c r="D108" s="77">
        <f t="shared" si="4"/>
        <v>1.2405237767057375E-2</v>
      </c>
      <c r="F108" s="56">
        <v>44885</v>
      </c>
      <c r="G108" s="88">
        <v>15727.25</v>
      </c>
      <c r="H108" s="77">
        <f t="shared" si="5"/>
        <v>1.5021698008234052E-2</v>
      </c>
    </row>
    <row r="109" spans="2:8" x14ac:dyDescent="0.3">
      <c r="B109" s="56">
        <v>44878</v>
      </c>
      <c r="C109" s="88">
        <v>289.39999999999998</v>
      </c>
      <c r="D109" s="77">
        <f t="shared" si="4"/>
        <v>2.7643400138217533E-3</v>
      </c>
      <c r="F109" s="56">
        <v>44878</v>
      </c>
      <c r="G109" s="88">
        <v>15550.85</v>
      </c>
      <c r="H109" s="77">
        <f t="shared" si="5"/>
        <v>1.1343431387994762E-2</v>
      </c>
    </row>
    <row r="110" spans="2:8" x14ac:dyDescent="0.3">
      <c r="B110" s="56">
        <v>44871</v>
      </c>
      <c r="C110" s="89">
        <v>298.33</v>
      </c>
      <c r="D110" s="77">
        <f t="shared" si="4"/>
        <v>-2.9933295344082067E-2</v>
      </c>
      <c r="F110" s="56">
        <v>44871</v>
      </c>
      <c r="G110" s="89">
        <v>15649.1</v>
      </c>
      <c r="H110" s="77">
        <f t="shared" si="5"/>
        <v>-6.2783163249005014E-3</v>
      </c>
    </row>
    <row r="111" spans="2:8" x14ac:dyDescent="0.3">
      <c r="B111" s="56">
        <v>44864</v>
      </c>
      <c r="C111" s="89">
        <v>298.67</v>
      </c>
      <c r="D111" s="77">
        <f t="shared" si="4"/>
        <v>-1.13838015200729E-3</v>
      </c>
      <c r="F111" s="56">
        <v>44864</v>
      </c>
      <c r="G111" s="89">
        <v>15530.85</v>
      </c>
      <c r="H111" s="77">
        <f t="shared" si="5"/>
        <v>7.6138781843877457E-3</v>
      </c>
    </row>
    <row r="112" spans="2:8" x14ac:dyDescent="0.3">
      <c r="B112" s="56">
        <v>44857</v>
      </c>
      <c r="C112" s="89">
        <v>317.47000000000003</v>
      </c>
      <c r="D112" s="77">
        <f t="shared" si="4"/>
        <v>-5.9218193845087752E-2</v>
      </c>
      <c r="F112" s="56">
        <v>44857</v>
      </c>
      <c r="G112" s="89">
        <v>15241.6</v>
      </c>
      <c r="H112" s="77">
        <f t="shared" si="5"/>
        <v>1.8977666386731151E-2</v>
      </c>
    </row>
    <row r="113" spans="2:8" x14ac:dyDescent="0.3">
      <c r="B113" s="56">
        <v>44850</v>
      </c>
      <c r="C113" s="89">
        <v>319.47000000000003</v>
      </c>
      <c r="D113" s="77">
        <f t="shared" si="4"/>
        <v>-6.2603687357185578E-3</v>
      </c>
      <c r="F113" s="56">
        <v>44850</v>
      </c>
      <c r="G113" s="89">
        <v>15081.1</v>
      </c>
      <c r="H113" s="77">
        <f t="shared" si="5"/>
        <v>1.0642459767523649E-2</v>
      </c>
    </row>
    <row r="114" spans="2:8" x14ac:dyDescent="0.3">
      <c r="B114" s="56">
        <v>44843</v>
      </c>
      <c r="C114" s="89">
        <v>320.89999999999998</v>
      </c>
      <c r="D114" s="77">
        <f t="shared" si="4"/>
        <v>-4.4562168899967558E-3</v>
      </c>
      <c r="F114" s="56">
        <v>44843</v>
      </c>
      <c r="G114" s="89">
        <v>14815.1</v>
      </c>
      <c r="H114" s="77">
        <f t="shared" si="5"/>
        <v>1.7954654372903223E-2</v>
      </c>
    </row>
    <row r="115" spans="2:8" x14ac:dyDescent="0.3">
      <c r="B115" s="56">
        <v>44836</v>
      </c>
      <c r="C115" s="89">
        <v>317.07</v>
      </c>
      <c r="D115" s="77">
        <f t="shared" si="4"/>
        <v>1.2079351562746421E-2</v>
      </c>
      <c r="F115" s="56">
        <v>44836</v>
      </c>
      <c r="G115" s="89">
        <v>15036.7</v>
      </c>
      <c r="H115" s="77">
        <f t="shared" si="5"/>
        <v>-1.4737276131066013E-2</v>
      </c>
    </row>
    <row r="116" spans="2:8" x14ac:dyDescent="0.3">
      <c r="B116" s="56">
        <v>44829</v>
      </c>
      <c r="C116" s="89">
        <v>326.43</v>
      </c>
      <c r="D116" s="77">
        <f t="shared" si="4"/>
        <v>-2.8673835125448077E-2</v>
      </c>
      <c r="F116" s="56">
        <v>44829</v>
      </c>
      <c r="G116" s="89">
        <v>14829.35</v>
      </c>
      <c r="H116" s="77">
        <f t="shared" si="5"/>
        <v>1.3982406511411583E-2</v>
      </c>
    </row>
    <row r="117" spans="2:8" x14ac:dyDescent="0.3">
      <c r="B117" s="56">
        <v>44822</v>
      </c>
      <c r="C117" s="89">
        <v>319.39999999999998</v>
      </c>
      <c r="D117" s="77">
        <f t="shared" si="4"/>
        <v>2.2010018785222352E-2</v>
      </c>
      <c r="F117" s="56">
        <v>44822</v>
      </c>
      <c r="G117" s="89">
        <v>15057.65</v>
      </c>
      <c r="H117" s="77">
        <f t="shared" si="5"/>
        <v>-1.5161728423757959E-2</v>
      </c>
    </row>
    <row r="118" spans="2:8" x14ac:dyDescent="0.3">
      <c r="B118" s="56">
        <v>44815</v>
      </c>
      <c r="C118" s="89">
        <v>319.93</v>
      </c>
      <c r="D118" s="77">
        <f t="shared" si="4"/>
        <v>-1.6566123839590885E-3</v>
      </c>
      <c r="F118" s="56">
        <v>44815</v>
      </c>
      <c r="G118" s="89">
        <v>15243.95</v>
      </c>
      <c r="H118" s="77">
        <f t="shared" si="5"/>
        <v>-1.2221241869725397E-2</v>
      </c>
    </row>
    <row r="119" spans="2:8" x14ac:dyDescent="0.3">
      <c r="B119" s="56">
        <v>44808</v>
      </c>
      <c r="C119" s="89">
        <v>342.27</v>
      </c>
      <c r="D119" s="77">
        <f t="shared" si="4"/>
        <v>-6.5270108393957971E-2</v>
      </c>
      <c r="F119" s="56">
        <v>44808</v>
      </c>
      <c r="G119" s="89">
        <v>15467.4</v>
      </c>
      <c r="H119" s="77">
        <f t="shared" si="5"/>
        <v>-1.4446513311868747E-2</v>
      </c>
    </row>
    <row r="120" spans="2:8" x14ac:dyDescent="0.3">
      <c r="B120" s="56">
        <v>44801</v>
      </c>
      <c r="C120" s="89">
        <v>333.13</v>
      </c>
      <c r="D120" s="77">
        <f t="shared" si="4"/>
        <v>2.7436736409209628E-2</v>
      </c>
      <c r="F120" s="56">
        <v>44801</v>
      </c>
      <c r="G120" s="89">
        <v>15201.6</v>
      </c>
      <c r="H120" s="77">
        <f t="shared" si="5"/>
        <v>1.7485001578781079E-2</v>
      </c>
    </row>
    <row r="121" spans="2:8" x14ac:dyDescent="0.3">
      <c r="B121" s="56">
        <v>44794</v>
      </c>
      <c r="C121" s="89">
        <v>328.6</v>
      </c>
      <c r="D121" s="77">
        <f t="shared" si="4"/>
        <v>1.378575776019475E-2</v>
      </c>
      <c r="F121" s="56">
        <v>44794</v>
      </c>
      <c r="G121" s="89">
        <v>15147.55</v>
      </c>
      <c r="H121" s="77">
        <f t="shared" si="5"/>
        <v>3.5682338067872799E-3</v>
      </c>
    </row>
    <row r="122" spans="2:8" x14ac:dyDescent="0.3">
      <c r="B122" s="56">
        <v>44787</v>
      </c>
      <c r="C122" s="89">
        <v>337.13</v>
      </c>
      <c r="D122" s="77">
        <f t="shared" si="4"/>
        <v>-2.5301812357250819E-2</v>
      </c>
      <c r="F122" s="56">
        <v>44787</v>
      </c>
      <c r="G122" s="89">
        <v>15236.65</v>
      </c>
      <c r="H122" s="77">
        <f t="shared" si="5"/>
        <v>-5.8477421217918435E-3</v>
      </c>
    </row>
    <row r="123" spans="2:8" x14ac:dyDescent="0.3">
      <c r="B123" s="56">
        <v>44780</v>
      </c>
      <c r="C123" s="89">
        <v>329.5</v>
      </c>
      <c r="D123" s="77">
        <f t="shared" si="4"/>
        <v>2.3156297420333871E-2</v>
      </c>
      <c r="F123" s="56">
        <v>44780</v>
      </c>
      <c r="G123" s="89">
        <v>15140.55</v>
      </c>
      <c r="H123" s="77">
        <f t="shared" si="5"/>
        <v>6.3471934639098837E-3</v>
      </c>
    </row>
    <row r="124" spans="2:8" x14ac:dyDescent="0.3">
      <c r="B124" s="56">
        <v>44773</v>
      </c>
      <c r="C124" s="89">
        <v>334.3</v>
      </c>
      <c r="D124" s="77">
        <f t="shared" si="4"/>
        <v>-1.4358360753814026E-2</v>
      </c>
      <c r="F124" s="56">
        <v>44773</v>
      </c>
      <c r="G124" s="89">
        <v>14900.4</v>
      </c>
      <c r="H124" s="77">
        <f t="shared" si="5"/>
        <v>1.6117016992832411E-2</v>
      </c>
    </row>
    <row r="125" spans="2:8" x14ac:dyDescent="0.3">
      <c r="B125" s="56">
        <v>44766</v>
      </c>
      <c r="C125" s="89">
        <v>266.67</v>
      </c>
      <c r="D125" s="77">
        <f t="shared" si="4"/>
        <v>0.25360932988337637</v>
      </c>
      <c r="F125" s="56">
        <v>44766</v>
      </c>
      <c r="G125" s="89">
        <v>14665.65</v>
      </c>
      <c r="H125" s="77">
        <f t="shared" si="5"/>
        <v>1.6006791379856944E-2</v>
      </c>
    </row>
    <row r="126" spans="2:8" x14ac:dyDescent="0.3">
      <c r="B126" s="56">
        <v>44759</v>
      </c>
      <c r="C126" s="89">
        <v>268.10000000000002</v>
      </c>
      <c r="D126" s="77">
        <f t="shared" si="4"/>
        <v>-5.3338306602014329E-3</v>
      </c>
      <c r="F126" s="56">
        <v>44759</v>
      </c>
      <c r="G126" s="89">
        <v>14336.6</v>
      </c>
      <c r="H126" s="77">
        <f t="shared" si="5"/>
        <v>2.2951745881171215E-2</v>
      </c>
    </row>
    <row r="127" spans="2:8" x14ac:dyDescent="0.3">
      <c r="B127" s="56">
        <v>44752</v>
      </c>
      <c r="C127" s="89">
        <v>261</v>
      </c>
      <c r="D127" s="77">
        <f t="shared" si="4"/>
        <v>2.7203065134099758E-2</v>
      </c>
      <c r="F127" s="56">
        <v>44752</v>
      </c>
      <c r="G127" s="89">
        <v>13790.2</v>
      </c>
      <c r="H127" s="77">
        <f t="shared" si="5"/>
        <v>3.9622340502675879E-2</v>
      </c>
    </row>
    <row r="128" spans="2:8" x14ac:dyDescent="0.3">
      <c r="B128" s="56">
        <v>44745</v>
      </c>
      <c r="C128" s="89">
        <v>260.57</v>
      </c>
      <c r="D128" s="77">
        <f t="shared" si="4"/>
        <v>1.6502283455501754E-3</v>
      </c>
      <c r="F128" s="56">
        <v>44745</v>
      </c>
      <c r="G128" s="89">
        <v>13828.25</v>
      </c>
      <c r="H128" s="77">
        <f t="shared" si="5"/>
        <v>-2.7516135447362977E-3</v>
      </c>
    </row>
    <row r="129" spans="2:8" x14ac:dyDescent="0.3">
      <c r="B129" s="56">
        <v>44738</v>
      </c>
      <c r="C129" s="89">
        <v>248.3</v>
      </c>
      <c r="D129" s="77">
        <f t="shared" si="4"/>
        <v>4.9416028997180783E-2</v>
      </c>
      <c r="F129" s="56">
        <v>44738</v>
      </c>
      <c r="G129" s="89">
        <v>13394.45</v>
      </c>
      <c r="H129" s="77">
        <f t="shared" si="5"/>
        <v>3.2386548159872186E-2</v>
      </c>
    </row>
    <row r="130" spans="2:8" x14ac:dyDescent="0.3">
      <c r="B130" s="56">
        <v>44731</v>
      </c>
      <c r="C130" s="89">
        <v>248.8</v>
      </c>
      <c r="D130" s="77">
        <f t="shared" si="4"/>
        <v>-2.009646302250756E-3</v>
      </c>
      <c r="F130" s="56">
        <v>44731</v>
      </c>
      <c r="G130" s="89">
        <v>13322.5</v>
      </c>
      <c r="H130" s="77">
        <f t="shared" si="5"/>
        <v>5.4006380183899694E-3</v>
      </c>
    </row>
    <row r="131" spans="2:8" x14ac:dyDescent="0.3">
      <c r="B131" s="56">
        <v>44724</v>
      </c>
      <c r="C131" s="89">
        <v>247.23</v>
      </c>
      <c r="D131" s="77">
        <f t="shared" si="4"/>
        <v>6.3503620110829662E-3</v>
      </c>
      <c r="F131" s="56">
        <v>44724</v>
      </c>
      <c r="G131" s="89">
        <v>12994.75</v>
      </c>
      <c r="H131" s="77">
        <f t="shared" si="5"/>
        <v>2.522172415783297E-2</v>
      </c>
    </row>
    <row r="132" spans="2:8" x14ac:dyDescent="0.3">
      <c r="B132" s="56">
        <v>44717</v>
      </c>
      <c r="C132" s="89">
        <v>266.07</v>
      </c>
      <c r="D132" s="77">
        <f t="shared" si="4"/>
        <v>-7.0808433870785947E-2</v>
      </c>
      <c r="F132" s="56">
        <v>44717</v>
      </c>
      <c r="G132" s="89">
        <v>13781.75</v>
      </c>
      <c r="H132" s="77">
        <f t="shared" si="5"/>
        <v>-5.7104504144974366E-2</v>
      </c>
    </row>
    <row r="133" spans="2:8" x14ac:dyDescent="0.3">
      <c r="B133" s="56">
        <v>44710</v>
      </c>
      <c r="C133" s="89">
        <v>275.23</v>
      </c>
      <c r="D133" s="77">
        <f t="shared" si="4"/>
        <v>-3.3281255677070187E-2</v>
      </c>
      <c r="F133" s="56">
        <v>44710</v>
      </c>
      <c r="G133" s="89">
        <v>14077.9</v>
      </c>
      <c r="H133" s="77">
        <f t="shared" si="5"/>
        <v>-2.1036518230701962E-2</v>
      </c>
    </row>
    <row r="134" spans="2:8" x14ac:dyDescent="0.3">
      <c r="B134" s="56">
        <v>44703</v>
      </c>
      <c r="C134" s="89">
        <v>269.89999999999998</v>
      </c>
      <c r="D134" s="77">
        <f t="shared" ref="D134:D160" si="6">C133/C134-1</f>
        <v>1.9748054835124318E-2</v>
      </c>
      <c r="F134" s="56">
        <v>44703</v>
      </c>
      <c r="G134" s="89">
        <v>13873.15</v>
      </c>
      <c r="H134" s="77">
        <f t="shared" ref="H134:H160" si="7">G133/G134-1</f>
        <v>1.4758724586701577E-2</v>
      </c>
    </row>
    <row r="135" spans="2:8" x14ac:dyDescent="0.3">
      <c r="B135" s="56">
        <v>44696</v>
      </c>
      <c r="C135" s="89">
        <v>265.8</v>
      </c>
      <c r="D135" s="77">
        <f t="shared" si="6"/>
        <v>1.542513167795323E-2</v>
      </c>
      <c r="F135" s="56">
        <v>44696</v>
      </c>
      <c r="G135" s="89">
        <v>13895.05</v>
      </c>
      <c r="H135" s="77">
        <f t="shared" si="7"/>
        <v>-1.5761008416665945E-3</v>
      </c>
    </row>
    <row r="136" spans="2:8" x14ac:dyDescent="0.3">
      <c r="B136" s="56">
        <v>44689</v>
      </c>
      <c r="C136" s="89">
        <v>265.39999999999998</v>
      </c>
      <c r="D136" s="77">
        <f t="shared" si="6"/>
        <v>1.5071590052750938E-3</v>
      </c>
      <c r="F136" s="56">
        <v>44689</v>
      </c>
      <c r="G136" s="89">
        <v>13471.5</v>
      </c>
      <c r="H136" s="77">
        <f t="shared" si="7"/>
        <v>3.1440448353932338E-2</v>
      </c>
    </row>
    <row r="137" spans="2:8" x14ac:dyDescent="0.3">
      <c r="B137" s="56">
        <v>44682</v>
      </c>
      <c r="C137" s="89">
        <v>300.87</v>
      </c>
      <c r="D137" s="77">
        <f t="shared" si="6"/>
        <v>-0.11789144813374552</v>
      </c>
      <c r="F137" s="56">
        <v>44682</v>
      </c>
      <c r="G137" s="89">
        <v>14145.75</v>
      </c>
      <c r="H137" s="77">
        <f t="shared" si="7"/>
        <v>-4.7664492868882857E-2</v>
      </c>
    </row>
    <row r="138" spans="2:8" x14ac:dyDescent="0.3">
      <c r="B138" s="56">
        <v>44675</v>
      </c>
      <c r="C138" s="89">
        <v>313.02999999999997</v>
      </c>
      <c r="D138" s="77">
        <f t="shared" si="6"/>
        <v>-3.8846116985592372E-2</v>
      </c>
      <c r="F138" s="56">
        <v>44675</v>
      </c>
      <c r="G138" s="89">
        <v>14783.35</v>
      </c>
      <c r="H138" s="77">
        <f t="shared" si="7"/>
        <v>-4.3129601883199697E-2</v>
      </c>
    </row>
    <row r="139" spans="2:8" x14ac:dyDescent="0.3">
      <c r="B139" s="56">
        <v>44668</v>
      </c>
      <c r="C139" s="89">
        <v>313.2</v>
      </c>
      <c r="D139" s="77">
        <f t="shared" si="6"/>
        <v>-5.4278416347386393E-4</v>
      </c>
      <c r="F139" s="56">
        <v>44668</v>
      </c>
      <c r="G139" s="89">
        <v>14894.85</v>
      </c>
      <c r="H139" s="77">
        <f t="shared" si="7"/>
        <v>-7.4858088533956701E-3</v>
      </c>
    </row>
    <row r="140" spans="2:8" x14ac:dyDescent="0.3">
      <c r="B140" s="56">
        <v>44661</v>
      </c>
      <c r="C140" s="89">
        <v>310.02999999999997</v>
      </c>
      <c r="D140" s="77">
        <f t="shared" si="6"/>
        <v>1.0224816953198212E-2</v>
      </c>
      <c r="F140" s="56">
        <v>44661</v>
      </c>
      <c r="G140" s="89">
        <v>15138.55</v>
      </c>
      <c r="H140" s="77">
        <f t="shared" si="7"/>
        <v>-1.6097975037239309E-2</v>
      </c>
    </row>
    <row r="141" spans="2:8" x14ac:dyDescent="0.3">
      <c r="B141" s="56">
        <v>44654</v>
      </c>
      <c r="C141" s="89">
        <v>309.47000000000003</v>
      </c>
      <c r="D141" s="77">
        <f t="shared" si="6"/>
        <v>1.8095453517301685E-3</v>
      </c>
      <c r="F141" s="56">
        <v>44654</v>
      </c>
      <c r="G141" s="89">
        <v>15342.4</v>
      </c>
      <c r="H141" s="77">
        <f t="shared" si="7"/>
        <v>-1.3286708728751706E-2</v>
      </c>
    </row>
    <row r="142" spans="2:8" x14ac:dyDescent="0.3">
      <c r="B142" s="56">
        <v>44647</v>
      </c>
      <c r="C142" s="89">
        <v>313.2</v>
      </c>
      <c r="D142" s="77">
        <f t="shared" si="6"/>
        <v>-1.1909323116219506E-2</v>
      </c>
      <c r="F142" s="56">
        <v>44647</v>
      </c>
      <c r="G142" s="89">
        <v>15087.3</v>
      </c>
      <c r="H142" s="77">
        <f t="shared" si="7"/>
        <v>1.6908260590032809E-2</v>
      </c>
    </row>
    <row r="143" spans="2:8" x14ac:dyDescent="0.3">
      <c r="B143" s="56">
        <v>44640</v>
      </c>
      <c r="C143" s="89">
        <v>302.83</v>
      </c>
      <c r="D143" s="77">
        <f t="shared" si="6"/>
        <v>3.4243635042763287E-2</v>
      </c>
      <c r="F143" s="56">
        <v>44640</v>
      </c>
      <c r="G143" s="89">
        <v>14651.7</v>
      </c>
      <c r="H143" s="77">
        <f t="shared" si="7"/>
        <v>2.9730338459018402E-2</v>
      </c>
    </row>
    <row r="144" spans="2:8" x14ac:dyDescent="0.3">
      <c r="B144" s="56">
        <v>44633</v>
      </c>
      <c r="C144" s="89">
        <v>317.23</v>
      </c>
      <c r="D144" s="77">
        <f t="shared" si="6"/>
        <v>-4.5392932572581479E-2</v>
      </c>
      <c r="F144" s="56">
        <v>44633</v>
      </c>
      <c r="G144" s="89">
        <v>14721.7</v>
      </c>
      <c r="H144" s="77">
        <f t="shared" si="7"/>
        <v>-4.7548856450002619E-3</v>
      </c>
    </row>
    <row r="145" spans="2:16" x14ac:dyDescent="0.3">
      <c r="B145" s="56">
        <v>44626</v>
      </c>
      <c r="C145" s="89">
        <v>300.07</v>
      </c>
      <c r="D145" s="77">
        <f t="shared" si="6"/>
        <v>5.7186656446829076E-2</v>
      </c>
      <c r="F145" s="56">
        <v>44626</v>
      </c>
      <c r="G145" s="89">
        <v>14237.15</v>
      </c>
      <c r="H145" s="77">
        <f t="shared" si="7"/>
        <v>3.4034199260385867E-2</v>
      </c>
    </row>
    <row r="146" spans="2:16" x14ac:dyDescent="0.3">
      <c r="B146" s="56">
        <v>44619</v>
      </c>
      <c r="C146" s="89">
        <v>296.67</v>
      </c>
      <c r="D146" s="77">
        <f t="shared" si="6"/>
        <v>1.1460545387130372E-2</v>
      </c>
      <c r="F146" s="56">
        <v>44619</v>
      </c>
      <c r="G146" s="89">
        <v>13893.15</v>
      </c>
      <c r="H146" s="77">
        <f t="shared" si="7"/>
        <v>2.4760403508203632E-2</v>
      </c>
    </row>
    <row r="147" spans="2:16" x14ac:dyDescent="0.3">
      <c r="B147" s="56">
        <v>44612</v>
      </c>
      <c r="C147" s="89">
        <v>300.57</v>
      </c>
      <c r="D147" s="77">
        <f t="shared" si="6"/>
        <v>-1.2975346841001989E-2</v>
      </c>
      <c r="F147" s="56">
        <v>44612</v>
      </c>
      <c r="G147" s="89">
        <v>14187.4</v>
      </c>
      <c r="H147" s="77">
        <f t="shared" si="7"/>
        <v>-2.074023429240035E-2</v>
      </c>
    </row>
    <row r="148" spans="2:16" x14ac:dyDescent="0.3">
      <c r="B148" s="56">
        <v>44605</v>
      </c>
      <c r="C148" s="89">
        <v>329.77</v>
      </c>
      <c r="D148" s="77">
        <f t="shared" si="6"/>
        <v>-8.8546562755860148E-2</v>
      </c>
      <c r="F148" s="56">
        <v>44605</v>
      </c>
      <c r="G148" s="89">
        <v>14710.7</v>
      </c>
      <c r="H148" s="77">
        <f t="shared" si="7"/>
        <v>-3.5572746368289776E-2</v>
      </c>
    </row>
    <row r="149" spans="2:16" x14ac:dyDescent="0.3">
      <c r="B149" s="56">
        <v>44598</v>
      </c>
      <c r="C149" s="89">
        <v>331.67</v>
      </c>
      <c r="D149" s="77">
        <f t="shared" si="6"/>
        <v>-5.7285856423554549E-3</v>
      </c>
      <c r="F149" s="56">
        <v>44598</v>
      </c>
      <c r="G149" s="89">
        <v>14891.3</v>
      </c>
      <c r="H149" s="77">
        <f t="shared" si="7"/>
        <v>-1.2127886752667516E-2</v>
      </c>
    </row>
    <row r="150" spans="2:16" x14ac:dyDescent="0.3">
      <c r="B150" s="56">
        <v>44591</v>
      </c>
      <c r="C150" s="89">
        <v>360.47</v>
      </c>
      <c r="D150" s="77">
        <f t="shared" si="6"/>
        <v>-7.9895691735789365E-2</v>
      </c>
      <c r="F150" s="56">
        <v>44591</v>
      </c>
      <c r="G150" s="89">
        <v>15085.45</v>
      </c>
      <c r="H150" s="77">
        <f t="shared" si="7"/>
        <v>-1.2870017135717005E-2</v>
      </c>
    </row>
    <row r="151" spans="2:16" x14ac:dyDescent="0.3">
      <c r="B151" s="56">
        <v>44584</v>
      </c>
      <c r="C151" s="89">
        <v>380.27</v>
      </c>
      <c r="D151" s="77">
        <f t="shared" si="6"/>
        <v>-5.2068267283771896E-2</v>
      </c>
      <c r="F151" s="56">
        <v>44584</v>
      </c>
      <c r="G151" s="89">
        <v>14723.25</v>
      </c>
      <c r="H151" s="77">
        <f t="shared" si="7"/>
        <v>2.4600546754283137E-2</v>
      </c>
    </row>
    <row r="152" spans="2:16" x14ac:dyDescent="0.3">
      <c r="B152" s="56">
        <v>44577</v>
      </c>
      <c r="C152" s="89">
        <v>383.8</v>
      </c>
      <c r="D152" s="77">
        <f t="shared" si="6"/>
        <v>-9.1974986972381823E-3</v>
      </c>
      <c r="F152" s="56">
        <v>44577</v>
      </c>
      <c r="G152" s="89">
        <v>15180.8</v>
      </c>
      <c r="H152" s="77">
        <f t="shared" si="7"/>
        <v>-3.0140045320404707E-2</v>
      </c>
    </row>
    <row r="153" spans="2:16" x14ac:dyDescent="0.3">
      <c r="B153" s="56">
        <v>44570</v>
      </c>
      <c r="C153" s="89">
        <v>406.93</v>
      </c>
      <c r="D153" s="77">
        <f t="shared" si="6"/>
        <v>-5.6840242793600892E-2</v>
      </c>
      <c r="F153" s="56">
        <v>44570</v>
      </c>
      <c r="G153" s="89">
        <v>15730.4</v>
      </c>
      <c r="H153" s="77">
        <f t="shared" si="7"/>
        <v>-3.4938717387987595E-2</v>
      </c>
    </row>
    <row r="154" spans="2:16" x14ac:dyDescent="0.3">
      <c r="B154" s="56">
        <v>44563</v>
      </c>
      <c r="C154" s="89">
        <v>398.6</v>
      </c>
      <c r="D154" s="77">
        <f t="shared" si="6"/>
        <v>2.0898143502257938E-2</v>
      </c>
      <c r="F154" s="56">
        <v>44563</v>
      </c>
      <c r="G154" s="89">
        <v>15348.55</v>
      </c>
      <c r="H154" s="77">
        <f t="shared" si="7"/>
        <v>2.4878571591453236E-2</v>
      </c>
      <c r="P154" s="115"/>
    </row>
    <row r="155" spans="2:16" x14ac:dyDescent="0.3">
      <c r="B155" s="56">
        <v>44556</v>
      </c>
      <c r="C155" s="89">
        <v>394.13</v>
      </c>
      <c r="D155" s="77">
        <f t="shared" si="6"/>
        <v>1.1341435566945002E-2</v>
      </c>
      <c r="F155" s="56">
        <v>44556</v>
      </c>
      <c r="G155" s="89">
        <v>14996.2</v>
      </c>
      <c r="H155" s="77">
        <f t="shared" si="7"/>
        <v>2.34959523079179E-2</v>
      </c>
      <c r="P155" s="116"/>
    </row>
    <row r="156" spans="2:16" x14ac:dyDescent="0.3">
      <c r="B156" s="56">
        <v>44549</v>
      </c>
      <c r="C156" s="89">
        <v>383.87</v>
      </c>
      <c r="D156" s="77">
        <f t="shared" si="6"/>
        <v>2.6727798473441533E-2</v>
      </c>
      <c r="F156" s="56">
        <v>44549</v>
      </c>
      <c r="G156" s="89">
        <v>14664.8</v>
      </c>
      <c r="H156" s="77">
        <f t="shared" si="7"/>
        <v>2.2598330696634195E-2</v>
      </c>
      <c r="P156" s="117"/>
    </row>
    <row r="157" spans="2:16" x14ac:dyDescent="0.3">
      <c r="B157" s="56">
        <v>44542</v>
      </c>
      <c r="C157" s="89">
        <v>393.23</v>
      </c>
      <c r="D157" s="77">
        <f t="shared" si="6"/>
        <v>-2.3802863464130408E-2</v>
      </c>
      <c r="F157" s="56">
        <v>44542</v>
      </c>
      <c r="G157" s="89">
        <v>14673.15</v>
      </c>
      <c r="H157" s="77">
        <f t="shared" si="7"/>
        <v>-5.690666285017576E-4</v>
      </c>
      <c r="P157" s="116"/>
    </row>
    <row r="158" spans="2:16" x14ac:dyDescent="0.3">
      <c r="B158" s="56">
        <v>44535</v>
      </c>
      <c r="C158" s="89">
        <v>398.03</v>
      </c>
      <c r="D158" s="77">
        <f t="shared" si="6"/>
        <v>-1.2059392508102285E-2</v>
      </c>
      <c r="F158" s="56">
        <v>44535</v>
      </c>
      <c r="G158" s="89">
        <v>15155</v>
      </c>
      <c r="H158" s="77">
        <f t="shared" si="7"/>
        <v>-3.1794787198944241E-2</v>
      </c>
      <c r="P158" s="117"/>
    </row>
    <row r="159" spans="2:16" x14ac:dyDescent="0.3">
      <c r="B159" s="56">
        <v>44528</v>
      </c>
      <c r="C159" s="89">
        <v>396.57</v>
      </c>
      <c r="D159" s="77">
        <f t="shared" si="6"/>
        <v>3.6815694581031622E-3</v>
      </c>
      <c r="F159" s="56">
        <v>44528</v>
      </c>
      <c r="G159" s="89">
        <v>14856.3</v>
      </c>
      <c r="H159" s="77">
        <f t="shared" si="7"/>
        <v>2.0105948318221989E-2</v>
      </c>
      <c r="P159" s="116"/>
    </row>
    <row r="160" spans="2:16" ht="16.2" thickBot="1" x14ac:dyDescent="0.35">
      <c r="B160" s="72">
        <v>44521</v>
      </c>
      <c r="C160" s="90">
        <v>386.6</v>
      </c>
      <c r="D160" s="78">
        <f t="shared" si="6"/>
        <v>2.578892912571118E-2</v>
      </c>
      <c r="F160" s="72">
        <v>44521</v>
      </c>
      <c r="G160" s="89">
        <v>14707.2</v>
      </c>
      <c r="H160" s="78">
        <f t="shared" si="7"/>
        <v>1.0137891644908414E-2</v>
      </c>
      <c r="P160" s="117"/>
    </row>
    <row r="161" spans="3:16" x14ac:dyDescent="0.3">
      <c r="C161" s="73"/>
      <c r="P161" s="118"/>
    </row>
  </sheetData>
  <mergeCells count="21">
    <mergeCell ref="L16:N16"/>
    <mergeCell ref="L18:N18"/>
    <mergeCell ref="L4:M4"/>
    <mergeCell ref="L12:N12"/>
    <mergeCell ref="L13:N13"/>
    <mergeCell ref="L14:N14"/>
    <mergeCell ref="L15:N15"/>
    <mergeCell ref="O18:Q18"/>
    <mergeCell ref="L19:N19"/>
    <mergeCell ref="L20:N20"/>
    <mergeCell ref="L21:N21"/>
    <mergeCell ref="L29:M29"/>
    <mergeCell ref="L22:N22"/>
    <mergeCell ref="L31:M31"/>
    <mergeCell ref="R45:S45"/>
    <mergeCell ref="L23:N23"/>
    <mergeCell ref="O23:Q23"/>
    <mergeCell ref="L24:N24"/>
    <mergeCell ref="L26:M26"/>
    <mergeCell ref="L27:M27"/>
    <mergeCell ref="L28:M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7309-656A-48E9-BFF6-E24A06FDF75C}">
  <sheetPr>
    <tabColor rgb="FFFF0000"/>
  </sheetPr>
  <dimension ref="B2:S161"/>
  <sheetViews>
    <sheetView showGridLines="0" zoomScale="85" workbookViewId="0">
      <selection activeCell="N42" sqref="N42"/>
    </sheetView>
  </sheetViews>
  <sheetFormatPr defaultRowHeight="15.6" x14ac:dyDescent="0.3"/>
  <cols>
    <col min="1" max="1" width="1.88671875" style="55" customWidth="1"/>
    <col min="2" max="2" width="11.6640625" style="55" customWidth="1"/>
    <col min="3" max="3" width="15.33203125" style="55" customWidth="1"/>
    <col min="4" max="4" width="8.88671875" style="55"/>
    <col min="5" max="5" width="5.33203125" style="55" customWidth="1"/>
    <col min="6" max="6" width="11.88671875" style="55" bestFit="1" customWidth="1"/>
    <col min="7" max="7" width="17.77734375" style="55" customWidth="1"/>
    <col min="8" max="8" width="8.88671875" style="55"/>
    <col min="9" max="9" width="3.5546875" style="55" customWidth="1"/>
    <col min="10" max="10" width="3.77734375" style="55" customWidth="1"/>
    <col min="11" max="11" width="4.33203125" style="55" customWidth="1"/>
    <col min="12" max="12" width="32.33203125" style="55" bestFit="1" customWidth="1"/>
    <col min="13" max="13" width="21.44140625" style="55" bestFit="1" customWidth="1"/>
    <col min="14" max="14" width="37" style="55" customWidth="1"/>
    <col min="15" max="15" width="17" style="55" customWidth="1"/>
    <col min="16" max="16" width="16.6640625" style="55" customWidth="1"/>
    <col min="17" max="17" width="18.33203125" style="55" customWidth="1"/>
    <col min="18" max="18" width="17.6640625" style="55" customWidth="1"/>
    <col min="19" max="19" width="21.44140625" style="55" bestFit="1" customWidth="1"/>
    <col min="20" max="16384" width="8.88671875" style="55"/>
  </cols>
  <sheetData>
    <row r="2" spans="2:15" ht="16.2" thickBot="1" x14ac:dyDescent="0.35">
      <c r="M2" s="150"/>
    </row>
    <row r="3" spans="2:15" ht="31.8" thickBot="1" x14ac:dyDescent="0.35">
      <c r="B3" s="79" t="s">
        <v>0</v>
      </c>
      <c r="C3" s="80" t="s">
        <v>72</v>
      </c>
      <c r="D3" s="79" t="s">
        <v>48</v>
      </c>
      <c r="F3" s="81" t="s">
        <v>0</v>
      </c>
      <c r="G3" s="82" t="s">
        <v>52</v>
      </c>
      <c r="H3" s="83" t="s">
        <v>48</v>
      </c>
    </row>
    <row r="4" spans="2:15" ht="16.2" thickBot="1" x14ac:dyDescent="0.35">
      <c r="B4" s="56">
        <v>45613</v>
      </c>
      <c r="C4" s="86">
        <v>100.42</v>
      </c>
      <c r="D4" s="77"/>
      <c r="F4" s="56">
        <v>45613</v>
      </c>
      <c r="G4" s="87">
        <v>22004.35</v>
      </c>
      <c r="H4" s="57"/>
      <c r="L4" s="156" t="s">
        <v>50</v>
      </c>
      <c r="M4" s="158"/>
    </row>
    <row r="5" spans="2:15" x14ac:dyDescent="0.3">
      <c r="B5" s="56">
        <v>45606</v>
      </c>
      <c r="C5" s="87">
        <v>104.7</v>
      </c>
      <c r="D5" s="77">
        <f>C4/C5-1</f>
        <v>-4.0878701050620858E-2</v>
      </c>
      <c r="F5" s="56">
        <v>45606</v>
      </c>
      <c r="G5" s="87">
        <v>21963.1</v>
      </c>
      <c r="H5" s="77">
        <f>G4/G5-1</f>
        <v>1.8781501700579906E-3</v>
      </c>
      <c r="L5" s="58" t="s">
        <v>1</v>
      </c>
      <c r="M5" s="74">
        <f>SLOPE(D5:D56,H5:H56)</f>
        <v>1.2631393960589206</v>
      </c>
    </row>
    <row r="6" spans="2:15" x14ac:dyDescent="0.3">
      <c r="B6" s="56">
        <v>45599</v>
      </c>
      <c r="C6" s="87">
        <v>114.93</v>
      </c>
      <c r="D6" s="77">
        <f t="shared" ref="D6:D69" si="0">C5/C6-1</f>
        <v>-8.9010702166536171E-2</v>
      </c>
      <c r="F6" s="56">
        <v>45599</v>
      </c>
      <c r="G6" s="87">
        <v>22645.65</v>
      </c>
      <c r="H6" s="77">
        <f t="shared" ref="H6:H69" si="1">G5/G6-1</f>
        <v>-3.0140446399198217E-2</v>
      </c>
      <c r="L6" s="59" t="s">
        <v>2</v>
      </c>
      <c r="M6" s="75">
        <f>SLOPE(D56:D109,H56:H109)</f>
        <v>0.74953205619887864</v>
      </c>
    </row>
    <row r="7" spans="2:15" ht="16.2" thickBot="1" x14ac:dyDescent="0.35">
      <c r="B7" s="56">
        <v>45592</v>
      </c>
      <c r="C7" s="87">
        <v>116.67</v>
      </c>
      <c r="D7" s="77">
        <f t="shared" si="0"/>
        <v>-1.4913859604011259E-2</v>
      </c>
      <c r="F7" s="56">
        <v>45592</v>
      </c>
      <c r="G7" s="87">
        <v>22823.55</v>
      </c>
      <c r="H7" s="77">
        <f t="shared" si="1"/>
        <v>-7.7945805976720184E-3</v>
      </c>
      <c r="L7" s="60" t="s">
        <v>3</v>
      </c>
      <c r="M7" s="76">
        <f>SLOPE(D110:D160,H110:H160)</f>
        <v>0.79371660254965049</v>
      </c>
    </row>
    <row r="8" spans="2:15" x14ac:dyDescent="0.3">
      <c r="B8" s="56">
        <v>45585</v>
      </c>
      <c r="C8" s="87">
        <v>112.22</v>
      </c>
      <c r="D8" s="77">
        <f t="shared" si="0"/>
        <v>3.9654250579219452E-2</v>
      </c>
      <c r="F8" s="56">
        <v>45585</v>
      </c>
      <c r="G8" s="87">
        <v>22499.05</v>
      </c>
      <c r="H8" s="77">
        <f t="shared" si="1"/>
        <v>1.4422831186205576E-2</v>
      </c>
      <c r="L8" s="93" t="s">
        <v>4</v>
      </c>
      <c r="M8" s="92">
        <f>AVERAGE(M5:M7)</f>
        <v>0.93546268493581664</v>
      </c>
    </row>
    <row r="9" spans="2:15" ht="16.2" thickBot="1" x14ac:dyDescent="0.35">
      <c r="B9" s="56">
        <v>45578</v>
      </c>
      <c r="C9" s="87">
        <v>128.08000000000001</v>
      </c>
      <c r="D9" s="77">
        <f t="shared" si="0"/>
        <v>-0.12382885696439738</v>
      </c>
      <c r="F9" s="56">
        <v>45578</v>
      </c>
      <c r="G9" s="87">
        <v>23440.7</v>
      </c>
      <c r="H9" s="77">
        <f t="shared" si="1"/>
        <v>-4.0171581906683684E-2</v>
      </c>
      <c r="L9" s="84" t="s">
        <v>53</v>
      </c>
      <c r="M9" s="85">
        <f>SLOPE(D5:D160,H5:H160)</f>
        <v>0.82744806496746492</v>
      </c>
    </row>
    <row r="10" spans="2:15" x14ac:dyDescent="0.3">
      <c r="B10" s="56">
        <v>45571</v>
      </c>
      <c r="C10" s="87">
        <v>130.32</v>
      </c>
      <c r="D10" s="77">
        <f t="shared" si="0"/>
        <v>-1.7188459177409299E-2</v>
      </c>
      <c r="F10" s="56">
        <v>45571</v>
      </c>
      <c r="G10" s="87">
        <v>23611.25</v>
      </c>
      <c r="H10" s="77">
        <f t="shared" si="1"/>
        <v>-7.2232516279315817E-3</v>
      </c>
    </row>
    <row r="11" spans="2:15" ht="16.2" thickBot="1" x14ac:dyDescent="0.35">
      <c r="B11" s="56">
        <v>45564</v>
      </c>
      <c r="C11" s="87">
        <v>133.78</v>
      </c>
      <c r="D11" s="77">
        <f t="shared" si="0"/>
        <v>-2.5863357751532479E-2</v>
      </c>
      <c r="F11" s="56">
        <v>45564</v>
      </c>
      <c r="G11" s="87">
        <v>23534.95</v>
      </c>
      <c r="H11" s="77">
        <f t="shared" si="1"/>
        <v>3.2419869173292426E-3</v>
      </c>
    </row>
    <row r="12" spans="2:15" x14ac:dyDescent="0.3">
      <c r="B12" s="56">
        <v>45557</v>
      </c>
      <c r="C12" s="87">
        <v>138.78</v>
      </c>
      <c r="D12" s="77">
        <f t="shared" si="0"/>
        <v>-3.6028246144977683E-2</v>
      </c>
      <c r="F12" s="56">
        <v>45557</v>
      </c>
      <c r="G12" s="87">
        <v>24489.55</v>
      </c>
      <c r="H12" s="77">
        <f t="shared" si="1"/>
        <v>-3.897989142307634E-2</v>
      </c>
      <c r="L12" s="170" t="s">
        <v>5</v>
      </c>
      <c r="M12" s="170"/>
      <c r="N12" s="170"/>
      <c r="O12" s="91">
        <v>2024</v>
      </c>
    </row>
    <row r="13" spans="2:15" x14ac:dyDescent="0.3">
      <c r="B13" s="56">
        <v>45550</v>
      </c>
      <c r="C13" s="87">
        <v>141.28</v>
      </c>
      <c r="D13" s="77">
        <f t="shared" si="0"/>
        <v>-1.7695356738391843E-2</v>
      </c>
      <c r="F13" s="56">
        <v>45550</v>
      </c>
      <c r="G13" s="87">
        <v>24193.8</v>
      </c>
      <c r="H13" s="77">
        <f t="shared" si="1"/>
        <v>1.2224206201588927E-2</v>
      </c>
      <c r="L13" s="171" t="s">
        <v>6</v>
      </c>
      <c r="M13" s="171"/>
      <c r="N13" s="171"/>
      <c r="O13" s="119">
        <v>0.1</v>
      </c>
    </row>
    <row r="14" spans="2:15" x14ac:dyDescent="0.3">
      <c r="B14" s="56">
        <v>45543</v>
      </c>
      <c r="C14" s="87">
        <v>144.85</v>
      </c>
      <c r="D14" s="77">
        <f t="shared" si="0"/>
        <v>-2.4646185709354507E-2</v>
      </c>
      <c r="F14" s="56">
        <v>45543</v>
      </c>
      <c r="G14" s="87">
        <v>23928.2</v>
      </c>
      <c r="H14" s="77">
        <f t="shared" si="1"/>
        <v>1.1099873789085724E-2</v>
      </c>
      <c r="L14" s="171" t="s">
        <v>7</v>
      </c>
      <c r="M14" s="171"/>
      <c r="N14" s="171"/>
      <c r="O14" s="120">
        <v>0.1183</v>
      </c>
    </row>
    <row r="15" spans="2:15" x14ac:dyDescent="0.3">
      <c r="B15" s="56">
        <v>45536</v>
      </c>
      <c r="C15" s="87">
        <v>136.72999999999999</v>
      </c>
      <c r="D15" s="77">
        <f t="shared" si="0"/>
        <v>5.9387113288963622E-2</v>
      </c>
      <c r="F15" s="56">
        <v>45536</v>
      </c>
      <c r="G15" s="87">
        <v>23477.7</v>
      </c>
      <c r="H15" s="77">
        <f t="shared" si="1"/>
        <v>1.9188421353028673E-2</v>
      </c>
      <c r="L15" s="171" t="s">
        <v>8</v>
      </c>
      <c r="M15" s="171"/>
      <c r="N15" s="171"/>
      <c r="O15" s="1">
        <f>O14+M8*(O13)</f>
        <v>0.21184626849358168</v>
      </c>
    </row>
    <row r="16" spans="2:15" ht="16.2" thickBot="1" x14ac:dyDescent="0.35">
      <c r="B16" s="56">
        <v>45529</v>
      </c>
      <c r="C16" s="87">
        <v>137.09</v>
      </c>
      <c r="D16" s="77">
        <f t="shared" si="0"/>
        <v>-2.6260121088337307E-3</v>
      </c>
      <c r="F16" s="56">
        <v>45529</v>
      </c>
      <c r="G16" s="87">
        <v>23734.55</v>
      </c>
      <c r="H16" s="77">
        <f t="shared" si="1"/>
        <v>-1.0821776692627405E-2</v>
      </c>
      <c r="L16" s="172" t="s">
        <v>9</v>
      </c>
      <c r="M16" s="172"/>
      <c r="N16" s="172"/>
      <c r="O16" s="35">
        <f>O15</f>
        <v>0.21184626849358168</v>
      </c>
    </row>
    <row r="17" spans="2:17" ht="16.2" thickBot="1" x14ac:dyDescent="0.35">
      <c r="B17" s="56">
        <v>45522</v>
      </c>
      <c r="C17" s="87">
        <v>137.94999999999999</v>
      </c>
      <c r="D17" s="77">
        <f t="shared" si="0"/>
        <v>-6.2341428053641623E-3</v>
      </c>
      <c r="F17" s="56">
        <v>45522</v>
      </c>
      <c r="G17" s="87">
        <v>23418.65</v>
      </c>
      <c r="H17" s="77">
        <f t="shared" si="1"/>
        <v>1.34892489532914E-2</v>
      </c>
    </row>
    <row r="18" spans="2:17" ht="16.2" thickBot="1" x14ac:dyDescent="0.35">
      <c r="B18" s="56">
        <v>45515</v>
      </c>
      <c r="C18" s="87">
        <v>134.01</v>
      </c>
      <c r="D18" s="77">
        <f t="shared" si="0"/>
        <v>2.9400790985747216E-2</v>
      </c>
      <c r="F18" s="56">
        <v>45515</v>
      </c>
      <c r="G18" s="87">
        <v>23056.5</v>
      </c>
      <c r="H18" s="77">
        <f t="shared" si="1"/>
        <v>1.5707067421334653E-2</v>
      </c>
      <c r="L18" s="170" t="s">
        <v>55</v>
      </c>
      <c r="M18" s="170"/>
      <c r="N18" s="170"/>
      <c r="O18" s="156" t="s">
        <v>58</v>
      </c>
      <c r="P18" s="157"/>
      <c r="Q18" s="158"/>
    </row>
    <row r="19" spans="2:17" x14ac:dyDescent="0.3">
      <c r="B19" s="56">
        <v>45508</v>
      </c>
      <c r="C19" s="87">
        <v>140.21</v>
      </c>
      <c r="D19" s="77">
        <f t="shared" si="0"/>
        <v>-4.4219385207902584E-2</v>
      </c>
      <c r="F19" s="56">
        <v>45508</v>
      </c>
      <c r="G19" s="87">
        <v>22923.5</v>
      </c>
      <c r="H19" s="77">
        <f t="shared" si="1"/>
        <v>5.8019063406546945E-3</v>
      </c>
      <c r="L19" s="165" t="s">
        <v>5</v>
      </c>
      <c r="M19" s="165"/>
      <c r="N19" s="165"/>
      <c r="O19" s="40" t="s">
        <v>28</v>
      </c>
      <c r="P19" s="31" t="s">
        <v>27</v>
      </c>
      <c r="Q19" s="32" t="s">
        <v>10</v>
      </c>
    </row>
    <row r="20" spans="2:17" x14ac:dyDescent="0.3">
      <c r="B20" s="56">
        <v>45501</v>
      </c>
      <c r="C20" s="87">
        <v>150.18</v>
      </c>
      <c r="D20" s="77">
        <f t="shared" si="0"/>
        <v>-6.638700226394989E-2</v>
      </c>
      <c r="F20" s="56">
        <v>45501</v>
      </c>
      <c r="G20" s="87">
        <v>23259.45</v>
      </c>
      <c r="H20" s="77">
        <f t="shared" si="1"/>
        <v>-1.4443591744430773E-2</v>
      </c>
      <c r="L20" s="166" t="s">
        <v>11</v>
      </c>
      <c r="M20" s="166"/>
      <c r="N20" s="166"/>
      <c r="O20" s="125">
        <v>105.88</v>
      </c>
      <c r="P20" s="126">
        <v>140.07</v>
      </c>
      <c r="Q20" s="127">
        <v>167.62</v>
      </c>
    </row>
    <row r="21" spans="2:17" x14ac:dyDescent="0.3">
      <c r="B21" s="56">
        <v>45494</v>
      </c>
      <c r="C21" s="87">
        <v>143.79</v>
      </c>
      <c r="D21" s="77">
        <f t="shared" si="0"/>
        <v>4.4439808053411411E-2</v>
      </c>
      <c r="F21" s="56">
        <v>45494</v>
      </c>
      <c r="G21" s="87">
        <v>23292.05</v>
      </c>
      <c r="H21" s="77">
        <f t="shared" si="1"/>
        <v>-1.3996191833693938E-3</v>
      </c>
      <c r="L21" s="166" t="s">
        <v>54</v>
      </c>
      <c r="M21" s="166"/>
      <c r="N21" s="166"/>
      <c r="O21" s="125">
        <v>12.96</v>
      </c>
      <c r="P21" s="153">
        <v>15.9</v>
      </c>
      <c r="Q21" s="127">
        <v>22.28</v>
      </c>
    </row>
    <row r="22" spans="2:17" ht="16.2" thickBot="1" x14ac:dyDescent="0.35">
      <c r="B22" s="56">
        <v>45487</v>
      </c>
      <c r="C22" s="87">
        <v>143.71</v>
      </c>
      <c r="D22" s="77">
        <f t="shared" si="0"/>
        <v>5.5667664045633281E-4</v>
      </c>
      <c r="F22" s="56">
        <v>45487</v>
      </c>
      <c r="G22" s="87">
        <v>22853.599999999999</v>
      </c>
      <c r="H22" s="77">
        <f t="shared" si="1"/>
        <v>1.9185161199986034E-2</v>
      </c>
      <c r="L22" s="166" t="s">
        <v>12</v>
      </c>
      <c r="M22" s="166"/>
      <c r="N22" s="166"/>
      <c r="O22" s="41">
        <f>O21/O20</f>
        <v>0.12240272006044581</v>
      </c>
      <c r="P22" s="33">
        <f>P21/P20</f>
        <v>0.11351467123581067</v>
      </c>
      <c r="Q22" s="33">
        <f t="shared" ref="Q22" si="2">Q21/Q20</f>
        <v>0.13291969931989023</v>
      </c>
    </row>
    <row r="23" spans="2:17" ht="16.2" thickBot="1" x14ac:dyDescent="0.35">
      <c r="B23" s="56">
        <v>45480</v>
      </c>
      <c r="C23" s="87">
        <v>147.30000000000001</v>
      </c>
      <c r="D23" s="77">
        <f t="shared" si="0"/>
        <v>-2.4372029871011613E-2</v>
      </c>
      <c r="F23" s="56">
        <v>45480</v>
      </c>
      <c r="G23" s="87">
        <v>23095.45</v>
      </c>
      <c r="H23" s="77">
        <f t="shared" si="1"/>
        <v>-1.0471759589010032E-2</v>
      </c>
      <c r="L23" s="166" t="s">
        <v>13</v>
      </c>
      <c r="M23" s="166"/>
      <c r="N23" s="166"/>
      <c r="O23" s="167">
        <v>0.25</v>
      </c>
      <c r="P23" s="168"/>
      <c r="Q23" s="169"/>
    </row>
    <row r="24" spans="2:17" ht="16.2" thickBot="1" x14ac:dyDescent="0.35">
      <c r="B24" s="56">
        <v>45473</v>
      </c>
      <c r="C24" s="87">
        <v>152.97999999999999</v>
      </c>
      <c r="D24" s="77">
        <f t="shared" si="0"/>
        <v>-3.7129036475356147E-2</v>
      </c>
      <c r="F24" s="56">
        <v>45473</v>
      </c>
      <c r="G24" s="87">
        <v>22987.65</v>
      </c>
      <c r="H24" s="77">
        <f t="shared" si="1"/>
        <v>4.6894745656906878E-3</v>
      </c>
      <c r="L24" s="160" t="s">
        <v>14</v>
      </c>
      <c r="M24" s="160"/>
      <c r="N24" s="160"/>
      <c r="O24" s="42">
        <f>O22*(1-$O$23)</f>
        <v>9.1802040045334349E-2</v>
      </c>
      <c r="P24" s="34">
        <f>P22*(1-$O$23)</f>
        <v>8.5136003426858009E-2</v>
      </c>
      <c r="Q24" s="43">
        <f>Q22*(1-$O$23)</f>
        <v>9.9689774489917671E-2</v>
      </c>
    </row>
    <row r="25" spans="2:17" ht="16.2" thickBot="1" x14ac:dyDescent="0.35">
      <c r="B25" s="56">
        <v>45466</v>
      </c>
      <c r="C25" s="87">
        <v>138.01</v>
      </c>
      <c r="D25" s="77">
        <f t="shared" si="0"/>
        <v>0.10847040069560188</v>
      </c>
      <c r="F25" s="56">
        <v>45466</v>
      </c>
      <c r="G25" s="87">
        <v>22559.7</v>
      </c>
      <c r="H25" s="77">
        <f t="shared" si="1"/>
        <v>1.8969667149829172E-2</v>
      </c>
      <c r="O25" s="61"/>
      <c r="P25" s="61"/>
      <c r="Q25" s="61"/>
    </row>
    <row r="26" spans="2:17" ht="16.2" thickBot="1" x14ac:dyDescent="0.35">
      <c r="B26" s="56">
        <v>45459</v>
      </c>
      <c r="C26" s="87">
        <v>144.37</v>
      </c>
      <c r="D26" s="77">
        <f t="shared" si="0"/>
        <v>-4.4053473713375424E-2</v>
      </c>
      <c r="F26" s="56">
        <v>45459</v>
      </c>
      <c r="G26" s="87">
        <v>22236.2</v>
      </c>
      <c r="H26" s="77">
        <f t="shared" si="1"/>
        <v>1.4548349088423285E-2</v>
      </c>
      <c r="L26" s="156" t="s">
        <v>5</v>
      </c>
      <c r="M26" s="156"/>
      <c r="N26" s="95">
        <v>45352</v>
      </c>
      <c r="O26" s="96" t="s">
        <v>59</v>
      </c>
      <c r="P26" s="97" t="s">
        <v>56</v>
      </c>
      <c r="Q26" s="79" t="s">
        <v>57</v>
      </c>
    </row>
    <row r="27" spans="2:17" x14ac:dyDescent="0.3">
      <c r="B27" s="56">
        <v>45452</v>
      </c>
      <c r="C27" s="87">
        <v>149.66999999999999</v>
      </c>
      <c r="D27" s="77">
        <f t="shared" si="0"/>
        <v>-3.5411238057058703E-2</v>
      </c>
      <c r="F27" s="56">
        <v>45452</v>
      </c>
      <c r="G27" s="87">
        <v>22214.3</v>
      </c>
      <c r="H27" s="77">
        <f t="shared" si="1"/>
        <v>9.8585145604412894E-4</v>
      </c>
      <c r="L27" s="161" t="s">
        <v>15</v>
      </c>
      <c r="M27" s="161"/>
      <c r="N27" s="3">
        <f>P27*Q27</f>
        <v>9290700000</v>
      </c>
      <c r="O27" s="22">
        <f>N27/$N$29</f>
        <v>0.8976955408473839</v>
      </c>
      <c r="P27" s="129">
        <v>83700000</v>
      </c>
      <c r="Q27" s="129">
        <v>111</v>
      </c>
    </row>
    <row r="28" spans="2:17" ht="16.2" thickBot="1" x14ac:dyDescent="0.35">
      <c r="B28" s="56">
        <v>45445</v>
      </c>
      <c r="C28" s="87">
        <v>150.4</v>
      </c>
      <c r="D28" s="77">
        <f t="shared" si="0"/>
        <v>-4.8537234042554944E-3</v>
      </c>
      <c r="F28" s="56">
        <v>45445</v>
      </c>
      <c r="G28" s="87">
        <v>21764.15</v>
      </c>
      <c r="H28" s="77">
        <f t="shared" si="1"/>
        <v>2.0683095825014819E-2</v>
      </c>
      <c r="L28" s="162" t="s">
        <v>16</v>
      </c>
      <c r="M28" s="162"/>
      <c r="N28" s="130">
        <v>1058800000</v>
      </c>
      <c r="O28" s="44">
        <f>N28/$N$29</f>
        <v>0.10230445915261607</v>
      </c>
      <c r="P28" s="62"/>
      <c r="Q28" s="63"/>
    </row>
    <row r="29" spans="2:17" ht="16.2" thickBot="1" x14ac:dyDescent="0.35">
      <c r="B29" s="56">
        <v>45438</v>
      </c>
      <c r="C29" s="87">
        <v>147</v>
      </c>
      <c r="D29" s="77">
        <f t="shared" si="0"/>
        <v>2.3129251700680253E-2</v>
      </c>
      <c r="F29" s="56">
        <v>45438</v>
      </c>
      <c r="G29" s="87">
        <v>21103.3</v>
      </c>
      <c r="H29" s="77">
        <f t="shared" si="1"/>
        <v>3.1315007605445588E-2</v>
      </c>
      <c r="L29" s="163" t="s">
        <v>17</v>
      </c>
      <c r="M29" s="163"/>
      <c r="N29" s="46">
        <f>SUM(N27:N28)</f>
        <v>10349500000</v>
      </c>
      <c r="O29" s="45">
        <f>N29/$N$29</f>
        <v>1</v>
      </c>
      <c r="P29" s="64"/>
      <c r="Q29" s="65"/>
    </row>
    <row r="30" spans="2:17" ht="16.2" thickBot="1" x14ac:dyDescent="0.35">
      <c r="B30" s="56">
        <v>45431</v>
      </c>
      <c r="C30" s="87">
        <v>154.4</v>
      </c>
      <c r="D30" s="77">
        <f t="shared" si="0"/>
        <v>-4.7927461139896432E-2</v>
      </c>
      <c r="F30" s="56">
        <v>45431</v>
      </c>
      <c r="G30" s="87">
        <v>21483.75</v>
      </c>
      <c r="H30" s="77">
        <f t="shared" si="1"/>
        <v>-1.7708733344970029E-2</v>
      </c>
    </row>
    <row r="31" spans="2:17" ht="16.2" thickBot="1" x14ac:dyDescent="0.35">
      <c r="B31" s="56">
        <v>45424</v>
      </c>
      <c r="C31" s="87">
        <v>159.65</v>
      </c>
      <c r="D31" s="77">
        <f t="shared" si="0"/>
        <v>-3.2884434700908183E-2</v>
      </c>
      <c r="F31" s="56">
        <v>45424</v>
      </c>
      <c r="G31" s="87">
        <v>21064.55</v>
      </c>
      <c r="H31" s="77">
        <f t="shared" si="1"/>
        <v>1.9900733697135742E-2</v>
      </c>
      <c r="L31" s="164" t="s">
        <v>18</v>
      </c>
      <c r="M31" s="164"/>
      <c r="N31" s="98">
        <f>O16*O27+O24*O28</f>
        <v>0.19956520862779062</v>
      </c>
      <c r="Q31" s="154"/>
    </row>
    <row r="32" spans="2:17" x14ac:dyDescent="0.3">
      <c r="B32" s="56">
        <v>45417</v>
      </c>
      <c r="C32" s="87">
        <v>159.85</v>
      </c>
      <c r="D32" s="77">
        <f t="shared" si="0"/>
        <v>-1.2511729746637057E-3</v>
      </c>
      <c r="F32" s="56">
        <v>45417</v>
      </c>
      <c r="G32" s="87">
        <v>20469.099999999999</v>
      </c>
      <c r="H32" s="77">
        <f t="shared" si="1"/>
        <v>2.9090189602864802E-2</v>
      </c>
    </row>
    <row r="33" spans="2:19" ht="16.2" thickBot="1" x14ac:dyDescent="0.35">
      <c r="B33" s="56">
        <v>45410</v>
      </c>
      <c r="C33" s="87">
        <v>173.3</v>
      </c>
      <c r="D33" s="77">
        <f t="shared" si="0"/>
        <v>-7.7611079053664267E-2</v>
      </c>
      <c r="F33" s="56">
        <v>45410</v>
      </c>
      <c r="G33" s="87">
        <v>20959.55</v>
      </c>
      <c r="H33" s="77">
        <f t="shared" si="1"/>
        <v>-2.3399834443010525E-2</v>
      </c>
    </row>
    <row r="34" spans="2:19" ht="16.2" thickBot="1" x14ac:dyDescent="0.35">
      <c r="B34" s="56">
        <v>45403</v>
      </c>
      <c r="C34" s="87">
        <v>168.55</v>
      </c>
      <c r="D34" s="77">
        <f t="shared" si="0"/>
        <v>2.8181548501928111E-2</v>
      </c>
      <c r="F34" s="56">
        <v>45403</v>
      </c>
      <c r="G34" s="87">
        <v>20839.349999999999</v>
      </c>
      <c r="H34" s="77">
        <f t="shared" si="1"/>
        <v>5.7679342205971817E-3</v>
      </c>
      <c r="L34" s="94" t="s">
        <v>60</v>
      </c>
      <c r="M34" s="94" t="s">
        <v>28</v>
      </c>
      <c r="N34" s="99" t="s">
        <v>27</v>
      </c>
      <c r="O34" s="99" t="s">
        <v>10</v>
      </c>
    </row>
    <row r="35" spans="2:19" x14ac:dyDescent="0.3">
      <c r="B35" s="56">
        <v>45396</v>
      </c>
      <c r="C35" s="87">
        <v>172.1</v>
      </c>
      <c r="D35" s="77">
        <f t="shared" si="0"/>
        <v>-2.0627542126670395E-2</v>
      </c>
      <c r="F35" s="56">
        <v>45396</v>
      </c>
      <c r="G35" s="87">
        <v>20385.2</v>
      </c>
      <c r="H35" s="77">
        <f t="shared" si="1"/>
        <v>2.2278417675568374E-2</v>
      </c>
      <c r="L35" s="4" t="s">
        <v>19</v>
      </c>
      <c r="M35" s="131">
        <v>-46.05</v>
      </c>
      <c r="N35" s="132">
        <v>-7.54</v>
      </c>
      <c r="O35" s="133">
        <v>-25.26</v>
      </c>
    </row>
    <row r="36" spans="2:19" x14ac:dyDescent="0.3">
      <c r="B36" s="56">
        <v>45389</v>
      </c>
      <c r="C36" s="87">
        <v>168.9</v>
      </c>
      <c r="D36" s="77">
        <f t="shared" si="0"/>
        <v>1.8946121965660145E-2</v>
      </c>
      <c r="F36" s="56">
        <v>45389</v>
      </c>
      <c r="G36" s="87">
        <v>20745.5</v>
      </c>
      <c r="H36" s="77">
        <f t="shared" si="1"/>
        <v>-1.7367621893904617E-2</v>
      </c>
      <c r="L36" s="2" t="s">
        <v>20</v>
      </c>
      <c r="M36" s="9">
        <f>M35*(1-$O$23)</f>
        <v>-34.537499999999994</v>
      </c>
      <c r="N36" s="10">
        <f>N35*(1-$O$23)</f>
        <v>-5.6550000000000002</v>
      </c>
      <c r="O36" s="6">
        <f t="shared" ref="O36" si="3">O35*(1-$O$23)</f>
        <v>-18.945</v>
      </c>
    </row>
    <row r="37" spans="2:19" x14ac:dyDescent="0.3">
      <c r="B37" s="56">
        <v>45382</v>
      </c>
      <c r="C37" s="87">
        <v>176</v>
      </c>
      <c r="D37" s="77">
        <f t="shared" si="0"/>
        <v>-4.0340909090909038E-2</v>
      </c>
      <c r="F37" s="56">
        <v>45382</v>
      </c>
      <c r="G37" s="87">
        <v>20715.099999999999</v>
      </c>
      <c r="H37" s="77">
        <f t="shared" si="1"/>
        <v>1.4675285178444852E-3</v>
      </c>
      <c r="L37" s="2" t="s">
        <v>21</v>
      </c>
      <c r="M37" s="134">
        <v>14.84</v>
      </c>
      <c r="N37" s="135">
        <v>12.71</v>
      </c>
      <c r="O37" s="133">
        <v>13.4</v>
      </c>
    </row>
    <row r="38" spans="2:19" x14ac:dyDescent="0.3">
      <c r="B38" s="56">
        <v>45375</v>
      </c>
      <c r="C38" s="87">
        <v>166.1</v>
      </c>
      <c r="D38" s="77">
        <f t="shared" si="0"/>
        <v>5.9602649006622599E-2</v>
      </c>
      <c r="F38" s="56">
        <v>45375</v>
      </c>
      <c r="G38" s="87">
        <v>20255.150000000001</v>
      </c>
      <c r="H38" s="77">
        <f t="shared" si="1"/>
        <v>2.2707805175473661E-2</v>
      </c>
      <c r="L38" s="2" t="s">
        <v>47</v>
      </c>
      <c r="M38" s="151">
        <v>31.88</v>
      </c>
      <c r="N38" s="151">
        <v>-17.829999999999998</v>
      </c>
      <c r="O38" s="151">
        <v>-29.66</v>
      </c>
    </row>
    <row r="39" spans="2:19" x14ac:dyDescent="0.3">
      <c r="B39" s="56">
        <v>45368</v>
      </c>
      <c r="C39" s="87">
        <v>165</v>
      </c>
      <c r="D39" s="77">
        <f t="shared" si="0"/>
        <v>6.6666666666665986E-3</v>
      </c>
      <c r="F39" s="56">
        <v>45368</v>
      </c>
      <c r="G39" s="87">
        <v>19994.599999999999</v>
      </c>
      <c r="H39" s="77">
        <f t="shared" si="1"/>
        <v>1.3031018374961345E-2</v>
      </c>
      <c r="L39" s="2" t="s">
        <v>22</v>
      </c>
      <c r="M39" s="136">
        <v>-57.2</v>
      </c>
      <c r="N39" s="151">
        <v>-11.18</v>
      </c>
      <c r="O39" s="152">
        <v>-3.07</v>
      </c>
    </row>
    <row r="40" spans="2:19" ht="16.2" thickBot="1" x14ac:dyDescent="0.35">
      <c r="B40" s="56">
        <v>45361</v>
      </c>
      <c r="C40" s="87">
        <v>166.4</v>
      </c>
      <c r="D40" s="77">
        <f t="shared" si="0"/>
        <v>-8.4134615384615641E-3</v>
      </c>
      <c r="F40" s="56">
        <v>45361</v>
      </c>
      <c r="G40" s="87">
        <v>19825.2</v>
      </c>
      <c r="H40" s="77">
        <f t="shared" si="1"/>
        <v>8.5446805076365706E-3</v>
      </c>
      <c r="L40" s="2" t="s">
        <v>23</v>
      </c>
      <c r="M40" s="47">
        <f>M36+M37-M38-M39</f>
        <v>5.6225000000000094</v>
      </c>
      <c r="N40" s="10">
        <f>N36+N37-N38-N39</f>
        <v>36.064999999999998</v>
      </c>
      <c r="O40" s="6">
        <f>O36+O37-O38-O39</f>
        <v>27.185000000000002</v>
      </c>
      <c r="Q40" s="8"/>
    </row>
    <row r="41" spans="2:19" ht="16.2" thickBot="1" x14ac:dyDescent="0.35">
      <c r="B41" s="56">
        <v>45354</v>
      </c>
      <c r="C41" s="87">
        <v>180.4</v>
      </c>
      <c r="D41" s="77">
        <f t="shared" si="0"/>
        <v>-7.7605321507760561E-2</v>
      </c>
      <c r="F41" s="56">
        <v>45354</v>
      </c>
      <c r="G41" s="87">
        <v>20434.8</v>
      </c>
      <c r="H41" s="77">
        <f t="shared" si="1"/>
        <v>-2.9831463973222117E-2</v>
      </c>
      <c r="L41" s="5" t="s">
        <v>70</v>
      </c>
      <c r="M41" s="143">
        <f>(M40-N40)/N40*100</f>
        <v>-84.410092887841373</v>
      </c>
      <c r="N41" s="11">
        <f>(N40-O40)/N40*100</f>
        <v>24.622209898793834</v>
      </c>
      <c r="O41" s="7"/>
      <c r="P41" s="66"/>
    </row>
    <row r="42" spans="2:19" ht="16.2" thickBot="1" x14ac:dyDescent="0.35">
      <c r="B42" s="56">
        <v>45347</v>
      </c>
      <c r="C42" s="87">
        <v>172.25</v>
      </c>
      <c r="D42" s="77">
        <f t="shared" si="0"/>
        <v>4.7314949201741729E-2</v>
      </c>
      <c r="F42" s="56">
        <v>45347</v>
      </c>
      <c r="G42" s="87">
        <v>20349.8</v>
      </c>
      <c r="H42" s="77">
        <f t="shared" si="1"/>
        <v>4.1769452279629693E-3</v>
      </c>
      <c r="L42" s="109" t="s">
        <v>66</v>
      </c>
      <c r="M42" s="145">
        <v>0.12</v>
      </c>
      <c r="N42" s="108"/>
      <c r="O42" s="142"/>
      <c r="P42" s="66"/>
    </row>
    <row r="43" spans="2:19" ht="16.2" thickBot="1" x14ac:dyDescent="0.35">
      <c r="B43" s="56">
        <v>45340</v>
      </c>
      <c r="C43" s="87">
        <v>195.6</v>
      </c>
      <c r="D43" s="77">
        <f t="shared" si="0"/>
        <v>-0.1193762781186094</v>
      </c>
      <c r="F43" s="56">
        <v>45340</v>
      </c>
      <c r="G43" s="87">
        <v>20313.5</v>
      </c>
      <c r="H43" s="77">
        <f t="shared" si="1"/>
        <v>1.7869889482362566E-3</v>
      </c>
      <c r="L43" s="144" t="s">
        <v>68</v>
      </c>
      <c r="M43" s="146">
        <f>((N40-O40)/O40+(M40-N40)/N40)/2</f>
        <v>-0.25872510118741365</v>
      </c>
      <c r="N43" s="108"/>
      <c r="O43" s="108"/>
      <c r="P43" s="66"/>
    </row>
    <row r="44" spans="2:19" ht="16.2" thickBot="1" x14ac:dyDescent="0.35">
      <c r="B44" s="56">
        <v>45333</v>
      </c>
      <c r="C44" s="87">
        <v>196.5</v>
      </c>
      <c r="D44" s="77">
        <f t="shared" si="0"/>
        <v>-4.5801526717557106E-3</v>
      </c>
      <c r="F44" s="56">
        <v>45333</v>
      </c>
      <c r="G44" s="87">
        <v>20164.900000000001</v>
      </c>
      <c r="H44" s="77">
        <f t="shared" si="1"/>
        <v>7.3692406111609543E-3</v>
      </c>
    </row>
    <row r="45" spans="2:19" ht="18" thickBot="1" x14ac:dyDescent="0.35">
      <c r="B45" s="56">
        <v>45326</v>
      </c>
      <c r="C45" s="87">
        <v>199.95</v>
      </c>
      <c r="D45" s="77">
        <f t="shared" si="0"/>
        <v>-1.7254313578394576E-2</v>
      </c>
      <c r="F45" s="56">
        <v>45326</v>
      </c>
      <c r="G45" s="87">
        <v>19961.5</v>
      </c>
      <c r="H45" s="77">
        <f t="shared" si="1"/>
        <v>1.0189615008892261E-2</v>
      </c>
      <c r="L45" s="100" t="s">
        <v>61</v>
      </c>
      <c r="M45" s="101"/>
      <c r="N45" s="102"/>
      <c r="O45" s="103"/>
      <c r="P45" s="104"/>
      <c r="Q45" s="105"/>
      <c r="R45" s="159" t="s">
        <v>25</v>
      </c>
      <c r="S45" s="158"/>
    </row>
    <row r="46" spans="2:19" ht="16.2" thickBot="1" x14ac:dyDescent="0.35">
      <c r="B46" s="56">
        <v>45319</v>
      </c>
      <c r="C46" s="87">
        <v>194</v>
      </c>
      <c r="D46" s="77">
        <f t="shared" si="0"/>
        <v>3.0670103092783396E-2</v>
      </c>
      <c r="F46" s="56">
        <v>45319</v>
      </c>
      <c r="G46" s="87">
        <v>19910.8</v>
      </c>
      <c r="H46" s="77">
        <f t="shared" si="1"/>
        <v>2.5463567511099239E-3</v>
      </c>
      <c r="L46" s="38" t="s">
        <v>26</v>
      </c>
      <c r="M46" s="18" t="s">
        <v>29</v>
      </c>
      <c r="N46" s="21" t="s">
        <v>30</v>
      </c>
      <c r="O46" s="18" t="s">
        <v>31</v>
      </c>
      <c r="P46" s="16" t="s">
        <v>63</v>
      </c>
      <c r="Q46" s="28" t="s">
        <v>64</v>
      </c>
      <c r="R46" s="17" t="s">
        <v>65</v>
      </c>
      <c r="S46" s="17" t="s">
        <v>32</v>
      </c>
    </row>
    <row r="47" spans="2:19" x14ac:dyDescent="0.3">
      <c r="B47" s="56">
        <v>45312</v>
      </c>
      <c r="C47" s="87">
        <v>202.35</v>
      </c>
      <c r="D47" s="77">
        <f t="shared" si="0"/>
        <v>-4.1265134667655023E-2</v>
      </c>
      <c r="F47" s="56">
        <v>45312</v>
      </c>
      <c r="G47" s="87">
        <v>19393</v>
      </c>
      <c r="H47" s="77">
        <f t="shared" si="1"/>
        <v>2.6700355798483955E-2</v>
      </c>
      <c r="L47" s="36" t="s">
        <v>33</v>
      </c>
      <c r="M47" s="50">
        <f>M40*(1+M42)</f>
        <v>6.2972000000000108</v>
      </c>
      <c r="N47" s="22">
        <f>M47*(1+M42)</f>
        <v>7.0528640000000129</v>
      </c>
      <c r="O47" s="19">
        <f>N47*(1+$M$42)</f>
        <v>7.8992076800000151</v>
      </c>
      <c r="P47" s="22">
        <f>O47*(1+$M$42)</f>
        <v>8.847112601600017</v>
      </c>
      <c r="Q47" s="19">
        <f>P47*(1+$M$42)</f>
        <v>9.9087661137920193</v>
      </c>
      <c r="R47" s="29">
        <f>Q47*(1+M50)</f>
        <v>10.305116758343701</v>
      </c>
      <c r="S47" s="13">
        <f>SUM(M47:R47)</f>
        <v>50.310267153735779</v>
      </c>
    </row>
    <row r="48" spans="2:19" x14ac:dyDescent="0.3">
      <c r="B48" s="56">
        <v>45305</v>
      </c>
      <c r="C48" s="87">
        <v>217.75</v>
      </c>
      <c r="D48" s="77">
        <f t="shared" si="0"/>
        <v>-7.0723306544202114E-2</v>
      </c>
      <c r="F48" s="56">
        <v>45305</v>
      </c>
      <c r="G48" s="87">
        <v>19606.400000000001</v>
      </c>
      <c r="H48" s="77">
        <f t="shared" si="1"/>
        <v>-1.088420107719934E-2</v>
      </c>
      <c r="L48" s="37" t="s">
        <v>34</v>
      </c>
      <c r="M48" s="25">
        <f>(M47)/(1+$M$49)</f>
        <v>5.2495687226570356</v>
      </c>
      <c r="N48" s="23">
        <f>(N47)/(1+$M$49)^2</f>
        <v>4.9013733701910134</v>
      </c>
      <c r="O48" s="25">
        <f>(O47)/(1+$M$49)^3</f>
        <v>4.5762732489495432</v>
      </c>
      <c r="P48" s="23">
        <f>(P47)/(1+$M$49)^4</f>
        <v>4.2727364898208213</v>
      </c>
      <c r="Q48" s="25">
        <f>(Q47)/(1+$M$49)^5</f>
        <v>3.9893328300789253</v>
      </c>
      <c r="R48" s="14">
        <f>((R47)/(M49-M50))/(1+M49)^5</f>
        <v>26.001320582107709</v>
      </c>
      <c r="S48" s="14">
        <f>SUM(M48:R48)</f>
        <v>48.990605243805049</v>
      </c>
    </row>
    <row r="49" spans="2:19" ht="16.2" thickBot="1" x14ac:dyDescent="0.35">
      <c r="B49" s="56">
        <v>45298</v>
      </c>
      <c r="C49" s="87">
        <v>180.55</v>
      </c>
      <c r="D49" s="77">
        <f t="shared" si="0"/>
        <v>0.20603710883411797</v>
      </c>
      <c r="F49" s="56">
        <v>45298</v>
      </c>
      <c r="G49" s="87">
        <v>19745.599999999999</v>
      </c>
      <c r="H49" s="77">
        <f t="shared" si="1"/>
        <v>-7.0496718256217727E-3</v>
      </c>
      <c r="L49" s="49" t="s">
        <v>35</v>
      </c>
      <c r="M49" s="51">
        <f>N31</f>
        <v>0.19956520862779062</v>
      </c>
      <c r="N49" s="24"/>
      <c r="O49" s="26"/>
      <c r="P49" s="27"/>
      <c r="Q49" s="20"/>
      <c r="R49" s="30"/>
      <c r="S49" s="15"/>
    </row>
    <row r="50" spans="2:19" ht="16.2" thickBot="1" x14ac:dyDescent="0.35">
      <c r="B50" s="56">
        <v>45291</v>
      </c>
      <c r="C50" s="87">
        <v>184.2</v>
      </c>
      <c r="D50" s="77">
        <f t="shared" si="0"/>
        <v>-1.9815418023886977E-2</v>
      </c>
      <c r="F50" s="56">
        <v>45291</v>
      </c>
      <c r="G50" s="87">
        <v>19590.599999999999</v>
      </c>
      <c r="H50" s="77">
        <f t="shared" si="1"/>
        <v>7.9119577756678883E-3</v>
      </c>
      <c r="L50" s="48" t="s">
        <v>36</v>
      </c>
      <c r="M50" s="140">
        <v>0.04</v>
      </c>
      <c r="N50" s="12"/>
      <c r="O50" s="12"/>
      <c r="P50" s="12"/>
      <c r="Q50" s="12"/>
      <c r="R50" s="12"/>
      <c r="S50" s="12"/>
    </row>
    <row r="51" spans="2:19" ht="16.2" thickBot="1" x14ac:dyDescent="0.35">
      <c r="B51" s="56">
        <v>45284</v>
      </c>
      <c r="C51" s="87">
        <v>177.7</v>
      </c>
      <c r="D51" s="77">
        <f t="shared" si="0"/>
        <v>3.657850309510402E-2</v>
      </c>
      <c r="F51" s="56">
        <v>45284</v>
      </c>
      <c r="G51" s="87">
        <v>19429.150000000001</v>
      </c>
      <c r="H51" s="77">
        <f t="shared" si="1"/>
        <v>8.3096790132350939E-3</v>
      </c>
    </row>
    <row r="52" spans="2:19" x14ac:dyDescent="0.3">
      <c r="B52" s="56">
        <v>45277</v>
      </c>
      <c r="C52" s="87">
        <v>181.4</v>
      </c>
      <c r="D52" s="77">
        <f t="shared" si="0"/>
        <v>-2.0396912899669384E-2</v>
      </c>
      <c r="F52" s="56">
        <v>45277</v>
      </c>
      <c r="G52" s="87">
        <v>19054.7</v>
      </c>
      <c r="H52" s="77">
        <f t="shared" si="1"/>
        <v>1.9651319621930563E-2</v>
      </c>
      <c r="L52" s="36" t="s">
        <v>37</v>
      </c>
      <c r="M52" s="67">
        <f>S48</f>
        <v>48.990605243805049</v>
      </c>
    </row>
    <row r="53" spans="2:19" x14ac:dyDescent="0.3">
      <c r="B53" s="56">
        <v>45270</v>
      </c>
      <c r="C53" s="87">
        <v>181.9</v>
      </c>
      <c r="D53" s="77">
        <f t="shared" si="0"/>
        <v>-2.7487630566245258E-3</v>
      </c>
      <c r="F53" s="56">
        <v>45270</v>
      </c>
      <c r="G53" s="87">
        <v>19145.05</v>
      </c>
      <c r="H53" s="77">
        <f t="shared" si="1"/>
        <v>-4.7192355204086489E-3</v>
      </c>
      <c r="L53" s="37" t="s">
        <v>69</v>
      </c>
      <c r="M53" s="141">
        <v>105.88</v>
      </c>
    </row>
    <row r="54" spans="2:19" ht="16.2" thickBot="1" x14ac:dyDescent="0.35">
      <c r="B54" s="56">
        <v>45263</v>
      </c>
      <c r="C54" s="87">
        <v>181.8</v>
      </c>
      <c r="D54" s="77">
        <f t="shared" si="0"/>
        <v>5.5005500550042719E-4</v>
      </c>
      <c r="F54" s="56">
        <v>45263</v>
      </c>
      <c r="G54" s="87">
        <v>18703.5</v>
      </c>
      <c r="H54" s="77">
        <f t="shared" si="1"/>
        <v>2.3607880877910548E-2</v>
      </c>
      <c r="L54" s="68"/>
      <c r="M54" s="69"/>
    </row>
    <row r="55" spans="2:19" ht="16.2" thickBot="1" x14ac:dyDescent="0.35">
      <c r="B55" s="56">
        <v>45256</v>
      </c>
      <c r="C55" s="87">
        <v>198.7</v>
      </c>
      <c r="D55" s="77">
        <f t="shared" si="0"/>
        <v>-8.5052843482637086E-2</v>
      </c>
      <c r="F55" s="56">
        <v>45256</v>
      </c>
      <c r="G55" s="87">
        <v>18115.349999999999</v>
      </c>
      <c r="H55" s="77">
        <f t="shared" si="1"/>
        <v>3.2466941019632545E-2</v>
      </c>
      <c r="L55" s="38" t="s">
        <v>38</v>
      </c>
      <c r="M55" s="70">
        <f>M52-M53</f>
        <v>-56.889394756194946</v>
      </c>
    </row>
    <row r="56" spans="2:19" ht="16.2" thickBot="1" x14ac:dyDescent="0.35">
      <c r="B56" s="56">
        <v>45249</v>
      </c>
      <c r="C56" s="87">
        <v>170.25</v>
      </c>
      <c r="D56" s="77">
        <f t="shared" si="0"/>
        <v>0.16710719530102791</v>
      </c>
      <c r="F56" s="56">
        <v>45249</v>
      </c>
      <c r="G56" s="87">
        <v>17643.5</v>
      </c>
      <c r="H56" s="77">
        <f t="shared" si="1"/>
        <v>2.6743559951256657E-2</v>
      </c>
      <c r="L56" s="39" t="s">
        <v>39</v>
      </c>
      <c r="M56" s="110">
        <f>P27</f>
        <v>83700000</v>
      </c>
    </row>
    <row r="57" spans="2:19" ht="16.2" thickBot="1" x14ac:dyDescent="0.35">
      <c r="B57" s="56">
        <v>45242</v>
      </c>
      <c r="C57" s="88">
        <v>178.65</v>
      </c>
      <c r="D57" s="77">
        <f t="shared" si="0"/>
        <v>-4.7019311502938699E-2</v>
      </c>
      <c r="F57" s="56">
        <v>45242</v>
      </c>
      <c r="G57" s="88">
        <v>17600.5</v>
      </c>
      <c r="H57" s="77">
        <f t="shared" si="1"/>
        <v>2.4431124115791292E-3</v>
      </c>
      <c r="L57" s="38" t="s">
        <v>40</v>
      </c>
      <c r="M57" s="70">
        <f>M55/M56</f>
        <v>-6.7968213567735893E-7</v>
      </c>
    </row>
    <row r="58" spans="2:19" ht="16.2" thickBot="1" x14ac:dyDescent="0.35">
      <c r="B58" s="56">
        <v>45235</v>
      </c>
      <c r="C58" s="88">
        <v>173.4</v>
      </c>
      <c r="D58" s="77">
        <f t="shared" si="0"/>
        <v>3.0276816608996615E-2</v>
      </c>
      <c r="F58" s="56">
        <v>45235</v>
      </c>
      <c r="G58" s="88">
        <v>17256.599999999999</v>
      </c>
      <c r="H58" s="77">
        <f t="shared" si="1"/>
        <v>1.9928607025717859E-2</v>
      </c>
    </row>
    <row r="59" spans="2:19" ht="16.2" thickBot="1" x14ac:dyDescent="0.35">
      <c r="B59" s="56">
        <v>45228</v>
      </c>
      <c r="C59" s="88">
        <v>180.45</v>
      </c>
      <c r="D59" s="77">
        <f t="shared" si="0"/>
        <v>-3.9068994181213568E-2</v>
      </c>
      <c r="F59" s="56">
        <v>45228</v>
      </c>
      <c r="G59" s="88">
        <v>17000.95</v>
      </c>
      <c r="H59" s="77">
        <f t="shared" si="1"/>
        <v>1.5037394969104501E-2</v>
      </c>
      <c r="L59" s="106" t="s">
        <v>5</v>
      </c>
      <c r="M59" s="111">
        <v>45597</v>
      </c>
      <c r="N59" s="111">
        <v>45231</v>
      </c>
      <c r="O59" s="111">
        <v>44866</v>
      </c>
      <c r="P59" s="111">
        <v>44501</v>
      </c>
      <c r="Q59" s="111">
        <v>44136</v>
      </c>
    </row>
    <row r="60" spans="2:19" x14ac:dyDescent="0.3">
      <c r="B60" s="56">
        <v>45221</v>
      </c>
      <c r="C60" s="88">
        <v>184.75</v>
      </c>
      <c r="D60" s="77">
        <f t="shared" si="0"/>
        <v>-2.3274695534506118E-2</v>
      </c>
      <c r="F60" s="56">
        <v>45221</v>
      </c>
      <c r="G60" s="88">
        <v>16765.45</v>
      </c>
      <c r="H60" s="77">
        <f t="shared" si="1"/>
        <v>1.4046744942724398E-2</v>
      </c>
      <c r="L60" s="36" t="s">
        <v>41</v>
      </c>
      <c r="M60" s="121">
        <v>112.48</v>
      </c>
      <c r="N60" s="121">
        <v>105.56</v>
      </c>
      <c r="O60" s="121">
        <v>105</v>
      </c>
      <c r="P60" s="121">
        <v>28.94</v>
      </c>
      <c r="Q60" s="121">
        <v>9.0500000000000007</v>
      </c>
    </row>
    <row r="61" spans="2:19" x14ac:dyDescent="0.3">
      <c r="B61" s="56">
        <v>45214</v>
      </c>
      <c r="C61" s="88">
        <v>186.15</v>
      </c>
      <c r="D61" s="77">
        <f t="shared" si="0"/>
        <v>-7.5208165457963938E-3</v>
      </c>
      <c r="F61" s="56">
        <v>45214</v>
      </c>
      <c r="G61" s="88">
        <v>17208.75</v>
      </c>
      <c r="H61" s="77">
        <f t="shared" si="1"/>
        <v>-2.5760151085930105E-2</v>
      </c>
      <c r="L61" s="37" t="s">
        <v>42</v>
      </c>
      <c r="M61" s="122">
        <v>14.66</v>
      </c>
      <c r="N61" s="123">
        <v>5.86</v>
      </c>
      <c r="O61" s="123">
        <v>4.4400000000000004</v>
      </c>
      <c r="P61" s="149">
        <v>6.55</v>
      </c>
      <c r="Q61" s="123">
        <v>6.44</v>
      </c>
    </row>
    <row r="62" spans="2:19" x14ac:dyDescent="0.3">
      <c r="B62" s="56">
        <v>45207</v>
      </c>
      <c r="C62" s="88">
        <v>192.45</v>
      </c>
      <c r="D62" s="77">
        <f t="shared" si="0"/>
        <v>-3.2735775526110622E-2</v>
      </c>
      <c r="F62" s="56">
        <v>45207</v>
      </c>
      <c r="G62" s="88">
        <v>17390.349999999999</v>
      </c>
      <c r="H62" s="77">
        <f t="shared" si="1"/>
        <v>-1.0442573036195224E-2</v>
      </c>
      <c r="L62" s="37" t="s">
        <v>43</v>
      </c>
      <c r="M62" s="52">
        <f>(M61/N61)-1</f>
        <v>1.5017064846416379</v>
      </c>
      <c r="N62" s="52">
        <f>(N61/O61)-1</f>
        <v>0.31981981981981988</v>
      </c>
      <c r="O62" s="52">
        <f>(O61/P61)-1</f>
        <v>-0.32213740458015261</v>
      </c>
      <c r="P62" s="52">
        <f>(P61/Q61)-1</f>
        <v>1.7080745341614856E-2</v>
      </c>
      <c r="Q62" s="25"/>
    </row>
    <row r="63" spans="2:19" x14ac:dyDescent="0.3">
      <c r="B63" s="56">
        <v>45200</v>
      </c>
      <c r="C63" s="88">
        <v>164</v>
      </c>
      <c r="D63" s="77">
        <f t="shared" si="0"/>
        <v>0.17347560975609744</v>
      </c>
      <c r="F63" s="56">
        <v>45200</v>
      </c>
      <c r="G63" s="88">
        <v>17293.599999999999</v>
      </c>
      <c r="H63" s="77">
        <f t="shared" si="1"/>
        <v>5.5945552111764663E-3</v>
      </c>
      <c r="L63" s="37" t="s">
        <v>44</v>
      </c>
      <c r="M63" s="53">
        <f>AVERAGE(M62:P62)</f>
        <v>0.37911741130573001</v>
      </c>
      <c r="N63" s="25"/>
      <c r="O63" s="25"/>
      <c r="P63" s="25"/>
      <c r="Q63" s="25"/>
    </row>
    <row r="64" spans="2:19" x14ac:dyDescent="0.3">
      <c r="B64" s="56">
        <v>45193</v>
      </c>
      <c r="C64" s="88">
        <v>161.30000000000001</v>
      </c>
      <c r="D64" s="77">
        <f t="shared" si="0"/>
        <v>1.6738995660260381E-2</v>
      </c>
      <c r="F64" s="56">
        <v>45193</v>
      </c>
      <c r="G64" s="88">
        <v>17292.599999999999</v>
      </c>
      <c r="H64" s="77">
        <f t="shared" si="1"/>
        <v>5.7828203971599379E-5</v>
      </c>
      <c r="L64" s="37" t="s">
        <v>45</v>
      </c>
      <c r="M64" s="113">
        <f>M60/M61</f>
        <v>7.6725784447476126</v>
      </c>
      <c r="N64" s="113">
        <f>N60/N61</f>
        <v>18.013651877133107</v>
      </c>
      <c r="O64" s="113">
        <f>O60/O61</f>
        <v>23.648648648648646</v>
      </c>
      <c r="P64" s="113">
        <f>P60/P61</f>
        <v>4.4183206106870232</v>
      </c>
      <c r="Q64" s="113">
        <f>Q60/Q61</f>
        <v>1.40527950310559</v>
      </c>
    </row>
    <row r="65" spans="2:17" x14ac:dyDescent="0.3">
      <c r="B65" s="56">
        <v>45186</v>
      </c>
      <c r="C65" s="88">
        <v>153.25</v>
      </c>
      <c r="D65" s="77">
        <f t="shared" si="0"/>
        <v>5.2528548123980556E-2</v>
      </c>
      <c r="F65" s="56">
        <v>45186</v>
      </c>
      <c r="G65" s="88">
        <v>17260.8</v>
      </c>
      <c r="H65" s="77">
        <f t="shared" si="1"/>
        <v>1.8423248053391905E-3</v>
      </c>
      <c r="L65" s="37" t="s">
        <v>67</v>
      </c>
      <c r="M65" s="113">
        <f>M61*(1+M63)</f>
        <v>20.217861249742004</v>
      </c>
      <c r="N65" s="25"/>
      <c r="O65" s="25"/>
      <c r="P65" s="25"/>
      <c r="Q65" s="25"/>
    </row>
    <row r="66" spans="2:17" x14ac:dyDescent="0.3">
      <c r="B66" s="56">
        <v>45179</v>
      </c>
      <c r="C66" s="88">
        <v>157.9</v>
      </c>
      <c r="D66" s="77">
        <f t="shared" si="0"/>
        <v>-2.9449018366054514E-2</v>
      </c>
      <c r="F66" s="56">
        <v>45179</v>
      </c>
      <c r="G66" s="88">
        <v>17665.8</v>
      </c>
      <c r="H66" s="77">
        <f t="shared" si="1"/>
        <v>-2.2925652956560127E-2</v>
      </c>
      <c r="L66" s="37" t="s">
        <v>46</v>
      </c>
      <c r="M66" s="112">
        <f>AVERAGE(M64:Q64)</f>
        <v>11.031695816864396</v>
      </c>
      <c r="N66" s="25"/>
      <c r="O66" s="25"/>
      <c r="P66" s="25"/>
      <c r="Q66" s="25"/>
    </row>
    <row r="67" spans="2:17" ht="16.2" thickBot="1" x14ac:dyDescent="0.35">
      <c r="B67" s="56">
        <v>45172</v>
      </c>
      <c r="C67" s="88">
        <v>160.1</v>
      </c>
      <c r="D67" s="77">
        <f t="shared" si="0"/>
        <v>-1.3741411617738897E-2</v>
      </c>
      <c r="F67" s="56">
        <v>45172</v>
      </c>
      <c r="G67" s="88">
        <v>17487.45</v>
      </c>
      <c r="H67" s="77">
        <f t="shared" si="1"/>
        <v>1.0198742526783322E-2</v>
      </c>
      <c r="L67" s="71"/>
      <c r="M67" s="54"/>
      <c r="N67" s="54"/>
      <c r="O67" s="54"/>
      <c r="P67" s="54"/>
      <c r="Q67" s="54"/>
    </row>
    <row r="68" spans="2:17" ht="16.2" thickBot="1" x14ac:dyDescent="0.35">
      <c r="B68" s="56">
        <v>45165</v>
      </c>
      <c r="C68" s="88">
        <v>160.35</v>
      </c>
      <c r="D68" s="77">
        <f t="shared" si="0"/>
        <v>-1.5590894917367759E-3</v>
      </c>
      <c r="F68" s="56">
        <v>45165</v>
      </c>
      <c r="G68" s="88">
        <v>17074.55</v>
      </c>
      <c r="H68" s="77">
        <f t="shared" si="1"/>
        <v>2.4182189281708899E-2</v>
      </c>
      <c r="L68" s="107" t="s">
        <v>62</v>
      </c>
      <c r="M68" s="114">
        <f>M65*M66</f>
        <v>223.03729537472364</v>
      </c>
    </row>
    <row r="69" spans="2:17" x14ac:dyDescent="0.3">
      <c r="B69" s="56">
        <v>45158</v>
      </c>
      <c r="C69" s="88">
        <v>157</v>
      </c>
      <c r="D69" s="77">
        <f t="shared" si="0"/>
        <v>2.1337579617834335E-2</v>
      </c>
      <c r="F69" s="56">
        <v>45158</v>
      </c>
      <c r="G69" s="88">
        <v>16820.849999999999</v>
      </c>
      <c r="H69" s="77">
        <f t="shared" si="1"/>
        <v>1.5082472051055618E-2</v>
      </c>
    </row>
    <row r="70" spans="2:17" x14ac:dyDescent="0.3">
      <c r="B70" s="56">
        <v>45151</v>
      </c>
      <c r="C70" s="88">
        <v>156.6</v>
      </c>
      <c r="D70" s="77">
        <f t="shared" ref="D70:D133" si="4">C69/C70-1</f>
        <v>2.5542784163474774E-3</v>
      </c>
      <c r="F70" s="56">
        <v>45151</v>
      </c>
      <c r="G70" s="88">
        <v>16757.7</v>
      </c>
      <c r="H70" s="77">
        <f t="shared" ref="H70:H133" si="5">G69/G70-1</f>
        <v>3.7684169068545881E-3</v>
      </c>
    </row>
    <row r="71" spans="2:17" x14ac:dyDescent="0.3">
      <c r="B71" s="56">
        <v>45144</v>
      </c>
      <c r="C71" s="88">
        <v>156.55000000000001</v>
      </c>
      <c r="D71" s="77">
        <f t="shared" si="4"/>
        <v>3.1938677738740928E-4</v>
      </c>
      <c r="F71" s="56">
        <v>45144</v>
      </c>
      <c r="G71" s="88">
        <v>16860.150000000001</v>
      </c>
      <c r="H71" s="77">
        <f t="shared" si="5"/>
        <v>-6.0764583944983297E-3</v>
      </c>
    </row>
    <row r="72" spans="2:17" x14ac:dyDescent="0.3">
      <c r="B72" s="56">
        <v>45137</v>
      </c>
      <c r="C72" s="88">
        <v>155</v>
      </c>
      <c r="D72" s="77">
        <f t="shared" si="4"/>
        <v>1.0000000000000009E-2</v>
      </c>
      <c r="F72" s="56">
        <v>45137</v>
      </c>
      <c r="G72" s="88">
        <v>16890.599999999999</v>
      </c>
      <c r="H72" s="77">
        <f t="shared" si="5"/>
        <v>-1.8027778764517777E-3</v>
      </c>
    </row>
    <row r="73" spans="2:17" x14ac:dyDescent="0.3">
      <c r="B73" s="56">
        <v>45130</v>
      </c>
      <c r="C73" s="88">
        <v>154.80000000000001</v>
      </c>
      <c r="D73" s="77">
        <f t="shared" si="4"/>
        <v>1.2919896640826156E-3</v>
      </c>
      <c r="F73" s="56">
        <v>45130</v>
      </c>
      <c r="G73" s="88">
        <v>16948.349999999999</v>
      </c>
      <c r="H73" s="77">
        <f t="shared" si="5"/>
        <v>-3.4074113409270357E-3</v>
      </c>
    </row>
    <row r="74" spans="2:17" x14ac:dyDescent="0.3">
      <c r="B74" s="56">
        <v>45123</v>
      </c>
      <c r="C74" s="88">
        <v>154.05000000000001</v>
      </c>
      <c r="D74" s="77">
        <f t="shared" si="4"/>
        <v>4.8685491723465812E-3</v>
      </c>
      <c r="F74" s="56">
        <v>45123</v>
      </c>
      <c r="G74" s="88">
        <v>16904.3</v>
      </c>
      <c r="H74" s="77">
        <f t="shared" si="5"/>
        <v>2.6058458498725567E-3</v>
      </c>
    </row>
    <row r="75" spans="2:17" x14ac:dyDescent="0.3">
      <c r="B75" s="56">
        <v>45116</v>
      </c>
      <c r="C75" s="88">
        <v>155.85</v>
      </c>
      <c r="D75" s="77">
        <f t="shared" si="4"/>
        <v>-1.1549566891241425E-2</v>
      </c>
      <c r="F75" s="56">
        <v>45116</v>
      </c>
      <c r="G75" s="88">
        <v>16765.45</v>
      </c>
      <c r="H75" s="77">
        <f t="shared" si="5"/>
        <v>8.2819131010500868E-3</v>
      </c>
    </row>
    <row r="76" spans="2:17" x14ac:dyDescent="0.3">
      <c r="B76" s="56">
        <v>45109</v>
      </c>
      <c r="C76" s="88">
        <v>153.35</v>
      </c>
      <c r="D76" s="77">
        <f t="shared" si="4"/>
        <v>1.6302575806977471E-2</v>
      </c>
      <c r="F76" s="56">
        <v>45109</v>
      </c>
      <c r="G76" s="88">
        <v>16564.900000000001</v>
      </c>
      <c r="H76" s="77">
        <f t="shared" si="5"/>
        <v>1.2106924883337644E-2</v>
      </c>
    </row>
    <row r="77" spans="2:17" x14ac:dyDescent="0.3">
      <c r="B77" s="56">
        <v>45102</v>
      </c>
      <c r="C77" s="88">
        <v>152.4</v>
      </c>
      <c r="D77" s="77">
        <f t="shared" si="4"/>
        <v>6.2335958005248493E-3</v>
      </c>
      <c r="F77" s="56">
        <v>45102</v>
      </c>
      <c r="G77" s="88">
        <v>16430</v>
      </c>
      <c r="H77" s="77">
        <f t="shared" si="5"/>
        <v>8.2105903834450711E-3</v>
      </c>
    </row>
    <row r="78" spans="2:17" x14ac:dyDescent="0.3">
      <c r="B78" s="56">
        <v>45095</v>
      </c>
      <c r="C78" s="88">
        <v>150.35</v>
      </c>
      <c r="D78" s="77">
        <f t="shared" si="4"/>
        <v>1.3634852011972232E-2</v>
      </c>
      <c r="F78" s="56">
        <v>45095</v>
      </c>
      <c r="G78" s="88">
        <v>16011.8</v>
      </c>
      <c r="H78" s="77">
        <f t="shared" si="5"/>
        <v>2.6118237799622745E-2</v>
      </c>
    </row>
    <row r="79" spans="2:17" x14ac:dyDescent="0.3">
      <c r="B79" s="56">
        <v>45088</v>
      </c>
      <c r="C79" s="88">
        <v>149.19999999999999</v>
      </c>
      <c r="D79" s="77">
        <f t="shared" si="4"/>
        <v>7.7077747989275913E-3</v>
      </c>
      <c r="F79" s="56">
        <v>45088</v>
      </c>
      <c r="G79" s="88">
        <v>16181.45</v>
      </c>
      <c r="H79" s="77">
        <f t="shared" si="5"/>
        <v>-1.0484227309666361E-2</v>
      </c>
    </row>
    <row r="80" spans="2:17" x14ac:dyDescent="0.3">
      <c r="B80" s="56">
        <v>45081</v>
      </c>
      <c r="C80" s="88">
        <v>148</v>
      </c>
      <c r="D80" s="77">
        <f t="shared" si="4"/>
        <v>8.1081081081080253E-3</v>
      </c>
      <c r="F80" s="56">
        <v>45081</v>
      </c>
      <c r="G80" s="88">
        <v>15877.4</v>
      </c>
      <c r="H80" s="77">
        <f t="shared" si="5"/>
        <v>1.914986080844483E-2</v>
      </c>
    </row>
    <row r="81" spans="2:8" x14ac:dyDescent="0.3">
      <c r="B81" s="56">
        <v>45074</v>
      </c>
      <c r="C81" s="88">
        <v>152.30000000000001</v>
      </c>
      <c r="D81" s="77">
        <f t="shared" si="4"/>
        <v>-2.8233749179251588E-2</v>
      </c>
      <c r="F81" s="56">
        <v>45074</v>
      </c>
      <c r="G81" s="88">
        <v>15811.2</v>
      </c>
      <c r="H81" s="77">
        <f t="shared" si="5"/>
        <v>4.1869054847196718E-3</v>
      </c>
    </row>
    <row r="82" spans="2:8" x14ac:dyDescent="0.3">
      <c r="B82" s="56">
        <v>45067</v>
      </c>
      <c r="C82" s="88">
        <v>154</v>
      </c>
      <c r="D82" s="77">
        <f t="shared" si="4"/>
        <v>-1.1038961038960959E-2</v>
      </c>
      <c r="F82" s="56">
        <v>45067</v>
      </c>
      <c r="G82" s="88">
        <v>15696.75</v>
      </c>
      <c r="H82" s="77">
        <f t="shared" si="5"/>
        <v>7.2913182665201859E-3</v>
      </c>
    </row>
    <row r="83" spans="2:8" x14ac:dyDescent="0.3">
      <c r="B83" s="56">
        <v>45060</v>
      </c>
      <c r="C83" s="88">
        <v>150.9</v>
      </c>
      <c r="D83" s="77">
        <f t="shared" si="4"/>
        <v>2.054340622929085E-2</v>
      </c>
      <c r="F83" s="56">
        <v>45060</v>
      </c>
      <c r="G83" s="88">
        <v>15407.55</v>
      </c>
      <c r="H83" s="77">
        <f t="shared" si="5"/>
        <v>1.8770018594779891E-2</v>
      </c>
    </row>
    <row r="84" spans="2:8" x14ac:dyDescent="0.3">
      <c r="B84" s="56">
        <v>45053</v>
      </c>
      <c r="C84" s="88">
        <v>146.05000000000001</v>
      </c>
      <c r="D84" s="77">
        <f t="shared" si="4"/>
        <v>3.3207805546045854E-2</v>
      </c>
      <c r="F84" s="56">
        <v>45053</v>
      </c>
      <c r="G84" s="88">
        <v>15477.35</v>
      </c>
      <c r="H84" s="77">
        <f t="shared" si="5"/>
        <v>-4.509815956866059E-3</v>
      </c>
    </row>
    <row r="85" spans="2:8" x14ac:dyDescent="0.3">
      <c r="B85" s="56">
        <v>45046</v>
      </c>
      <c r="C85" s="88">
        <v>143</v>
      </c>
      <c r="D85" s="77">
        <f t="shared" si="4"/>
        <v>2.1328671328671334E-2</v>
      </c>
      <c r="F85" s="56">
        <v>45046</v>
      </c>
      <c r="G85" s="88">
        <v>15278.6</v>
      </c>
      <c r="H85" s="77">
        <f t="shared" si="5"/>
        <v>1.3008390821148463E-2</v>
      </c>
    </row>
    <row r="86" spans="2:8" x14ac:dyDescent="0.3">
      <c r="B86" s="56">
        <v>45039</v>
      </c>
      <c r="C86" s="88">
        <v>147.30000000000001</v>
      </c>
      <c r="D86" s="77">
        <f t="shared" si="4"/>
        <v>-2.9192124915139228E-2</v>
      </c>
      <c r="F86" s="56">
        <v>45039</v>
      </c>
      <c r="G86" s="88">
        <v>15219.55</v>
      </c>
      <c r="H86" s="77">
        <f t="shared" si="5"/>
        <v>3.8798781829949558E-3</v>
      </c>
    </row>
    <row r="87" spans="2:8" x14ac:dyDescent="0.3">
      <c r="B87" s="56">
        <v>45032</v>
      </c>
      <c r="C87" s="88">
        <v>148.65</v>
      </c>
      <c r="D87" s="77">
        <f t="shared" si="4"/>
        <v>-9.0817356205852295E-3</v>
      </c>
      <c r="F87" s="56">
        <v>45032</v>
      </c>
      <c r="G87" s="88">
        <v>14847.1</v>
      </c>
      <c r="H87" s="77">
        <f t="shared" si="5"/>
        <v>2.508570697307877E-2</v>
      </c>
    </row>
    <row r="88" spans="2:8" x14ac:dyDescent="0.3">
      <c r="B88" s="56">
        <v>45025</v>
      </c>
      <c r="C88" s="88">
        <v>148.69999999999999</v>
      </c>
      <c r="D88" s="77">
        <f t="shared" si="4"/>
        <v>-3.3624747814375855E-4</v>
      </c>
      <c r="F88" s="56">
        <v>45025</v>
      </c>
      <c r="G88" s="88">
        <v>14954.25</v>
      </c>
      <c r="H88" s="77">
        <f t="shared" si="5"/>
        <v>-7.1651871541534851E-3</v>
      </c>
    </row>
    <row r="89" spans="2:8" x14ac:dyDescent="0.3">
      <c r="B89" s="56">
        <v>45018</v>
      </c>
      <c r="C89" s="88">
        <v>147.5</v>
      </c>
      <c r="D89" s="77">
        <f t="shared" si="4"/>
        <v>8.1355932203388548E-3</v>
      </c>
      <c r="F89" s="56">
        <v>45018</v>
      </c>
      <c r="G89" s="88">
        <v>14759.2</v>
      </c>
      <c r="H89" s="77">
        <f t="shared" si="5"/>
        <v>1.3215485934196858E-2</v>
      </c>
    </row>
    <row r="90" spans="2:8" x14ac:dyDescent="0.3">
      <c r="B90" s="56">
        <v>45011</v>
      </c>
      <c r="C90" s="88">
        <v>136.05000000000001</v>
      </c>
      <c r="D90" s="77">
        <f t="shared" si="4"/>
        <v>8.4160235207644263E-2</v>
      </c>
      <c r="F90" s="56">
        <v>45011</v>
      </c>
      <c r="G90" s="88">
        <v>14557.85</v>
      </c>
      <c r="H90" s="77">
        <f t="shared" si="5"/>
        <v>1.3831025872639291E-2</v>
      </c>
    </row>
    <row r="91" spans="2:8" x14ac:dyDescent="0.3">
      <c r="B91" s="56">
        <v>45004</v>
      </c>
      <c r="C91" s="88">
        <v>143.44999999999999</v>
      </c>
      <c r="D91" s="77">
        <f t="shared" si="4"/>
        <v>-5.1585918438480149E-2</v>
      </c>
      <c r="F91" s="56">
        <v>45004</v>
      </c>
      <c r="G91" s="88">
        <v>14279</v>
      </c>
      <c r="H91" s="77">
        <f t="shared" si="5"/>
        <v>1.9528678478885064E-2</v>
      </c>
    </row>
    <row r="92" spans="2:8" x14ac:dyDescent="0.3">
      <c r="B92" s="56">
        <v>44997</v>
      </c>
      <c r="C92" s="88">
        <v>147.35</v>
      </c>
      <c r="D92" s="77">
        <f t="shared" si="4"/>
        <v>-2.6467594163556152E-2</v>
      </c>
      <c r="F92" s="56">
        <v>44997</v>
      </c>
      <c r="G92" s="88">
        <v>14420.85</v>
      </c>
      <c r="H92" s="77">
        <f t="shared" si="5"/>
        <v>-9.8364520815347189E-3</v>
      </c>
    </row>
    <row r="93" spans="2:8" x14ac:dyDescent="0.3">
      <c r="B93" s="56">
        <v>44990</v>
      </c>
      <c r="C93" s="88">
        <v>152</v>
      </c>
      <c r="D93" s="77">
        <f t="shared" si="4"/>
        <v>-3.059210526315792E-2</v>
      </c>
      <c r="F93" s="56">
        <v>44990</v>
      </c>
      <c r="G93" s="88">
        <v>14679.85</v>
      </c>
      <c r="H93" s="77">
        <f t="shared" si="5"/>
        <v>-1.7643232049373792E-2</v>
      </c>
    </row>
    <row r="94" spans="2:8" x14ac:dyDescent="0.3">
      <c r="B94" s="56">
        <v>44983</v>
      </c>
      <c r="C94" s="88">
        <v>149.05000000000001</v>
      </c>
      <c r="D94" s="77">
        <f t="shared" si="4"/>
        <v>1.9792016101979115E-2</v>
      </c>
      <c r="F94" s="56">
        <v>44983</v>
      </c>
      <c r="G94" s="88">
        <v>14774.75</v>
      </c>
      <c r="H94" s="77">
        <f t="shared" si="5"/>
        <v>-6.423120526574011E-3</v>
      </c>
    </row>
    <row r="95" spans="2:8" x14ac:dyDescent="0.3">
      <c r="B95" s="56">
        <v>44976</v>
      </c>
      <c r="C95" s="88">
        <v>152.25</v>
      </c>
      <c r="D95" s="77">
        <f t="shared" si="4"/>
        <v>-2.1018062397372694E-2</v>
      </c>
      <c r="F95" s="56">
        <v>44976</v>
      </c>
      <c r="G95" s="88">
        <v>14630.45</v>
      </c>
      <c r="H95" s="77">
        <f t="shared" si="5"/>
        <v>9.8629912272008013E-3</v>
      </c>
    </row>
    <row r="96" spans="2:8" x14ac:dyDescent="0.3">
      <c r="B96" s="56">
        <v>44969</v>
      </c>
      <c r="C96" s="88">
        <v>148.5</v>
      </c>
      <c r="D96" s="77">
        <f t="shared" si="4"/>
        <v>2.5252525252525304E-2</v>
      </c>
      <c r="F96" s="56">
        <v>44969</v>
      </c>
      <c r="G96" s="88">
        <v>15003.95</v>
      </c>
      <c r="H96" s="77">
        <f t="shared" si="5"/>
        <v>-2.4893444726222125E-2</v>
      </c>
    </row>
    <row r="97" spans="2:8" x14ac:dyDescent="0.3">
      <c r="B97" s="56">
        <v>44962</v>
      </c>
      <c r="C97" s="88">
        <v>145.25</v>
      </c>
      <c r="D97" s="77">
        <f t="shared" si="4"/>
        <v>2.2375215146299476E-2</v>
      </c>
      <c r="F97" s="56">
        <v>44962</v>
      </c>
      <c r="G97" s="88">
        <v>15015.85</v>
      </c>
      <c r="H97" s="77">
        <f t="shared" si="5"/>
        <v>-7.9249592930130675E-4</v>
      </c>
    </row>
    <row r="98" spans="2:8" x14ac:dyDescent="0.3">
      <c r="B98" s="56">
        <v>44955</v>
      </c>
      <c r="C98" s="88">
        <v>141.6</v>
      </c>
      <c r="D98" s="77">
        <f t="shared" si="4"/>
        <v>2.577683615819204E-2</v>
      </c>
      <c r="F98" s="56">
        <v>44955</v>
      </c>
      <c r="G98" s="88">
        <v>14962.35</v>
      </c>
      <c r="H98" s="77">
        <f t="shared" si="5"/>
        <v>3.5756415268992647E-3</v>
      </c>
    </row>
    <row r="99" spans="2:8" x14ac:dyDescent="0.3">
      <c r="B99" s="56">
        <v>44948</v>
      </c>
      <c r="C99" s="88">
        <v>149.1</v>
      </c>
      <c r="D99" s="77">
        <f t="shared" si="4"/>
        <v>-5.0301810865191143E-2</v>
      </c>
      <c r="F99" s="56">
        <v>44948</v>
      </c>
      <c r="G99" s="88">
        <v>14874.75</v>
      </c>
      <c r="H99" s="77">
        <f t="shared" si="5"/>
        <v>5.889174607976555E-3</v>
      </c>
    </row>
    <row r="100" spans="2:8" x14ac:dyDescent="0.3">
      <c r="B100" s="56">
        <v>44941</v>
      </c>
      <c r="C100" s="88">
        <v>136.75</v>
      </c>
      <c r="D100" s="77">
        <f t="shared" si="4"/>
        <v>9.0310786106032825E-2</v>
      </c>
      <c r="F100" s="56">
        <v>44941</v>
      </c>
      <c r="G100" s="88">
        <v>15347.9</v>
      </c>
      <c r="H100" s="77">
        <f t="shared" si="5"/>
        <v>-3.0828321789951652E-2</v>
      </c>
    </row>
    <row r="101" spans="2:8" x14ac:dyDescent="0.3">
      <c r="B101" s="56">
        <v>44934</v>
      </c>
      <c r="C101" s="88">
        <v>140.80000000000001</v>
      </c>
      <c r="D101" s="77">
        <f t="shared" si="4"/>
        <v>-2.8764204545454586E-2</v>
      </c>
      <c r="F101" s="56">
        <v>44934</v>
      </c>
      <c r="G101" s="88">
        <v>15346.1</v>
      </c>
      <c r="H101" s="77">
        <f t="shared" si="5"/>
        <v>1.1729364463941572E-4</v>
      </c>
    </row>
    <row r="102" spans="2:8" x14ac:dyDescent="0.3">
      <c r="B102" s="56">
        <v>44927</v>
      </c>
      <c r="C102" s="88">
        <v>138.44999999999999</v>
      </c>
      <c r="D102" s="77">
        <f t="shared" si="4"/>
        <v>1.6973636691946625E-2</v>
      </c>
      <c r="F102" s="56">
        <v>44927</v>
      </c>
      <c r="G102" s="88">
        <v>15272</v>
      </c>
      <c r="H102" s="77">
        <f t="shared" si="5"/>
        <v>4.8520167627030819E-3</v>
      </c>
    </row>
    <row r="103" spans="2:8" x14ac:dyDescent="0.3">
      <c r="B103" s="56">
        <v>44920</v>
      </c>
      <c r="C103" s="88">
        <v>130.6</v>
      </c>
      <c r="D103" s="77">
        <f t="shared" si="4"/>
        <v>6.010719754977023E-2</v>
      </c>
      <c r="F103" s="56">
        <v>44920</v>
      </c>
      <c r="G103" s="88">
        <v>15448.85</v>
      </c>
      <c r="H103" s="77">
        <f t="shared" si="5"/>
        <v>-1.1447454017612935E-2</v>
      </c>
    </row>
    <row r="104" spans="2:8" x14ac:dyDescent="0.3">
      <c r="B104" s="56">
        <v>44913</v>
      </c>
      <c r="C104" s="88">
        <v>124</v>
      </c>
      <c r="D104" s="77">
        <f t="shared" si="4"/>
        <v>5.32258064516129E-2</v>
      </c>
      <c r="F104" s="56">
        <v>44913</v>
      </c>
      <c r="G104" s="88">
        <v>15046</v>
      </c>
      <c r="H104" s="77">
        <f t="shared" si="5"/>
        <v>2.6774558022065742E-2</v>
      </c>
    </row>
    <row r="105" spans="2:8" x14ac:dyDescent="0.3">
      <c r="B105" s="56">
        <v>44906</v>
      </c>
      <c r="C105" s="88">
        <v>145.75</v>
      </c>
      <c r="D105" s="77">
        <f t="shared" si="4"/>
        <v>-0.14922813036020588</v>
      </c>
      <c r="F105" s="56">
        <v>44906</v>
      </c>
      <c r="G105" s="88">
        <v>15636.35</v>
      </c>
      <c r="H105" s="77">
        <f t="shared" si="5"/>
        <v>-3.7754974786315287E-2</v>
      </c>
    </row>
    <row r="106" spans="2:8" x14ac:dyDescent="0.3">
      <c r="B106" s="56">
        <v>44899</v>
      </c>
      <c r="C106" s="88">
        <v>147.5</v>
      </c>
      <c r="D106" s="77">
        <f t="shared" si="4"/>
        <v>-1.1864406779661052E-2</v>
      </c>
      <c r="F106" s="56">
        <v>44899</v>
      </c>
      <c r="G106" s="88">
        <v>15812.75</v>
      </c>
      <c r="H106" s="77">
        <f t="shared" si="5"/>
        <v>-1.1155554852887661E-2</v>
      </c>
    </row>
    <row r="107" spans="2:8" x14ac:dyDescent="0.3">
      <c r="B107" s="56">
        <v>44892</v>
      </c>
      <c r="C107" s="88">
        <v>145.30000000000001</v>
      </c>
      <c r="D107" s="77">
        <f t="shared" si="4"/>
        <v>1.5141087405368125E-2</v>
      </c>
      <c r="F107" s="56">
        <v>44892</v>
      </c>
      <c r="G107" s="88">
        <v>15963.5</v>
      </c>
      <c r="H107" s="77">
        <f t="shared" si="5"/>
        <v>-9.4434177968490962E-3</v>
      </c>
    </row>
    <row r="108" spans="2:8" x14ac:dyDescent="0.3">
      <c r="B108" s="56">
        <v>44885</v>
      </c>
      <c r="C108" s="88">
        <v>149.6</v>
      </c>
      <c r="D108" s="77">
        <f t="shared" si="4"/>
        <v>-2.8743315508021228E-2</v>
      </c>
      <c r="F108" s="56">
        <v>44885</v>
      </c>
      <c r="G108" s="88">
        <v>15727.25</v>
      </c>
      <c r="H108" s="77">
        <f t="shared" si="5"/>
        <v>1.5021698008234052E-2</v>
      </c>
    </row>
    <row r="109" spans="2:8" x14ac:dyDescent="0.3">
      <c r="B109" s="56">
        <v>44878</v>
      </c>
      <c r="C109" s="88">
        <v>152.69999999999999</v>
      </c>
      <c r="D109" s="77">
        <f t="shared" si="4"/>
        <v>-2.0301244269810059E-2</v>
      </c>
      <c r="F109" s="56">
        <v>44878</v>
      </c>
      <c r="G109" s="88">
        <v>15550.85</v>
      </c>
      <c r="H109" s="77">
        <f t="shared" si="5"/>
        <v>1.1343431387994762E-2</v>
      </c>
    </row>
    <row r="110" spans="2:8" x14ac:dyDescent="0.3">
      <c r="B110" s="56">
        <v>44871</v>
      </c>
      <c r="C110" s="89">
        <v>154.15</v>
      </c>
      <c r="D110" s="77">
        <f t="shared" si="4"/>
        <v>-9.406422315926144E-3</v>
      </c>
      <c r="F110" s="56">
        <v>44871</v>
      </c>
      <c r="G110" s="89">
        <v>15649.1</v>
      </c>
      <c r="H110" s="77">
        <f t="shared" si="5"/>
        <v>-6.2783163249005014E-3</v>
      </c>
    </row>
    <row r="111" spans="2:8" x14ac:dyDescent="0.3">
      <c r="B111" s="56">
        <v>44864</v>
      </c>
      <c r="C111" s="89">
        <v>157.44999999999999</v>
      </c>
      <c r="D111" s="77">
        <f t="shared" si="4"/>
        <v>-2.0959034614163152E-2</v>
      </c>
      <c r="F111" s="56">
        <v>44864</v>
      </c>
      <c r="G111" s="89">
        <v>15530.85</v>
      </c>
      <c r="H111" s="77">
        <f t="shared" si="5"/>
        <v>7.6138781843877457E-3</v>
      </c>
    </row>
    <row r="112" spans="2:8" x14ac:dyDescent="0.3">
      <c r="B112" s="56">
        <v>44857</v>
      </c>
      <c r="C112" s="89">
        <v>159.4</v>
      </c>
      <c r="D112" s="77">
        <f t="shared" si="4"/>
        <v>-1.22333751568382E-2</v>
      </c>
      <c r="F112" s="56">
        <v>44857</v>
      </c>
      <c r="G112" s="89">
        <v>15241.6</v>
      </c>
      <c r="H112" s="77">
        <f t="shared" si="5"/>
        <v>1.8977666386731151E-2</v>
      </c>
    </row>
    <row r="113" spans="2:8" x14ac:dyDescent="0.3">
      <c r="B113" s="56">
        <v>44850</v>
      </c>
      <c r="C113" s="89">
        <v>160.15</v>
      </c>
      <c r="D113" s="77">
        <f t="shared" si="4"/>
        <v>-4.6831095847642557E-3</v>
      </c>
      <c r="F113" s="56">
        <v>44850</v>
      </c>
      <c r="G113" s="89">
        <v>15081.1</v>
      </c>
      <c r="H113" s="77">
        <f t="shared" si="5"/>
        <v>1.0642459767523649E-2</v>
      </c>
    </row>
    <row r="114" spans="2:8" x14ac:dyDescent="0.3">
      <c r="B114" s="56">
        <v>44843</v>
      </c>
      <c r="C114" s="89">
        <v>165.05</v>
      </c>
      <c r="D114" s="77">
        <f t="shared" si="4"/>
        <v>-2.9687973341411711E-2</v>
      </c>
      <c r="F114" s="56">
        <v>44843</v>
      </c>
      <c r="G114" s="89">
        <v>14815.1</v>
      </c>
      <c r="H114" s="77">
        <f t="shared" si="5"/>
        <v>1.7954654372903223E-2</v>
      </c>
    </row>
    <row r="115" spans="2:8" x14ac:dyDescent="0.3">
      <c r="B115" s="56">
        <v>44836</v>
      </c>
      <c r="C115" s="89">
        <v>168.85</v>
      </c>
      <c r="D115" s="77">
        <f t="shared" si="4"/>
        <v>-2.2505182114302524E-2</v>
      </c>
      <c r="F115" s="56">
        <v>44836</v>
      </c>
      <c r="G115" s="89">
        <v>15036.7</v>
      </c>
      <c r="H115" s="77">
        <f t="shared" si="5"/>
        <v>-1.4737276131066013E-2</v>
      </c>
    </row>
    <row r="116" spans="2:8" x14ac:dyDescent="0.3">
      <c r="B116" s="56">
        <v>44829</v>
      </c>
      <c r="C116" s="89">
        <v>168.65</v>
      </c>
      <c r="D116" s="77">
        <f t="shared" si="4"/>
        <v>1.1858879335902017E-3</v>
      </c>
      <c r="F116" s="56">
        <v>44829</v>
      </c>
      <c r="G116" s="89">
        <v>14829.35</v>
      </c>
      <c r="H116" s="77">
        <f t="shared" si="5"/>
        <v>1.3982406511411583E-2</v>
      </c>
    </row>
    <row r="117" spans="2:8" x14ac:dyDescent="0.3">
      <c r="B117" s="56">
        <v>44822</v>
      </c>
      <c r="C117" s="89">
        <v>166.65</v>
      </c>
      <c r="D117" s="77">
        <f t="shared" si="4"/>
        <v>1.2001200120012046E-2</v>
      </c>
      <c r="F117" s="56">
        <v>44822</v>
      </c>
      <c r="G117" s="89">
        <v>15057.65</v>
      </c>
      <c r="H117" s="77">
        <f t="shared" si="5"/>
        <v>-1.5161728423757959E-2</v>
      </c>
    </row>
    <row r="118" spans="2:8" x14ac:dyDescent="0.3">
      <c r="B118" s="56">
        <v>44815</v>
      </c>
      <c r="C118" s="89">
        <v>166.3</v>
      </c>
      <c r="D118" s="77">
        <f t="shared" si="4"/>
        <v>2.1046301864100503E-3</v>
      </c>
      <c r="F118" s="56">
        <v>44815</v>
      </c>
      <c r="G118" s="89">
        <v>15243.95</v>
      </c>
      <c r="H118" s="77">
        <f t="shared" si="5"/>
        <v>-1.2221241869725397E-2</v>
      </c>
    </row>
    <row r="119" spans="2:8" x14ac:dyDescent="0.3">
      <c r="B119" s="56">
        <v>44808</v>
      </c>
      <c r="C119" s="89">
        <v>171.15</v>
      </c>
      <c r="D119" s="77">
        <f t="shared" si="4"/>
        <v>-2.8337715454279877E-2</v>
      </c>
      <c r="F119" s="56">
        <v>44808</v>
      </c>
      <c r="G119" s="89">
        <v>15467.4</v>
      </c>
      <c r="H119" s="77">
        <f t="shared" si="5"/>
        <v>-1.4446513311868747E-2</v>
      </c>
    </row>
    <row r="120" spans="2:8" x14ac:dyDescent="0.3">
      <c r="B120" s="56">
        <v>44801</v>
      </c>
      <c r="C120" s="89">
        <v>168.75</v>
      </c>
      <c r="D120" s="77">
        <f t="shared" si="4"/>
        <v>1.4222222222222358E-2</v>
      </c>
      <c r="F120" s="56">
        <v>44801</v>
      </c>
      <c r="G120" s="89">
        <v>15201.6</v>
      </c>
      <c r="H120" s="77">
        <f t="shared" si="5"/>
        <v>1.7485001578781079E-2</v>
      </c>
    </row>
    <row r="121" spans="2:8" x14ac:dyDescent="0.3">
      <c r="B121" s="56">
        <v>44794</v>
      </c>
      <c r="C121" s="89">
        <v>168.4</v>
      </c>
      <c r="D121" s="77">
        <f t="shared" si="4"/>
        <v>2.0783847980996306E-3</v>
      </c>
      <c r="F121" s="56">
        <v>44794</v>
      </c>
      <c r="G121" s="89">
        <v>15147.55</v>
      </c>
      <c r="H121" s="77">
        <f t="shared" si="5"/>
        <v>3.5682338067872799E-3</v>
      </c>
    </row>
    <row r="122" spans="2:8" x14ac:dyDescent="0.3">
      <c r="B122" s="56">
        <v>44787</v>
      </c>
      <c r="C122" s="89">
        <v>167.9</v>
      </c>
      <c r="D122" s="77">
        <f t="shared" si="4"/>
        <v>2.9779630732578166E-3</v>
      </c>
      <c r="F122" s="56">
        <v>44787</v>
      </c>
      <c r="G122" s="89">
        <v>15236.65</v>
      </c>
      <c r="H122" s="77">
        <f t="shared" si="5"/>
        <v>-5.8477421217918435E-3</v>
      </c>
    </row>
    <row r="123" spans="2:8" x14ac:dyDescent="0.3">
      <c r="B123" s="56">
        <v>44780</v>
      </c>
      <c r="C123" s="89">
        <v>165.55</v>
      </c>
      <c r="D123" s="77">
        <f t="shared" si="4"/>
        <v>1.4195107218363034E-2</v>
      </c>
      <c r="F123" s="56">
        <v>44780</v>
      </c>
      <c r="G123" s="89">
        <v>15140.55</v>
      </c>
      <c r="H123" s="77">
        <f t="shared" si="5"/>
        <v>6.3471934639098837E-3</v>
      </c>
    </row>
    <row r="124" spans="2:8" x14ac:dyDescent="0.3">
      <c r="B124" s="56">
        <v>44773</v>
      </c>
      <c r="C124" s="89">
        <v>166.85</v>
      </c>
      <c r="D124" s="77">
        <f t="shared" si="4"/>
        <v>-7.7914294276295593E-3</v>
      </c>
      <c r="F124" s="56">
        <v>44773</v>
      </c>
      <c r="G124" s="89">
        <v>14900.4</v>
      </c>
      <c r="H124" s="77">
        <f t="shared" si="5"/>
        <v>1.6117016992832411E-2</v>
      </c>
    </row>
    <row r="125" spans="2:8" x14ac:dyDescent="0.3">
      <c r="B125" s="56">
        <v>44766</v>
      </c>
      <c r="C125" s="89">
        <v>169.3</v>
      </c>
      <c r="D125" s="77">
        <f t="shared" si="4"/>
        <v>-1.4471352628470324E-2</v>
      </c>
      <c r="F125" s="56">
        <v>44766</v>
      </c>
      <c r="G125" s="89">
        <v>14665.65</v>
      </c>
      <c r="H125" s="77">
        <f t="shared" si="5"/>
        <v>1.6006791379856944E-2</v>
      </c>
    </row>
    <row r="126" spans="2:8" x14ac:dyDescent="0.3">
      <c r="B126" s="56">
        <v>44759</v>
      </c>
      <c r="C126" s="89">
        <v>163.9</v>
      </c>
      <c r="D126" s="77">
        <f t="shared" si="4"/>
        <v>3.2946918852959195E-2</v>
      </c>
      <c r="F126" s="56">
        <v>44759</v>
      </c>
      <c r="G126" s="89">
        <v>14336.6</v>
      </c>
      <c r="H126" s="77">
        <f t="shared" si="5"/>
        <v>2.2951745881171215E-2</v>
      </c>
    </row>
    <row r="127" spans="2:8" x14ac:dyDescent="0.3">
      <c r="B127" s="56">
        <v>44752</v>
      </c>
      <c r="C127" s="89">
        <v>169.55</v>
      </c>
      <c r="D127" s="77">
        <f t="shared" si="4"/>
        <v>-3.3323503391330056E-2</v>
      </c>
      <c r="F127" s="56">
        <v>44752</v>
      </c>
      <c r="G127" s="89">
        <v>13790.2</v>
      </c>
      <c r="H127" s="77">
        <f t="shared" si="5"/>
        <v>3.9622340502675879E-2</v>
      </c>
    </row>
    <row r="128" spans="2:8" x14ac:dyDescent="0.3">
      <c r="B128" s="56">
        <v>44745</v>
      </c>
      <c r="C128" s="89">
        <v>168.2</v>
      </c>
      <c r="D128" s="77">
        <f t="shared" si="4"/>
        <v>8.0261593341262039E-3</v>
      </c>
      <c r="F128" s="56">
        <v>44745</v>
      </c>
      <c r="G128" s="89">
        <v>13828.25</v>
      </c>
      <c r="H128" s="77">
        <f t="shared" si="5"/>
        <v>-2.7516135447362977E-3</v>
      </c>
    </row>
    <row r="129" spans="2:8" x14ac:dyDescent="0.3">
      <c r="B129" s="56">
        <v>44738</v>
      </c>
      <c r="C129" s="89">
        <v>165.45</v>
      </c>
      <c r="D129" s="77">
        <f t="shared" si="4"/>
        <v>1.6621335750982125E-2</v>
      </c>
      <c r="F129" s="56">
        <v>44738</v>
      </c>
      <c r="G129" s="89">
        <v>13394.45</v>
      </c>
      <c r="H129" s="77">
        <f t="shared" si="5"/>
        <v>3.2386548159872186E-2</v>
      </c>
    </row>
    <row r="130" spans="2:8" x14ac:dyDescent="0.3">
      <c r="B130" s="56">
        <v>44731</v>
      </c>
      <c r="C130" s="89">
        <v>127.2</v>
      </c>
      <c r="D130" s="77">
        <f t="shared" si="4"/>
        <v>0.3007075471698113</v>
      </c>
      <c r="F130" s="56">
        <v>44731</v>
      </c>
      <c r="G130" s="89">
        <v>13322.5</v>
      </c>
      <c r="H130" s="77">
        <f t="shared" si="5"/>
        <v>5.4006380183899694E-3</v>
      </c>
    </row>
    <row r="131" spans="2:8" x14ac:dyDescent="0.3">
      <c r="B131" s="56">
        <v>44724</v>
      </c>
      <c r="C131" s="89">
        <v>118.9</v>
      </c>
      <c r="D131" s="77">
        <f t="shared" si="4"/>
        <v>6.9806560134566764E-2</v>
      </c>
      <c r="F131" s="56">
        <v>44724</v>
      </c>
      <c r="G131" s="89">
        <v>12994.75</v>
      </c>
      <c r="H131" s="77">
        <f t="shared" si="5"/>
        <v>2.522172415783297E-2</v>
      </c>
    </row>
    <row r="132" spans="2:8" x14ac:dyDescent="0.3">
      <c r="B132" s="56">
        <v>44717</v>
      </c>
      <c r="C132" s="89">
        <v>132.5</v>
      </c>
      <c r="D132" s="77">
        <f t="shared" si="4"/>
        <v>-0.10264150943396222</v>
      </c>
      <c r="F132" s="56">
        <v>44717</v>
      </c>
      <c r="G132" s="89">
        <v>13781.75</v>
      </c>
      <c r="H132" s="77">
        <f t="shared" si="5"/>
        <v>-5.7104504144974366E-2</v>
      </c>
    </row>
    <row r="133" spans="2:8" x14ac:dyDescent="0.3">
      <c r="B133" s="56">
        <v>44710</v>
      </c>
      <c r="C133" s="89">
        <v>139.9</v>
      </c>
      <c r="D133" s="77">
        <f t="shared" si="4"/>
        <v>-5.2894924946390365E-2</v>
      </c>
      <c r="F133" s="56">
        <v>44710</v>
      </c>
      <c r="G133" s="89">
        <v>14077.9</v>
      </c>
      <c r="H133" s="77">
        <f t="shared" si="5"/>
        <v>-2.1036518230701962E-2</v>
      </c>
    </row>
    <row r="134" spans="2:8" x14ac:dyDescent="0.3">
      <c r="B134" s="56">
        <v>44703</v>
      </c>
      <c r="C134" s="89">
        <v>142.5</v>
      </c>
      <c r="D134" s="77">
        <f t="shared" ref="D134:D160" si="6">C133/C134-1</f>
        <v>-1.8245614035087732E-2</v>
      </c>
      <c r="F134" s="56">
        <v>44703</v>
      </c>
      <c r="G134" s="89">
        <v>13873.15</v>
      </c>
      <c r="H134" s="77">
        <f t="shared" ref="H134:H160" si="7">G133/G134-1</f>
        <v>1.4758724586701577E-2</v>
      </c>
    </row>
    <row r="135" spans="2:8" x14ac:dyDescent="0.3">
      <c r="B135" s="56">
        <v>44696</v>
      </c>
      <c r="C135" s="89">
        <v>137.19999999999999</v>
      </c>
      <c r="D135" s="77">
        <f t="shared" si="6"/>
        <v>3.862973760932964E-2</v>
      </c>
      <c r="F135" s="56">
        <v>44696</v>
      </c>
      <c r="G135" s="89">
        <v>13895.05</v>
      </c>
      <c r="H135" s="77">
        <f t="shared" si="7"/>
        <v>-1.5761008416665945E-3</v>
      </c>
    </row>
    <row r="136" spans="2:8" x14ac:dyDescent="0.3">
      <c r="B136" s="56">
        <v>44689</v>
      </c>
      <c r="C136" s="89">
        <v>131</v>
      </c>
      <c r="D136" s="77">
        <f t="shared" si="6"/>
        <v>4.7328244274809084E-2</v>
      </c>
      <c r="F136" s="56">
        <v>44689</v>
      </c>
      <c r="G136" s="89">
        <v>13471.5</v>
      </c>
      <c r="H136" s="77">
        <f t="shared" si="7"/>
        <v>3.1440448353932338E-2</v>
      </c>
    </row>
    <row r="137" spans="2:8" x14ac:dyDescent="0.3">
      <c r="B137" s="56">
        <v>44682</v>
      </c>
      <c r="C137" s="89">
        <v>138.9</v>
      </c>
      <c r="D137" s="77">
        <f t="shared" si="6"/>
        <v>-5.6875449964002955E-2</v>
      </c>
      <c r="F137" s="56">
        <v>44682</v>
      </c>
      <c r="G137" s="89">
        <v>14145.75</v>
      </c>
      <c r="H137" s="77">
        <f t="shared" si="7"/>
        <v>-4.7664492868882857E-2</v>
      </c>
    </row>
    <row r="138" spans="2:8" x14ac:dyDescent="0.3">
      <c r="B138" s="56">
        <v>44675</v>
      </c>
      <c r="C138" s="89">
        <v>142.75</v>
      </c>
      <c r="D138" s="77">
        <f t="shared" si="6"/>
        <v>-2.6970227670753077E-2</v>
      </c>
      <c r="F138" s="56">
        <v>44675</v>
      </c>
      <c r="G138" s="89">
        <v>14783.35</v>
      </c>
      <c r="H138" s="77">
        <f t="shared" si="7"/>
        <v>-4.3129601883199697E-2</v>
      </c>
    </row>
    <row r="139" spans="2:8" x14ac:dyDescent="0.3">
      <c r="B139" s="56">
        <v>44668</v>
      </c>
      <c r="C139" s="89">
        <v>155.1</v>
      </c>
      <c r="D139" s="77">
        <f t="shared" si="6"/>
        <v>-7.9626047711154113E-2</v>
      </c>
      <c r="F139" s="56">
        <v>44668</v>
      </c>
      <c r="G139" s="89">
        <v>14894.85</v>
      </c>
      <c r="H139" s="77">
        <f t="shared" si="7"/>
        <v>-7.4858088533956701E-3</v>
      </c>
    </row>
    <row r="140" spans="2:8" x14ac:dyDescent="0.3">
      <c r="B140" s="56">
        <v>44661</v>
      </c>
      <c r="C140" s="89">
        <v>143.4</v>
      </c>
      <c r="D140" s="77">
        <f t="shared" si="6"/>
        <v>8.1589958158995834E-2</v>
      </c>
      <c r="F140" s="56">
        <v>44661</v>
      </c>
      <c r="G140" s="89">
        <v>15138.55</v>
      </c>
      <c r="H140" s="77">
        <f t="shared" si="7"/>
        <v>-1.6097975037239309E-2</v>
      </c>
    </row>
    <row r="141" spans="2:8" x14ac:dyDescent="0.3">
      <c r="B141" s="56">
        <v>44654</v>
      </c>
      <c r="C141" s="89">
        <v>138.35</v>
      </c>
      <c r="D141" s="77">
        <f t="shared" si="6"/>
        <v>3.6501626310083246E-2</v>
      </c>
      <c r="F141" s="56">
        <v>44654</v>
      </c>
      <c r="G141" s="89">
        <v>15342.4</v>
      </c>
      <c r="H141" s="77">
        <f t="shared" si="7"/>
        <v>-1.3286708728751706E-2</v>
      </c>
    </row>
    <row r="142" spans="2:8" x14ac:dyDescent="0.3">
      <c r="B142" s="56">
        <v>44647</v>
      </c>
      <c r="C142" s="89">
        <v>129.05000000000001</v>
      </c>
      <c r="D142" s="77">
        <f t="shared" si="6"/>
        <v>7.206509104998049E-2</v>
      </c>
      <c r="F142" s="56">
        <v>44647</v>
      </c>
      <c r="G142" s="89">
        <v>15087.3</v>
      </c>
      <c r="H142" s="77">
        <f t="shared" si="7"/>
        <v>1.6908260590032809E-2</v>
      </c>
    </row>
    <row r="143" spans="2:8" x14ac:dyDescent="0.3">
      <c r="B143" s="56">
        <v>44640</v>
      </c>
      <c r="C143" s="89">
        <v>122.4</v>
      </c>
      <c r="D143" s="77">
        <f t="shared" si="6"/>
        <v>5.4330065359477153E-2</v>
      </c>
      <c r="F143" s="56">
        <v>44640</v>
      </c>
      <c r="G143" s="89">
        <v>14651.7</v>
      </c>
      <c r="H143" s="77">
        <f t="shared" si="7"/>
        <v>2.9730338459018402E-2</v>
      </c>
    </row>
    <row r="144" spans="2:8" x14ac:dyDescent="0.3">
      <c r="B144" s="56">
        <v>44633</v>
      </c>
      <c r="C144" s="89">
        <v>131.75</v>
      </c>
      <c r="D144" s="77">
        <f t="shared" si="6"/>
        <v>-7.096774193548383E-2</v>
      </c>
      <c r="F144" s="56">
        <v>44633</v>
      </c>
      <c r="G144" s="89">
        <v>14721.7</v>
      </c>
      <c r="H144" s="77">
        <f t="shared" si="7"/>
        <v>-4.7548856450002619E-3</v>
      </c>
    </row>
    <row r="145" spans="2:16" x14ac:dyDescent="0.3">
      <c r="B145" s="56">
        <v>44626</v>
      </c>
      <c r="C145" s="89">
        <v>138.44999999999999</v>
      </c>
      <c r="D145" s="77">
        <f t="shared" si="6"/>
        <v>-4.8392921632358199E-2</v>
      </c>
      <c r="F145" s="56">
        <v>44626</v>
      </c>
      <c r="G145" s="89">
        <v>14237.15</v>
      </c>
      <c r="H145" s="77">
        <f t="shared" si="7"/>
        <v>3.4034199260385867E-2</v>
      </c>
    </row>
    <row r="146" spans="2:16" x14ac:dyDescent="0.3">
      <c r="B146" s="56">
        <v>44619</v>
      </c>
      <c r="C146" s="89">
        <v>135.80000000000001</v>
      </c>
      <c r="D146" s="77">
        <f t="shared" si="6"/>
        <v>1.951399116347563E-2</v>
      </c>
      <c r="F146" s="56">
        <v>44619</v>
      </c>
      <c r="G146" s="89">
        <v>13893.15</v>
      </c>
      <c r="H146" s="77">
        <f t="shared" si="7"/>
        <v>2.4760403508203632E-2</v>
      </c>
    </row>
    <row r="147" spans="2:16" x14ac:dyDescent="0.3">
      <c r="B147" s="56">
        <v>44612</v>
      </c>
      <c r="C147" s="89">
        <v>125.35</v>
      </c>
      <c r="D147" s="77">
        <f t="shared" si="6"/>
        <v>8.3366573593937066E-2</v>
      </c>
      <c r="F147" s="56">
        <v>44612</v>
      </c>
      <c r="G147" s="89">
        <v>14187.4</v>
      </c>
      <c r="H147" s="77">
        <f t="shared" si="7"/>
        <v>-2.074023429240035E-2</v>
      </c>
    </row>
    <row r="148" spans="2:16" x14ac:dyDescent="0.3">
      <c r="B148" s="56">
        <v>44605</v>
      </c>
      <c r="C148" s="89">
        <v>136.15</v>
      </c>
      <c r="D148" s="77">
        <f t="shared" si="6"/>
        <v>-7.932427469702541E-2</v>
      </c>
      <c r="F148" s="56">
        <v>44605</v>
      </c>
      <c r="G148" s="89">
        <v>14710.7</v>
      </c>
      <c r="H148" s="77">
        <f t="shared" si="7"/>
        <v>-3.5572746368289776E-2</v>
      </c>
    </row>
    <row r="149" spans="2:16" x14ac:dyDescent="0.3">
      <c r="B149" s="56">
        <v>44598</v>
      </c>
      <c r="C149" s="89">
        <v>134.94999999999999</v>
      </c>
      <c r="D149" s="77">
        <f t="shared" si="6"/>
        <v>8.8921822897369829E-3</v>
      </c>
      <c r="F149" s="56">
        <v>44598</v>
      </c>
      <c r="G149" s="89">
        <v>14891.3</v>
      </c>
      <c r="H149" s="77">
        <f t="shared" si="7"/>
        <v>-1.2127886752667516E-2</v>
      </c>
    </row>
    <row r="150" spans="2:16" x14ac:dyDescent="0.3">
      <c r="B150" s="56">
        <v>44591</v>
      </c>
      <c r="C150" s="89">
        <v>138.35</v>
      </c>
      <c r="D150" s="77">
        <f t="shared" si="6"/>
        <v>-2.4575352367184666E-2</v>
      </c>
      <c r="F150" s="56">
        <v>44591</v>
      </c>
      <c r="G150" s="89">
        <v>15085.45</v>
      </c>
      <c r="H150" s="77">
        <f t="shared" si="7"/>
        <v>-1.2870017135717005E-2</v>
      </c>
    </row>
    <row r="151" spans="2:16" x14ac:dyDescent="0.3">
      <c r="B151" s="56">
        <v>44584</v>
      </c>
      <c r="C151" s="89">
        <v>139.55000000000001</v>
      </c>
      <c r="D151" s="77">
        <f t="shared" si="6"/>
        <v>-8.5990684342530654E-3</v>
      </c>
      <c r="F151" s="56">
        <v>44584</v>
      </c>
      <c r="G151" s="89">
        <v>14723.25</v>
      </c>
      <c r="H151" s="77">
        <f t="shared" si="7"/>
        <v>2.4600546754283137E-2</v>
      </c>
    </row>
    <row r="152" spans="2:16" x14ac:dyDescent="0.3">
      <c r="B152" s="56">
        <v>44577</v>
      </c>
      <c r="C152" s="89">
        <v>135.30000000000001</v>
      </c>
      <c r="D152" s="77">
        <f t="shared" si="6"/>
        <v>3.1411677753141243E-2</v>
      </c>
      <c r="F152" s="56">
        <v>44577</v>
      </c>
      <c r="G152" s="89">
        <v>15180.8</v>
      </c>
      <c r="H152" s="77">
        <f t="shared" si="7"/>
        <v>-3.0140045320404707E-2</v>
      </c>
    </row>
    <row r="153" spans="2:16" x14ac:dyDescent="0.3">
      <c r="B153" s="56">
        <v>44570</v>
      </c>
      <c r="C153" s="89">
        <v>132.65</v>
      </c>
      <c r="D153" s="77">
        <f t="shared" si="6"/>
        <v>1.9977384093479156E-2</v>
      </c>
      <c r="F153" s="56">
        <v>44570</v>
      </c>
      <c r="G153" s="89">
        <v>15730.4</v>
      </c>
      <c r="H153" s="77">
        <f t="shared" si="7"/>
        <v>-3.4938717387987595E-2</v>
      </c>
    </row>
    <row r="154" spans="2:16" x14ac:dyDescent="0.3">
      <c r="B154" s="56">
        <v>44563</v>
      </c>
      <c r="C154" s="89">
        <v>114.55</v>
      </c>
      <c r="D154" s="77">
        <f t="shared" si="6"/>
        <v>0.15800960279354004</v>
      </c>
      <c r="F154" s="56">
        <v>44563</v>
      </c>
      <c r="G154" s="89">
        <v>15348.55</v>
      </c>
      <c r="H154" s="77">
        <f t="shared" si="7"/>
        <v>2.4878571591453236E-2</v>
      </c>
      <c r="P154" s="115"/>
    </row>
    <row r="155" spans="2:16" x14ac:dyDescent="0.3">
      <c r="B155" s="56">
        <v>44556</v>
      </c>
      <c r="C155" s="89">
        <v>115.85</v>
      </c>
      <c r="D155" s="77">
        <f t="shared" si="6"/>
        <v>-1.1221406991799743E-2</v>
      </c>
      <c r="F155" s="56">
        <v>44556</v>
      </c>
      <c r="G155" s="89">
        <v>14996.2</v>
      </c>
      <c r="H155" s="77">
        <f t="shared" si="7"/>
        <v>2.34959523079179E-2</v>
      </c>
      <c r="P155" s="116"/>
    </row>
    <row r="156" spans="2:16" x14ac:dyDescent="0.3">
      <c r="B156" s="56">
        <v>44549</v>
      </c>
      <c r="C156" s="89">
        <v>109.3</v>
      </c>
      <c r="D156" s="77">
        <f t="shared" si="6"/>
        <v>5.9926806953339407E-2</v>
      </c>
      <c r="F156" s="56">
        <v>44549</v>
      </c>
      <c r="G156" s="89">
        <v>14664.8</v>
      </c>
      <c r="H156" s="77">
        <f t="shared" si="7"/>
        <v>2.2598330696634195E-2</v>
      </c>
      <c r="P156" s="117"/>
    </row>
    <row r="157" spans="2:16" x14ac:dyDescent="0.3">
      <c r="B157" s="56">
        <v>44542</v>
      </c>
      <c r="C157" s="89">
        <v>105.1</v>
      </c>
      <c r="D157" s="77">
        <f t="shared" si="6"/>
        <v>3.9961941008563207E-2</v>
      </c>
      <c r="F157" s="56">
        <v>44542</v>
      </c>
      <c r="G157" s="89">
        <v>14673.15</v>
      </c>
      <c r="H157" s="77">
        <f t="shared" si="7"/>
        <v>-5.690666285017576E-4</v>
      </c>
      <c r="P157" s="116"/>
    </row>
    <row r="158" spans="2:16" x14ac:dyDescent="0.3">
      <c r="B158" s="56">
        <v>44535</v>
      </c>
      <c r="C158" s="89">
        <v>108.65</v>
      </c>
      <c r="D158" s="77">
        <f t="shared" si="6"/>
        <v>-3.2673722963644791E-2</v>
      </c>
      <c r="F158" s="56">
        <v>44535</v>
      </c>
      <c r="G158" s="89">
        <v>15155</v>
      </c>
      <c r="H158" s="77">
        <f t="shared" si="7"/>
        <v>-3.1794787198944241E-2</v>
      </c>
      <c r="P158" s="117"/>
    </row>
    <row r="159" spans="2:16" x14ac:dyDescent="0.3">
      <c r="B159" s="56">
        <v>44528</v>
      </c>
      <c r="C159" s="89">
        <v>103.7</v>
      </c>
      <c r="D159" s="77">
        <f t="shared" si="6"/>
        <v>4.7733847637415616E-2</v>
      </c>
      <c r="F159" s="56">
        <v>44528</v>
      </c>
      <c r="G159" s="89">
        <v>14856.3</v>
      </c>
      <c r="H159" s="77">
        <f t="shared" si="7"/>
        <v>2.0105948318221989E-2</v>
      </c>
      <c r="P159" s="116"/>
    </row>
    <row r="160" spans="2:16" ht="16.2" thickBot="1" x14ac:dyDescent="0.35">
      <c r="B160" s="72">
        <v>44521</v>
      </c>
      <c r="C160" s="90">
        <v>105.35</v>
      </c>
      <c r="D160" s="78">
        <f t="shared" si="6"/>
        <v>-1.5662078785002254E-2</v>
      </c>
      <c r="F160" s="72">
        <v>44521</v>
      </c>
      <c r="G160" s="89">
        <v>14707.2</v>
      </c>
      <c r="H160" s="78">
        <f t="shared" si="7"/>
        <v>1.0137891644908414E-2</v>
      </c>
      <c r="P160" s="117"/>
    </row>
    <row r="161" spans="3:16" x14ac:dyDescent="0.3">
      <c r="C161" s="73"/>
      <c r="P161" s="118"/>
    </row>
  </sheetData>
  <mergeCells count="21">
    <mergeCell ref="L16:N16"/>
    <mergeCell ref="L18:N18"/>
    <mergeCell ref="L4:M4"/>
    <mergeCell ref="L12:N12"/>
    <mergeCell ref="L13:N13"/>
    <mergeCell ref="L14:N14"/>
    <mergeCell ref="L15:N15"/>
    <mergeCell ref="O18:Q18"/>
    <mergeCell ref="L19:N19"/>
    <mergeCell ref="L20:N20"/>
    <mergeCell ref="L21:N21"/>
    <mergeCell ref="L29:M29"/>
    <mergeCell ref="L22:N22"/>
    <mergeCell ref="L31:M31"/>
    <mergeCell ref="R45:S45"/>
    <mergeCell ref="L23:N23"/>
    <mergeCell ref="O23:Q23"/>
    <mergeCell ref="L24:N24"/>
    <mergeCell ref="L26:M26"/>
    <mergeCell ref="L27:M27"/>
    <mergeCell ref="L28:M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Asian Paints</vt:lpstr>
      <vt:lpstr>Kansai Nerolac</vt:lpstr>
      <vt:lpstr>Shalimar Paints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Bhavya</dc:creator>
  <cp:keywords/>
  <dc:description/>
  <cp:lastModifiedBy>Varun Singh</cp:lastModifiedBy>
  <cp:revision/>
  <dcterms:created xsi:type="dcterms:W3CDTF">2022-12-05T14:04:52Z</dcterms:created>
  <dcterms:modified xsi:type="dcterms:W3CDTF">2024-12-03T14:11:57Z</dcterms:modified>
  <cp:category/>
  <cp:contentStatus/>
</cp:coreProperties>
</file>