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eiasolacombr-my.sharepoint.com/personal/prevperdas_meiasola_com_br/Documents/Área de Trabalho/"/>
    </mc:Choice>
  </mc:AlternateContent>
  <xr:revisionPtr revIDLastSave="3" documentId="8_{B53CB208-CD0D-4B39-9ADC-05FA1DC29026}" xr6:coauthVersionLast="47" xr6:coauthVersionMax="47" xr10:uidLastSave="{036EE254-AD8E-41E3-94B8-D31E4F489D54}"/>
  <bookViews>
    <workbookView xWindow="-108" yWindow="-108" windowWidth="23256" windowHeight="13176" firstSheet="13" activeTab="14" xr2:uid="{00000000-000D-0000-FFFF-FFFF00000000}"/>
  </bookViews>
  <sheets>
    <sheet name="VISTA_ADRIANA" sheetId="9" state="hidden" r:id="rId1"/>
    <sheet name="faturam março" sheetId="7" state="hidden" r:id="rId2"/>
    <sheet name="JOE" sheetId="3" state="hidden" r:id="rId3"/>
    <sheet name="LINK" sheetId="19" state="hidden" r:id="rId4"/>
    <sheet name="FEV" sheetId="18" state="hidden" r:id="rId5"/>
    <sheet name="Venda Digital_" sheetId="23" state="hidden" r:id="rId6"/>
    <sheet name="Painel_Faturamento" sheetId="22" state="hidden" r:id="rId7"/>
    <sheet name="Painel_Faturamento (2)" sheetId="28" state="hidden" r:id="rId8"/>
    <sheet name="Fev22" sheetId="31" state="hidden" r:id="rId9"/>
    <sheet name="Triunfo" sheetId="32" state="hidden" r:id="rId10"/>
    <sheet name="ADRIANA_ECOM" sheetId="33" state="hidden" r:id="rId11"/>
    <sheet name="NADIELE_ECOM" sheetId="34" state="hidden" r:id="rId12"/>
    <sheet name="AGO" sheetId="29" state="hidden" r:id="rId13"/>
    <sheet name="Jan24" sheetId="36" r:id="rId14"/>
    <sheet name="Supervisão" sheetId="5" r:id="rId15"/>
    <sheet name="GERAL" sheetId="11" state="hidden" r:id="rId16"/>
  </sheets>
  <externalReferences>
    <externalReference r:id="rId17"/>
    <externalReference r:id="rId18"/>
  </externalReferences>
  <definedNames>
    <definedName name="_xlnm._FilterDatabase" localSheetId="12" hidden="1">AGO!$A$3:$M$3</definedName>
    <definedName name="_xlnm._FilterDatabase" localSheetId="1" hidden="1">'faturam março'!$A$10:$C$34</definedName>
    <definedName name="_xlnm._FilterDatabase" localSheetId="4" hidden="1">FEV!$A$3:$N$3</definedName>
    <definedName name="_xlnm._FilterDatabase" localSheetId="8" hidden="1">'Fev22'!$A$3:$L$3</definedName>
    <definedName name="_xlnm._FilterDatabase" localSheetId="15" hidden="1">GERAL!$B$6:$H$6</definedName>
    <definedName name="_xlnm._FilterDatabase" localSheetId="13" hidden="1">'Jan24'!$A$3:$O$3</definedName>
    <definedName name="_xlnm._FilterDatabase" localSheetId="3" hidden="1">LINK!$B$4:$E$26</definedName>
    <definedName name="_xlnm._FilterDatabase" localSheetId="6" hidden="1">Painel_Faturamento!$A$3:$N$3</definedName>
    <definedName name="_xlnm._FilterDatabase" localSheetId="7" hidden="1">'Painel_Faturamento (2)'!$A$3:$M$3</definedName>
    <definedName name="_xlnm._FilterDatabase" localSheetId="14" hidden="1">Supervisão!$B$6:$F$6</definedName>
    <definedName name="_xlnm._FilterDatabase" localSheetId="5" hidden="1">'Venda Digital_'!$B$4:$E$26</definedName>
    <definedName name="A">#REF!</definedName>
    <definedName name="ABRILFAT">#REF!</definedName>
    <definedName name="ACLEO" localSheetId="5">#REF!</definedName>
    <definedName name="ACLEO">#REF!</definedName>
    <definedName name="Ano" localSheetId="15">#REF!</definedName>
    <definedName name="Ano" localSheetId="14">#REF!</definedName>
    <definedName name="Ano">#REF!</definedName>
    <definedName name="_xlnm.Print_Area" localSheetId="12">AGO!$A$1:$M$35</definedName>
    <definedName name="_xlnm.Print_Area" localSheetId="4">FEV!$A$1:$N$34</definedName>
    <definedName name="_xlnm.Print_Area" localSheetId="8">'Fev22'!$A$1:$L$35</definedName>
    <definedName name="_xlnm.Print_Area" localSheetId="15">GERAL!$A$6:$H$34</definedName>
    <definedName name="_xlnm.Print_Area" localSheetId="13">'Jan24'!$A$1:$O$37</definedName>
    <definedName name="_xlnm.Print_Area" localSheetId="6">Painel_Faturamento!$A$1:$N$40</definedName>
    <definedName name="_xlnm.Print_Area" localSheetId="7">'Painel_Faturamento (2)'!$A$1:$M$35</definedName>
    <definedName name="_xlnm.Print_Area" localSheetId="14">Supervisão!$A$6:$F$33</definedName>
    <definedName name="AREZZO" localSheetId="5">#REF!</definedName>
    <definedName name="AREZZO">#REF!</definedName>
    <definedName name="Automóveis" localSheetId="15">#REF!</definedName>
    <definedName name="Automóveis" localSheetId="14">#REF!</definedName>
    <definedName name="Automóveis">#REF!</definedName>
    <definedName name="Automóvel" localSheetId="15">#REF!</definedName>
    <definedName name="Automóvel" localSheetId="14">#REF!</definedName>
    <definedName name="Automóvel">#REF!</definedName>
    <definedName name="B">#REF!</definedName>
    <definedName name="cabeçalho" localSheetId="15">#REF!</definedName>
    <definedName name="cabeçalho" localSheetId="14">#REF!</definedName>
    <definedName name="cabeçalho">#REF!</definedName>
    <definedName name="Celta" localSheetId="15">#REF!</definedName>
    <definedName name="Celta" localSheetId="14">#REF!</definedName>
    <definedName name="Celta">#REF!</definedName>
    <definedName name="Corsa" localSheetId="15">#REF!</definedName>
    <definedName name="Corsa" localSheetId="14">#REF!</definedName>
    <definedName name="Corsa">#REF!</definedName>
    <definedName name="DEZEMBRO" localSheetId="5">#REF!</definedName>
    <definedName name="DEZEMBRO">#REF!</definedName>
    <definedName name="DSX">#REF!</definedName>
    <definedName name="EADSX">#REF!</definedName>
    <definedName name="fat" localSheetId="5">#REF!</definedName>
    <definedName name="fat">#REF!</definedName>
    <definedName name="FATFEV" localSheetId="5">#REF!</definedName>
    <definedName name="FATFEV">#REF!</definedName>
    <definedName name="FATJA01" localSheetId="5">#REF!</definedName>
    <definedName name="FATJA01">#REF!</definedName>
    <definedName name="fatjann" localSheetId="5">#REF!</definedName>
    <definedName name="fatjann">#REF!</definedName>
    <definedName name="FATLEOJAN" localSheetId="5">#REF!</definedName>
    <definedName name="FATLEOJAN">#REF!</definedName>
    <definedName name="fatmarc">#REF!</definedName>
    <definedName name="FATURAMENTO" localSheetId="5">#REF!</definedName>
    <definedName name="FATURAMENTO">#REF!</definedName>
    <definedName name="Fiat_Mile" localSheetId="15">#REF!</definedName>
    <definedName name="Fiat_Mile" localSheetId="14">#REF!</definedName>
    <definedName name="Fiat_Mile">#REF!</definedName>
    <definedName name="JANLINK" localSheetId="5">#REF!</definedName>
    <definedName name="JANLINK">#REF!</definedName>
    <definedName name="JANMS" localSheetId="5">#REF!</definedName>
    <definedName name="JANMS">#REF!</definedName>
    <definedName name="LEO" localSheetId="5">#REF!</definedName>
    <definedName name="LEO">#REF!</definedName>
    <definedName name="LINK" localSheetId="5">#REF!</definedName>
    <definedName name="LINK">#REF!</definedName>
    <definedName name="LINKABRIL">#REF!</definedName>
    <definedName name="LINKDEZ" localSheetId="5">#REF!</definedName>
    <definedName name="LINKDEZ">#REF!</definedName>
    <definedName name="LINKFEV" localSheetId="5">#REF!</definedName>
    <definedName name="LINKFEV">#REF!</definedName>
    <definedName name="LINKJA01" localSheetId="5">#REF!</definedName>
    <definedName name="LINKJA01">#REF!</definedName>
    <definedName name="linkjann" localSheetId="5">#REF!</definedName>
    <definedName name="linkjann">#REF!</definedName>
    <definedName name="LINKLEOJAN" localSheetId="5">#REF!</definedName>
    <definedName name="LINKLEOJAN">#REF!</definedName>
    <definedName name="LINKMAR">#REF!</definedName>
    <definedName name="LINKS" localSheetId="5">#REF!</definedName>
    <definedName name="LINKS">#REF!</definedName>
    <definedName name="ljs" localSheetId="5">#REF!</definedName>
    <definedName name="ljs">#REF!</definedName>
    <definedName name="Lucro" localSheetId="15">#REF!</definedName>
    <definedName name="Lucro" localSheetId="14">#REF!</definedName>
    <definedName name="Lucro">#REF!</definedName>
    <definedName name="MEIASOLA" localSheetId="5">#REF!</definedName>
    <definedName name="MEIASOLA">#REF!</definedName>
    <definedName name="MS" localSheetId="5">#REF!</definedName>
    <definedName name="MS">#REF!</definedName>
    <definedName name="Parati" localSheetId="15">#REF!</definedName>
    <definedName name="Parati" localSheetId="14">#REF!</definedName>
    <definedName name="Parati">#REF!</definedName>
    <definedName name="Peça" localSheetId="15">#REF!</definedName>
    <definedName name="Peça" localSheetId="14">#REF!</definedName>
    <definedName name="Peça">#REF!</definedName>
    <definedName name="Porta" localSheetId="15">#REF!</definedName>
    <definedName name="Porta" localSheetId="14">#REF!</definedName>
    <definedName name="Porta">#REF!</definedName>
    <definedName name="Quantidade" localSheetId="15">#REF!</definedName>
    <definedName name="Quantidade" localSheetId="14">#REF!</definedName>
    <definedName name="Quantidade">#REF!</definedName>
    <definedName name="qw">#REF!</definedName>
    <definedName name="rebeca" localSheetId="15">#REF!</definedName>
    <definedName name="rebeca" localSheetId="14">#REF!</definedName>
    <definedName name="rebeca">#REF!</definedName>
    <definedName name="saxzdx">#REF!</definedName>
    <definedName name="SAZ">#REF!</definedName>
    <definedName name="STZ" localSheetId="5">#REF!</definedName>
    <definedName name="STZ">#REF!</definedName>
    <definedName name="SXZ">#REF!</definedName>
    <definedName name="Valor_Compra" localSheetId="15">#REF!</definedName>
    <definedName name="Valor_Compra" localSheetId="14">#REF!</definedName>
    <definedName name="Valor_Compra">#REF!</definedName>
    <definedName name="Valor_Venda" localSheetId="15">#REF!</definedName>
    <definedName name="Valor_Venda" localSheetId="14">#REF!</definedName>
    <definedName name="Valor_Venda">#REF!</definedName>
    <definedName name="Valores_Duplicata">#REF!</definedName>
    <definedName name="Vendadiária23" localSheetId="15">#REF!</definedName>
    <definedName name="Vendadiária23" localSheetId="14">#REF!</definedName>
    <definedName name="Vendadiária23">#REF!</definedName>
    <definedName name="VLINK05">[1]Planilha21!$A$1:$C$23</definedName>
    <definedName name="VLINK0521">[1]Planilha21!$E$1:$F$23</definedName>
    <definedName name="wsaz">#REF!</definedName>
    <definedName name="WSZ">#REF!</definedName>
    <definedName name="zzlink" localSheetId="5">#REF!</definedName>
    <definedName name="zzlink">#REF!</definedName>
  </definedNames>
  <calcPr calcId="181029" iterateCount="1"/>
</workbook>
</file>

<file path=xl/calcChain.xml><?xml version="1.0" encoding="utf-8"?>
<calcChain xmlns="http://schemas.openxmlformats.org/spreadsheetml/2006/main">
  <c r="G36" i="36" l="1"/>
  <c r="G35" i="36"/>
  <c r="G33" i="36"/>
  <c r="G31" i="36"/>
  <c r="G29" i="36"/>
  <c r="G28" i="36"/>
  <c r="G26" i="36"/>
  <c r="G25" i="36"/>
  <c r="G24" i="36"/>
  <c r="G23" i="36"/>
  <c r="G21" i="36"/>
  <c r="G20" i="36"/>
  <c r="G19" i="36"/>
  <c r="G17" i="36"/>
  <c r="G16" i="36"/>
  <c r="G15" i="36"/>
  <c r="G13" i="36"/>
  <c r="G12" i="36"/>
  <c r="G11" i="36"/>
  <c r="G10" i="36"/>
  <c r="G9" i="36"/>
  <c r="G8" i="36"/>
  <c r="G7" i="36"/>
  <c r="G6" i="36"/>
  <c r="G5" i="36"/>
  <c r="L36" i="36"/>
  <c r="K36" i="36"/>
  <c r="J36" i="36"/>
  <c r="L35" i="36"/>
  <c r="K35" i="36"/>
  <c r="J35" i="36"/>
  <c r="L33" i="36"/>
  <c r="K33" i="36"/>
  <c r="J33" i="36"/>
  <c r="L31" i="36"/>
  <c r="K31" i="36"/>
  <c r="J31" i="36"/>
  <c r="L29" i="36"/>
  <c r="K29" i="36"/>
  <c r="J29" i="36"/>
  <c r="L28" i="36"/>
  <c r="K28" i="36"/>
  <c r="J28" i="36"/>
  <c r="L26" i="36"/>
  <c r="K26" i="36"/>
  <c r="J26" i="36"/>
  <c r="L25" i="36"/>
  <c r="K25" i="36"/>
  <c r="J25" i="36"/>
  <c r="L24" i="36"/>
  <c r="K24" i="36"/>
  <c r="J24" i="36"/>
  <c r="L23" i="36"/>
  <c r="K23" i="36"/>
  <c r="J23" i="36"/>
  <c r="L21" i="36"/>
  <c r="K21" i="36"/>
  <c r="J21" i="36"/>
  <c r="L20" i="36"/>
  <c r="K20" i="36"/>
  <c r="J20" i="36"/>
  <c r="L19" i="36"/>
  <c r="K19" i="36"/>
  <c r="J19" i="36"/>
  <c r="L17" i="36"/>
  <c r="K17" i="36"/>
  <c r="J17" i="36"/>
  <c r="L16" i="36"/>
  <c r="K16" i="36"/>
  <c r="J16" i="36"/>
  <c r="L15" i="36"/>
  <c r="K15" i="36"/>
  <c r="J15" i="36"/>
  <c r="L13" i="36"/>
  <c r="K13" i="36"/>
  <c r="J13" i="36"/>
  <c r="L12" i="36"/>
  <c r="K12" i="36"/>
  <c r="J12" i="36"/>
  <c r="L11" i="36"/>
  <c r="K11" i="36"/>
  <c r="J11" i="36"/>
  <c r="L10" i="36"/>
  <c r="K10" i="36"/>
  <c r="J10" i="36"/>
  <c r="L9" i="36"/>
  <c r="K9" i="36"/>
  <c r="J9" i="36"/>
  <c r="L8" i="36"/>
  <c r="K8" i="36"/>
  <c r="J8" i="36"/>
  <c r="L7" i="36"/>
  <c r="K7" i="36"/>
  <c r="J7" i="36"/>
  <c r="L6" i="36"/>
  <c r="K6" i="36"/>
  <c r="J6" i="36"/>
  <c r="L5" i="36"/>
  <c r="K5" i="36"/>
  <c r="J5" i="36"/>
  <c r="F36" i="36"/>
  <c r="D36" i="36"/>
  <c r="C36" i="36"/>
  <c r="B36" i="36"/>
  <c r="F35" i="36"/>
  <c r="D35" i="36"/>
  <c r="C35" i="36"/>
  <c r="B35" i="36"/>
  <c r="F33" i="36"/>
  <c r="D33" i="36"/>
  <c r="C33" i="36"/>
  <c r="B33" i="36"/>
  <c r="F31" i="36"/>
  <c r="D31" i="36"/>
  <c r="C31" i="36"/>
  <c r="B31" i="36"/>
  <c r="F29" i="36"/>
  <c r="D29" i="36"/>
  <c r="C29" i="36"/>
  <c r="B29" i="36"/>
  <c r="F28" i="36"/>
  <c r="D28" i="36"/>
  <c r="C28" i="36"/>
  <c r="B28" i="36"/>
  <c r="F26" i="36"/>
  <c r="D26" i="36"/>
  <c r="C26" i="36"/>
  <c r="B26" i="36"/>
  <c r="F25" i="36"/>
  <c r="D25" i="36"/>
  <c r="C25" i="36"/>
  <c r="B25" i="36"/>
  <c r="F24" i="36"/>
  <c r="D24" i="36"/>
  <c r="C24" i="36"/>
  <c r="B24" i="36"/>
  <c r="F23" i="36"/>
  <c r="D23" i="36"/>
  <c r="C23" i="36"/>
  <c r="B23" i="36"/>
  <c r="F21" i="36"/>
  <c r="D21" i="36"/>
  <c r="C21" i="36"/>
  <c r="B21" i="36"/>
  <c r="F20" i="36"/>
  <c r="D20" i="36"/>
  <c r="C20" i="36"/>
  <c r="B20" i="36"/>
  <c r="F19" i="36"/>
  <c r="D19" i="36"/>
  <c r="C19" i="36"/>
  <c r="B19" i="36"/>
  <c r="F17" i="36"/>
  <c r="D17" i="36"/>
  <c r="C17" i="36"/>
  <c r="B17" i="36"/>
  <c r="F16" i="36"/>
  <c r="D16" i="36"/>
  <c r="C16" i="36"/>
  <c r="B16" i="36"/>
  <c r="F15" i="36"/>
  <c r="D15" i="36"/>
  <c r="C15" i="36"/>
  <c r="B15" i="36"/>
  <c r="F13" i="36"/>
  <c r="D13" i="36"/>
  <c r="C13" i="36"/>
  <c r="B13" i="36"/>
  <c r="F12" i="36"/>
  <c r="D12" i="36"/>
  <c r="C12" i="36"/>
  <c r="B12" i="36"/>
  <c r="F11" i="36"/>
  <c r="D11" i="36"/>
  <c r="C11" i="36"/>
  <c r="B11" i="36"/>
  <c r="F10" i="36"/>
  <c r="D10" i="36"/>
  <c r="C10" i="36"/>
  <c r="B10" i="36"/>
  <c r="F9" i="36"/>
  <c r="D9" i="36"/>
  <c r="C9" i="36"/>
  <c r="B9" i="36"/>
  <c r="F8" i="36"/>
  <c r="D8" i="36"/>
  <c r="C8" i="36"/>
  <c r="B8" i="36"/>
  <c r="F7" i="36"/>
  <c r="D7" i="36"/>
  <c r="C7" i="36"/>
  <c r="B7" i="36"/>
  <c r="F6" i="36"/>
  <c r="D6" i="36"/>
  <c r="C6" i="36"/>
  <c r="B6" i="36"/>
  <c r="F5" i="36"/>
  <c r="D5" i="36"/>
  <c r="C5" i="36"/>
  <c r="B5" i="36"/>
  <c r="C31" i="5" l="1"/>
  <c r="E16" i="36" l="1"/>
  <c r="D18" i="5"/>
  <c r="D17" i="5"/>
  <c r="D16" i="5"/>
  <c r="D14" i="5"/>
  <c r="D13" i="5"/>
  <c r="D12" i="5"/>
  <c r="D11" i="5"/>
  <c r="D10" i="5"/>
  <c r="D9" i="5"/>
  <c r="D8" i="5"/>
  <c r="D7" i="5"/>
  <c r="D15" i="5" l="1"/>
  <c r="D19" i="5"/>
  <c r="D29" i="5"/>
  <c r="D28" i="5"/>
  <c r="D26" i="5"/>
  <c r="D25" i="5"/>
  <c r="D24" i="5"/>
  <c r="D22" i="5"/>
  <c r="D20" i="5"/>
  <c r="D21" i="5"/>
  <c r="D30" i="5" l="1"/>
  <c r="H30" i="36" l="1"/>
  <c r="K30" i="36" l="1"/>
  <c r="J30" i="36"/>
  <c r="C4" i="36"/>
  <c r="C30" i="36"/>
  <c r="B30" i="36"/>
  <c r="F30" i="36"/>
  <c r="D30" i="36" l="1"/>
  <c r="F34" i="36" l="1"/>
  <c r="D31" i="5" s="1"/>
  <c r="C34" i="36"/>
  <c r="B34" i="36"/>
  <c r="K34" i="36"/>
  <c r="D32" i="5" l="1"/>
  <c r="J34" i="36"/>
  <c r="K32" i="36"/>
  <c r="H32" i="36"/>
  <c r="B32" i="36"/>
  <c r="L32" i="36"/>
  <c r="J32" i="36"/>
  <c r="F32" i="36"/>
  <c r="K27" i="36"/>
  <c r="J27" i="36"/>
  <c r="C27" i="36"/>
  <c r="B27" i="36"/>
  <c r="F27" i="36"/>
  <c r="D22" i="36"/>
  <c r="C22" i="36"/>
  <c r="F22" i="36"/>
  <c r="B18" i="36"/>
  <c r="J18" i="36"/>
  <c r="D18" i="36"/>
  <c r="F18" i="36"/>
  <c r="H14" i="36"/>
  <c r="J14" i="36"/>
  <c r="K14" i="36"/>
  <c r="F14" i="36"/>
  <c r="C14" i="36"/>
  <c r="K4" i="36"/>
  <c r="J4" i="36"/>
  <c r="F4" i="36"/>
  <c r="F37" i="36" l="1"/>
  <c r="H27" i="36"/>
  <c r="C18" i="36"/>
  <c r="B22" i="36"/>
  <c r="H18" i="36"/>
  <c r="B4" i="36"/>
  <c r="H22" i="36"/>
  <c r="K18" i="36"/>
  <c r="J22" i="36"/>
  <c r="J37" i="36" s="1"/>
  <c r="B14" i="36"/>
  <c r="H4" i="36"/>
  <c r="K22" i="36"/>
  <c r="D4" i="36"/>
  <c r="D14" i="36"/>
  <c r="D27" i="36"/>
  <c r="H37" i="36" l="1"/>
  <c r="D32" i="36"/>
  <c r="C32" i="36"/>
  <c r="C37" i="36" s="1"/>
  <c r="B37" i="36"/>
  <c r="K37" i="36"/>
  <c r="C8" i="33" l="1"/>
  <c r="C12" i="33" l="1"/>
  <c r="C11" i="33"/>
  <c r="C9" i="33"/>
  <c r="C7" i="33"/>
  <c r="C5" i="33"/>
  <c r="C4" i="33"/>
  <c r="C3" i="33"/>
  <c r="C10" i="33" l="1"/>
  <c r="C6" i="33"/>
  <c r="C2" i="33"/>
  <c r="E3" i="32"/>
  <c r="E4" i="32"/>
  <c r="F4" i="32"/>
  <c r="G4" i="32"/>
  <c r="H4" i="32"/>
  <c r="E5" i="32"/>
  <c r="F5" i="32"/>
  <c r="I5" i="32" s="1"/>
  <c r="G5" i="32"/>
  <c r="B4" i="34" s="1"/>
  <c r="H5" i="32"/>
  <c r="E6" i="32"/>
  <c r="F6" i="32"/>
  <c r="G6" i="32"/>
  <c r="B5" i="34" s="1"/>
  <c r="H6" i="32"/>
  <c r="I6" i="32"/>
  <c r="E7" i="32"/>
  <c r="F7" i="32"/>
  <c r="G7" i="32"/>
  <c r="B6" i="34" s="1"/>
  <c r="H7" i="32"/>
  <c r="E8" i="32"/>
  <c r="F8" i="32"/>
  <c r="G8" i="32"/>
  <c r="H8" i="32"/>
  <c r="E9" i="32"/>
  <c r="F9" i="32"/>
  <c r="G9" i="32"/>
  <c r="B8" i="34" s="1"/>
  <c r="H9" i="32"/>
  <c r="E10" i="32"/>
  <c r="F10" i="32"/>
  <c r="G10" i="32"/>
  <c r="B9" i="34" s="1"/>
  <c r="H10" i="32"/>
  <c r="E11" i="32"/>
  <c r="F11" i="32"/>
  <c r="G11" i="32"/>
  <c r="B10" i="34" s="1"/>
  <c r="H11" i="32"/>
  <c r="E12" i="32"/>
  <c r="E13" i="32"/>
  <c r="F13" i="32"/>
  <c r="G13" i="32"/>
  <c r="B3" i="33" s="1"/>
  <c r="E3" i="33" s="1"/>
  <c r="H13" i="32"/>
  <c r="E14" i="32"/>
  <c r="F14" i="32"/>
  <c r="I14" i="32" s="1"/>
  <c r="G14" i="32"/>
  <c r="B4" i="33" s="1"/>
  <c r="E4" i="33" s="1"/>
  <c r="H14" i="32"/>
  <c r="E15" i="32"/>
  <c r="F15" i="32"/>
  <c r="G15" i="32"/>
  <c r="B5" i="33" s="1"/>
  <c r="H15" i="32"/>
  <c r="I15" i="32" s="1"/>
  <c r="E16" i="32"/>
  <c r="E17" i="32"/>
  <c r="F17" i="32"/>
  <c r="G17" i="32"/>
  <c r="B7" i="33" s="1"/>
  <c r="H17" i="32"/>
  <c r="E18" i="32"/>
  <c r="F18" i="32"/>
  <c r="I18" i="32" s="1"/>
  <c r="G18" i="32"/>
  <c r="B8" i="33" s="1"/>
  <c r="E8" i="33" s="1"/>
  <c r="H18" i="32"/>
  <c r="E19" i="32"/>
  <c r="F19" i="32"/>
  <c r="G19" i="32"/>
  <c r="B9" i="33" s="1"/>
  <c r="E9" i="33" s="1"/>
  <c r="H19" i="32"/>
  <c r="E20" i="32"/>
  <c r="E21" i="32"/>
  <c r="F21" i="32"/>
  <c r="G21" i="32"/>
  <c r="B12" i="34" s="1"/>
  <c r="H21" i="32"/>
  <c r="E22" i="32"/>
  <c r="F22" i="32"/>
  <c r="I22" i="32" s="1"/>
  <c r="G22" i="32"/>
  <c r="B13" i="34" s="1"/>
  <c r="H22" i="32"/>
  <c r="E23" i="32"/>
  <c r="F23" i="32"/>
  <c r="G23" i="32"/>
  <c r="B14" i="34" s="1"/>
  <c r="H23" i="32"/>
  <c r="E24" i="32"/>
  <c r="F24" i="32"/>
  <c r="G24" i="32"/>
  <c r="H24" i="32"/>
  <c r="E26" i="32"/>
  <c r="E25" i="32" s="1"/>
  <c r="F26" i="32"/>
  <c r="I26" i="32" s="1"/>
  <c r="G26" i="32"/>
  <c r="B11" i="33" s="1"/>
  <c r="B10" i="33" s="1"/>
  <c r="H26" i="32"/>
  <c r="E27" i="32"/>
  <c r="F27" i="32"/>
  <c r="G27" i="32"/>
  <c r="B12" i="33" s="1"/>
  <c r="H27" i="32"/>
  <c r="E28" i="32"/>
  <c r="E29" i="32"/>
  <c r="E30" i="32"/>
  <c r="E31" i="32"/>
  <c r="E32" i="32"/>
  <c r="I10" i="32" l="1"/>
  <c r="I27" i="32"/>
  <c r="H16" i="32"/>
  <c r="F25" i="32"/>
  <c r="H3" i="32"/>
  <c r="H12" i="32"/>
  <c r="G12" i="32"/>
  <c r="I8" i="32"/>
  <c r="B7" i="34"/>
  <c r="F16" i="32"/>
  <c r="F20" i="32"/>
  <c r="I9" i="32"/>
  <c r="I7" i="32"/>
  <c r="I4" i="32"/>
  <c r="B3" i="34"/>
  <c r="G20" i="32"/>
  <c r="B15" i="34"/>
  <c r="B11" i="34" s="1"/>
  <c r="H25" i="32"/>
  <c r="G25" i="32"/>
  <c r="I25" i="32" s="1"/>
  <c r="I24" i="32"/>
  <c r="G16" i="32"/>
  <c r="H20" i="32"/>
  <c r="F12" i="32"/>
  <c r="I12" i="32" s="1"/>
  <c r="I11" i="32"/>
  <c r="F3" i="32"/>
  <c r="C13" i="33"/>
  <c r="B6" i="33"/>
  <c r="B2" i="33"/>
  <c r="I21" i="32"/>
  <c r="I17" i="32"/>
  <c r="I13" i="32"/>
  <c r="G3" i="32"/>
  <c r="I23" i="32"/>
  <c r="I19" i="32"/>
  <c r="H32" i="32" l="1"/>
  <c r="B13" i="33"/>
  <c r="B2" i="34"/>
  <c r="F32" i="32"/>
  <c r="B16" i="34"/>
  <c r="D15" i="34" s="1"/>
  <c r="I20" i="32"/>
  <c r="G32" i="32"/>
  <c r="I16" i="32"/>
  <c r="D11" i="33"/>
  <c r="E11" i="33" s="1"/>
  <c r="D12" i="33"/>
  <c r="E12" i="33" s="1"/>
  <c r="D8" i="34"/>
  <c r="D3" i="34"/>
  <c r="D7" i="34"/>
  <c r="D6" i="34"/>
  <c r="D14" i="34"/>
  <c r="D9" i="34"/>
  <c r="D9" i="33"/>
  <c r="I3" i="32"/>
  <c r="I32" i="32" s="1"/>
  <c r="D4" i="34" l="1"/>
  <c r="D12" i="34"/>
  <c r="D16" i="34" s="1"/>
  <c r="D5" i="34"/>
  <c r="D10" i="34"/>
  <c r="D13" i="34"/>
  <c r="C15" i="34"/>
  <c r="E15" i="34" s="1"/>
  <c r="C12" i="34"/>
  <c r="E12" i="34" s="1"/>
  <c r="C14" i="34"/>
  <c r="E14" i="34" s="1"/>
  <c r="C13" i="34"/>
  <c r="E13" i="34" s="1"/>
  <c r="C3" i="34"/>
  <c r="E3" i="34" s="1"/>
  <c r="C10" i="34"/>
  <c r="E10" i="34" s="1"/>
  <c r="C6" i="34"/>
  <c r="E6" i="34" s="1"/>
  <c r="C9" i="34"/>
  <c r="E9" i="34" s="1"/>
  <c r="C5" i="34"/>
  <c r="E5" i="34" s="1"/>
  <c r="C8" i="34"/>
  <c r="E8" i="34" s="1"/>
  <c r="C4" i="34"/>
  <c r="E4" i="34" s="1"/>
  <c r="C7" i="34"/>
  <c r="E7" i="34" s="1"/>
  <c r="D7" i="33"/>
  <c r="E7" i="33" s="1"/>
  <c r="D8" i="33"/>
  <c r="D4" i="33"/>
  <c r="D3" i="33"/>
  <c r="D5" i="33"/>
  <c r="E5" i="33" s="1"/>
  <c r="E16" i="34" l="1"/>
  <c r="E13" i="33"/>
  <c r="D13" i="33"/>
  <c r="C2" i="34"/>
  <c r="C11" i="34"/>
  <c r="C16" i="34" l="1"/>
  <c r="N2" i="28" l="1"/>
  <c r="F25" i="23" l="1"/>
  <c r="E25" i="23"/>
  <c r="J10" i="23" s="1"/>
  <c r="F24" i="23"/>
  <c r="E24" i="23"/>
  <c r="F23" i="23"/>
  <c r="E23" i="23"/>
  <c r="F22" i="23"/>
  <c r="E22" i="23"/>
  <c r="F21" i="23"/>
  <c r="E21" i="23"/>
  <c r="F20" i="23"/>
  <c r="E20" i="23"/>
  <c r="F19" i="23"/>
  <c r="E19" i="23"/>
  <c r="F18" i="23"/>
  <c r="E18" i="23"/>
  <c r="F17" i="23"/>
  <c r="K9" i="23" s="1"/>
  <c r="E17" i="23"/>
  <c r="F16" i="23"/>
  <c r="E16" i="23"/>
  <c r="F15" i="23"/>
  <c r="E15" i="23"/>
  <c r="F14" i="23"/>
  <c r="E14" i="23"/>
  <c r="F13" i="23"/>
  <c r="E13" i="23"/>
  <c r="F12" i="23"/>
  <c r="E12" i="23"/>
  <c r="F11" i="23"/>
  <c r="E11" i="23"/>
  <c r="F10" i="23"/>
  <c r="E10" i="23"/>
  <c r="J9" i="23"/>
  <c r="F9" i="23"/>
  <c r="E9" i="23"/>
  <c r="F8" i="23"/>
  <c r="E8" i="23"/>
  <c r="F7" i="23"/>
  <c r="E7" i="23"/>
  <c r="F6" i="23"/>
  <c r="E6" i="23"/>
  <c r="F5" i="23"/>
  <c r="E5" i="23"/>
  <c r="K6" i="23" l="1"/>
  <c r="J7" i="23"/>
  <c r="G21" i="23"/>
  <c r="G23" i="23"/>
  <c r="G25" i="23"/>
  <c r="G16" i="23"/>
  <c r="E26" i="23"/>
  <c r="G8" i="23"/>
  <c r="G10" i="23"/>
  <c r="G12" i="23"/>
  <c r="K5" i="23"/>
  <c r="J6" i="23"/>
  <c r="G18" i="23"/>
  <c r="G20" i="23"/>
  <c r="K10" i="23"/>
  <c r="L10" i="23" s="1"/>
  <c r="G14" i="23"/>
  <c r="G9" i="23"/>
  <c r="G6" i="23"/>
  <c r="G11" i="23"/>
  <c r="L9" i="23"/>
  <c r="G13" i="23"/>
  <c r="G15" i="23"/>
  <c r="G22" i="23"/>
  <c r="G24" i="23"/>
  <c r="K7" i="23"/>
  <c r="G17" i="23"/>
  <c r="K8" i="23"/>
  <c r="F26" i="23"/>
  <c r="G7" i="23"/>
  <c r="J8" i="23"/>
  <c r="G5" i="23"/>
  <c r="J5" i="23"/>
  <c r="G19" i="23"/>
  <c r="G26" i="23" l="1"/>
  <c r="L7" i="23"/>
  <c r="L6" i="23"/>
  <c r="J11" i="23"/>
  <c r="K11" i="23"/>
  <c r="L8" i="23"/>
  <c r="L5" i="23"/>
  <c r="L11" i="23" l="1"/>
  <c r="I33" i="22"/>
  <c r="C33" i="22"/>
  <c r="B33" i="22"/>
  <c r="J33" i="22"/>
  <c r="G30" i="22"/>
  <c r="F30" i="22"/>
  <c r="J30" i="22"/>
  <c r="I30" i="22"/>
  <c r="B30" i="22"/>
  <c r="I28" i="22"/>
  <c r="G28" i="22"/>
  <c r="F28" i="22"/>
  <c r="C28" i="22"/>
  <c r="B28" i="22"/>
  <c r="L28" i="22"/>
  <c r="K28" i="22"/>
  <c r="J28" i="22"/>
  <c r="E28" i="22"/>
  <c r="K23" i="22"/>
  <c r="J23" i="22"/>
  <c r="F23" i="22"/>
  <c r="C23" i="22"/>
  <c r="B23" i="22"/>
  <c r="E23" i="22"/>
  <c r="K19" i="22"/>
  <c r="J19" i="22"/>
  <c r="F19" i="22"/>
  <c r="C19" i="22"/>
  <c r="B19" i="22"/>
  <c r="E19" i="22"/>
  <c r="I14" i="22"/>
  <c r="C14" i="22"/>
  <c r="B14" i="22"/>
  <c r="E14" i="22"/>
  <c r="D13" i="22"/>
  <c r="L13" i="22" s="1"/>
  <c r="D10" i="22"/>
  <c r="Q5" i="22"/>
  <c r="S5" i="22" s="1"/>
  <c r="K4" i="22"/>
  <c r="K40" i="22" s="1"/>
  <c r="B4" i="22"/>
  <c r="B40" i="22" s="1"/>
  <c r="E4" i="22"/>
  <c r="O2" i="22"/>
  <c r="A1" i="22" s="1"/>
  <c r="D27" i="22" l="1"/>
  <c r="L27" i="22" s="1"/>
  <c r="D22" i="22"/>
  <c r="L22" i="22" s="1"/>
  <c r="D5" i="22"/>
  <c r="D6" i="22"/>
  <c r="D11" i="22"/>
  <c r="H11" i="22" s="1"/>
  <c r="D16" i="22"/>
  <c r="H16" i="22" s="1"/>
  <c r="G4" i="22"/>
  <c r="I4" i="22"/>
  <c r="I40" i="22" s="1"/>
  <c r="G19" i="22"/>
  <c r="G23" i="22"/>
  <c r="H6" i="22"/>
  <c r="H10" i="22"/>
  <c r="D7" i="22"/>
  <c r="J14" i="22"/>
  <c r="D17" i="22"/>
  <c r="K14" i="22"/>
  <c r="I19" i="22"/>
  <c r="D9" i="22"/>
  <c r="G14" i="22"/>
  <c r="G40" i="22" s="1"/>
  <c r="C31" i="22" s="1"/>
  <c r="E40" i="22"/>
  <c r="J4" i="22"/>
  <c r="J40" i="22" s="1"/>
  <c r="C4" i="22"/>
  <c r="D8" i="22"/>
  <c r="D15" i="22"/>
  <c r="I23" i="22"/>
  <c r="R5" i="22"/>
  <c r="M15" i="22" s="1"/>
  <c r="N15" i="22" s="1"/>
  <c r="M17" i="22"/>
  <c r="N17" i="22" s="1"/>
  <c r="H5" i="22"/>
  <c r="D4" i="22"/>
  <c r="H4" i="22" s="1"/>
  <c r="H15" i="22"/>
  <c r="M9" i="22"/>
  <c r="N9" i="22" s="1"/>
  <c r="M8" i="22"/>
  <c r="N8" i="22" s="1"/>
  <c r="H13" i="22"/>
  <c r="D18" i="22"/>
  <c r="D20" i="22"/>
  <c r="M20" i="22"/>
  <c r="D21" i="22"/>
  <c r="D24" i="22"/>
  <c r="M24" i="22"/>
  <c r="D25" i="22"/>
  <c r="D26" i="22"/>
  <c r="D29" i="22"/>
  <c r="D33" i="22"/>
  <c r="F14" i="22"/>
  <c r="D12" i="22"/>
  <c r="F4" i="22"/>
  <c r="H22" i="22"/>
  <c r="H27" i="22"/>
  <c r="M27" i="22" l="1"/>
  <c r="N27" i="22" s="1"/>
  <c r="M29" i="22"/>
  <c r="M28" i="22" s="1"/>
  <c r="M13" i="22"/>
  <c r="N13" i="22" s="1"/>
  <c r="M25" i="22"/>
  <c r="N25" i="22" s="1"/>
  <c r="M5" i="22"/>
  <c r="N5" i="22" s="1"/>
  <c r="M22" i="22"/>
  <c r="N22" i="22" s="1"/>
  <c r="M34" i="22"/>
  <c r="N34" i="22" s="1"/>
  <c r="N33" i="22" s="1"/>
  <c r="C30" i="22"/>
  <c r="C40" i="22" s="1"/>
  <c r="D31" i="22"/>
  <c r="M31" i="22"/>
  <c r="M30" i="22" s="1"/>
  <c r="H18" i="22"/>
  <c r="H7" i="22"/>
  <c r="H26" i="22"/>
  <c r="L15" i="22"/>
  <c r="L14" i="22" s="1"/>
  <c r="H8" i="22"/>
  <c r="H17" i="22"/>
  <c r="H21" i="22"/>
  <c r="H9" i="22"/>
  <c r="M16" i="22"/>
  <c r="N16" i="22" s="1"/>
  <c r="M11" i="22"/>
  <c r="N11" i="22" s="1"/>
  <c r="M10" i="22"/>
  <c r="N10" i="22" s="1"/>
  <c r="M26" i="22"/>
  <c r="N26" i="22" s="1"/>
  <c r="M12" i="22"/>
  <c r="N12" i="22" s="1"/>
  <c r="M7" i="22"/>
  <c r="N7" i="22" s="1"/>
  <c r="M6" i="22"/>
  <c r="N6" i="22" s="1"/>
  <c r="M18" i="22"/>
  <c r="N18" i="22" s="1"/>
  <c r="N14" i="22" s="1"/>
  <c r="M21" i="22"/>
  <c r="N21" i="22" s="1"/>
  <c r="H29" i="22"/>
  <c r="D28" i="22"/>
  <c r="H28" i="22" s="1"/>
  <c r="L24" i="22"/>
  <c r="H24" i="22"/>
  <c r="D23" i="22"/>
  <c r="H23" i="22" s="1"/>
  <c r="D14" i="22"/>
  <c r="H14" i="22" s="1"/>
  <c r="H31" i="22"/>
  <c r="D30" i="22"/>
  <c r="H30" i="22" s="1"/>
  <c r="L12" i="22"/>
  <c r="L4" i="22" s="1"/>
  <c r="H12" i="22"/>
  <c r="L25" i="22"/>
  <c r="H25" i="22"/>
  <c r="N20" i="22"/>
  <c r="F40" i="22"/>
  <c r="D35" i="22"/>
  <c r="D34" i="22" s="1"/>
  <c r="H34" i="22" s="1"/>
  <c r="H33" i="22"/>
  <c r="N24" i="22"/>
  <c r="D19" i="22"/>
  <c r="H19" i="22" s="1"/>
  <c r="L20" i="22"/>
  <c r="L19" i="22" s="1"/>
  <c r="H20" i="22"/>
  <c r="M33" i="22" l="1"/>
  <c r="N29" i="22"/>
  <c r="N28" i="22" s="1"/>
  <c r="N31" i="22"/>
  <c r="N30" i="22" s="1"/>
  <c r="N23" i="22"/>
  <c r="M23" i="22"/>
  <c r="M19" i="22"/>
  <c r="N4" i="22"/>
  <c r="M14" i="22"/>
  <c r="M4" i="22"/>
  <c r="N19" i="22"/>
  <c r="L40" i="22"/>
  <c r="H35" i="22"/>
  <c r="D40" i="22"/>
  <c r="H40" i="22" s="1"/>
  <c r="L23" i="22"/>
  <c r="N40" i="22" l="1"/>
  <c r="M40" i="22"/>
  <c r="L11" i="19" l="1"/>
  <c r="L10" i="19"/>
  <c r="L9" i="19"/>
  <c r="Q5" i="18"/>
  <c r="S5" i="18" s="1"/>
  <c r="O2" i="18"/>
  <c r="L7" i="19" l="1"/>
  <c r="L5" i="19"/>
  <c r="K12" i="19"/>
  <c r="J12" i="19"/>
  <c r="L8" i="19"/>
  <c r="R6" i="18"/>
  <c r="R5" i="18"/>
  <c r="L6" i="19" l="1"/>
  <c r="L12" i="19"/>
  <c r="G33" i="11" l="1"/>
  <c r="D33" i="11"/>
  <c r="G31" i="11"/>
  <c r="D31" i="11"/>
  <c r="C30" i="11"/>
  <c r="C31" i="11" s="1"/>
  <c r="G29" i="11"/>
  <c r="D29" i="11"/>
  <c r="C28" i="11"/>
  <c r="E28" i="11" s="1"/>
  <c r="I28" i="11" s="1"/>
  <c r="C27" i="11"/>
  <c r="E27" i="11" s="1"/>
  <c r="I27" i="11" s="1"/>
  <c r="C26" i="11"/>
  <c r="H26" i="11" s="1"/>
  <c r="C25" i="11"/>
  <c r="E25" i="11" s="1"/>
  <c r="I25" i="11" s="1"/>
  <c r="G24" i="11"/>
  <c r="D24" i="11"/>
  <c r="C23" i="11"/>
  <c r="E23" i="11" s="1"/>
  <c r="I23" i="11" s="1"/>
  <c r="C22" i="11"/>
  <c r="E22" i="11" s="1"/>
  <c r="I22" i="11" s="1"/>
  <c r="C21" i="11"/>
  <c r="E21" i="11" s="1"/>
  <c r="I21" i="11" s="1"/>
  <c r="C20" i="11"/>
  <c r="H20" i="11" s="1"/>
  <c r="C19" i="11"/>
  <c r="E19" i="11" s="1"/>
  <c r="C18" i="11"/>
  <c r="E18" i="11" s="1"/>
  <c r="C17" i="11"/>
  <c r="E17" i="11" s="1"/>
  <c r="C16" i="11"/>
  <c r="H16" i="11" s="1"/>
  <c r="F4" i="11"/>
  <c r="D4" i="11"/>
  <c r="H27" i="11" l="1"/>
  <c r="D34" i="11"/>
  <c r="F32" i="11" s="1"/>
  <c r="F33" i="11" s="1"/>
  <c r="H25" i="11"/>
  <c r="H21" i="11"/>
  <c r="H19" i="11"/>
  <c r="H17" i="11"/>
  <c r="H23" i="11"/>
  <c r="C29" i="11"/>
  <c r="H29" i="11" s="1"/>
  <c r="H31" i="11"/>
  <c r="E31" i="11"/>
  <c r="I31" i="11" s="1"/>
  <c r="F27" i="11"/>
  <c r="F21" i="11"/>
  <c r="F17" i="11"/>
  <c r="F30" i="11"/>
  <c r="F31" i="11" s="1"/>
  <c r="F28" i="11"/>
  <c r="F22" i="11"/>
  <c r="F18" i="11"/>
  <c r="F26" i="11"/>
  <c r="F20" i="11"/>
  <c r="F16" i="11"/>
  <c r="F25" i="11"/>
  <c r="F19" i="11"/>
  <c r="E16" i="11"/>
  <c r="H18" i="11"/>
  <c r="E20" i="11"/>
  <c r="H22" i="11"/>
  <c r="E26" i="11"/>
  <c r="I26" i="11" s="1"/>
  <c r="H28" i="11"/>
  <c r="H30" i="11"/>
  <c r="C24" i="11"/>
  <c r="E30" i="11"/>
  <c r="I30" i="11" s="1"/>
  <c r="B7" i="9"/>
  <c r="B13" i="9"/>
  <c r="C34" i="7"/>
  <c r="D27" i="5"/>
  <c r="D23" i="5"/>
  <c r="B11" i="3"/>
  <c r="C4" i="3"/>
  <c r="C5" i="3"/>
  <c r="C6" i="3"/>
  <c r="C3" i="3"/>
  <c r="C7" i="3" s="1"/>
  <c r="F3" i="3"/>
  <c r="F7" i="3" s="1"/>
  <c r="B15" i="3" s="1"/>
  <c r="E7" i="3"/>
  <c r="B4" i="3"/>
  <c r="D4" i="3" s="1"/>
  <c r="B5" i="3"/>
  <c r="B3" i="3"/>
  <c r="D3" i="3" s="1"/>
  <c r="B6" i="3"/>
  <c r="D33" i="5" l="1"/>
  <c r="F16" i="5" s="1"/>
  <c r="B7" i="3"/>
  <c r="D6" i="3"/>
  <c r="F23" i="11"/>
  <c r="D5" i="3"/>
  <c r="E29" i="11"/>
  <c r="I29" i="11" s="1"/>
  <c r="E24" i="11"/>
  <c r="I24" i="11" s="1"/>
  <c r="H24" i="11"/>
  <c r="F29" i="11"/>
  <c r="F24" i="11"/>
  <c r="E11" i="9"/>
  <c r="F6" i="9" s="1"/>
  <c r="B9" i="9"/>
  <c r="B5" i="9"/>
  <c r="H11" i="9"/>
  <c r="I10" i="9" s="1"/>
  <c r="B4" i="9"/>
  <c r="B3" i="9"/>
  <c r="F13" i="9"/>
  <c r="B6" i="9"/>
  <c r="B8" i="9"/>
  <c r="F9" i="9"/>
  <c r="E15" i="9"/>
  <c r="H15" i="9"/>
  <c r="B10" i="9"/>
  <c r="B2" i="9"/>
  <c r="I2" i="9"/>
  <c r="F7" i="5" l="1"/>
  <c r="F14" i="5"/>
  <c r="F10" i="5"/>
  <c r="F9" i="5"/>
  <c r="F11" i="5"/>
  <c r="F18" i="5"/>
  <c r="F8" i="5"/>
  <c r="F12" i="5"/>
  <c r="F17" i="5"/>
  <c r="F13" i="5"/>
  <c r="F31" i="5"/>
  <c r="F32" i="5" s="1"/>
  <c r="I8" i="9"/>
  <c r="I6" i="9"/>
  <c r="I7" i="9"/>
  <c r="I4" i="9"/>
  <c r="F5" i="9"/>
  <c r="F3" i="9"/>
  <c r="F4" i="9"/>
  <c r="F25" i="5"/>
  <c r="F29" i="5"/>
  <c r="I13" i="9"/>
  <c r="F10" i="9"/>
  <c r="I5" i="9"/>
  <c r="I15" i="9" s="1"/>
  <c r="I9" i="9"/>
  <c r="I3" i="9"/>
  <c r="F28" i="5"/>
  <c r="F22" i="5"/>
  <c r="F24" i="5"/>
  <c r="F20" i="5"/>
  <c r="F21" i="5"/>
  <c r="F26" i="5"/>
  <c r="F34" i="11"/>
  <c r="F8" i="9"/>
  <c r="F2" i="9"/>
  <c r="F7" i="9"/>
  <c r="B11" i="9"/>
  <c r="C2" i="9" s="1"/>
  <c r="B15" i="9"/>
  <c r="F19" i="5" l="1"/>
  <c r="F15" i="5"/>
  <c r="F30" i="5"/>
  <c r="F15" i="9"/>
  <c r="I11" i="9"/>
  <c r="F27" i="5"/>
  <c r="F23" i="5"/>
  <c r="F11" i="9"/>
  <c r="C13" i="9"/>
  <c r="C3" i="9"/>
  <c r="C4" i="9"/>
  <c r="C9" i="9"/>
  <c r="C6" i="9"/>
  <c r="C5" i="9"/>
  <c r="C7" i="9"/>
  <c r="C8" i="9"/>
  <c r="C10" i="9"/>
  <c r="F33" i="5" l="1"/>
  <c r="C15" i="9"/>
  <c r="C11" i="9"/>
  <c r="L34" i="36" l="1"/>
  <c r="L30" i="36" l="1"/>
  <c r="L27" i="36" l="1"/>
  <c r="L22" i="36"/>
  <c r="L18" i="36"/>
  <c r="L14" i="36"/>
  <c r="L4" i="36"/>
  <c r="L37" i="36" l="1"/>
  <c r="E8" i="36"/>
  <c r="E29" i="36"/>
  <c r="E13" i="36"/>
  <c r="E12" i="36"/>
  <c r="E10" i="36"/>
  <c r="E11" i="36"/>
  <c r="E24" i="36"/>
  <c r="E21" i="36"/>
  <c r="E7" i="36"/>
  <c r="E9" i="36"/>
  <c r="E20" i="36"/>
  <c r="E6" i="36"/>
  <c r="E36" i="36"/>
  <c r="G34" i="36"/>
  <c r="E26" i="36"/>
  <c r="E25" i="36"/>
  <c r="E33" i="36" l="1"/>
  <c r="G32" i="36"/>
  <c r="C26" i="5"/>
  <c r="E26" i="5" s="1"/>
  <c r="G26" i="5" s="1"/>
  <c r="M21" i="36"/>
  <c r="N21" i="36"/>
  <c r="I21" i="36"/>
  <c r="O21" i="36"/>
  <c r="C17" i="5"/>
  <c r="E17" i="5" s="1"/>
  <c r="G17" i="5" s="1"/>
  <c r="M25" i="36"/>
  <c r="N25" i="36"/>
  <c r="I25" i="36"/>
  <c r="O25" i="36"/>
  <c r="E23" i="36"/>
  <c r="G22" i="36"/>
  <c r="C18" i="5"/>
  <c r="E18" i="5" s="1"/>
  <c r="G18" i="5" s="1"/>
  <c r="I26" i="36"/>
  <c r="M26" i="36"/>
  <c r="N26" i="36"/>
  <c r="O26" i="36"/>
  <c r="M24" i="36"/>
  <c r="I24" i="36"/>
  <c r="N24" i="36"/>
  <c r="O24" i="36"/>
  <c r="C13" i="5"/>
  <c r="E13" i="5" s="1"/>
  <c r="G13" i="5" s="1"/>
  <c r="M11" i="36"/>
  <c r="N11" i="36"/>
  <c r="I11" i="36"/>
  <c r="O11" i="36"/>
  <c r="C12" i="5"/>
  <c r="E12" i="5" s="1"/>
  <c r="G12" i="5" s="1"/>
  <c r="N10" i="36"/>
  <c r="I10" i="36"/>
  <c r="M10" i="36"/>
  <c r="O10" i="36"/>
  <c r="G4" i="36"/>
  <c r="E5" i="36"/>
  <c r="C14" i="5"/>
  <c r="E14" i="5" s="1"/>
  <c r="G14" i="5" s="1"/>
  <c r="I12" i="36"/>
  <c r="N12" i="36"/>
  <c r="M12" i="36"/>
  <c r="O12" i="36"/>
  <c r="E19" i="36"/>
  <c r="G18" i="36"/>
  <c r="E28" i="36"/>
  <c r="G27" i="36"/>
  <c r="N36" i="36"/>
  <c r="M36" i="36"/>
  <c r="I36" i="36"/>
  <c r="O13" i="36"/>
  <c r="I13" i="36"/>
  <c r="M13" i="36"/>
  <c r="N13" i="36"/>
  <c r="C8" i="5"/>
  <c r="E8" i="5" s="1"/>
  <c r="G8" i="5" s="1"/>
  <c r="I6" i="36"/>
  <c r="M6" i="36"/>
  <c r="N6" i="36"/>
  <c r="O6" i="36"/>
  <c r="C29" i="5"/>
  <c r="E29" i="5" s="1"/>
  <c r="G29" i="5" s="1"/>
  <c r="N29" i="36"/>
  <c r="I29" i="36"/>
  <c r="M29" i="36"/>
  <c r="O29" i="36"/>
  <c r="C25" i="5"/>
  <c r="E25" i="5" s="1"/>
  <c r="G25" i="5" s="1"/>
  <c r="M20" i="36"/>
  <c r="N20" i="36"/>
  <c r="I20" i="36"/>
  <c r="O20" i="36"/>
  <c r="C10" i="5"/>
  <c r="E10" i="5" s="1"/>
  <c r="G10" i="5" s="1"/>
  <c r="N8" i="36"/>
  <c r="I8" i="36"/>
  <c r="M8" i="36"/>
  <c r="O8" i="36"/>
  <c r="C11" i="5"/>
  <c r="E11" i="5" s="1"/>
  <c r="G11" i="5" s="1"/>
  <c r="I9" i="36"/>
  <c r="M9" i="36"/>
  <c r="N9" i="36"/>
  <c r="O9" i="36"/>
  <c r="E15" i="36"/>
  <c r="C20" i="5"/>
  <c r="M16" i="36"/>
  <c r="I16" i="36"/>
  <c r="N16" i="36"/>
  <c r="O16" i="36"/>
  <c r="C9" i="5"/>
  <c r="E9" i="5" s="1"/>
  <c r="G9" i="5" s="1"/>
  <c r="M7" i="36"/>
  <c r="I7" i="36"/>
  <c r="N7" i="36"/>
  <c r="O7" i="36"/>
  <c r="E31" i="36"/>
  <c r="G30" i="36"/>
  <c r="I31" i="36" l="1"/>
  <c r="M31" i="36"/>
  <c r="M30" i="36" s="1"/>
  <c r="N31" i="36"/>
  <c r="N30" i="36" s="1"/>
  <c r="O31" i="36"/>
  <c r="E30" i="36"/>
  <c r="C24" i="5"/>
  <c r="I19" i="36"/>
  <c r="N19" i="36"/>
  <c r="N18" i="36" s="1"/>
  <c r="M19" i="36"/>
  <c r="M18" i="36" s="1"/>
  <c r="O19" i="36"/>
  <c r="E18" i="36"/>
  <c r="C28" i="5"/>
  <c r="N28" i="36"/>
  <c r="N27" i="36" s="1"/>
  <c r="I28" i="36"/>
  <c r="M28" i="36"/>
  <c r="M27" i="36" s="1"/>
  <c r="E27" i="36"/>
  <c r="O28" i="36"/>
  <c r="E20" i="5"/>
  <c r="G20" i="5" s="1"/>
  <c r="C21" i="5"/>
  <c r="E21" i="5" s="1"/>
  <c r="G21" i="5" s="1"/>
  <c r="I15" i="36"/>
  <c r="M15" i="36"/>
  <c r="N15" i="36"/>
  <c r="O15" i="36"/>
  <c r="C7" i="5"/>
  <c r="M5" i="36"/>
  <c r="M4" i="36" s="1"/>
  <c r="I5" i="36"/>
  <c r="E4" i="36"/>
  <c r="O5" i="36"/>
  <c r="N5" i="36"/>
  <c r="N4" i="36" s="1"/>
  <c r="C16" i="5"/>
  <c r="I23" i="36"/>
  <c r="M23" i="36"/>
  <c r="M22" i="36" s="1"/>
  <c r="N23" i="36"/>
  <c r="N22" i="36" s="1"/>
  <c r="O23" i="36"/>
  <c r="E22" i="36"/>
  <c r="N33" i="36"/>
  <c r="N32" i="36" s="1"/>
  <c r="I33" i="36"/>
  <c r="M33" i="36"/>
  <c r="M32" i="36" s="1"/>
  <c r="E32" i="36"/>
  <c r="O33" i="36"/>
  <c r="C30" i="5" l="1"/>
  <c r="C32" i="11"/>
  <c r="E28" i="5"/>
  <c r="G28" i="5" s="1"/>
  <c r="O18" i="36"/>
  <c r="I18" i="36"/>
  <c r="E24" i="5"/>
  <c r="G24" i="5" s="1"/>
  <c r="C27" i="5"/>
  <c r="I4" i="36"/>
  <c r="O4" i="36"/>
  <c r="O30" i="36"/>
  <c r="I30" i="36"/>
  <c r="I27" i="36"/>
  <c r="O27" i="36"/>
  <c r="C19" i="5"/>
  <c r="E19" i="5" s="1"/>
  <c r="E16" i="5"/>
  <c r="G16" i="5" s="1"/>
  <c r="C15" i="5"/>
  <c r="E7" i="5"/>
  <c r="G7" i="5" s="1"/>
  <c r="O32" i="36"/>
  <c r="I32" i="36"/>
  <c r="I22" i="36"/>
  <c r="O22" i="36"/>
  <c r="E17" i="36" l="1"/>
  <c r="G14" i="36"/>
  <c r="G37" i="36" s="1"/>
  <c r="E30" i="5"/>
  <c r="E27" i="5"/>
  <c r="E15" i="5"/>
  <c r="E32" i="11"/>
  <c r="I32" i="11" s="1"/>
  <c r="C33" i="11"/>
  <c r="D31" i="7"/>
  <c r="E34" i="36" l="1"/>
  <c r="E35" i="36"/>
  <c r="I17" i="36"/>
  <c r="M17" i="36"/>
  <c r="M14" i="36" s="1"/>
  <c r="N17" i="36"/>
  <c r="N14" i="36" s="1"/>
  <c r="O17" i="36"/>
  <c r="C22" i="5"/>
  <c r="E14" i="36"/>
  <c r="E37" i="36" s="1"/>
  <c r="H33" i="11"/>
  <c r="E33" i="11"/>
  <c r="I33" i="11" s="1"/>
  <c r="I34" i="11" s="1"/>
  <c r="C34" i="11"/>
  <c r="E22" i="5" l="1"/>
  <c r="G22" i="5" s="1"/>
  <c r="C23" i="5"/>
  <c r="O14" i="36"/>
  <c r="I14" i="36"/>
  <c r="E23" i="5" l="1"/>
  <c r="D34" i="36"/>
  <c r="D37" i="36" s="1"/>
  <c r="I34" i="36" l="1"/>
  <c r="O34" i="36"/>
  <c r="M34" i="36"/>
  <c r="M35" i="36"/>
  <c r="N35" i="36"/>
  <c r="N34" i="36" s="1"/>
  <c r="N37" i="36" s="1"/>
  <c r="I35" i="36"/>
  <c r="O35" i="36"/>
  <c r="C32" i="5" l="1"/>
  <c r="C33" i="5" s="1"/>
  <c r="E31" i="5"/>
  <c r="G31" i="5" s="1"/>
  <c r="O37" i="36"/>
  <c r="I37" i="36"/>
  <c r="M37" i="36"/>
  <c r="E32" i="5" l="1"/>
  <c r="G33" i="5" l="1"/>
  <c r="E3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13 DIAS (PROPORCIONAL)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meiasola</author>
  </authors>
  <commentList>
    <comment ref="D3" authorId="0" shapeId="0" xr:uid="{00000000-0006-0000-0600-000001000000}">
      <text>
        <r>
          <rPr>
            <b/>
            <sz val="18"/>
            <color indexed="81"/>
            <rFont val="Tahoma"/>
            <family val="2"/>
          </rPr>
          <t>29 dias - 3 dias de carnaval (Dom, Seg e Ter)= 26 dias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" authorId="0" shapeId="0" xr:uid="{00000000-0006-0000-0600-000002000000}">
      <text>
        <r>
          <rPr>
            <b/>
            <sz val="18"/>
            <color indexed="81"/>
            <rFont val="Tahoma"/>
            <family val="2"/>
          </rPr>
          <t>29 dias - 4 dom, Seg e Ter de carnaval = 23 dias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<sst xmlns="http://schemas.openxmlformats.org/spreadsheetml/2006/main" count="708" uniqueCount="249">
  <si>
    <t>ACOMPANHAMENTO DE VENDAS GRUPO MEIA SOLA</t>
  </si>
  <si>
    <t>Sem Domingo</t>
  </si>
  <si>
    <t>Dias Pass</t>
  </si>
  <si>
    <t>Dias TT</t>
  </si>
  <si>
    <t>Dias Falt</t>
  </si>
  <si>
    <t>Lojas</t>
  </si>
  <si>
    <t>Faturamento         Até a Data</t>
  </si>
  <si>
    <t>Operacional</t>
  </si>
  <si>
    <t>% Atingido</t>
  </si>
  <si>
    <t>Meta Operacional</t>
  </si>
  <si>
    <t>Estratégica</t>
  </si>
  <si>
    <t>MEIA SOLA</t>
  </si>
  <si>
    <t>MS Maison</t>
  </si>
  <si>
    <t>MS Iguatemi</t>
  </si>
  <si>
    <t>MS Riomar</t>
  </si>
  <si>
    <t>MS Aldeota</t>
  </si>
  <si>
    <t>TOTAL MEIA SOLA</t>
  </si>
  <si>
    <t>AREZZO</t>
  </si>
  <si>
    <t>AZZ 90</t>
  </si>
  <si>
    <t>AZZ 408</t>
  </si>
  <si>
    <t>AZZ Cariri</t>
  </si>
  <si>
    <t>AZZ Centro</t>
  </si>
  <si>
    <t>AZZ Kennedy</t>
  </si>
  <si>
    <t>AZZ Sobral</t>
  </si>
  <si>
    <t>AZZ Dom Luis</t>
  </si>
  <si>
    <t>AZZ Riomar</t>
  </si>
  <si>
    <t>TOTAL AREZZO</t>
  </si>
  <si>
    <t>SCHUTZ</t>
  </si>
  <si>
    <t>STZ 495 Aldeota</t>
  </si>
  <si>
    <t>STZ Iguatemi</t>
  </si>
  <si>
    <t>STZ Riomar</t>
  </si>
  <si>
    <t>TOTAL SCHUTZ</t>
  </si>
  <si>
    <t>ANACAPRI</t>
  </si>
  <si>
    <t>AC Riomar</t>
  </si>
  <si>
    <t>Ac Aldeota</t>
  </si>
  <si>
    <t>Ac Cariri</t>
  </si>
  <si>
    <t>Ac Iguatemi</t>
  </si>
  <si>
    <t>TOTAL ANACAPRI</t>
  </si>
  <si>
    <t>MEIA SOLA OFF</t>
  </si>
  <si>
    <t>MS Off Caucaia</t>
  </si>
  <si>
    <t>TOTAL MEIA SOLA OFF</t>
  </si>
  <si>
    <t>At Home</t>
  </si>
  <si>
    <t>TOTAL E-COM/AT HOME</t>
  </si>
  <si>
    <t>Total Geral</t>
  </si>
  <si>
    <t>TOTAL</t>
  </si>
  <si>
    <t>META</t>
  </si>
  <si>
    <t>% META</t>
  </si>
  <si>
    <t xml:space="preserve">META </t>
  </si>
  <si>
    <t>LOJAS</t>
  </si>
  <si>
    <t>FATURAM</t>
  </si>
  <si>
    <t>PREMIAÇÃO</t>
  </si>
  <si>
    <t>PREM TOTAL</t>
  </si>
  <si>
    <t>VENDAS EXTERNAS</t>
  </si>
  <si>
    <t>2 % COMISSÃO</t>
  </si>
  <si>
    <t>PREMIAÇÃO TOTAL</t>
  </si>
  <si>
    <t>STZ 495 ALDEOTA</t>
  </si>
  <si>
    <t>AC ALDEOTA</t>
  </si>
  <si>
    <t>AZZ DOM LUIS</t>
  </si>
  <si>
    <t>MS MAISON</t>
  </si>
  <si>
    <t>Meta Supervisão</t>
  </si>
  <si>
    <t>MEIA SOLA ACESSORIOS DE MODA LTDA</t>
  </si>
  <si>
    <t>Taylor Gerenciador - Versão 2.5.1195.2 / 01</t>
  </si>
  <si>
    <t>Seleção:</t>
  </si>
  <si>
    <t>Por Loja</t>
  </si>
  <si>
    <t>VENDAS(R$)VALORR$</t>
  </si>
  <si>
    <t>01.MS MAISON</t>
  </si>
  <si>
    <t>02.OFF CAU</t>
  </si>
  <si>
    <t>04.AZZ 90</t>
  </si>
  <si>
    <t>05.AZZ 408</t>
  </si>
  <si>
    <t>06.MS IGUATEMI</t>
  </si>
  <si>
    <t>08.AZZ CARIRI</t>
  </si>
  <si>
    <t>09.AZZ CENTRO</t>
  </si>
  <si>
    <t>10.MS ALDEOTA</t>
  </si>
  <si>
    <t>12.AZZ KENNEDY</t>
  </si>
  <si>
    <t>14.AZZ SOBRAL</t>
  </si>
  <si>
    <t>15.STZ 495</t>
  </si>
  <si>
    <t>21.STZ IGUATEMI</t>
  </si>
  <si>
    <t>22.AZZ DOM LUIS</t>
  </si>
  <si>
    <t>25.AC RIOMAR</t>
  </si>
  <si>
    <t>26.AZZ RIOMAR</t>
  </si>
  <si>
    <t>27.STZ RIOMAR</t>
  </si>
  <si>
    <t>28.AC IGUATEMI</t>
  </si>
  <si>
    <t>29.MS RIOMAR</t>
  </si>
  <si>
    <t>30.AC ALDEOTA</t>
  </si>
  <si>
    <t>32.AC CARIRI</t>
  </si>
  <si>
    <t>33. MS E-COMMERCE</t>
  </si>
  <si>
    <t>45.QUALIDADE</t>
  </si>
  <si>
    <t>99.ADMINISTRACAO</t>
  </si>
  <si>
    <t>DINHEIRO</t>
  </si>
  <si>
    <t>CHEQUE A VISTA</t>
  </si>
  <si>
    <t>PLANO/ FORMAS</t>
  </si>
  <si>
    <t>FATURAMENTO</t>
  </si>
  <si>
    <t>% FAT</t>
  </si>
  <si>
    <t>CHEQUE PRE</t>
  </si>
  <si>
    <t>CREDITO</t>
  </si>
  <si>
    <t>DÉBITO</t>
  </si>
  <si>
    <t>FUNCIONÁRIO</t>
  </si>
  <si>
    <t>CREDIÁRIO</t>
  </si>
  <si>
    <t>OUTROS</t>
  </si>
  <si>
    <t>DEPÓSITO</t>
  </si>
  <si>
    <t>ROTATIVO REDE</t>
  </si>
  <si>
    <t>TOTAL A VISTA</t>
  </si>
  <si>
    <t>STZ Aldeota</t>
  </si>
  <si>
    <t>E-COMMERCE</t>
  </si>
  <si>
    <t xml:space="preserve">Painel de Metas - Até dia </t>
  </si>
  <si>
    <t>Rede/Lojas</t>
  </si>
  <si>
    <t>%Cresc.Até o Dia</t>
  </si>
  <si>
    <t>Vendas Dia 2019</t>
  </si>
  <si>
    <t>Vendas Dia 2020</t>
  </si>
  <si>
    <t>Diferença Meta</t>
  </si>
  <si>
    <t>Ating. Meta</t>
  </si>
  <si>
    <t>Meta Diária</t>
  </si>
  <si>
    <t>Fat. Diário</t>
  </si>
  <si>
    <t>Proj. de Fat.</t>
  </si>
  <si>
    <t>%Dif.Meta</t>
  </si>
  <si>
    <t>Proj.Ating.</t>
  </si>
  <si>
    <t>AZZ CARIRI</t>
  </si>
  <si>
    <t>AZZ CENTRO</t>
  </si>
  <si>
    <t>AZZ DOM LUÍS</t>
  </si>
  <si>
    <t>AZZ KENNEDY</t>
  </si>
  <si>
    <t>AZZ RIOMAR</t>
  </si>
  <si>
    <t>AZZ SOBRAL</t>
  </si>
  <si>
    <t>MS ALDEOTA</t>
  </si>
  <si>
    <t>MS IGUATEMI</t>
  </si>
  <si>
    <t>MS RIOMAR</t>
  </si>
  <si>
    <t>STZ ALDEOTA</t>
  </si>
  <si>
    <t>STZ IGUATEMI</t>
  </si>
  <si>
    <t>STZ RIOMAR</t>
  </si>
  <si>
    <t>AC CARIRI</t>
  </si>
  <si>
    <t>AC IGUATEMI</t>
  </si>
  <si>
    <t>AC RIOMAR</t>
  </si>
  <si>
    <t>MS OFF</t>
  </si>
  <si>
    <t>MS OFF CAUCAIA</t>
  </si>
  <si>
    <t>AT HOME</t>
  </si>
  <si>
    <t>POPUP AREZZO</t>
  </si>
  <si>
    <t>Meta Dezembro</t>
  </si>
  <si>
    <t>Fat. Fevereiro 2020</t>
  </si>
  <si>
    <t>Fat. Fevereiro 2021</t>
  </si>
  <si>
    <t>Vendas Dia 2021</t>
  </si>
  <si>
    <t>Meta Fevereiro 2021</t>
  </si>
  <si>
    <t>Shop</t>
  </si>
  <si>
    <t>Rua</t>
  </si>
  <si>
    <t>Painel de Metas - Até dia 02/03/21</t>
  </si>
  <si>
    <t>ACOMPANHAMENTO FATURAMENTO / VENDA LINK FEVEREIRO 2021</t>
  </si>
  <si>
    <t>Loja</t>
  </si>
  <si>
    <t>Grupo</t>
  </si>
  <si>
    <t>Faturamento</t>
  </si>
  <si>
    <t>Venda Link</t>
  </si>
  <si>
    <t>%</t>
  </si>
  <si>
    <t>Metas</t>
  </si>
  <si>
    <t>Z421</t>
  </si>
  <si>
    <t>AREZZO CENTRO</t>
  </si>
  <si>
    <t>Z422</t>
  </si>
  <si>
    <t>AREZZO KENNEDY</t>
  </si>
  <si>
    <t>Z423</t>
  </si>
  <si>
    <t>AREZZO 90</t>
  </si>
  <si>
    <t>Z424</t>
  </si>
  <si>
    <t>AREZZO 408</t>
  </si>
  <si>
    <t>Z425</t>
  </si>
  <si>
    <t>AREZZO RIOMAR</t>
  </si>
  <si>
    <t>Z426</t>
  </si>
  <si>
    <t>AREZZO DOM LUIS</t>
  </si>
  <si>
    <t>Z427</t>
  </si>
  <si>
    <t>AREZZO CARIRI</t>
  </si>
  <si>
    <t>BRIZZA</t>
  </si>
  <si>
    <t>Z428</t>
  </si>
  <si>
    <t>AREZZO SOBRAL</t>
  </si>
  <si>
    <t>Total</t>
  </si>
  <si>
    <t>Z429</t>
  </si>
  <si>
    <t>MEIA SOLA MAISON</t>
  </si>
  <si>
    <t>Z430</t>
  </si>
  <si>
    <t>MEIA SOLA RIOMAR</t>
  </si>
  <si>
    <t>Z431</t>
  </si>
  <si>
    <t>MEIA SOLA ALDEOTA</t>
  </si>
  <si>
    <t>Z432</t>
  </si>
  <si>
    <t>MEIA SOLA IGUATEMI</t>
  </si>
  <si>
    <t>Z433</t>
  </si>
  <si>
    <t>Z434</t>
  </si>
  <si>
    <t>ANACAPRI ALDEOTA</t>
  </si>
  <si>
    <t>Z435</t>
  </si>
  <si>
    <t>ANACAPRI CARIRI</t>
  </si>
  <si>
    <t>Z436</t>
  </si>
  <si>
    <t>ANACAPRI IGUATEMI</t>
  </si>
  <si>
    <t>Z437</t>
  </si>
  <si>
    <t>ANACAPRI RIOMAR</t>
  </si>
  <si>
    <t>Z438</t>
  </si>
  <si>
    <t>SCHUTZ ALDEOTA</t>
  </si>
  <si>
    <t>Z439</t>
  </si>
  <si>
    <t>SCHUTZ RIOMAR</t>
  </si>
  <si>
    <t>Z440</t>
  </si>
  <si>
    <t>SCHUTZ IGUATEMI</t>
  </si>
  <si>
    <t>Z441</t>
  </si>
  <si>
    <t>Fat. Maio 2019</t>
  </si>
  <si>
    <t>Fat. Abril 2021</t>
  </si>
  <si>
    <t>Fat. Maio 2021</t>
  </si>
  <si>
    <t>Meta Maio 2021</t>
  </si>
  <si>
    <t>Venda Cupom Site</t>
  </si>
  <si>
    <t>Venda Joe</t>
  </si>
  <si>
    <t>Vendas após 12 de Abril</t>
  </si>
  <si>
    <t>13/04 (Aniversário de Fortaleza)</t>
  </si>
  <si>
    <t>21/04 (Tiradentes)</t>
  </si>
  <si>
    <t>Falta</t>
  </si>
  <si>
    <t>Foi</t>
  </si>
  <si>
    <t>LIVE SHOP JOE</t>
  </si>
  <si>
    <t>CUPOM CONSULTORA</t>
  </si>
  <si>
    <t>LIVE SHOP MS</t>
  </si>
  <si>
    <t>LIVE SHOP STZ</t>
  </si>
  <si>
    <t>LIVE SHOP AC</t>
  </si>
  <si>
    <t>LIVE SHOP AZZ</t>
  </si>
  <si>
    <r>
      <t xml:space="preserve">ACOMPANHAMENTO FATURAMENTO / VENDA LINK </t>
    </r>
    <r>
      <rPr>
        <b/>
        <sz val="20"/>
        <color rgb="FFFF0000"/>
        <rFont val="Arial Narrow"/>
        <family val="2"/>
      </rPr>
      <t>MAIO 2021</t>
    </r>
  </si>
  <si>
    <t>Painel de Metas - Até dia 31/07/21</t>
  </si>
  <si>
    <t>Fat. Julho 2019</t>
  </si>
  <si>
    <t>Fat. Julho 2021</t>
  </si>
  <si>
    <t>Meta Julho 2021</t>
  </si>
  <si>
    <t>Atingimento Meta</t>
  </si>
  <si>
    <t>Fat. Agosto 2019</t>
  </si>
  <si>
    <t>Fat. Agosto 2021</t>
  </si>
  <si>
    <t>Meta Agosto 2021</t>
  </si>
  <si>
    <t>Painel de Metas - Até dia 01/09/21</t>
  </si>
  <si>
    <t>MS OFF ALDEOTA</t>
  </si>
  <si>
    <t>MS Off Aldeota</t>
  </si>
  <si>
    <t>Total Triunfo '21 EC</t>
  </si>
  <si>
    <t>Meta E-Com Dez</t>
  </si>
  <si>
    <t>Meta E-Com Nov</t>
  </si>
  <si>
    <t>Meta E-Com Out</t>
  </si>
  <si>
    <t>Meta Triunfo</t>
  </si>
  <si>
    <t>Meta Novembro</t>
  </si>
  <si>
    <t>Meta Outubro</t>
  </si>
  <si>
    <t>Ecommerce</t>
  </si>
  <si>
    <t>Financeiro</t>
  </si>
  <si>
    <t>Meta Site</t>
  </si>
  <si>
    <t>Realizado</t>
  </si>
  <si>
    <t>%Meta</t>
  </si>
  <si>
    <t>Premiação</t>
  </si>
  <si>
    <t>Fat. Fevereiro 2022</t>
  </si>
  <si>
    <t>Meta Fevereiro 2022</t>
  </si>
  <si>
    <t>Vendas Dia 2022</t>
  </si>
  <si>
    <t>Painel de Metas - Até o dia 28/02/22</t>
  </si>
  <si>
    <t>Rede/Loja</t>
  </si>
  <si>
    <t>Projeção Fat.</t>
  </si>
  <si>
    <t>Vendas Dia 2023</t>
  </si>
  <si>
    <t>TOTAL OFF</t>
  </si>
  <si>
    <t>E-commerce</t>
  </si>
  <si>
    <t>TOTAL E-COM</t>
  </si>
  <si>
    <t>Fat. Dezembro 2019</t>
  </si>
  <si>
    <t>Fat. Dezembro 2022</t>
  </si>
  <si>
    <t>Fat. Dezembro 2023</t>
  </si>
  <si>
    <t>Meta Dezembro 2023</t>
  </si>
  <si>
    <t>Painel de Metas - Até o dia 31/12/23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</si>
</sst>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&quot;R$&quot;* #,##0.00_-;\-&quot;R$&quot;* #,##0.00_-;_-&quot;R$&quot;* &quot;-&quot;??_-;_-@_-"/>
    <numFmt numFmtId="166" formatCode="_(&quot;R$ &quot;* #,##0.00_);_(&quot;R$ &quot;* \(#,##0.00\);_(&quot;R$ &quot;* &quot;-&quot;??_);_(@_)"/>
    <numFmt numFmtId="167" formatCode="&quot;R$&quot;\ #,##0.00"/>
    <numFmt numFmtId="168" formatCode="_(&quot;$&quot;* #,##0.00_);_(&quot;$&quot;* \(#,##0.00\);_(&quot;$&quot;* &quot;-&quot;??_);_(@_)"/>
    <numFmt numFmtId="169" formatCode="&quot;R$&quot;#,##0.00"/>
    <numFmt numFmtId="170" formatCode="&quot;R$&quot;#,##0.00_);[Red]\(&quot;R$&quot;#,##0.00\)"/>
    <numFmt numFmtId="171" formatCode="&quot;R$&quot;\ #,##0.00;[Red]&quot;R$&quot;\ #,##0.00"/>
    <numFmt numFmtId="172" formatCode="_(&quot;R$&quot;* #,##0.00_);_(&quot;R$&quot;* \(#,##0.00\);_(&quot;R$&quot;* &quot;-&quot;??_);_(@_)"/>
    <numFmt numFmtId="173" formatCode="0.0%"/>
  </numFmts>
  <fonts count="6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indexed="81"/>
      <name val="Tahoma"/>
      <family val="2"/>
    </font>
    <font>
      <sz val="8"/>
      <color indexed="81"/>
      <name val="Tahoma"/>
      <family val="2"/>
    </font>
    <font>
      <sz val="14"/>
      <color rgb="FF000000"/>
      <name val="Arial"/>
      <family val="2"/>
    </font>
    <font>
      <b/>
      <i/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"/>
      <color rgb="FF000000"/>
      <name val="Arial"/>
      <family val="2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u val="double"/>
      <sz val="12"/>
      <color indexed="10"/>
      <name val="Arial Black"/>
      <family val="2"/>
    </font>
    <font>
      <b/>
      <i/>
      <u val="singleAccounting"/>
      <sz val="11"/>
      <color indexed="9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b/>
      <sz val="12"/>
      <color theme="0"/>
      <name val="Arial Narrow"/>
      <family val="2"/>
    </font>
    <font>
      <b/>
      <sz val="20"/>
      <color indexed="8"/>
      <name val="Arial Narrow"/>
      <family val="2"/>
    </font>
    <font>
      <b/>
      <sz val="20"/>
      <color rgb="FFFF0000"/>
      <name val="Arial Narrow"/>
      <family val="2"/>
    </font>
    <font>
      <b/>
      <sz val="11"/>
      <color rgb="FFFFFF00"/>
      <name val="Calibri"/>
      <family val="2"/>
      <scheme val="minor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</borders>
  <cellStyleXfs count="265">
    <xf numFmtId="0" fontId="0" fillId="0" borderId="0"/>
    <xf numFmtId="166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5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8" fillId="7" borderId="0">
      <alignment horizontal="left" vertical="top"/>
    </xf>
    <xf numFmtId="0" fontId="39" fillId="7" borderId="0">
      <alignment horizontal="left" vertical="top"/>
    </xf>
    <xf numFmtId="0" fontId="40" fillId="7" borderId="0">
      <alignment horizontal="right" vertical="top"/>
    </xf>
    <xf numFmtId="0" fontId="40" fillId="7" borderId="0">
      <alignment horizontal="right" vertical="top"/>
    </xf>
    <xf numFmtId="0" fontId="40" fillId="7" borderId="0">
      <alignment horizontal="right" vertical="top"/>
    </xf>
    <xf numFmtId="0" fontId="41" fillId="7" borderId="0">
      <alignment horizontal="right" vertical="top"/>
    </xf>
    <xf numFmtId="0" fontId="40" fillId="7" borderId="0">
      <alignment horizontal="right" vertical="top"/>
    </xf>
    <xf numFmtId="0" fontId="41" fillId="7" borderId="0">
      <alignment horizontal="right" vertical="top"/>
    </xf>
    <xf numFmtId="0" fontId="41" fillId="7" borderId="0">
      <alignment horizontal="right" vertical="top"/>
    </xf>
    <xf numFmtId="0" fontId="40" fillId="7" borderId="0">
      <alignment horizontal="right" vertical="top"/>
    </xf>
    <xf numFmtId="0" fontId="41" fillId="7" borderId="0">
      <alignment horizontal="right" vertical="top"/>
    </xf>
    <xf numFmtId="0" fontId="41" fillId="7" borderId="0">
      <alignment horizontal="right" vertical="top"/>
    </xf>
    <xf numFmtId="0" fontId="41" fillId="7" borderId="0">
      <alignment horizontal="right" vertical="top"/>
    </xf>
    <xf numFmtId="0" fontId="42" fillId="7" borderId="0">
      <alignment horizontal="left" vertical="top"/>
    </xf>
    <xf numFmtId="0" fontId="41" fillId="7" borderId="0">
      <alignment horizontal="right" vertical="top"/>
    </xf>
    <xf numFmtId="0" fontId="42" fillId="7" borderId="0">
      <alignment horizontal="left" vertical="top"/>
    </xf>
    <xf numFmtId="0" fontId="42" fillId="7" borderId="0">
      <alignment horizontal="left" vertical="top"/>
    </xf>
    <xf numFmtId="0" fontId="43" fillId="7" borderId="0">
      <alignment horizontal="left" vertical="top"/>
    </xf>
    <xf numFmtId="0" fontId="42" fillId="7" borderId="0">
      <alignment horizontal="left" vertical="top"/>
    </xf>
    <xf numFmtId="0" fontId="44" fillId="7" borderId="0">
      <alignment horizontal="left" vertical="top"/>
    </xf>
    <xf numFmtId="0" fontId="42" fillId="7" borderId="0">
      <alignment horizontal="left" vertical="top"/>
    </xf>
    <xf numFmtId="0" fontId="45" fillId="7" borderId="0">
      <alignment horizontal="left" vertical="top"/>
    </xf>
    <xf numFmtId="0" fontId="41" fillId="7" borderId="0">
      <alignment horizontal="left" vertical="top"/>
    </xf>
    <xf numFmtId="0" fontId="46" fillId="7" borderId="0">
      <alignment horizontal="center" vertical="top"/>
    </xf>
    <xf numFmtId="0" fontId="41" fillId="7" borderId="0">
      <alignment horizontal="left" vertical="top"/>
    </xf>
    <xf numFmtId="0" fontId="46" fillId="7" borderId="0">
      <alignment horizontal="center" vertical="top"/>
    </xf>
    <xf numFmtId="0" fontId="45" fillId="7" borderId="0">
      <alignment horizontal="left" vertical="top"/>
    </xf>
    <xf numFmtId="0" fontId="44" fillId="7" borderId="0">
      <alignment horizontal="left" vertical="top"/>
    </xf>
    <xf numFmtId="0" fontId="46" fillId="7" borderId="0">
      <alignment horizontal="left" vertical="top"/>
    </xf>
    <xf numFmtId="0" fontId="44" fillId="7" borderId="0">
      <alignment horizontal="left" vertical="top"/>
    </xf>
    <xf numFmtId="0" fontId="41" fillId="7" borderId="0">
      <alignment horizontal="left" vertical="top"/>
    </xf>
    <xf numFmtId="0" fontId="41" fillId="7" borderId="0">
      <alignment horizontal="left" vertical="top"/>
    </xf>
    <xf numFmtId="0" fontId="44" fillId="7" borderId="0">
      <alignment horizontal="left" vertical="top"/>
    </xf>
    <xf numFmtId="0" fontId="41" fillId="7" borderId="0">
      <alignment horizontal="left" vertical="top"/>
    </xf>
    <xf numFmtId="0" fontId="46" fillId="7" borderId="0">
      <alignment horizontal="left" vertical="top"/>
    </xf>
    <xf numFmtId="0" fontId="41" fillId="7" borderId="0">
      <alignment horizontal="right" vertical="top"/>
    </xf>
    <xf numFmtId="0" fontId="47" fillId="7" borderId="0">
      <alignment horizontal="center" vertical="top"/>
    </xf>
    <xf numFmtId="0" fontId="41" fillId="7" borderId="0">
      <alignment horizontal="right" vertical="top"/>
    </xf>
    <xf numFmtId="0" fontId="44" fillId="7" borderId="0">
      <alignment horizontal="left" vertical="top"/>
    </xf>
    <xf numFmtId="0" fontId="41" fillId="7" borderId="0">
      <alignment horizontal="center" vertical="top"/>
    </xf>
    <xf numFmtId="0" fontId="41" fillId="7" borderId="0">
      <alignment horizontal="right" vertical="top"/>
    </xf>
    <xf numFmtId="0" fontId="40" fillId="7" borderId="0">
      <alignment horizontal="left" vertical="top"/>
    </xf>
    <xf numFmtId="0" fontId="41" fillId="7" borderId="0">
      <alignment horizontal="center" vertical="top"/>
    </xf>
    <xf numFmtId="0" fontId="40" fillId="7" borderId="0">
      <alignment horizontal="left" vertical="top"/>
    </xf>
    <xf numFmtId="0" fontId="40" fillId="7" borderId="0">
      <alignment horizontal="right" vertical="top"/>
    </xf>
    <xf numFmtId="0" fontId="48" fillId="1" borderId="0"/>
    <xf numFmtId="0" fontId="49" fillId="8" borderId="2">
      <alignment horizontal="center" vertical="center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4" fontId="55" fillId="0" borderId="0" applyFont="0" applyFill="0" applyBorder="0" applyAlignment="0" applyProtection="0">
      <alignment vertical="top"/>
    </xf>
    <xf numFmtId="0" fontId="55" fillId="0" borderId="0">
      <alignment vertical="top"/>
    </xf>
    <xf numFmtId="9" fontId="55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8" fillId="0" borderId="0"/>
    <xf numFmtId="0" fontId="17" fillId="0" borderId="0"/>
    <xf numFmtId="9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55" fillId="0" borderId="0" applyFont="0" applyFill="0" applyBorder="0" applyAlignment="0" applyProtection="0"/>
    <xf numFmtId="0" fontId="12" fillId="0" borderId="0"/>
    <xf numFmtId="0" fontId="11" fillId="0" borderId="0"/>
    <xf numFmtId="9" fontId="11" fillId="0" borderId="0" applyFont="0" applyFill="0" applyBorder="0" applyAlignment="0" applyProtection="0"/>
    <xf numFmtId="172" fontId="5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18">
    <xf numFmtId="0" fontId="0" fillId="0" borderId="0" xfId="0"/>
    <xf numFmtId="0" fontId="27" fillId="0" borderId="0" xfId="0" applyFont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166" fontId="27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66" fontId="32" fillId="0" borderId="0" xfId="1" applyFont="1" applyAlignment="1">
      <alignment horizontal="center" vertical="center"/>
    </xf>
    <xf numFmtId="10" fontId="27" fillId="0" borderId="0" xfId="2" applyNumberFormat="1" applyFont="1" applyAlignment="1">
      <alignment horizontal="center" vertical="center"/>
    </xf>
    <xf numFmtId="0" fontId="33" fillId="3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166" fontId="33" fillId="4" borderId="1" xfId="1" applyFont="1" applyFill="1" applyBorder="1" applyAlignment="1">
      <alignment horizontal="center" vertical="center" wrapText="1"/>
    </xf>
    <xf numFmtId="166" fontId="33" fillId="5" borderId="1" xfId="1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166" fontId="27" fillId="0" borderId="1" xfId="1" applyFont="1" applyFill="1" applyBorder="1" applyAlignment="1">
      <alignment horizontal="center" vertical="center"/>
    </xf>
    <xf numFmtId="166" fontId="34" fillId="4" borderId="1" xfId="1" applyFont="1" applyFill="1" applyBorder="1" applyAlignment="1">
      <alignment horizontal="center" vertical="center"/>
    </xf>
    <xf numFmtId="10" fontId="34" fillId="4" borderId="1" xfId="2" applyNumberFormat="1" applyFont="1" applyFill="1" applyBorder="1" applyAlignment="1">
      <alignment horizontal="center" vertical="center"/>
    </xf>
    <xf numFmtId="166" fontId="34" fillId="5" borderId="1" xfId="1" applyFont="1" applyFill="1" applyBorder="1" applyAlignment="1">
      <alignment horizontal="center" vertical="center"/>
    </xf>
    <xf numFmtId="10" fontId="34" fillId="5" borderId="1" xfId="2" applyNumberFormat="1" applyFont="1" applyFill="1" applyBorder="1" applyAlignment="1">
      <alignment horizontal="center" vertical="center"/>
    </xf>
    <xf numFmtId="166" fontId="34" fillId="6" borderId="1" xfId="1" applyFont="1" applyFill="1" applyBorder="1" applyAlignment="1">
      <alignment horizontal="center" vertical="center"/>
    </xf>
    <xf numFmtId="10" fontId="34" fillId="6" borderId="1" xfId="2" applyNumberFormat="1" applyFont="1" applyFill="1" applyBorder="1" applyAlignment="1">
      <alignment horizontal="center" vertical="center"/>
    </xf>
    <xf numFmtId="0" fontId="27" fillId="0" borderId="1" xfId="0" quotePrefix="1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167" fontId="30" fillId="3" borderId="1" xfId="1" applyNumberFormat="1" applyFont="1" applyFill="1" applyBorder="1" applyAlignment="1">
      <alignment horizontal="center" vertical="center"/>
    </xf>
    <xf numFmtId="10" fontId="30" fillId="3" borderId="1" xfId="2" applyNumberFormat="1" applyFont="1" applyFill="1" applyBorder="1" applyAlignment="1">
      <alignment horizontal="center" vertical="center"/>
    </xf>
    <xf numFmtId="166" fontId="30" fillId="3" borderId="1" xfId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166" fontId="27" fillId="0" borderId="0" xfId="0" applyNumberFormat="1" applyFont="1" applyAlignment="1">
      <alignment horizontal="center" vertical="center"/>
    </xf>
    <xf numFmtId="166" fontId="0" fillId="0" borderId="0" xfId="1" applyFont="1"/>
    <xf numFmtId="0" fontId="51" fillId="9" borderId="0" xfId="0" applyFont="1" applyFill="1" applyAlignment="1">
      <alignment horizontal="center"/>
    </xf>
    <xf numFmtId="10" fontId="0" fillId="0" borderId="0" xfId="2" applyNumberFormat="1" applyFont="1"/>
    <xf numFmtId="10" fontId="50" fillId="0" borderId="0" xfId="2" applyNumberFormat="1" applyFont="1"/>
    <xf numFmtId="0" fontId="52" fillId="10" borderId="0" xfId="0" applyFont="1" applyFill="1"/>
    <xf numFmtId="166" fontId="52" fillId="10" borderId="0" xfId="1" applyFont="1" applyFill="1"/>
    <xf numFmtId="17" fontId="51" fillId="9" borderId="0" xfId="0" applyNumberFormat="1" applyFont="1" applyFill="1" applyAlignment="1">
      <alignment horizontal="center"/>
    </xf>
    <xf numFmtId="9" fontId="0" fillId="0" borderId="0" xfId="0" applyNumberFormat="1"/>
    <xf numFmtId="0" fontId="52" fillId="11" borderId="0" xfId="0" applyFont="1" applyFill="1"/>
    <xf numFmtId="166" fontId="52" fillId="11" borderId="0" xfId="0" applyNumberFormat="1" applyFont="1" applyFill="1"/>
    <xf numFmtId="10" fontId="52" fillId="11" borderId="0" xfId="2" applyNumberFormat="1" applyFont="1" applyFill="1"/>
    <xf numFmtId="166" fontId="52" fillId="11" borderId="0" xfId="1" applyFont="1" applyFill="1"/>
    <xf numFmtId="0" fontId="34" fillId="0" borderId="1" xfId="0" applyFont="1" applyBorder="1" applyAlignment="1">
      <alignment horizontal="center" vertical="center" wrapText="1"/>
    </xf>
    <xf numFmtId="166" fontId="34" fillId="3" borderId="2" xfId="1" applyFont="1" applyFill="1" applyBorder="1" applyAlignment="1">
      <alignment horizontal="center" vertical="center" wrapText="1"/>
    </xf>
    <xf numFmtId="166" fontId="27" fillId="0" borderId="0" xfId="1" applyFont="1" applyFill="1" applyAlignment="1">
      <alignment horizontal="center" vertical="center"/>
    </xf>
    <xf numFmtId="166" fontId="34" fillId="0" borderId="0" xfId="1" applyFont="1" applyAlignment="1">
      <alignment horizontal="center" vertical="center"/>
    </xf>
    <xf numFmtId="166" fontId="34" fillId="3" borderId="3" xfId="1" applyFont="1" applyFill="1" applyBorder="1" applyAlignment="1">
      <alignment horizontal="center" vertical="center"/>
    </xf>
    <xf numFmtId="10" fontId="27" fillId="4" borderId="1" xfId="2" applyNumberFormat="1" applyFont="1" applyFill="1" applyBorder="1" applyAlignment="1">
      <alignment horizontal="center" vertical="center"/>
    </xf>
    <xf numFmtId="0" fontId="21" fillId="0" borderId="0" xfId="214"/>
    <xf numFmtId="165" fontId="0" fillId="0" borderId="0" xfId="215" applyFont="1"/>
    <xf numFmtId="10" fontId="21" fillId="0" borderId="0" xfId="214" applyNumberFormat="1"/>
    <xf numFmtId="4" fontId="21" fillId="0" borderId="0" xfId="214" applyNumberFormat="1"/>
    <xf numFmtId="43" fontId="27" fillId="0" borderId="0" xfId="0" applyNumberFormat="1" applyFont="1" applyAlignment="1">
      <alignment horizontal="center" vertical="center"/>
    </xf>
    <xf numFmtId="167" fontId="27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0" fontId="24" fillId="9" borderId="0" xfId="214" applyFont="1" applyFill="1" applyAlignment="1">
      <alignment horizontal="center"/>
    </xf>
    <xf numFmtId="165" fontId="24" fillId="9" borderId="0" xfId="215" applyFont="1" applyFill="1" applyAlignment="1">
      <alignment horizontal="center"/>
    </xf>
    <xf numFmtId="0" fontId="21" fillId="0" borderId="0" xfId="214" applyAlignment="1">
      <alignment horizontal="center"/>
    </xf>
    <xf numFmtId="0" fontId="21" fillId="12" borderId="0" xfId="214" applyFill="1"/>
    <xf numFmtId="165" fontId="0" fillId="12" borderId="0" xfId="215" applyFont="1" applyFill="1"/>
    <xf numFmtId="10" fontId="0" fillId="12" borderId="0" xfId="216" applyNumberFormat="1" applyFont="1" applyFill="1"/>
    <xf numFmtId="10" fontId="0" fillId="0" borderId="0" xfId="216" applyNumberFormat="1" applyFont="1"/>
    <xf numFmtId="0" fontId="23" fillId="10" borderId="0" xfId="214" applyFont="1" applyFill="1"/>
    <xf numFmtId="165" fontId="23" fillId="10" borderId="0" xfId="215" applyFont="1" applyFill="1"/>
    <xf numFmtId="10" fontId="23" fillId="10" borderId="0" xfId="214" applyNumberFormat="1" applyFont="1" applyFill="1"/>
    <xf numFmtId="165" fontId="21" fillId="0" borderId="0" xfId="214" applyNumberFormat="1"/>
    <xf numFmtId="0" fontId="23" fillId="12" borderId="0" xfId="214" applyFont="1" applyFill="1"/>
    <xf numFmtId="165" fontId="23" fillId="12" borderId="0" xfId="215" applyFont="1" applyFill="1"/>
    <xf numFmtId="10" fontId="23" fillId="12" borderId="0" xfId="216" applyNumberFormat="1" applyFont="1" applyFill="1"/>
    <xf numFmtId="0" fontId="23" fillId="0" borderId="0" xfId="214" applyFont="1"/>
    <xf numFmtId="165" fontId="23" fillId="0" borderId="0" xfId="214" applyNumberFormat="1" applyFont="1"/>
    <xf numFmtId="10" fontId="23" fillId="0" borderId="0" xfId="216" applyNumberFormat="1" applyFont="1"/>
    <xf numFmtId="165" fontId="52" fillId="13" borderId="0" xfId="215" applyFont="1" applyFill="1"/>
    <xf numFmtId="10" fontId="23" fillId="13" borderId="0" xfId="214" applyNumberFormat="1" applyFont="1" applyFill="1"/>
    <xf numFmtId="0" fontId="29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9" fontId="27" fillId="0" borderId="0" xfId="2" applyFont="1" applyAlignment="1">
      <alignment horizontal="center" vertical="center"/>
    </xf>
    <xf numFmtId="169" fontId="27" fillId="0" borderId="0" xfId="0" applyNumberFormat="1" applyFont="1" applyAlignment="1">
      <alignment horizontal="center" vertical="center"/>
    </xf>
    <xf numFmtId="0" fontId="15" fillId="0" borderId="0" xfId="229" applyAlignment="1">
      <alignment horizontal="left" indent="1"/>
    </xf>
    <xf numFmtId="0" fontId="14" fillId="0" borderId="0" xfId="231"/>
    <xf numFmtId="0" fontId="14" fillId="0" borderId="0" xfId="231" applyAlignment="1">
      <alignment horizontal="center"/>
    </xf>
    <xf numFmtId="14" fontId="14" fillId="0" borderId="0" xfId="231" applyNumberFormat="1"/>
    <xf numFmtId="170" fontId="14" fillId="0" borderId="0" xfId="231" applyNumberFormat="1"/>
    <xf numFmtId="0" fontId="57" fillId="0" borderId="0" xfId="220" applyFont="1">
      <alignment vertical="top"/>
    </xf>
    <xf numFmtId="44" fontId="57" fillId="0" borderId="0" xfId="236" applyFont="1" applyAlignment="1">
      <alignment vertical="top"/>
    </xf>
    <xf numFmtId="0" fontId="13" fillId="0" borderId="0" xfId="233"/>
    <xf numFmtId="8" fontId="13" fillId="0" borderId="0" xfId="233" applyNumberFormat="1" applyAlignment="1">
      <alignment horizontal="center" vertical="center"/>
    </xf>
    <xf numFmtId="0" fontId="23" fillId="14" borderId="4" xfId="233" applyFont="1" applyFill="1" applyBorder="1"/>
    <xf numFmtId="0" fontId="13" fillId="0" borderId="0" xfId="233" applyAlignment="1">
      <alignment horizontal="left" indent="1"/>
    </xf>
    <xf numFmtId="0" fontId="23" fillId="0" borderId="4" xfId="233" applyFont="1" applyBorder="1" applyAlignment="1">
      <alignment horizontal="left"/>
    </xf>
    <xf numFmtId="0" fontId="23" fillId="14" borderId="5" xfId="233" applyFont="1" applyFill="1" applyBorder="1" applyAlignment="1">
      <alignment horizontal="left"/>
    </xf>
    <xf numFmtId="0" fontId="23" fillId="14" borderId="4" xfId="233" applyFont="1" applyFill="1" applyBorder="1" applyAlignment="1">
      <alignment horizontal="center" vertical="center"/>
    </xf>
    <xf numFmtId="8" fontId="23" fillId="0" borderId="4" xfId="233" applyNumberFormat="1" applyFont="1" applyBorder="1" applyAlignment="1">
      <alignment horizontal="center" vertical="center"/>
    </xf>
    <xf numFmtId="9" fontId="23" fillId="0" borderId="4" xfId="233" applyNumberFormat="1" applyFont="1" applyBorder="1" applyAlignment="1">
      <alignment horizontal="center" vertical="center"/>
    </xf>
    <xf numFmtId="167" fontId="13" fillId="0" borderId="0" xfId="234" applyNumberFormat="1" applyFont="1" applyAlignment="1">
      <alignment horizontal="center" vertical="center"/>
    </xf>
    <xf numFmtId="9" fontId="13" fillId="0" borderId="0" xfId="233" applyNumberFormat="1" applyAlignment="1">
      <alignment horizontal="center" vertical="center"/>
    </xf>
    <xf numFmtId="8" fontId="23" fillId="14" borderId="5" xfId="233" applyNumberFormat="1" applyFont="1" applyFill="1" applyBorder="1" applyAlignment="1">
      <alignment horizontal="center" vertical="center"/>
    </xf>
    <xf numFmtId="9" fontId="23" fillId="14" borderId="5" xfId="233" applyNumberFormat="1" applyFont="1" applyFill="1" applyBorder="1" applyAlignment="1">
      <alignment horizontal="center" vertical="center"/>
    </xf>
    <xf numFmtId="10" fontId="23" fillId="0" borderId="4" xfId="234" applyNumberFormat="1" applyFont="1" applyBorder="1" applyAlignment="1">
      <alignment horizontal="center" vertical="center"/>
    </xf>
    <xf numFmtId="10" fontId="23" fillId="14" borderId="5" xfId="234" applyNumberFormat="1" applyFont="1" applyFill="1" applyBorder="1" applyAlignment="1">
      <alignment horizontal="center" vertical="center"/>
    </xf>
    <xf numFmtId="10" fontId="23" fillId="0" borderId="4" xfId="233" applyNumberFormat="1" applyFont="1" applyBorder="1" applyAlignment="1">
      <alignment horizontal="center" vertical="center"/>
    </xf>
    <xf numFmtId="10" fontId="13" fillId="0" borderId="0" xfId="233" applyNumberFormat="1" applyAlignment="1">
      <alignment horizontal="center" vertical="center"/>
    </xf>
    <xf numFmtId="10" fontId="23" fillId="14" borderId="5" xfId="233" applyNumberFormat="1" applyFont="1" applyFill="1" applyBorder="1" applyAlignment="1">
      <alignment horizontal="center" vertical="center"/>
    </xf>
    <xf numFmtId="10" fontId="13" fillId="0" borderId="0" xfId="234" applyNumberFormat="1" applyFont="1" applyAlignment="1">
      <alignment horizontal="center" vertical="center"/>
    </xf>
    <xf numFmtId="0" fontId="58" fillId="0" borderId="0" xfId="220" applyFont="1">
      <alignment vertical="top"/>
    </xf>
    <xf numFmtId="44" fontId="58" fillId="0" borderId="0" xfId="236" applyFont="1" applyAlignment="1">
      <alignment vertical="top"/>
    </xf>
    <xf numFmtId="0" fontId="59" fillId="15" borderId="0" xfId="220" applyFont="1" applyFill="1" applyAlignment="1">
      <alignment vertical="top" wrapText="1" readingOrder="1"/>
    </xf>
    <xf numFmtId="0" fontId="59" fillId="15" borderId="0" xfId="220" applyFont="1" applyFill="1" applyAlignment="1">
      <alignment horizontal="center" vertical="top" wrapText="1" readingOrder="1"/>
    </xf>
    <xf numFmtId="44" fontId="59" fillId="15" borderId="0" xfId="236" applyFont="1" applyFill="1" applyAlignment="1">
      <alignment horizontal="center" vertical="top" wrapText="1" readingOrder="1"/>
    </xf>
    <xf numFmtId="0" fontId="57" fillId="0" borderId="0" xfId="220" applyFont="1" applyAlignment="1">
      <alignment vertical="top" wrapText="1" readingOrder="1"/>
    </xf>
    <xf numFmtId="44" fontId="59" fillId="15" borderId="0" xfId="236" applyFont="1" applyFill="1" applyAlignment="1">
      <alignment horizontal="center" vertical="top"/>
    </xf>
    <xf numFmtId="0" fontId="59" fillId="15" borderId="0" xfId="220" applyFont="1" applyFill="1" applyAlignment="1">
      <alignment horizontal="center" vertical="top"/>
    </xf>
    <xf numFmtId="9" fontId="57" fillId="0" borderId="0" xfId="221" applyFont="1" applyAlignment="1">
      <alignment horizontal="center" vertical="top"/>
    </xf>
    <xf numFmtId="4" fontId="57" fillId="0" borderId="0" xfId="220" applyNumberFormat="1" applyFont="1">
      <alignment vertical="top"/>
    </xf>
    <xf numFmtId="10" fontId="57" fillId="0" borderId="0" xfId="221" applyNumberFormat="1" applyFont="1" applyAlignment="1">
      <alignment horizontal="center" vertical="top"/>
    </xf>
    <xf numFmtId="0" fontId="57" fillId="16" borderId="0" xfId="220" applyFont="1" applyFill="1">
      <alignment vertical="top"/>
    </xf>
    <xf numFmtId="44" fontId="57" fillId="16" borderId="0" xfId="236" applyFont="1" applyFill="1" applyAlignment="1">
      <alignment vertical="top"/>
    </xf>
    <xf numFmtId="10" fontId="57" fillId="16" borderId="0" xfId="221" applyNumberFormat="1" applyFont="1" applyFill="1" applyAlignment="1">
      <alignment horizontal="center" vertical="top"/>
    </xf>
    <xf numFmtId="9" fontId="57" fillId="16" borderId="0" xfId="221" applyFont="1" applyFill="1" applyAlignment="1">
      <alignment horizontal="center" vertical="top"/>
    </xf>
    <xf numFmtId="44" fontId="57" fillId="0" borderId="0" xfId="236" applyFont="1" applyFill="1" applyAlignment="1">
      <alignment vertical="top"/>
    </xf>
    <xf numFmtId="10" fontId="57" fillId="0" borderId="0" xfId="221" applyNumberFormat="1" applyFont="1" applyFill="1" applyAlignment="1">
      <alignment horizontal="center" vertical="top"/>
    </xf>
    <xf numFmtId="9" fontId="57" fillId="0" borderId="0" xfId="221" applyFont="1" applyFill="1" applyAlignment="1">
      <alignment horizontal="center" vertical="top"/>
    </xf>
    <xf numFmtId="4" fontId="59" fillId="15" borderId="0" xfId="220" applyNumberFormat="1" applyFont="1" applyFill="1" applyAlignment="1">
      <alignment horizontal="center" vertical="top"/>
    </xf>
    <xf numFmtId="10" fontId="59" fillId="15" borderId="0" xfId="221" applyNumberFormat="1" applyFont="1" applyFill="1" applyAlignment="1">
      <alignment horizontal="center" vertical="top"/>
    </xf>
    <xf numFmtId="9" fontId="59" fillId="15" borderId="0" xfId="221" applyFont="1" applyFill="1" applyAlignment="1">
      <alignment horizontal="center" vertical="top"/>
    </xf>
    <xf numFmtId="44" fontId="59" fillId="15" borderId="0" xfId="236" applyFont="1" applyFill="1" applyAlignment="1">
      <alignment vertical="top"/>
    </xf>
    <xf numFmtId="0" fontId="11" fillId="0" borderId="0" xfId="238"/>
    <xf numFmtId="0" fontId="11" fillId="0" borderId="0" xfId="238" applyAlignment="1">
      <alignment horizontal="center"/>
    </xf>
    <xf numFmtId="14" fontId="11" fillId="0" borderId="0" xfId="238" applyNumberFormat="1"/>
    <xf numFmtId="0" fontId="23" fillId="14" borderId="4" xfId="238" applyFont="1" applyFill="1" applyBorder="1" applyAlignment="1">
      <alignment wrapText="1"/>
    </xf>
    <xf numFmtId="0" fontId="23" fillId="14" borderId="4" xfId="238" applyFont="1" applyFill="1" applyBorder="1" applyAlignment="1">
      <alignment horizontal="center" vertical="center" wrapText="1"/>
    </xf>
    <xf numFmtId="0" fontId="23" fillId="17" borderId="4" xfId="238" applyFont="1" applyFill="1" applyBorder="1" applyAlignment="1">
      <alignment horizontal="center" vertical="center" wrapText="1"/>
    </xf>
    <xf numFmtId="0" fontId="11" fillId="0" borderId="0" xfId="238" applyAlignment="1">
      <alignment wrapText="1"/>
    </xf>
    <xf numFmtId="0" fontId="11" fillId="0" borderId="0" xfId="238" applyAlignment="1">
      <alignment horizontal="center" wrapText="1"/>
    </xf>
    <xf numFmtId="0" fontId="23" fillId="0" borderId="4" xfId="238" applyFont="1" applyBorder="1" applyAlignment="1">
      <alignment horizontal="left"/>
    </xf>
    <xf numFmtId="170" fontId="23" fillId="0" borderId="4" xfId="238" applyNumberFormat="1" applyFont="1" applyBorder="1" applyAlignment="1">
      <alignment horizontal="center" vertical="center"/>
    </xf>
    <xf numFmtId="10" fontId="23" fillId="0" borderId="4" xfId="239" applyNumberFormat="1" applyFont="1" applyBorder="1" applyAlignment="1">
      <alignment horizontal="center" vertical="center"/>
    </xf>
    <xf numFmtId="0" fontId="11" fillId="0" borderId="0" xfId="238" applyAlignment="1">
      <alignment horizontal="left" indent="1"/>
    </xf>
    <xf numFmtId="170" fontId="11" fillId="0" borderId="0" xfId="238" applyNumberFormat="1" applyAlignment="1">
      <alignment horizontal="center" vertical="center"/>
    </xf>
    <xf numFmtId="8" fontId="11" fillId="0" borderId="0" xfId="238" applyNumberFormat="1" applyAlignment="1">
      <alignment horizontal="center"/>
    </xf>
    <xf numFmtId="10" fontId="0" fillId="0" borderId="0" xfId="239" applyNumberFormat="1" applyFont="1" applyAlignment="1">
      <alignment horizontal="center" vertical="center"/>
    </xf>
    <xf numFmtId="167" fontId="0" fillId="0" borderId="0" xfId="239" applyNumberFormat="1" applyFont="1" applyAlignment="1">
      <alignment horizontal="center" vertical="center"/>
    </xf>
    <xf numFmtId="170" fontId="11" fillId="0" borderId="0" xfId="238" applyNumberFormat="1"/>
    <xf numFmtId="171" fontId="11" fillId="0" borderId="0" xfId="238" applyNumberFormat="1"/>
    <xf numFmtId="171" fontId="23" fillId="0" borderId="4" xfId="238" applyNumberFormat="1" applyFont="1" applyBorder="1" applyAlignment="1">
      <alignment horizontal="center" vertical="center"/>
    </xf>
    <xf numFmtId="171" fontId="11" fillId="0" borderId="0" xfId="238" applyNumberFormat="1" applyAlignment="1">
      <alignment horizontal="center" vertical="center"/>
    </xf>
    <xf numFmtId="0" fontId="23" fillId="14" borderId="5" xfId="238" applyFont="1" applyFill="1" applyBorder="1" applyAlignment="1">
      <alignment horizontal="left"/>
    </xf>
    <xf numFmtId="170" fontId="23" fillId="14" borderId="5" xfId="238" applyNumberFormat="1" applyFont="1" applyFill="1" applyBorder="1" applyAlignment="1">
      <alignment horizontal="center" vertical="center"/>
    </xf>
    <xf numFmtId="10" fontId="23" fillId="14" borderId="5" xfId="239" applyNumberFormat="1" applyFont="1" applyFill="1" applyBorder="1" applyAlignment="1">
      <alignment horizontal="center" vertical="center"/>
    </xf>
    <xf numFmtId="172" fontId="57" fillId="0" borderId="0" xfId="240" applyFont="1" applyAlignment="1">
      <alignment vertical="top"/>
    </xf>
    <xf numFmtId="0" fontId="60" fillId="0" borderId="0" xfId="220" applyFont="1">
      <alignment vertical="top"/>
    </xf>
    <xf numFmtId="172" fontId="58" fillId="0" borderId="0" xfId="240" applyFont="1" applyAlignment="1">
      <alignment vertical="top"/>
    </xf>
    <xf numFmtId="172" fontId="59" fillId="15" borderId="0" xfId="240" applyFont="1" applyFill="1" applyAlignment="1">
      <alignment horizontal="center" vertical="top" wrapText="1" readingOrder="1"/>
    </xf>
    <xf numFmtId="172" fontId="59" fillId="15" borderId="0" xfId="240" applyFont="1" applyFill="1" applyAlignment="1">
      <alignment horizontal="center" vertical="top"/>
    </xf>
    <xf numFmtId="172" fontId="57" fillId="0" borderId="0" xfId="240" applyFont="1" applyFill="1" applyAlignment="1">
      <alignment vertical="top"/>
    </xf>
    <xf numFmtId="172" fontId="59" fillId="15" borderId="0" xfId="240" applyFont="1" applyFill="1" applyAlignment="1">
      <alignment vertical="top"/>
    </xf>
    <xf numFmtId="172" fontId="57" fillId="16" borderId="0" xfId="240" applyFont="1" applyFill="1" applyAlignment="1">
      <alignment vertical="top"/>
    </xf>
    <xf numFmtId="0" fontId="9" fillId="0" borderId="0" xfId="243"/>
    <xf numFmtId="0" fontId="9" fillId="0" borderId="0" xfId="243" applyAlignment="1">
      <alignment horizontal="left" indent="1"/>
    </xf>
    <xf numFmtId="0" fontId="23" fillId="0" borderId="4" xfId="243" applyFont="1" applyBorder="1" applyAlignment="1">
      <alignment horizontal="left"/>
    </xf>
    <xf numFmtId="0" fontId="23" fillId="14" borderId="5" xfId="243" applyFont="1" applyFill="1" applyBorder="1" applyAlignment="1">
      <alignment horizontal="left"/>
    </xf>
    <xf numFmtId="10" fontId="23" fillId="0" borderId="4" xfId="244" applyNumberFormat="1" applyFont="1" applyBorder="1" applyAlignment="1">
      <alignment horizontal="center" vertical="center"/>
    </xf>
    <xf numFmtId="10" fontId="23" fillId="14" borderId="5" xfId="244" applyNumberFormat="1" applyFont="1" applyFill="1" applyBorder="1" applyAlignment="1">
      <alignment horizontal="center" vertical="center"/>
    </xf>
    <xf numFmtId="14" fontId="9" fillId="0" borderId="0" xfId="243" applyNumberFormat="1"/>
    <xf numFmtId="0" fontId="9" fillId="0" borderId="0" xfId="243" applyAlignment="1">
      <alignment horizontal="center"/>
    </xf>
    <xf numFmtId="171" fontId="9" fillId="0" borderId="0" xfId="243" applyNumberFormat="1"/>
    <xf numFmtId="171" fontId="9" fillId="0" borderId="0" xfId="243" applyNumberFormat="1" applyAlignment="1">
      <alignment horizontal="center" vertical="center"/>
    </xf>
    <xf numFmtId="171" fontId="23" fillId="0" borderId="4" xfId="243" applyNumberFormat="1" applyFont="1" applyBorder="1" applyAlignment="1">
      <alignment horizontal="center" vertical="center"/>
    </xf>
    <xf numFmtId="0" fontId="23" fillId="14" borderId="4" xfId="243" applyFont="1" applyFill="1" applyBorder="1" applyAlignment="1">
      <alignment wrapText="1"/>
    </xf>
    <xf numFmtId="0" fontId="23" fillId="14" borderId="4" xfId="243" applyFont="1" applyFill="1" applyBorder="1" applyAlignment="1">
      <alignment horizontal="center" vertical="center" wrapText="1"/>
    </xf>
    <xf numFmtId="0" fontId="23" fillId="17" borderId="4" xfId="243" applyFont="1" applyFill="1" applyBorder="1" applyAlignment="1">
      <alignment horizontal="center" vertical="center" wrapText="1"/>
    </xf>
    <xf numFmtId="0" fontId="9" fillId="0" borderId="0" xfId="243" applyAlignment="1">
      <alignment wrapText="1"/>
    </xf>
    <xf numFmtId="0" fontId="9" fillId="0" borderId="0" xfId="243" applyAlignment="1">
      <alignment horizontal="center" wrapText="1"/>
    </xf>
    <xf numFmtId="10" fontId="0" fillId="0" borderId="0" xfId="244" applyNumberFormat="1" applyFont="1" applyAlignment="1">
      <alignment horizontal="center" vertical="center"/>
    </xf>
    <xf numFmtId="167" fontId="0" fillId="0" borderId="0" xfId="244" applyNumberFormat="1" applyFont="1" applyAlignment="1">
      <alignment horizontal="center" vertical="center"/>
    </xf>
    <xf numFmtId="170" fontId="23" fillId="0" borderId="4" xfId="243" applyNumberFormat="1" applyFont="1" applyBorder="1" applyAlignment="1">
      <alignment horizontal="center" vertical="center"/>
    </xf>
    <xf numFmtId="170" fontId="9" fillId="0" borderId="0" xfId="243" applyNumberFormat="1" applyAlignment="1">
      <alignment horizontal="center" vertical="center"/>
    </xf>
    <xf numFmtId="8" fontId="9" fillId="0" borderId="0" xfId="243" applyNumberFormat="1" applyAlignment="1">
      <alignment horizontal="center"/>
    </xf>
    <xf numFmtId="170" fontId="9" fillId="0" borderId="0" xfId="243" applyNumberFormat="1"/>
    <xf numFmtId="170" fontId="23" fillId="14" borderId="5" xfId="243" applyNumberFormat="1" applyFont="1" applyFill="1" applyBorder="1" applyAlignment="1">
      <alignment horizontal="center" vertical="center"/>
    </xf>
    <xf numFmtId="0" fontId="7" fillId="0" borderId="0" xfId="248"/>
    <xf numFmtId="0" fontId="7" fillId="0" borderId="0" xfId="248" applyAlignment="1">
      <alignment horizontal="center"/>
    </xf>
    <xf numFmtId="14" fontId="7" fillId="0" borderId="0" xfId="248" applyNumberFormat="1"/>
    <xf numFmtId="0" fontId="23" fillId="14" borderId="4" xfId="248" applyFont="1" applyFill="1" applyBorder="1" applyAlignment="1">
      <alignment wrapText="1"/>
    </xf>
    <xf numFmtId="0" fontId="23" fillId="14" borderId="4" xfId="248" applyFont="1" applyFill="1" applyBorder="1" applyAlignment="1">
      <alignment horizontal="center" vertical="center" wrapText="1"/>
    </xf>
    <xf numFmtId="0" fontId="23" fillId="17" borderId="4" xfId="248" applyFont="1" applyFill="1" applyBorder="1" applyAlignment="1">
      <alignment horizontal="center" vertical="center" wrapText="1"/>
    </xf>
    <xf numFmtId="0" fontId="7" fillId="0" borderId="0" xfId="248" applyAlignment="1">
      <alignment wrapText="1"/>
    </xf>
    <xf numFmtId="0" fontId="7" fillId="0" borderId="0" xfId="248" applyAlignment="1">
      <alignment horizontal="center" wrapText="1"/>
    </xf>
    <xf numFmtId="0" fontId="23" fillId="0" borderId="4" xfId="248" applyFont="1" applyBorder="1" applyAlignment="1">
      <alignment horizontal="left"/>
    </xf>
    <xf numFmtId="170" fontId="23" fillId="0" borderId="4" xfId="248" applyNumberFormat="1" applyFont="1" applyBorder="1" applyAlignment="1">
      <alignment horizontal="center" vertical="center"/>
    </xf>
    <xf numFmtId="10" fontId="23" fillId="0" borderId="4" xfId="249" applyNumberFormat="1" applyFont="1" applyBorder="1" applyAlignment="1">
      <alignment horizontal="center" vertical="center"/>
    </xf>
    <xf numFmtId="0" fontId="7" fillId="0" borderId="0" xfId="248" applyAlignment="1">
      <alignment horizontal="left" indent="1"/>
    </xf>
    <xf numFmtId="170" fontId="7" fillId="0" borderId="0" xfId="248" applyNumberFormat="1" applyAlignment="1">
      <alignment horizontal="center" vertical="center"/>
    </xf>
    <xf numFmtId="8" fontId="7" fillId="0" borderId="0" xfId="248" applyNumberFormat="1" applyAlignment="1">
      <alignment horizontal="center"/>
    </xf>
    <xf numFmtId="10" fontId="0" fillId="0" borderId="0" xfId="249" applyNumberFormat="1" applyFont="1" applyAlignment="1">
      <alignment horizontal="center" vertical="center"/>
    </xf>
    <xf numFmtId="167" fontId="0" fillId="0" borderId="0" xfId="249" applyNumberFormat="1" applyFont="1" applyAlignment="1">
      <alignment horizontal="center" vertical="center"/>
    </xf>
    <xf numFmtId="10" fontId="0" fillId="18" borderId="0" xfId="249" applyNumberFormat="1" applyFont="1" applyFill="1" applyAlignment="1">
      <alignment horizontal="center" vertical="center"/>
    </xf>
    <xf numFmtId="170" fontId="7" fillId="0" borderId="0" xfId="248" applyNumberFormat="1"/>
    <xf numFmtId="10" fontId="23" fillId="18" borderId="4" xfId="249" applyNumberFormat="1" applyFont="1" applyFill="1" applyBorder="1" applyAlignment="1">
      <alignment horizontal="center" vertical="center"/>
    </xf>
    <xf numFmtId="171" fontId="7" fillId="0" borderId="0" xfId="248" applyNumberFormat="1"/>
    <xf numFmtId="171" fontId="23" fillId="0" borderId="4" xfId="248" applyNumberFormat="1" applyFont="1" applyBorder="1" applyAlignment="1">
      <alignment horizontal="center" vertical="center"/>
    </xf>
    <xf numFmtId="171" fontId="7" fillId="0" borderId="0" xfId="248" applyNumberFormat="1" applyAlignment="1">
      <alignment horizontal="center" vertical="center"/>
    </xf>
    <xf numFmtId="0" fontId="23" fillId="14" borderId="5" xfId="248" applyFont="1" applyFill="1" applyBorder="1" applyAlignment="1">
      <alignment horizontal="left"/>
    </xf>
    <xf numFmtId="170" fontId="23" fillId="14" borderId="5" xfId="248" applyNumberFormat="1" applyFont="1" applyFill="1" applyBorder="1" applyAlignment="1">
      <alignment horizontal="center" vertical="center"/>
    </xf>
    <xf numFmtId="10" fontId="23" fillId="14" borderId="5" xfId="249" applyNumberFormat="1" applyFont="1" applyFill="1" applyBorder="1" applyAlignment="1">
      <alignment horizontal="center" vertical="center"/>
    </xf>
    <xf numFmtId="0" fontId="4" fillId="0" borderId="0" xfId="254"/>
    <xf numFmtId="0" fontId="4" fillId="0" borderId="0" xfId="254" applyAlignment="1">
      <alignment wrapText="1"/>
    </xf>
    <xf numFmtId="170" fontId="4" fillId="0" borderId="0" xfId="254" applyNumberFormat="1" applyAlignment="1">
      <alignment horizontal="center" vertical="center"/>
    </xf>
    <xf numFmtId="171" fontId="4" fillId="0" borderId="0" xfId="254" applyNumberFormat="1"/>
    <xf numFmtId="0" fontId="4" fillId="0" borderId="0" xfId="254" applyAlignment="1">
      <alignment horizontal="center"/>
    </xf>
    <xf numFmtId="0" fontId="3" fillId="0" borderId="0" xfId="256"/>
    <xf numFmtId="171" fontId="3" fillId="0" borderId="0" xfId="256" applyNumberFormat="1"/>
    <xf numFmtId="170" fontId="62" fillId="19" borderId="5" xfId="256" applyNumberFormat="1" applyFont="1" applyFill="1" applyBorder="1" applyAlignment="1">
      <alignment horizontal="center" vertical="center"/>
    </xf>
    <xf numFmtId="0" fontId="62" fillId="19" borderId="5" xfId="256" applyFont="1" applyFill="1" applyBorder="1" applyAlignment="1">
      <alignment horizontal="left"/>
    </xf>
    <xf numFmtId="170" fontId="3" fillId="0" borderId="0" xfId="256" applyNumberFormat="1" applyAlignment="1">
      <alignment horizontal="center" vertical="center"/>
    </xf>
    <xf numFmtId="0" fontId="3" fillId="0" borderId="0" xfId="256" applyAlignment="1">
      <alignment horizontal="left" indent="1"/>
    </xf>
    <xf numFmtId="170" fontId="23" fillId="0" borderId="4" xfId="256" applyNumberFormat="1" applyFont="1" applyBorder="1" applyAlignment="1">
      <alignment horizontal="center" vertical="center"/>
    </xf>
    <xf numFmtId="171" fontId="23" fillId="0" borderId="4" xfId="256" applyNumberFormat="1" applyFont="1" applyBorder="1" applyAlignment="1">
      <alignment horizontal="center" vertical="center"/>
    </xf>
    <xf numFmtId="0" fontId="23" fillId="0" borderId="4" xfId="256" applyFont="1" applyBorder="1" applyAlignment="1">
      <alignment horizontal="left"/>
    </xf>
    <xf numFmtId="167" fontId="0" fillId="0" borderId="0" xfId="257" applyNumberFormat="1" applyFont="1" applyAlignment="1">
      <alignment horizontal="center" vertical="center"/>
    </xf>
    <xf numFmtId="0" fontId="62" fillId="19" borderId="4" xfId="256" applyFont="1" applyFill="1" applyBorder="1" applyAlignment="1">
      <alignment horizontal="center" vertical="center" wrapText="1"/>
    </xf>
    <xf numFmtId="0" fontId="62" fillId="19" borderId="0" xfId="256" applyFont="1" applyFill="1" applyAlignment="1">
      <alignment horizontal="center" vertical="center" wrapText="1"/>
    </xf>
    <xf numFmtId="0" fontId="62" fillId="19" borderId="4" xfId="256" applyFont="1" applyFill="1" applyBorder="1" applyAlignment="1">
      <alignment vertical="center" wrapText="1"/>
    </xf>
    <xf numFmtId="0" fontId="23" fillId="0" borderId="0" xfId="256" applyFont="1"/>
    <xf numFmtId="0" fontId="23" fillId="14" borderId="4" xfId="258" applyFont="1" applyFill="1" applyBorder="1"/>
    <xf numFmtId="173" fontId="23" fillId="14" borderId="4" xfId="258" applyNumberFormat="1" applyFont="1" applyFill="1" applyBorder="1" applyAlignment="1">
      <alignment horizontal="center" vertical="center"/>
    </xf>
    <xf numFmtId="173" fontId="23" fillId="14" borderId="0" xfId="258" applyNumberFormat="1" applyFont="1" applyFill="1" applyAlignment="1">
      <alignment horizontal="center" vertical="center"/>
    </xf>
    <xf numFmtId="0" fontId="23" fillId="0" borderId="4" xfId="258" applyFont="1" applyBorder="1" applyAlignment="1">
      <alignment horizontal="left"/>
    </xf>
    <xf numFmtId="8" fontId="23" fillId="0" borderId="4" xfId="259" applyNumberFormat="1" applyFont="1" applyBorder="1" applyAlignment="1">
      <alignment horizontal="center" vertical="center"/>
    </xf>
    <xf numFmtId="8" fontId="23" fillId="0" borderId="0" xfId="259" applyNumberFormat="1" applyFont="1" applyBorder="1" applyAlignment="1">
      <alignment horizontal="center" vertical="center"/>
    </xf>
    <xf numFmtId="0" fontId="3" fillId="0" borderId="0" xfId="258" applyAlignment="1">
      <alignment horizontal="left" indent="1"/>
    </xf>
    <xf numFmtId="8" fontId="3" fillId="0" borderId="0" xfId="260" applyNumberForma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43" fontId="0" fillId="0" borderId="0" xfId="0" applyNumberFormat="1"/>
    <xf numFmtId="0" fontId="23" fillId="14" borderId="5" xfId="258" applyFont="1" applyFill="1" applyBorder="1" applyAlignment="1">
      <alignment horizontal="left"/>
    </xf>
    <xf numFmtId="8" fontId="23" fillId="14" borderId="5" xfId="259" applyNumberFormat="1" applyFont="1" applyFill="1" applyBorder="1" applyAlignment="1">
      <alignment horizontal="center" vertical="center"/>
    </xf>
    <xf numFmtId="10" fontId="23" fillId="14" borderId="5" xfId="259" applyNumberFormat="1" applyFont="1" applyFill="1" applyBorder="1" applyAlignment="1">
      <alignment horizontal="center" vertical="center"/>
    </xf>
    <xf numFmtId="166" fontId="23" fillId="14" borderId="5" xfId="259" applyNumberFormat="1" applyFont="1" applyFill="1" applyBorder="1" applyAlignment="1">
      <alignment horizontal="center" vertical="center"/>
    </xf>
    <xf numFmtId="0" fontId="3" fillId="0" borderId="0" xfId="258"/>
    <xf numFmtId="8" fontId="3" fillId="0" borderId="0" xfId="258" applyNumberFormat="1"/>
    <xf numFmtId="166" fontId="52" fillId="0" borderId="0" xfId="1" applyFont="1"/>
    <xf numFmtId="8" fontId="0" fillId="0" borderId="0" xfId="0" applyNumberFormat="1"/>
    <xf numFmtId="9" fontId="0" fillId="0" borderId="0" xfId="2" applyFont="1"/>
    <xf numFmtId="9" fontId="23" fillId="14" borderId="5" xfId="259" applyFont="1" applyFill="1" applyBorder="1" applyAlignment="1">
      <alignment horizontal="center" vertical="center"/>
    </xf>
    <xf numFmtId="8" fontId="3" fillId="0" borderId="0" xfId="259" applyNumberFormat="1" applyFont="1" applyFill="1" applyAlignment="1">
      <alignment horizontal="center" vertical="center"/>
    </xf>
    <xf numFmtId="8" fontId="23" fillId="0" borderId="4" xfId="259" applyNumberFormat="1" applyFont="1" applyFill="1" applyBorder="1" applyAlignment="1">
      <alignment horizontal="center" vertical="center"/>
    </xf>
    <xf numFmtId="8" fontId="23" fillId="0" borderId="0" xfId="259" applyNumberFormat="1" applyFont="1" applyFill="1" applyBorder="1" applyAlignment="1">
      <alignment horizontal="center" vertical="center"/>
    </xf>
    <xf numFmtId="166" fontId="0" fillId="0" borderId="0" xfId="1" applyFont="1" applyFill="1"/>
    <xf numFmtId="0" fontId="23" fillId="14" borderId="4" xfId="0" applyFont="1" applyFill="1" applyBorder="1" applyAlignment="1">
      <alignment wrapText="1"/>
    </xf>
    <xf numFmtId="0" fontId="23" fillId="14" borderId="4" xfId="0" applyFont="1" applyFill="1" applyBorder="1" applyAlignment="1">
      <alignment horizontal="center" vertical="center" wrapText="1"/>
    </xf>
    <xf numFmtId="0" fontId="23" fillId="17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left"/>
    </xf>
    <xf numFmtId="170" fontId="23" fillId="0" borderId="4" xfId="0" applyNumberFormat="1" applyFont="1" applyBorder="1" applyAlignment="1">
      <alignment horizontal="center" vertical="center"/>
    </xf>
    <xf numFmtId="10" fontId="23" fillId="0" borderId="4" xfId="2" applyNumberFormat="1" applyFont="1" applyBorder="1" applyAlignment="1">
      <alignment horizontal="center" vertical="center"/>
    </xf>
    <xf numFmtId="10" fontId="23" fillId="0" borderId="4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170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  <xf numFmtId="10" fontId="0" fillId="0" borderId="0" xfId="2" applyNumberFormat="1" applyFont="1" applyFill="1" applyAlignment="1">
      <alignment horizontal="center" vertical="center"/>
    </xf>
    <xf numFmtId="171" fontId="23" fillId="0" borderId="4" xfId="0" applyNumberFormat="1" applyFont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23" fillId="14" borderId="5" xfId="0" applyFont="1" applyFill="1" applyBorder="1" applyAlignment="1">
      <alignment horizontal="left"/>
    </xf>
    <xf numFmtId="170" fontId="23" fillId="14" borderId="5" xfId="0" applyNumberFormat="1" applyFont="1" applyFill="1" applyBorder="1" applyAlignment="1">
      <alignment horizontal="center" vertical="center"/>
    </xf>
    <xf numFmtId="10" fontId="23" fillId="14" borderId="5" xfId="2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0" fontId="0" fillId="20" borderId="0" xfId="2" applyNumberFormat="1" applyFont="1" applyFill="1" applyAlignment="1">
      <alignment horizontal="center" vertical="center"/>
    </xf>
    <xf numFmtId="0" fontId="1" fillId="0" borderId="0" xfId="263"/>
    <xf numFmtId="0" fontId="23" fillId="14" borderId="4" xfId="263" applyFont="1" applyFill="1" applyBorder="1" applyAlignment="1">
      <alignment horizontal="center" vertical="center" wrapText="1"/>
    </xf>
    <xf numFmtId="0" fontId="23" fillId="17" borderId="4" xfId="263" applyFont="1" applyFill="1" applyBorder="1" applyAlignment="1">
      <alignment horizontal="center" vertical="center" wrapText="1"/>
    </xf>
    <xf numFmtId="0" fontId="1" fillId="0" borderId="0" xfId="263" applyAlignment="1">
      <alignment horizontal="center" vertical="center" wrapText="1"/>
    </xf>
    <xf numFmtId="0" fontId="23" fillId="0" borderId="4" xfId="263" applyFont="1" applyBorder="1" applyAlignment="1">
      <alignment horizontal="left"/>
    </xf>
    <xf numFmtId="167" fontId="23" fillId="0" borderId="4" xfId="263" applyNumberFormat="1" applyFont="1" applyBorder="1" applyAlignment="1">
      <alignment horizontal="center" vertical="center"/>
    </xf>
    <xf numFmtId="170" fontId="23" fillId="0" borderId="4" xfId="263" applyNumberFormat="1" applyFont="1" applyBorder="1" applyAlignment="1">
      <alignment horizontal="center" vertical="center"/>
    </xf>
    <xf numFmtId="10" fontId="23" fillId="0" borderId="4" xfId="264" applyNumberFormat="1" applyFont="1" applyBorder="1" applyAlignment="1">
      <alignment horizontal="center" vertical="center"/>
    </xf>
    <xf numFmtId="10" fontId="23" fillId="0" borderId="4" xfId="264" applyNumberFormat="1" applyFont="1" applyFill="1" applyBorder="1" applyAlignment="1">
      <alignment horizontal="center" vertical="center"/>
    </xf>
    <xf numFmtId="0" fontId="1" fillId="0" borderId="0" xfId="263" applyAlignment="1">
      <alignment horizontal="left" indent="1"/>
    </xf>
    <xf numFmtId="167" fontId="1" fillId="0" borderId="0" xfId="263" applyNumberFormat="1" applyAlignment="1">
      <alignment horizontal="center"/>
    </xf>
    <xf numFmtId="170" fontId="1" fillId="0" borderId="0" xfId="263" applyNumberFormat="1" applyAlignment="1">
      <alignment horizontal="center" vertical="center"/>
    </xf>
    <xf numFmtId="8" fontId="63" fillId="0" borderId="0" xfId="263" applyNumberFormat="1" applyFont="1" applyAlignment="1">
      <alignment horizontal="center" vertical="center"/>
    </xf>
    <xf numFmtId="8" fontId="1" fillId="0" borderId="0" xfId="263" applyNumberFormat="1" applyAlignment="1">
      <alignment horizontal="center"/>
    </xf>
    <xf numFmtId="10" fontId="0" fillId="0" borderId="0" xfId="264" applyNumberFormat="1" applyFont="1" applyAlignment="1">
      <alignment horizontal="center" vertical="center"/>
    </xf>
    <xf numFmtId="167" fontId="0" fillId="0" borderId="0" xfId="264" applyNumberFormat="1" applyFont="1" applyAlignment="1">
      <alignment horizontal="center" vertical="center"/>
    </xf>
    <xf numFmtId="10" fontId="0" fillId="0" borderId="0" xfId="264" applyNumberFormat="1" applyFont="1" applyFill="1" applyAlignment="1">
      <alignment horizontal="center" vertical="center"/>
    </xf>
    <xf numFmtId="171" fontId="23" fillId="0" borderId="4" xfId="263" applyNumberFormat="1" applyFont="1" applyBorder="1" applyAlignment="1">
      <alignment horizontal="center" vertical="center"/>
    </xf>
    <xf numFmtId="0" fontId="23" fillId="14" borderId="5" xfId="263" applyFont="1" applyFill="1" applyBorder="1" applyAlignment="1">
      <alignment horizontal="left"/>
    </xf>
    <xf numFmtId="167" fontId="23" fillId="14" borderId="5" xfId="263" applyNumberFormat="1" applyFont="1" applyFill="1" applyBorder="1" applyAlignment="1">
      <alignment horizontal="center" vertical="center"/>
    </xf>
    <xf numFmtId="170" fontId="23" fillId="14" borderId="5" xfId="263" applyNumberFormat="1" applyFont="1" applyFill="1" applyBorder="1" applyAlignment="1">
      <alignment horizontal="center" vertical="center"/>
    </xf>
    <xf numFmtId="10" fontId="23" fillId="14" borderId="5" xfId="264" applyNumberFormat="1" applyFont="1" applyFill="1" applyBorder="1" applyAlignment="1">
      <alignment horizontal="center" vertical="center"/>
    </xf>
    <xf numFmtId="171" fontId="1" fillId="0" borderId="0" xfId="263" applyNumberFormat="1"/>
    <xf numFmtId="0" fontId="1" fillId="0" borderId="0" xfId="263" applyAlignment="1">
      <alignment horizontal="center"/>
    </xf>
    <xf numFmtId="166" fontId="0" fillId="0" borderId="0" xfId="1" applyFont="1" applyAlignment="1">
      <alignment horizontal="center" vertical="center"/>
    </xf>
    <xf numFmtId="167" fontId="23" fillId="0" borderId="4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vertical="center"/>
    </xf>
    <xf numFmtId="0" fontId="59" fillId="15" borderId="0" xfId="220" applyFont="1" applyFill="1" applyAlignment="1">
      <alignment horizontal="center" vertical="top"/>
    </xf>
    <xf numFmtId="0" fontId="56" fillId="0" borderId="0" xfId="233" applyFont="1" applyAlignment="1">
      <alignment horizontal="center" vertical="center"/>
    </xf>
    <xf numFmtId="0" fontId="56" fillId="0" borderId="0" xfId="238" applyFont="1" applyAlignment="1">
      <alignment horizontal="center" vertical="center"/>
    </xf>
    <xf numFmtId="0" fontId="56" fillId="0" borderId="0" xfId="243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23" fillId="0" borderId="0" xfId="256" applyFont="1" applyAlignment="1">
      <alignment horizontal="center"/>
    </xf>
    <xf numFmtId="0" fontId="56" fillId="0" borderId="0" xfId="248" applyFont="1" applyAlignment="1">
      <alignment horizontal="center" vertical="center"/>
    </xf>
    <xf numFmtId="0" fontId="56" fillId="0" borderId="0" xfId="263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6" borderId="1" xfId="0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center" vertical="center"/>
    </xf>
    <xf numFmtId="0" fontId="34" fillId="0" borderId="6" xfId="0" quotePrefix="1" applyFont="1" applyBorder="1" applyAlignment="1">
      <alignment horizontal="center" vertical="center"/>
    </xf>
    <xf numFmtId="0" fontId="34" fillId="0" borderId="7" xfId="0" quotePrefix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26" fillId="0" borderId="0" xfId="0" applyFont="1" applyAlignment="1">
      <alignment horizontal="right" vertical="center" wrapText="1" indent="2"/>
    </xf>
    <xf numFmtId="0" fontId="29" fillId="2" borderId="0" xfId="0" applyFont="1" applyFill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</cellXfs>
  <cellStyles count="265">
    <cellStyle name="Moeda" xfId="1" builtinId="4"/>
    <cellStyle name="Moeda 10" xfId="235" xr:uid="{1BCCBE6E-89DF-4593-B207-8FFDC93790DB}"/>
    <cellStyle name="Moeda 11" xfId="212" xr:uid="{00000000-0005-0000-0000-000001000000}"/>
    <cellStyle name="Moeda 12" xfId="236" xr:uid="{E66DD9FB-9C37-43B9-85A1-CAAD16F8DBF0}"/>
    <cellStyle name="Moeda 13" xfId="240" xr:uid="{4701366B-AAB5-46A1-A35B-FD8055575395}"/>
    <cellStyle name="Moeda 14" xfId="245" xr:uid="{8BCFFA87-443A-408F-8A77-5C855E55DFD0}"/>
    <cellStyle name="Moeda 2" xfId="3" xr:uid="{00000000-0005-0000-0000-000002000000}"/>
    <cellStyle name="Moeda 2 2" xfId="4" xr:uid="{00000000-0005-0000-0000-000003000000}"/>
    <cellStyle name="Moeda 2 2 2" xfId="5" xr:uid="{00000000-0005-0000-0000-000004000000}"/>
    <cellStyle name="Moeda 2 3" xfId="6" xr:uid="{00000000-0005-0000-0000-000005000000}"/>
    <cellStyle name="Moeda 3" xfId="7" xr:uid="{00000000-0005-0000-0000-000006000000}"/>
    <cellStyle name="Moeda 3 2" xfId="8" xr:uid="{00000000-0005-0000-0000-000007000000}"/>
    <cellStyle name="Moeda 4" xfId="9" xr:uid="{00000000-0005-0000-0000-000008000000}"/>
    <cellStyle name="Moeda 4 2" xfId="10" xr:uid="{00000000-0005-0000-0000-000009000000}"/>
    <cellStyle name="Moeda 5" xfId="11" xr:uid="{00000000-0005-0000-0000-00000A000000}"/>
    <cellStyle name="Moeda 5 2" xfId="12" xr:uid="{00000000-0005-0000-0000-00000B000000}"/>
    <cellStyle name="Moeda 6" xfId="13" xr:uid="{00000000-0005-0000-0000-00000C000000}"/>
    <cellStyle name="Moeda 7" xfId="14" xr:uid="{00000000-0005-0000-0000-00000D000000}"/>
    <cellStyle name="Moeda 8" xfId="215" xr:uid="{00000000-0005-0000-0000-00000E000000}"/>
    <cellStyle name="Moeda 9" xfId="219" xr:uid="{00000000-0005-0000-0000-00000F000000}"/>
    <cellStyle name="Normal" xfId="0" builtinId="0"/>
    <cellStyle name="Normal 10" xfId="15" xr:uid="{00000000-0005-0000-0000-000011000000}"/>
    <cellStyle name="Normal 10 2" xfId="16" xr:uid="{00000000-0005-0000-0000-000012000000}"/>
    <cellStyle name="Normal 100" xfId="214" xr:uid="{00000000-0005-0000-0000-000013000000}"/>
    <cellStyle name="Normal 101" xfId="217" xr:uid="{00000000-0005-0000-0000-000014000000}"/>
    <cellStyle name="Normal 102" xfId="220" xr:uid="{00000000-0005-0000-0000-000015000000}"/>
    <cellStyle name="Normal 103" xfId="222" xr:uid="{00000000-0005-0000-0000-000016000000}"/>
    <cellStyle name="Normal 104" xfId="211" xr:uid="{00000000-0005-0000-0000-000017000000}"/>
    <cellStyle name="Normal 105" xfId="224" xr:uid="{00000000-0005-0000-0000-000018000000}"/>
    <cellStyle name="Normal 106" xfId="225" xr:uid="{C847F70E-67CB-4D57-85AC-CA50098889B5}"/>
    <cellStyle name="Normal 107" xfId="227" xr:uid="{5C66C699-44CF-456B-AFB6-0A01FECC97A7}"/>
    <cellStyle name="Normal 108" xfId="229" xr:uid="{F4BBAB66-FDFA-4C6B-A6F4-A266839F0F67}"/>
    <cellStyle name="Normal 109" xfId="231" xr:uid="{521923B2-CE0A-4AF9-91C3-B4D4E9FAF64B}"/>
    <cellStyle name="Normal 11" xfId="17" xr:uid="{00000000-0005-0000-0000-000019000000}"/>
    <cellStyle name="Normal 11 2" xfId="18" xr:uid="{00000000-0005-0000-0000-00001A000000}"/>
    <cellStyle name="Normal 110" xfId="233" xr:uid="{EFE2F931-5CC0-43F8-8EA6-189B4064FD11}"/>
    <cellStyle name="Normal 111" xfId="238" xr:uid="{D4A5A200-2302-4F7F-8B71-9D3CDBD18191}"/>
    <cellStyle name="Normal 112" xfId="241" xr:uid="{DAE34E4D-0BFD-4CEB-8549-D3FDBBDF8DD8}"/>
    <cellStyle name="Normal 112 2" xfId="258" xr:uid="{D43575C2-6B09-465B-9206-614070C2C3B9}"/>
    <cellStyle name="Normal 113" xfId="243" xr:uid="{E9D74147-5844-4CBC-A9C5-46A2D1A1101E}"/>
    <cellStyle name="Normal 114" xfId="246" xr:uid="{43EE6FCD-EEB0-4620-B3CD-06E6B55DB548}"/>
    <cellStyle name="Normal 115" xfId="248" xr:uid="{335F3AEC-C460-487A-8E5D-2B5F802A59C0}"/>
    <cellStyle name="Normal 116" xfId="250" xr:uid="{DE0B701F-DEB8-442F-9765-421FED183424}"/>
    <cellStyle name="Normal 117" xfId="252" xr:uid="{D0EBFCED-6DCA-4B47-9C7C-1D73CB93D7B1}"/>
    <cellStyle name="Normal 117 2" xfId="260" xr:uid="{1DA6951A-4386-48E7-B862-2241893CE830}"/>
    <cellStyle name="Normal 118" xfId="254" xr:uid="{3C4778AB-B463-4072-ACC5-644B7D1DF4F1}"/>
    <cellStyle name="Normal 119" xfId="256" xr:uid="{7EC24160-FC3F-437D-A13C-CFCA2A1ADE99}"/>
    <cellStyle name="Normal 12" xfId="19" xr:uid="{00000000-0005-0000-0000-00001B000000}"/>
    <cellStyle name="Normal 12 2" xfId="20" xr:uid="{00000000-0005-0000-0000-00001C000000}"/>
    <cellStyle name="Normal 120" xfId="261" xr:uid="{AAFAFB13-F7FC-4B7E-A8D3-C1595C2D3356}"/>
    <cellStyle name="Normal 121" xfId="263" xr:uid="{C2760908-E819-49A2-A365-3826C7371FC7}"/>
    <cellStyle name="Normal 13" xfId="21" xr:uid="{00000000-0005-0000-0000-00001D000000}"/>
    <cellStyle name="Normal 13 2" xfId="22" xr:uid="{00000000-0005-0000-0000-00001E000000}"/>
    <cellStyle name="Normal 14" xfId="23" xr:uid="{00000000-0005-0000-0000-00001F000000}"/>
    <cellStyle name="Normal 14 2" xfId="24" xr:uid="{00000000-0005-0000-0000-000020000000}"/>
    <cellStyle name="Normal 15" xfId="25" xr:uid="{00000000-0005-0000-0000-000021000000}"/>
    <cellStyle name="Normal 15 2" xfId="26" xr:uid="{00000000-0005-0000-0000-000022000000}"/>
    <cellStyle name="Normal 16" xfId="27" xr:uid="{00000000-0005-0000-0000-000023000000}"/>
    <cellStyle name="Normal 16 2" xfId="28" xr:uid="{00000000-0005-0000-0000-000024000000}"/>
    <cellStyle name="Normal 17" xfId="29" xr:uid="{00000000-0005-0000-0000-000025000000}"/>
    <cellStyle name="Normal 17 2" xfId="30" xr:uid="{00000000-0005-0000-0000-000026000000}"/>
    <cellStyle name="Normal 18" xfId="31" xr:uid="{00000000-0005-0000-0000-000027000000}"/>
    <cellStyle name="Normal 18 2" xfId="32" xr:uid="{00000000-0005-0000-0000-000028000000}"/>
    <cellStyle name="Normal 19" xfId="33" xr:uid="{00000000-0005-0000-0000-000029000000}"/>
    <cellStyle name="Normal 19 2" xfId="34" xr:uid="{00000000-0005-0000-0000-00002A000000}"/>
    <cellStyle name="Normal 2" xfId="35" xr:uid="{00000000-0005-0000-0000-00002B000000}"/>
    <cellStyle name="Normal 2 2" xfId="36" xr:uid="{00000000-0005-0000-0000-00002C000000}"/>
    <cellStyle name="Normal 20" xfId="37" xr:uid="{00000000-0005-0000-0000-00002D000000}"/>
    <cellStyle name="Normal 20 2" xfId="38" xr:uid="{00000000-0005-0000-0000-00002E000000}"/>
    <cellStyle name="Normal 21" xfId="39" xr:uid="{00000000-0005-0000-0000-00002F000000}"/>
    <cellStyle name="Normal 21 2" xfId="40" xr:uid="{00000000-0005-0000-0000-000030000000}"/>
    <cellStyle name="Normal 22" xfId="41" xr:uid="{00000000-0005-0000-0000-000031000000}"/>
    <cellStyle name="Normal 22 2" xfId="42" xr:uid="{00000000-0005-0000-0000-000032000000}"/>
    <cellStyle name="Normal 23" xfId="43" xr:uid="{00000000-0005-0000-0000-000033000000}"/>
    <cellStyle name="Normal 23 2" xfId="44" xr:uid="{00000000-0005-0000-0000-000034000000}"/>
    <cellStyle name="Normal 24" xfId="45" xr:uid="{00000000-0005-0000-0000-000035000000}"/>
    <cellStyle name="Normal 24 2" xfId="46" xr:uid="{00000000-0005-0000-0000-000036000000}"/>
    <cellStyle name="Normal 25" xfId="47" xr:uid="{00000000-0005-0000-0000-000037000000}"/>
    <cellStyle name="Normal 25 2" xfId="48" xr:uid="{00000000-0005-0000-0000-000038000000}"/>
    <cellStyle name="Normal 26" xfId="49" xr:uid="{00000000-0005-0000-0000-000039000000}"/>
    <cellStyle name="Normal 26 2" xfId="50" xr:uid="{00000000-0005-0000-0000-00003A000000}"/>
    <cellStyle name="Normal 27" xfId="51" xr:uid="{00000000-0005-0000-0000-00003B000000}"/>
    <cellStyle name="Normal 27 2" xfId="52" xr:uid="{00000000-0005-0000-0000-00003C000000}"/>
    <cellStyle name="Normal 28" xfId="53" xr:uid="{00000000-0005-0000-0000-00003D000000}"/>
    <cellStyle name="Normal 28 2" xfId="54" xr:uid="{00000000-0005-0000-0000-00003E000000}"/>
    <cellStyle name="Normal 29" xfId="55" xr:uid="{00000000-0005-0000-0000-00003F000000}"/>
    <cellStyle name="Normal 29 2" xfId="56" xr:uid="{00000000-0005-0000-0000-000040000000}"/>
    <cellStyle name="Normal 3" xfId="57" xr:uid="{00000000-0005-0000-0000-000041000000}"/>
    <cellStyle name="Normal 3 2" xfId="58" xr:uid="{00000000-0005-0000-0000-000042000000}"/>
    <cellStyle name="Normal 3 3" xfId="237" xr:uid="{C1CDB21C-371C-4361-B28E-68D3CDA69D53}"/>
    <cellStyle name="Normal 30" xfId="59" xr:uid="{00000000-0005-0000-0000-000043000000}"/>
    <cellStyle name="Normal 30 2" xfId="60" xr:uid="{00000000-0005-0000-0000-000044000000}"/>
    <cellStyle name="Normal 31" xfId="61" xr:uid="{00000000-0005-0000-0000-000045000000}"/>
    <cellStyle name="Normal 31 2" xfId="62" xr:uid="{00000000-0005-0000-0000-000046000000}"/>
    <cellStyle name="Normal 32" xfId="63" xr:uid="{00000000-0005-0000-0000-000047000000}"/>
    <cellStyle name="Normal 32 2" xfId="64" xr:uid="{00000000-0005-0000-0000-000048000000}"/>
    <cellStyle name="Normal 33" xfId="65" xr:uid="{00000000-0005-0000-0000-000049000000}"/>
    <cellStyle name="Normal 33 2" xfId="66" xr:uid="{00000000-0005-0000-0000-00004A000000}"/>
    <cellStyle name="Normal 34" xfId="67" xr:uid="{00000000-0005-0000-0000-00004B000000}"/>
    <cellStyle name="Normal 34 2" xfId="68" xr:uid="{00000000-0005-0000-0000-00004C000000}"/>
    <cellStyle name="Normal 35" xfId="69" xr:uid="{00000000-0005-0000-0000-00004D000000}"/>
    <cellStyle name="Normal 35 2" xfId="70" xr:uid="{00000000-0005-0000-0000-00004E000000}"/>
    <cellStyle name="Normal 36" xfId="71" xr:uid="{00000000-0005-0000-0000-00004F000000}"/>
    <cellStyle name="Normal 36 2" xfId="72" xr:uid="{00000000-0005-0000-0000-000050000000}"/>
    <cellStyle name="Normal 37" xfId="73" xr:uid="{00000000-0005-0000-0000-000051000000}"/>
    <cellStyle name="Normal 37 2" xfId="74" xr:uid="{00000000-0005-0000-0000-000052000000}"/>
    <cellStyle name="Normal 38" xfId="75" xr:uid="{00000000-0005-0000-0000-000053000000}"/>
    <cellStyle name="Normal 38 2" xfId="76" xr:uid="{00000000-0005-0000-0000-000054000000}"/>
    <cellStyle name="Normal 39" xfId="77" xr:uid="{00000000-0005-0000-0000-000055000000}"/>
    <cellStyle name="Normal 39 2" xfId="78" xr:uid="{00000000-0005-0000-0000-000056000000}"/>
    <cellStyle name="Normal 4" xfId="79" xr:uid="{00000000-0005-0000-0000-000057000000}"/>
    <cellStyle name="Normal 4 2" xfId="80" xr:uid="{00000000-0005-0000-0000-000058000000}"/>
    <cellStyle name="Normal 40" xfId="81" xr:uid="{00000000-0005-0000-0000-000059000000}"/>
    <cellStyle name="Normal 40 2" xfId="82" xr:uid="{00000000-0005-0000-0000-00005A000000}"/>
    <cellStyle name="Normal 41" xfId="83" xr:uid="{00000000-0005-0000-0000-00005B000000}"/>
    <cellStyle name="Normal 41 2" xfId="84" xr:uid="{00000000-0005-0000-0000-00005C000000}"/>
    <cellStyle name="Normal 42" xfId="85" xr:uid="{00000000-0005-0000-0000-00005D000000}"/>
    <cellStyle name="Normal 42 2" xfId="86" xr:uid="{00000000-0005-0000-0000-00005E000000}"/>
    <cellStyle name="Normal 43" xfId="87" xr:uid="{00000000-0005-0000-0000-00005F000000}"/>
    <cellStyle name="Normal 43 2" xfId="88" xr:uid="{00000000-0005-0000-0000-000060000000}"/>
    <cellStyle name="Normal 44" xfId="89" xr:uid="{00000000-0005-0000-0000-000061000000}"/>
    <cellStyle name="Normal 44 2" xfId="90" xr:uid="{00000000-0005-0000-0000-000062000000}"/>
    <cellStyle name="Normal 45" xfId="91" xr:uid="{00000000-0005-0000-0000-000063000000}"/>
    <cellStyle name="Normal 45 2" xfId="92" xr:uid="{00000000-0005-0000-0000-000064000000}"/>
    <cellStyle name="Normal 46" xfId="93" xr:uid="{00000000-0005-0000-0000-000065000000}"/>
    <cellStyle name="Normal 46 2" xfId="94" xr:uid="{00000000-0005-0000-0000-000066000000}"/>
    <cellStyle name="Normal 47" xfId="95" xr:uid="{00000000-0005-0000-0000-000067000000}"/>
    <cellStyle name="Normal 48" xfId="96" xr:uid="{00000000-0005-0000-0000-000068000000}"/>
    <cellStyle name="Normal 49" xfId="97" xr:uid="{00000000-0005-0000-0000-000069000000}"/>
    <cellStyle name="Normal 5" xfId="98" xr:uid="{00000000-0005-0000-0000-00006A000000}"/>
    <cellStyle name="Normal 5 2" xfId="99" xr:uid="{00000000-0005-0000-0000-00006B000000}"/>
    <cellStyle name="Normal 50" xfId="100" xr:uid="{00000000-0005-0000-0000-00006C000000}"/>
    <cellStyle name="Normal 51" xfId="101" xr:uid="{00000000-0005-0000-0000-00006D000000}"/>
    <cellStyle name="Normal 52" xfId="102" xr:uid="{00000000-0005-0000-0000-00006E000000}"/>
    <cellStyle name="Normal 53" xfId="103" xr:uid="{00000000-0005-0000-0000-00006F000000}"/>
    <cellStyle name="Normal 54" xfId="104" xr:uid="{00000000-0005-0000-0000-000070000000}"/>
    <cellStyle name="Normal 55" xfId="105" xr:uid="{00000000-0005-0000-0000-000071000000}"/>
    <cellStyle name="Normal 56" xfId="106" xr:uid="{00000000-0005-0000-0000-000072000000}"/>
    <cellStyle name="Normal 57" xfId="107" xr:uid="{00000000-0005-0000-0000-000073000000}"/>
    <cellStyle name="Normal 58" xfId="108" xr:uid="{00000000-0005-0000-0000-000074000000}"/>
    <cellStyle name="Normal 59" xfId="109" xr:uid="{00000000-0005-0000-0000-000075000000}"/>
    <cellStyle name="Normal 6" xfId="110" xr:uid="{00000000-0005-0000-0000-000076000000}"/>
    <cellStyle name="Normal 6 2" xfId="111" xr:uid="{00000000-0005-0000-0000-000077000000}"/>
    <cellStyle name="Normal 60" xfId="112" xr:uid="{00000000-0005-0000-0000-000078000000}"/>
    <cellStyle name="Normal 61" xfId="113" xr:uid="{00000000-0005-0000-0000-000079000000}"/>
    <cellStyle name="Normal 62" xfId="114" xr:uid="{00000000-0005-0000-0000-00007A000000}"/>
    <cellStyle name="Normal 63" xfId="115" xr:uid="{00000000-0005-0000-0000-00007B000000}"/>
    <cellStyle name="Normal 64" xfId="116" xr:uid="{00000000-0005-0000-0000-00007C000000}"/>
    <cellStyle name="Normal 65" xfId="117" xr:uid="{00000000-0005-0000-0000-00007D000000}"/>
    <cellStyle name="Normal 66" xfId="118" xr:uid="{00000000-0005-0000-0000-00007E000000}"/>
    <cellStyle name="Normal 67" xfId="119" xr:uid="{00000000-0005-0000-0000-00007F000000}"/>
    <cellStyle name="Normal 68" xfId="120" xr:uid="{00000000-0005-0000-0000-000080000000}"/>
    <cellStyle name="Normal 69" xfId="121" xr:uid="{00000000-0005-0000-0000-000081000000}"/>
    <cellStyle name="Normal 7" xfId="122" xr:uid="{00000000-0005-0000-0000-000082000000}"/>
    <cellStyle name="Normal 7 2" xfId="123" xr:uid="{00000000-0005-0000-0000-000083000000}"/>
    <cellStyle name="Normal 70" xfId="124" xr:uid="{00000000-0005-0000-0000-000084000000}"/>
    <cellStyle name="Normal 71" xfId="125" xr:uid="{00000000-0005-0000-0000-000085000000}"/>
    <cellStyle name="Normal 72" xfId="126" xr:uid="{00000000-0005-0000-0000-000086000000}"/>
    <cellStyle name="Normal 73" xfId="127" xr:uid="{00000000-0005-0000-0000-000087000000}"/>
    <cellStyle name="Normal 74" xfId="128" xr:uid="{00000000-0005-0000-0000-000088000000}"/>
    <cellStyle name="Normal 75" xfId="129" xr:uid="{00000000-0005-0000-0000-000089000000}"/>
    <cellStyle name="Normal 76" xfId="130" xr:uid="{00000000-0005-0000-0000-00008A000000}"/>
    <cellStyle name="Normal 77" xfId="131" xr:uid="{00000000-0005-0000-0000-00008B000000}"/>
    <cellStyle name="Normal 78" xfId="132" xr:uid="{00000000-0005-0000-0000-00008C000000}"/>
    <cellStyle name="Normal 79" xfId="133" xr:uid="{00000000-0005-0000-0000-00008D000000}"/>
    <cellStyle name="Normal 8" xfId="134" xr:uid="{00000000-0005-0000-0000-00008E000000}"/>
    <cellStyle name="Normal 8 2" xfId="135" xr:uid="{00000000-0005-0000-0000-00008F000000}"/>
    <cellStyle name="Normal 80" xfId="136" xr:uid="{00000000-0005-0000-0000-000090000000}"/>
    <cellStyle name="Normal 81" xfId="137" xr:uid="{00000000-0005-0000-0000-000091000000}"/>
    <cellStyle name="Normal 82" xfId="138" xr:uid="{00000000-0005-0000-0000-000092000000}"/>
    <cellStyle name="Normal 83" xfId="139" xr:uid="{00000000-0005-0000-0000-000093000000}"/>
    <cellStyle name="Normal 84" xfId="140" xr:uid="{00000000-0005-0000-0000-000094000000}"/>
    <cellStyle name="Normal 85" xfId="141" xr:uid="{00000000-0005-0000-0000-000095000000}"/>
    <cellStyle name="Normal 86" xfId="142" xr:uid="{00000000-0005-0000-0000-000096000000}"/>
    <cellStyle name="Normal 87" xfId="143" xr:uid="{00000000-0005-0000-0000-000097000000}"/>
    <cellStyle name="Normal 88" xfId="144" xr:uid="{00000000-0005-0000-0000-000098000000}"/>
    <cellStyle name="Normal 89" xfId="145" xr:uid="{00000000-0005-0000-0000-000099000000}"/>
    <cellStyle name="Normal 9" xfId="146" xr:uid="{00000000-0005-0000-0000-00009A000000}"/>
    <cellStyle name="Normal 9 2" xfId="147" xr:uid="{00000000-0005-0000-0000-00009B000000}"/>
    <cellStyle name="Normal 90" xfId="148" xr:uid="{00000000-0005-0000-0000-00009C000000}"/>
    <cellStyle name="Normal 91" xfId="149" xr:uid="{00000000-0005-0000-0000-00009D000000}"/>
    <cellStyle name="Normal 92" xfId="150" xr:uid="{00000000-0005-0000-0000-00009E000000}"/>
    <cellStyle name="Normal 93" xfId="151" xr:uid="{00000000-0005-0000-0000-00009F000000}"/>
    <cellStyle name="Normal 94" xfId="152" xr:uid="{00000000-0005-0000-0000-0000A0000000}"/>
    <cellStyle name="Normal 95" xfId="153" xr:uid="{00000000-0005-0000-0000-0000A1000000}"/>
    <cellStyle name="Normal 96" xfId="154" xr:uid="{00000000-0005-0000-0000-0000A2000000}"/>
    <cellStyle name="Normal 97" xfId="155" xr:uid="{00000000-0005-0000-0000-0000A3000000}"/>
    <cellStyle name="Normal 98" xfId="156" xr:uid="{00000000-0005-0000-0000-0000A4000000}"/>
    <cellStyle name="Normal 99" xfId="157" xr:uid="{00000000-0005-0000-0000-0000A5000000}"/>
    <cellStyle name="Porcentagem" xfId="2" builtinId="5"/>
    <cellStyle name="Porcentagem 10" xfId="228" xr:uid="{E7A42732-F501-4847-A563-9C06FA2644A9}"/>
    <cellStyle name="Porcentagem 11" xfId="230" xr:uid="{65E67F4D-CD74-4154-97FF-9E672134DA69}"/>
    <cellStyle name="Porcentagem 12" xfId="232" xr:uid="{062DE457-1A00-460F-9D0F-F394D339FBDC}"/>
    <cellStyle name="Porcentagem 13" xfId="234" xr:uid="{2356F281-DE67-40EC-84E9-DF9FD81E1B8E}"/>
    <cellStyle name="Porcentagem 14" xfId="239" xr:uid="{55AC73C8-E1CC-4438-ACF7-8C437A6A6877}"/>
    <cellStyle name="Porcentagem 15" xfId="242" xr:uid="{DE103D77-BDB3-4803-AFA1-A46E34447C58}"/>
    <cellStyle name="Porcentagem 15 2" xfId="259" xr:uid="{75223001-1841-44AB-BEFC-D00AC04B9607}"/>
    <cellStyle name="Porcentagem 16" xfId="244" xr:uid="{5504A6AD-F941-4375-B907-0091CBA2721F}"/>
    <cellStyle name="Porcentagem 17" xfId="247" xr:uid="{4CDCA42B-BB36-4D58-B990-BFD82F06D05F}"/>
    <cellStyle name="Porcentagem 18" xfId="249" xr:uid="{430AA1D0-0510-4FE6-A012-1C11526F6FCD}"/>
    <cellStyle name="Porcentagem 19" xfId="251" xr:uid="{741165B7-8844-407F-B58A-6568AD92169C}"/>
    <cellStyle name="Porcentagem 2" xfId="158" xr:uid="{00000000-0005-0000-0000-0000A7000000}"/>
    <cellStyle name="Porcentagem 2 2" xfId="159" xr:uid="{00000000-0005-0000-0000-0000A8000000}"/>
    <cellStyle name="Porcentagem 20" xfId="253" xr:uid="{DED2AA5B-F4A7-499D-8C26-671DBAD1DE72}"/>
    <cellStyle name="Porcentagem 21" xfId="255" xr:uid="{E2849B49-C860-4475-89BD-D96DD3D05392}"/>
    <cellStyle name="Porcentagem 22" xfId="257" xr:uid="{C9CE0465-3F44-4096-8D95-342CC4CBFF1D}"/>
    <cellStyle name="Porcentagem 23" xfId="262" xr:uid="{9112966D-968A-40E8-92CA-503C7A1EA4A8}"/>
    <cellStyle name="Porcentagem 24" xfId="264" xr:uid="{BDAD4B39-A94F-4C5E-B7F8-F85EA7254F05}"/>
    <cellStyle name="Porcentagem 3" xfId="160" xr:uid="{00000000-0005-0000-0000-0000A9000000}"/>
    <cellStyle name="Porcentagem 4" xfId="216" xr:uid="{00000000-0005-0000-0000-0000AA000000}"/>
    <cellStyle name="Porcentagem 5" xfId="218" xr:uid="{00000000-0005-0000-0000-0000AB000000}"/>
    <cellStyle name="Porcentagem 6" xfId="221" xr:uid="{00000000-0005-0000-0000-0000AC000000}"/>
    <cellStyle name="Porcentagem 7" xfId="213" xr:uid="{00000000-0005-0000-0000-0000AD000000}"/>
    <cellStyle name="Porcentagem 8" xfId="223" xr:uid="{00000000-0005-0000-0000-0000AE000000}"/>
    <cellStyle name="Porcentagem 9" xfId="226" xr:uid="{4271C966-608A-492B-8ACF-BE184E9C7242}"/>
    <cellStyle name="S0" xfId="161" xr:uid="{00000000-0005-0000-0000-0000AF000000}"/>
    <cellStyle name="S1" xfId="162" xr:uid="{00000000-0005-0000-0000-0000B0000000}"/>
    <cellStyle name="S10" xfId="163" xr:uid="{00000000-0005-0000-0000-0000B1000000}"/>
    <cellStyle name="S11" xfId="164" xr:uid="{00000000-0005-0000-0000-0000B2000000}"/>
    <cellStyle name="S12" xfId="165" xr:uid="{00000000-0005-0000-0000-0000B3000000}"/>
    <cellStyle name="S13" xfId="166" xr:uid="{00000000-0005-0000-0000-0000B4000000}"/>
    <cellStyle name="S13 2" xfId="167" xr:uid="{00000000-0005-0000-0000-0000B5000000}"/>
    <cellStyle name="S13 3" xfId="168" xr:uid="{00000000-0005-0000-0000-0000B6000000}"/>
    <cellStyle name="S14" xfId="169" xr:uid="{00000000-0005-0000-0000-0000B7000000}"/>
    <cellStyle name="S14 2" xfId="170" xr:uid="{00000000-0005-0000-0000-0000B8000000}"/>
    <cellStyle name="S14 3" xfId="171" xr:uid="{00000000-0005-0000-0000-0000B9000000}"/>
    <cellStyle name="S15" xfId="172" xr:uid="{00000000-0005-0000-0000-0000BA000000}"/>
    <cellStyle name="S16" xfId="173" xr:uid="{00000000-0005-0000-0000-0000BB000000}"/>
    <cellStyle name="S17" xfId="174" xr:uid="{00000000-0005-0000-0000-0000BC000000}"/>
    <cellStyle name="S17 2" xfId="175" xr:uid="{00000000-0005-0000-0000-0000BD000000}"/>
    <cellStyle name="S17 3" xfId="176" xr:uid="{00000000-0005-0000-0000-0000BE000000}"/>
    <cellStyle name="S18" xfId="177" xr:uid="{00000000-0005-0000-0000-0000BF000000}"/>
    <cellStyle name="S18 2" xfId="178" xr:uid="{00000000-0005-0000-0000-0000C0000000}"/>
    <cellStyle name="S19" xfId="179" xr:uid="{00000000-0005-0000-0000-0000C1000000}"/>
    <cellStyle name="S2" xfId="180" xr:uid="{00000000-0005-0000-0000-0000C2000000}"/>
    <cellStyle name="S20" xfId="181" xr:uid="{00000000-0005-0000-0000-0000C3000000}"/>
    <cellStyle name="S21" xfId="182" xr:uid="{00000000-0005-0000-0000-0000C4000000}"/>
    <cellStyle name="S3" xfId="183" xr:uid="{00000000-0005-0000-0000-0000C5000000}"/>
    <cellStyle name="S4" xfId="184" xr:uid="{00000000-0005-0000-0000-0000C6000000}"/>
    <cellStyle name="S4 2" xfId="185" xr:uid="{00000000-0005-0000-0000-0000C7000000}"/>
    <cellStyle name="S4 3" xfId="186" xr:uid="{00000000-0005-0000-0000-0000C8000000}"/>
    <cellStyle name="S4 4" xfId="187" xr:uid="{00000000-0005-0000-0000-0000C9000000}"/>
    <cellStyle name="S5" xfId="188" xr:uid="{00000000-0005-0000-0000-0000CA000000}"/>
    <cellStyle name="S5 2" xfId="189" xr:uid="{00000000-0005-0000-0000-0000CB000000}"/>
    <cellStyle name="S5 3" xfId="190" xr:uid="{00000000-0005-0000-0000-0000CC000000}"/>
    <cellStyle name="S5 4" xfId="191" xr:uid="{00000000-0005-0000-0000-0000CD000000}"/>
    <cellStyle name="S6" xfId="192" xr:uid="{00000000-0005-0000-0000-0000CE000000}"/>
    <cellStyle name="S6 2" xfId="193" xr:uid="{00000000-0005-0000-0000-0000CF000000}"/>
    <cellStyle name="S6 3" xfId="194" xr:uid="{00000000-0005-0000-0000-0000D0000000}"/>
    <cellStyle name="S6 4" xfId="195" xr:uid="{00000000-0005-0000-0000-0000D1000000}"/>
    <cellStyle name="S7" xfId="196" xr:uid="{00000000-0005-0000-0000-0000D2000000}"/>
    <cellStyle name="S7 2" xfId="197" xr:uid="{00000000-0005-0000-0000-0000D3000000}"/>
    <cellStyle name="S7 3" xfId="198" xr:uid="{00000000-0005-0000-0000-0000D4000000}"/>
    <cellStyle name="S7 4" xfId="199" xr:uid="{00000000-0005-0000-0000-0000D5000000}"/>
    <cellStyle name="S8" xfId="200" xr:uid="{00000000-0005-0000-0000-0000D6000000}"/>
    <cellStyle name="S8 2" xfId="201" xr:uid="{00000000-0005-0000-0000-0000D7000000}"/>
    <cellStyle name="S8 3" xfId="202" xr:uid="{00000000-0005-0000-0000-0000D8000000}"/>
    <cellStyle name="S8 4" xfId="203" xr:uid="{00000000-0005-0000-0000-0000D9000000}"/>
    <cellStyle name="S9" xfId="204" xr:uid="{00000000-0005-0000-0000-0000DA000000}"/>
    <cellStyle name="S9 2" xfId="205" xr:uid="{00000000-0005-0000-0000-0000DB000000}"/>
    <cellStyle name="Teste" xfId="206" xr:uid="{00000000-0005-0000-0000-0000DC000000}"/>
    <cellStyle name="Vendas" xfId="207" xr:uid="{00000000-0005-0000-0000-0000DD000000}"/>
    <cellStyle name="Vírgula 2" xfId="208" xr:uid="{00000000-0005-0000-0000-0000DE000000}"/>
    <cellStyle name="Vírgula 2 2" xfId="209" xr:uid="{00000000-0005-0000-0000-0000DF000000}"/>
    <cellStyle name="Vírgula 3" xfId="210" xr:uid="{00000000-0005-0000-0000-0000E0000000}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6DA2BA-340B-4785-BB5F-2CD6AFA7D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44FCB37-44FF-4170-83E0-9BA5D9AD0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C32BC9-78D5-4CFC-A615-A1068E2FB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6C06721-3F80-49E4-9629-B5541832D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7A6F3-F941-4CA4-84C2-0A2756054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A2A00DD-9C73-4D02-A4CC-09DCB6C7F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D7A9F6-9C6B-4FD2-8948-3FC272EB4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1372D5-09E3-48C6-A2AE-02E7C58FF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E837A7F-4EE0-4BE3-9819-0C162FF43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24EA869-507D-4F09-8C05-B01553E32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8AE424D-FA54-4815-8AEB-1C714F203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360DAF-6ED9-4D6B-AD5C-70CB9CF2C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D03242-7DBC-4F0B-9F93-CDC2AFEA5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0</xdr:row>
      <xdr:rowOff>28575</xdr:rowOff>
    </xdr:from>
    <xdr:to>
      <xdr:col>0</xdr:col>
      <xdr:colOff>916984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415225-95CE-4B1E-8F7F-72CD184A9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8575"/>
          <a:ext cx="897933" cy="342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a%20Sola/Desktop/Acompanhamento%20Venda%20link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2\Produtos\Chirlanio\Backup\Acompanhamento%20de%20Metas%2031.01.2024.xlsx" TargetMode="External"/><Relationship Id="rId1" Type="http://schemas.openxmlformats.org/officeDocument/2006/relationships/externalLinkPath" Target="file:///\\192.168.0.2\Produtos\Chirlanio\Backup\Acompanhamento%20de%20Metas%2031.01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"/>
      <sheetName val="VENDA LINK"/>
      <sheetName val="SETEMBRO"/>
      <sheetName val="OUTUBRO"/>
      <sheetName val="NOVEMBRO"/>
      <sheetName val="01 A 06.12"/>
      <sheetName val="01 A 13.12"/>
      <sheetName val="01 A 21.12"/>
      <sheetName val="Planilha9"/>
      <sheetName val="01 A 27.12"/>
      <sheetName val="DEZEMBRO"/>
      <sheetName val="JANEIRO 21"/>
      <sheetName val="01 a 17.01"/>
      <sheetName val="01 a 24.01"/>
      <sheetName val="JANEIRO.21"/>
      <sheetName val="FEVEREIRO.21"/>
      <sheetName val="MARÇO 21"/>
      <sheetName val="12 A 30.04"/>
      <sheetName val="MAIO 21"/>
      <sheetName val="Planilha21"/>
      <sheetName val="Planilha19"/>
      <sheetName val="Planilha20"/>
      <sheetName val="Planilha18"/>
      <sheetName val="Planilha16"/>
      <sheetName val="Planilha15"/>
      <sheetName val="Planilha1"/>
      <sheetName val="Planilha14"/>
      <sheetName val="Planilha12"/>
      <sheetName val="Planilha11"/>
      <sheetName val="Planilha10"/>
      <sheetName val="Planilha8"/>
      <sheetName val="Planilha2"/>
      <sheetName val="Planilha7"/>
      <sheetName val="Planilha5"/>
      <sheetName val="Planilha6"/>
      <sheetName val="Planilha3"/>
      <sheetName val="Planilha4"/>
    </sheetNames>
    <sheetDataSet>
      <sheetData sheetId="0">
        <row r="1">
          <cell r="A1" t="str">
            <v>LOJA</v>
          </cell>
        </row>
      </sheetData>
      <sheetData sheetId="1">
        <row r="1">
          <cell r="A1" t="str">
            <v>Rótulos de Linha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Loja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Loja</v>
          </cell>
          <cell r="C1" t="str">
            <v>Valor Liquido</v>
          </cell>
          <cell r="E1" t="str">
            <v>loja</v>
          </cell>
          <cell r="F1" t="str">
            <v>Total</v>
          </cell>
        </row>
        <row r="2">
          <cell r="A2" t="str">
            <v>Z421</v>
          </cell>
          <cell r="B2" t="str">
            <v>AREZZO CENTRO</v>
          </cell>
          <cell r="C2">
            <v>128301.12000000001</v>
          </cell>
          <cell r="E2" t="str">
            <v>Z421</v>
          </cell>
          <cell r="F2">
            <v>11039.85</v>
          </cell>
        </row>
        <row r="3">
          <cell r="A3" t="str">
            <v>Z422</v>
          </cell>
          <cell r="B3" t="str">
            <v>AREZZO KENNEDY</v>
          </cell>
          <cell r="C3">
            <v>289400.74</v>
          </cell>
          <cell r="E3" t="str">
            <v>Z422</v>
          </cell>
          <cell r="F3">
            <v>24301.840000000004</v>
          </cell>
        </row>
        <row r="4">
          <cell r="A4" t="str">
            <v>Z423</v>
          </cell>
          <cell r="B4" t="str">
            <v>AREZZO 90</v>
          </cell>
          <cell r="C4">
            <v>518091.31</v>
          </cell>
          <cell r="E4" t="str">
            <v>Z423</v>
          </cell>
          <cell r="F4">
            <v>30385.370000000006</v>
          </cell>
        </row>
        <row r="5">
          <cell r="A5" t="str">
            <v>Z424</v>
          </cell>
          <cell r="B5" t="str">
            <v>AREZZO 408</v>
          </cell>
          <cell r="C5">
            <v>717633.16</v>
          </cell>
          <cell r="E5" t="str">
            <v>Z424</v>
          </cell>
          <cell r="F5">
            <v>76389.320000000036</v>
          </cell>
        </row>
        <row r="6">
          <cell r="A6" t="str">
            <v>Z425</v>
          </cell>
          <cell r="B6" t="str">
            <v>AREZZO RIOMAR</v>
          </cell>
          <cell r="C6">
            <v>539120.62</v>
          </cell>
          <cell r="E6" t="str">
            <v>Z425</v>
          </cell>
          <cell r="F6">
            <v>29202.530000000021</v>
          </cell>
        </row>
        <row r="7">
          <cell r="A7" t="str">
            <v>Z426</v>
          </cell>
          <cell r="B7" t="str">
            <v>AREZZO DOM LUIS</v>
          </cell>
          <cell r="C7">
            <v>550724.32000000007</v>
          </cell>
          <cell r="E7" t="str">
            <v>Z426</v>
          </cell>
          <cell r="F7">
            <v>38103.510000000009</v>
          </cell>
        </row>
        <row r="8">
          <cell r="A8" t="str">
            <v>Z427</v>
          </cell>
          <cell r="B8" t="str">
            <v>AREZZO CARIRI</v>
          </cell>
          <cell r="C8">
            <v>300014.66000000003</v>
          </cell>
          <cell r="E8" t="str">
            <v>Z427</v>
          </cell>
          <cell r="F8">
            <v>50866.979999999989</v>
          </cell>
        </row>
        <row r="9">
          <cell r="A9" t="str">
            <v>Z428</v>
          </cell>
          <cell r="B9" t="str">
            <v>AREZZO SOBRAL</v>
          </cell>
          <cell r="C9">
            <v>137251.78</v>
          </cell>
          <cell r="E9" t="str">
            <v>Z428</v>
          </cell>
          <cell r="F9">
            <v>7338.159999999998</v>
          </cell>
        </row>
        <row r="10">
          <cell r="A10" t="str">
            <v>Z429</v>
          </cell>
          <cell r="B10" t="str">
            <v>MEIA SOLA MAISON</v>
          </cell>
          <cell r="C10">
            <v>612410.66</v>
          </cell>
          <cell r="E10" t="str">
            <v>Z429</v>
          </cell>
          <cell r="F10">
            <v>99062.519999999975</v>
          </cell>
        </row>
        <row r="11">
          <cell r="A11" t="str">
            <v>Z430</v>
          </cell>
          <cell r="B11" t="str">
            <v>MEIA SOLA RIOMAR</v>
          </cell>
          <cell r="C11">
            <v>237735.59</v>
          </cell>
          <cell r="E11" t="str">
            <v>Z430</v>
          </cell>
          <cell r="F11">
            <v>44738.180000000022</v>
          </cell>
        </row>
        <row r="12">
          <cell r="A12" t="str">
            <v>Z431</v>
          </cell>
          <cell r="B12" t="str">
            <v>MEIA SOLA ALDEOTA</v>
          </cell>
          <cell r="C12">
            <v>92309.99</v>
          </cell>
          <cell r="E12" t="str">
            <v>Z431</v>
          </cell>
          <cell r="F12">
            <v>34067.270000000019</v>
          </cell>
        </row>
        <row r="13">
          <cell r="A13" t="str">
            <v>Z432</v>
          </cell>
          <cell r="B13" t="str">
            <v>MEIA SOLA IGUATEMI</v>
          </cell>
          <cell r="C13">
            <v>256104.55000000002</v>
          </cell>
          <cell r="E13" t="str">
            <v>Z432</v>
          </cell>
          <cell r="F13">
            <v>62696.540000000015</v>
          </cell>
        </row>
        <row r="14">
          <cell r="A14" t="str">
            <v>Z433</v>
          </cell>
          <cell r="B14" t="str">
            <v>MEIA SOLA OFF</v>
          </cell>
          <cell r="C14">
            <v>112366.48</v>
          </cell>
          <cell r="E14" t="str">
            <v>Z433</v>
          </cell>
          <cell r="F14">
            <v>1031.71</v>
          </cell>
        </row>
        <row r="15">
          <cell r="A15" t="str">
            <v>Z434</v>
          </cell>
          <cell r="B15" t="str">
            <v>ANACAPRI ALDEOTA</v>
          </cell>
          <cell r="C15">
            <v>98067.87</v>
          </cell>
          <cell r="E15" t="str">
            <v>Z434</v>
          </cell>
          <cell r="F15">
            <v>15498.839999999989</v>
          </cell>
        </row>
        <row r="16">
          <cell r="A16" t="str">
            <v>Z435</v>
          </cell>
          <cell r="B16" t="str">
            <v>ANACAPRI CARIRI</v>
          </cell>
          <cell r="C16">
            <v>41497.89</v>
          </cell>
          <cell r="E16" t="str">
            <v>Z435</v>
          </cell>
          <cell r="F16">
            <v>6200.6299999999992</v>
          </cell>
        </row>
        <row r="17">
          <cell r="A17" t="str">
            <v>Z436</v>
          </cell>
          <cell r="B17" t="str">
            <v>ANACAPRI IGUATEMI</v>
          </cell>
          <cell r="C17">
            <v>140178.07</v>
          </cell>
          <cell r="E17" t="str">
            <v>Z436</v>
          </cell>
          <cell r="F17">
            <v>12635.929999999997</v>
          </cell>
        </row>
        <row r="18">
          <cell r="A18" t="str">
            <v>Z437</v>
          </cell>
          <cell r="B18" t="str">
            <v>ANACAPRI RIOMAR</v>
          </cell>
          <cell r="C18">
            <v>121539.05</v>
          </cell>
          <cell r="E18" t="str">
            <v>Z437</v>
          </cell>
          <cell r="F18">
            <v>18632.78</v>
          </cell>
        </row>
        <row r="19">
          <cell r="A19" t="str">
            <v>Z438</v>
          </cell>
          <cell r="B19" t="str">
            <v>SCHUTZ ALDEOTA</v>
          </cell>
          <cell r="C19">
            <v>105406.83</v>
          </cell>
          <cell r="E19" t="str">
            <v>Z438</v>
          </cell>
          <cell r="F19">
            <v>30225.64</v>
          </cell>
        </row>
        <row r="20">
          <cell r="A20" t="str">
            <v>Z439</v>
          </cell>
          <cell r="B20" t="str">
            <v>SCHUTZ RIOMAR</v>
          </cell>
          <cell r="C20">
            <v>184009.56</v>
          </cell>
          <cell r="E20" t="str">
            <v>Z439</v>
          </cell>
          <cell r="F20">
            <v>34998.480000000003</v>
          </cell>
        </row>
        <row r="21">
          <cell r="A21" t="str">
            <v>Z440</v>
          </cell>
          <cell r="B21" t="str">
            <v>SCHUTZ IGUATEMI</v>
          </cell>
          <cell r="C21">
            <v>326788.76</v>
          </cell>
          <cell r="E21" t="str">
            <v>Z440</v>
          </cell>
          <cell r="F21">
            <v>80234.75</v>
          </cell>
        </row>
        <row r="22">
          <cell r="A22" t="str">
            <v>Z441</v>
          </cell>
          <cell r="B22" t="str">
            <v>E-COMMERCE</v>
          </cell>
          <cell r="C22">
            <v>49043</v>
          </cell>
          <cell r="E22" t="str">
            <v>Z441</v>
          </cell>
          <cell r="F22">
            <v>4660</v>
          </cell>
        </row>
        <row r="23">
          <cell r="C23">
            <v>5557996.0099999998</v>
          </cell>
          <cell r="E23" t="str">
            <v>Total Geral</v>
          </cell>
          <cell r="F23">
            <v>712310.83000000019</v>
          </cell>
        </row>
      </sheetData>
      <sheetData sheetId="20">
        <row r="1">
          <cell r="A1" t="str">
            <v>loja</v>
          </cell>
        </row>
      </sheetData>
      <sheetData sheetId="21"/>
      <sheetData sheetId="22">
        <row r="1">
          <cell r="B1" t="str">
            <v>Loja</v>
          </cell>
        </row>
      </sheetData>
      <sheetData sheetId="23">
        <row r="1">
          <cell r="A1" t="str">
            <v>Loja</v>
          </cell>
        </row>
      </sheetData>
      <sheetData sheetId="24">
        <row r="1">
          <cell r="A1" t="str">
            <v>Loja</v>
          </cell>
        </row>
      </sheetData>
      <sheetData sheetId="25"/>
      <sheetData sheetId="26">
        <row r="1">
          <cell r="A1" t="str">
            <v>Loja</v>
          </cell>
        </row>
      </sheetData>
      <sheetData sheetId="27">
        <row r="1">
          <cell r="A1" t="str">
            <v>Loja</v>
          </cell>
        </row>
      </sheetData>
      <sheetData sheetId="28">
        <row r="1">
          <cell r="A1" t="str">
            <v>Loja</v>
          </cell>
        </row>
      </sheetData>
      <sheetData sheetId="29">
        <row r="1">
          <cell r="A1" t="str">
            <v>Loja</v>
          </cell>
        </row>
      </sheetData>
      <sheetData sheetId="30">
        <row r="1">
          <cell r="A1" t="str">
            <v>Loja</v>
          </cell>
        </row>
      </sheetData>
      <sheetData sheetId="31">
        <row r="1">
          <cell r="A1" t="str">
            <v>Loja</v>
          </cell>
        </row>
      </sheetData>
      <sheetData sheetId="32"/>
      <sheetData sheetId="33">
        <row r="1">
          <cell r="A1" t="str">
            <v>loja</v>
          </cell>
        </row>
      </sheetData>
      <sheetData sheetId="34">
        <row r="1">
          <cell r="A1" t="str">
            <v>Loja</v>
          </cell>
        </row>
      </sheetData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o_Email"/>
      <sheetName val="Painel_Faturamento"/>
      <sheetName val="Dados"/>
      <sheetName val="Base Movimento"/>
      <sheetName val="Din Movi"/>
      <sheetName val="Planilha1"/>
    </sheetNames>
    <sheetDataSet>
      <sheetData sheetId="0"/>
      <sheetData sheetId="1"/>
      <sheetData sheetId="2">
        <row r="2">
          <cell r="B2" t="str">
            <v>Nome Loja</v>
          </cell>
          <cell r="D2" t="str">
            <v>Vendas Ano</v>
          </cell>
          <cell r="E2" t="str">
            <v>Meta</v>
          </cell>
          <cell r="K2" t="str">
            <v>Venda Dia</v>
          </cell>
          <cell r="N2" t="str">
            <v>Nome Loja</v>
          </cell>
          <cell r="P2" t="str">
            <v>Vendas Ano</v>
          </cell>
          <cell r="W2" t="str">
            <v>Venda Dia</v>
          </cell>
          <cell r="Z2" t="str">
            <v>Nome Loja</v>
          </cell>
          <cell r="AA2" t="str">
            <v>Vendas LY</v>
          </cell>
          <cell r="AB2" t="str">
            <v>Vendas Ano</v>
          </cell>
          <cell r="AI2" t="str">
            <v>Venda Dia</v>
          </cell>
        </row>
        <row r="3">
          <cell r="B3" t="str">
            <v>Total</v>
          </cell>
          <cell r="D3">
            <v>4075097.800000011</v>
          </cell>
          <cell r="E3">
            <v>3595000</v>
          </cell>
          <cell r="K3">
            <v>119899.16999999998</v>
          </cell>
          <cell r="N3" t="str">
            <v>Total</v>
          </cell>
          <cell r="P3">
            <v>3337542.5199999856</v>
          </cell>
          <cell r="W3">
            <v>89181.570000000065</v>
          </cell>
          <cell r="Z3" t="str">
            <v>Total</v>
          </cell>
          <cell r="AA3">
            <v>315427.91999999923</v>
          </cell>
          <cell r="AB3">
            <v>356203.21999999968</v>
          </cell>
          <cell r="AI3">
            <v>17702.019999999997</v>
          </cell>
        </row>
        <row r="4">
          <cell r="B4" t="str">
            <v>Azz 408</v>
          </cell>
          <cell r="D4">
            <v>980165.60000002198</v>
          </cell>
          <cell r="E4">
            <v>900000</v>
          </cell>
          <cell r="K4">
            <v>25900.029999999988</v>
          </cell>
          <cell r="N4" t="str">
            <v>Azz 408</v>
          </cell>
          <cell r="P4">
            <v>812875.78999998874</v>
          </cell>
          <cell r="W4">
            <v>20532.240000000009</v>
          </cell>
          <cell r="Z4" t="str">
            <v>Ac Aldeota</v>
          </cell>
          <cell r="AA4">
            <v>147424.10999999972</v>
          </cell>
          <cell r="AB4">
            <v>133514.30999999976</v>
          </cell>
          <cell r="AI4">
            <v>6592.6100000000006</v>
          </cell>
        </row>
        <row r="5">
          <cell r="B5" t="str">
            <v>Azz Riomar</v>
          </cell>
          <cell r="D5">
            <v>784852.0300000034</v>
          </cell>
          <cell r="E5">
            <v>700000</v>
          </cell>
          <cell r="K5">
            <v>19055.309999999998</v>
          </cell>
          <cell r="N5" t="str">
            <v>Azz Riomar</v>
          </cell>
          <cell r="P5">
            <v>608029.25999999489</v>
          </cell>
          <cell r="W5">
            <v>14114.470000000008</v>
          </cell>
          <cell r="Z5" t="str">
            <v>Ac Cariri</v>
          </cell>
          <cell r="AB5">
            <v>63603.630000000099</v>
          </cell>
          <cell r="AI5">
            <v>2168.3000000000006</v>
          </cell>
        </row>
        <row r="6">
          <cell r="B6" t="str">
            <v>Azz Dom Luís</v>
          </cell>
          <cell r="D6">
            <v>701357.50000000396</v>
          </cell>
          <cell r="E6">
            <v>630000</v>
          </cell>
          <cell r="K6">
            <v>19355.28</v>
          </cell>
          <cell r="N6" t="str">
            <v>Azz Dom Luís</v>
          </cell>
          <cell r="P6">
            <v>559981.67000000016</v>
          </cell>
          <cell r="W6">
            <v>20992.120000000028</v>
          </cell>
          <cell r="Z6" t="str">
            <v>Ac Iguatemi</v>
          </cell>
          <cell r="AI6">
            <v>0</v>
          </cell>
        </row>
        <row r="7">
          <cell r="B7" t="str">
            <v>Azz 90</v>
          </cell>
          <cell r="D7">
            <v>596703.90999999177</v>
          </cell>
          <cell r="E7">
            <v>495000</v>
          </cell>
          <cell r="K7">
            <v>21180.239999999994</v>
          </cell>
          <cell r="N7" t="str">
            <v>Azz 90</v>
          </cell>
          <cell r="P7">
            <v>439994.58000000037</v>
          </cell>
          <cell r="W7">
            <v>10203.880000000008</v>
          </cell>
          <cell r="Z7" t="str">
            <v>Ac Riomar</v>
          </cell>
          <cell r="AA7">
            <v>168003.80999999947</v>
          </cell>
          <cell r="AB7">
            <v>159085.2799999998</v>
          </cell>
          <cell r="AI7">
            <v>8941.1099999999969</v>
          </cell>
        </row>
        <row r="8">
          <cell r="B8" t="str">
            <v>Azz Cariri</v>
          </cell>
          <cell r="D8">
            <v>450919.07999999326</v>
          </cell>
          <cell r="E8">
            <v>370000</v>
          </cell>
          <cell r="K8">
            <v>16392.899999999998</v>
          </cell>
          <cell r="N8" t="str">
            <v>Azz Cariri</v>
          </cell>
          <cell r="P8">
            <v>327688.93000000133</v>
          </cell>
          <cell r="W8">
            <v>11406.37</v>
          </cell>
          <cell r="Z8" t="str">
            <v>Total</v>
          </cell>
          <cell r="AA8">
            <v>2746226.430000009</v>
          </cell>
          <cell r="AB8">
            <v>2443165.290000008</v>
          </cell>
          <cell r="AI8">
            <v>112090.95999999999</v>
          </cell>
        </row>
        <row r="9">
          <cell r="B9" t="str">
            <v>Azz Kennedy</v>
          </cell>
          <cell r="D9">
            <v>356966.36999999761</v>
          </cell>
          <cell r="E9">
            <v>330000</v>
          </cell>
          <cell r="K9">
            <v>13665.370000000004</v>
          </cell>
          <cell r="N9" t="str">
            <v>Azz Kennedy</v>
          </cell>
          <cell r="P9">
            <v>297312.69000000105</v>
          </cell>
          <cell r="W9">
            <v>6242.0499999999984</v>
          </cell>
          <cell r="Z9" t="str">
            <v>Azz 408</v>
          </cell>
          <cell r="AA9">
            <v>701414.05000000412</v>
          </cell>
          <cell r="AB9">
            <v>599982.94000000844</v>
          </cell>
          <cell r="AI9">
            <v>27018.37000000001</v>
          </cell>
        </row>
        <row r="10">
          <cell r="B10" t="str">
            <v>Azz Sobral</v>
          </cell>
          <cell r="D10">
            <v>204133.30999999889</v>
          </cell>
          <cell r="E10">
            <v>170000</v>
          </cell>
          <cell r="K10">
            <v>4350.0399999999991</v>
          </cell>
          <cell r="N10" t="str">
            <v>Azz Sobral</v>
          </cell>
          <cell r="P10">
            <v>148149.53999999978</v>
          </cell>
          <cell r="W10">
            <v>5690.4399999999987</v>
          </cell>
          <cell r="Z10" t="str">
            <v>Azz 90</v>
          </cell>
          <cell r="AA10">
            <v>413069.77000000322</v>
          </cell>
          <cell r="AB10">
            <v>335316.89999999898</v>
          </cell>
          <cell r="AI10">
            <v>16742.499999999989</v>
          </cell>
        </row>
        <row r="11">
          <cell r="B11" t="str">
            <v>Azz Brizza</v>
          </cell>
          <cell r="K11">
            <v>0</v>
          </cell>
          <cell r="N11" t="str">
            <v>Azz Centro</v>
          </cell>
          <cell r="P11">
            <v>108903.35999999926</v>
          </cell>
          <cell r="W11">
            <v>0</v>
          </cell>
          <cell r="Z11" t="str">
            <v>Azz Brizza</v>
          </cell>
          <cell r="AI11">
            <v>0</v>
          </cell>
        </row>
        <row r="12">
          <cell r="B12" t="str">
            <v>Azz Centro</v>
          </cell>
          <cell r="E12">
            <v>0</v>
          </cell>
          <cell r="K12">
            <v>0</v>
          </cell>
          <cell r="N12" t="str">
            <v>Azz Brizza</v>
          </cell>
          <cell r="P12">
            <v>34606.700000000215</v>
          </cell>
          <cell r="W12">
            <v>0</v>
          </cell>
          <cell r="Z12" t="str">
            <v>Azz Cariri</v>
          </cell>
          <cell r="AA12">
            <v>275404.44999999861</v>
          </cell>
          <cell r="AB12">
            <v>238521.30999999869</v>
          </cell>
          <cell r="AI12">
            <v>10275.699999999995</v>
          </cell>
        </row>
        <row r="13">
          <cell r="B13" t="str">
            <v>Total</v>
          </cell>
          <cell r="D13">
            <v>1787878.6800000046</v>
          </cell>
          <cell r="E13">
            <v>2010000</v>
          </cell>
          <cell r="K13">
            <v>52555.600000000006</v>
          </cell>
          <cell r="N13" t="str">
            <v>Total</v>
          </cell>
          <cell r="P13">
            <v>1741643.229999996</v>
          </cell>
          <cell r="W13">
            <v>54045.330000000009</v>
          </cell>
          <cell r="Z13" t="str">
            <v>Azz Centro</v>
          </cell>
          <cell r="AA13">
            <v>100788.2999999993</v>
          </cell>
          <cell r="AB13">
            <v>71261.740000000136</v>
          </cell>
          <cell r="AI13">
            <v>6737.3000000000011</v>
          </cell>
        </row>
        <row r="14">
          <cell r="B14" t="str">
            <v>Ms Maison</v>
          </cell>
          <cell r="D14">
            <v>831293.07000000635</v>
          </cell>
          <cell r="E14">
            <v>1100000</v>
          </cell>
          <cell r="K14">
            <v>26231.840000000007</v>
          </cell>
          <cell r="N14" t="str">
            <v>Ms Maison</v>
          </cell>
          <cell r="P14">
            <v>938546.22999999777</v>
          </cell>
          <cell r="W14">
            <v>27122</v>
          </cell>
          <cell r="Z14" t="str">
            <v>Azz Dom Luís</v>
          </cell>
          <cell r="AA14">
            <v>506982.00000000192</v>
          </cell>
          <cell r="AB14">
            <v>472264.81000000174</v>
          </cell>
          <cell r="AI14">
            <v>19383.71</v>
          </cell>
        </row>
        <row r="15">
          <cell r="B15" t="str">
            <v>Ms Iguatemi</v>
          </cell>
          <cell r="D15">
            <v>581261.19999999914</v>
          </cell>
          <cell r="E15">
            <v>570000</v>
          </cell>
          <cell r="K15">
            <v>16826.360000000004</v>
          </cell>
          <cell r="N15" t="str">
            <v>Ms Iguatemi</v>
          </cell>
          <cell r="P15">
            <v>506832.01999999851</v>
          </cell>
          <cell r="W15">
            <v>13743.500000000007</v>
          </cell>
          <cell r="Z15" t="str">
            <v>Azz Kennedy</v>
          </cell>
          <cell r="AA15">
            <v>175578.0299999995</v>
          </cell>
          <cell r="AB15">
            <v>179991.87999999907</v>
          </cell>
          <cell r="AI15">
            <v>10092.219999999996</v>
          </cell>
        </row>
        <row r="16">
          <cell r="B16" t="str">
            <v>Ms Riomar</v>
          </cell>
          <cell r="D16">
            <v>375324.40999999928</v>
          </cell>
          <cell r="E16">
            <v>340000</v>
          </cell>
          <cell r="K16">
            <v>9497.3999999999978</v>
          </cell>
          <cell r="N16" t="str">
            <v>Ms Riomar</v>
          </cell>
          <cell r="P16">
            <v>296264.97999999963</v>
          </cell>
          <cell r="W16">
            <v>13179.829999999996</v>
          </cell>
          <cell r="Z16" t="str">
            <v>Azz Riomar</v>
          </cell>
          <cell r="AA16">
            <v>414917.39000000269</v>
          </cell>
          <cell r="AB16">
            <v>371918.69000000157</v>
          </cell>
          <cell r="AI16">
            <v>14704.259999999993</v>
          </cell>
        </row>
        <row r="17">
          <cell r="B17" t="str">
            <v>Total</v>
          </cell>
          <cell r="D17">
            <v>908162.6100000001</v>
          </cell>
          <cell r="E17">
            <v>1000000</v>
          </cell>
          <cell r="K17">
            <v>32965.630000000005</v>
          </cell>
          <cell r="N17" t="str">
            <v>Total</v>
          </cell>
          <cell r="P17">
            <v>918826.38</v>
          </cell>
          <cell r="W17">
            <v>23523.63</v>
          </cell>
          <cell r="Z17" t="str">
            <v>Azz Sobral</v>
          </cell>
          <cell r="AA17">
            <v>158072.43999999948</v>
          </cell>
          <cell r="AB17">
            <v>173907.01999999929</v>
          </cell>
          <cell r="AI17">
            <v>7136.9</v>
          </cell>
        </row>
        <row r="18">
          <cell r="B18" t="str">
            <v>Stz Iguatemi</v>
          </cell>
          <cell r="D18">
            <v>464411.16000000015</v>
          </cell>
          <cell r="E18">
            <v>560000</v>
          </cell>
          <cell r="K18">
            <v>18398.13</v>
          </cell>
          <cell r="N18" t="str">
            <v>Stz Iguatemi</v>
          </cell>
          <cell r="P18">
            <v>466462.21000000014</v>
          </cell>
          <cell r="W18">
            <v>11101</v>
          </cell>
          <cell r="Z18" t="str">
            <v>Total</v>
          </cell>
          <cell r="AI18">
            <v>0</v>
          </cell>
        </row>
        <row r="19">
          <cell r="B19" t="str">
            <v>Stz Riomar</v>
          </cell>
          <cell r="D19">
            <v>443751.4499999999</v>
          </cell>
          <cell r="E19">
            <v>440000</v>
          </cell>
          <cell r="K19">
            <v>14567.5</v>
          </cell>
          <cell r="N19" t="str">
            <v>Stz Riomar</v>
          </cell>
          <cell r="P19">
            <v>360568.09</v>
          </cell>
          <cell r="W19">
            <v>12422.630000000001</v>
          </cell>
          <cell r="Z19" t="str">
            <v>E-Commerce</v>
          </cell>
          <cell r="AI19">
            <v>0</v>
          </cell>
        </row>
        <row r="20">
          <cell r="B20" t="str">
            <v>Stz Aldeota</v>
          </cell>
          <cell r="E20">
            <v>0</v>
          </cell>
          <cell r="K20">
            <v>0</v>
          </cell>
          <cell r="N20" t="str">
            <v>Stz Aldeota</v>
          </cell>
          <cell r="P20">
            <v>91796.079999999973</v>
          </cell>
          <cell r="W20">
            <v>0</v>
          </cell>
          <cell r="Z20" t="str">
            <v>Total</v>
          </cell>
          <cell r="AA20">
            <v>1029303.3599999999</v>
          </cell>
          <cell r="AB20">
            <v>937037.19000000111</v>
          </cell>
          <cell r="AI20">
            <v>48973.600000000006</v>
          </cell>
        </row>
        <row r="21">
          <cell r="B21" t="str">
            <v>Total</v>
          </cell>
          <cell r="D21">
            <v>479133.43999999977</v>
          </cell>
          <cell r="E21">
            <v>500000</v>
          </cell>
          <cell r="K21">
            <v>24534.32</v>
          </cell>
          <cell r="N21" t="str">
            <v>Total</v>
          </cell>
          <cell r="P21">
            <v>453101.39000000025</v>
          </cell>
          <cell r="W21">
            <v>13126.139999999996</v>
          </cell>
          <cell r="Z21" t="str">
            <v>Ms Iguatemi</v>
          </cell>
          <cell r="AA21">
            <v>257847.68999999913</v>
          </cell>
          <cell r="AB21">
            <v>209947.81999999969</v>
          </cell>
          <cell r="AI21">
            <v>12380.199999999999</v>
          </cell>
        </row>
        <row r="22">
          <cell r="B22" t="str">
            <v>E-Commerce</v>
          </cell>
          <cell r="D22">
            <v>479133.43999999977</v>
          </cell>
          <cell r="E22">
            <v>500000</v>
          </cell>
          <cell r="K22">
            <v>24534.32</v>
          </cell>
          <cell r="N22" t="str">
            <v>Ac Iguatemi</v>
          </cell>
          <cell r="P22">
            <v>176303.52000000063</v>
          </cell>
          <cell r="W22">
            <v>3338.1499999999996</v>
          </cell>
          <cell r="Z22" t="str">
            <v>Ms Maison</v>
          </cell>
          <cell r="AA22">
            <v>570639.48000000138</v>
          </cell>
          <cell r="AB22">
            <v>618259.78000000166</v>
          </cell>
          <cell r="AI22">
            <v>34484.100000000006</v>
          </cell>
        </row>
        <row r="23">
          <cell r="B23" t="str">
            <v>Total</v>
          </cell>
          <cell r="D23">
            <v>438537.4700000005</v>
          </cell>
          <cell r="E23">
            <v>490000</v>
          </cell>
          <cell r="K23">
            <v>18532.41</v>
          </cell>
          <cell r="N23" t="str">
            <v>Ac Riomar</v>
          </cell>
          <cell r="P23">
            <v>154027.21000000017</v>
          </cell>
          <cell r="W23">
            <v>3198.3999999999992</v>
          </cell>
          <cell r="Z23" t="str">
            <v>Ms Riomar</v>
          </cell>
          <cell r="AA23">
            <v>200816.18999999936</v>
          </cell>
          <cell r="AB23">
            <v>108829.58999999972</v>
          </cell>
          <cell r="AI23">
            <v>2109.3000000000002</v>
          </cell>
        </row>
        <row r="24">
          <cell r="B24" t="str">
            <v>Ac Iguatemi</v>
          </cell>
          <cell r="D24">
            <v>188681.82000000088</v>
          </cell>
          <cell r="E24">
            <v>190000</v>
          </cell>
          <cell r="K24">
            <v>9682.590000000002</v>
          </cell>
          <cell r="N24" t="str">
            <v>Ac Aldeota</v>
          </cell>
          <cell r="P24">
            <v>122770.65999999942</v>
          </cell>
          <cell r="W24">
            <v>6589.5899999999956</v>
          </cell>
          <cell r="Z24" t="str">
            <v>Total</v>
          </cell>
          <cell r="AA24">
            <v>163731.31999999945</v>
          </cell>
          <cell r="AB24">
            <v>106904.10999999993</v>
          </cell>
          <cell r="AI24">
            <v>3292.9700000000003</v>
          </cell>
        </row>
        <row r="25">
          <cell r="B25" t="str">
            <v>Ac Riomar</v>
          </cell>
          <cell r="D25">
            <v>150764.60000000056</v>
          </cell>
          <cell r="E25">
            <v>170000</v>
          </cell>
          <cell r="K25">
            <v>4152.8499999999995</v>
          </cell>
          <cell r="N25" t="str">
            <v>Ac Cariri</v>
          </cell>
          <cell r="W25">
            <v>0</v>
          </cell>
          <cell r="Z25" t="str">
            <v>Ms Off Aldeota</v>
          </cell>
          <cell r="AA25">
            <v>114465.41999999952</v>
          </cell>
          <cell r="AB25">
            <v>62512.990000000063</v>
          </cell>
          <cell r="AI25">
            <v>1413.9899999999998</v>
          </cell>
        </row>
        <row r="26">
          <cell r="B26" t="str">
            <v>Ac Aldeota</v>
          </cell>
          <cell r="D26">
            <v>99091.049999999028</v>
          </cell>
          <cell r="E26">
            <v>130000</v>
          </cell>
          <cell r="K26">
            <v>4696.97</v>
          </cell>
          <cell r="N26" t="str">
            <v>Total</v>
          </cell>
          <cell r="P26">
            <v>204014.7899999994</v>
          </cell>
          <cell r="W26">
            <v>7815.4999999999982</v>
          </cell>
          <cell r="Z26" t="str">
            <v>Ms Off Caucaia</v>
          </cell>
          <cell r="AA26">
            <v>49265.899999999943</v>
          </cell>
          <cell r="AB26">
            <v>44391.119999999857</v>
          </cell>
          <cell r="AI26">
            <v>1878.9800000000005</v>
          </cell>
        </row>
        <row r="27">
          <cell r="B27" t="str">
            <v>Ac Cariri</v>
          </cell>
          <cell r="E27">
            <v>0</v>
          </cell>
          <cell r="K27">
            <v>0</v>
          </cell>
          <cell r="N27" t="str">
            <v>E-Commerce</v>
          </cell>
          <cell r="P27">
            <v>204014.7899999994</v>
          </cell>
          <cell r="W27">
            <v>7815.4999999999982</v>
          </cell>
          <cell r="Z27" t="str">
            <v>Total</v>
          </cell>
          <cell r="AA27">
            <v>637957</v>
          </cell>
          <cell r="AB27">
            <v>574930.26</v>
          </cell>
          <cell r="AI27">
            <v>28536</v>
          </cell>
        </row>
        <row r="28">
          <cell r="B28" t="str">
            <v>Total</v>
          </cell>
          <cell r="D28">
            <v>212936.70999999935</v>
          </cell>
          <cell r="E28">
            <v>215000</v>
          </cell>
          <cell r="K28">
            <v>4520.5599999999986</v>
          </cell>
          <cell r="N28" t="str">
            <v>Total</v>
          </cell>
          <cell r="P28">
            <v>153533.31999999969</v>
          </cell>
          <cell r="W28">
            <v>4258.6100000000006</v>
          </cell>
          <cell r="Z28" t="str">
            <v>Stz Aldeota</v>
          </cell>
          <cell r="AA28">
            <v>149399.5</v>
          </cell>
          <cell r="AB28">
            <v>130572.99999999999</v>
          </cell>
          <cell r="AI28">
            <v>4770</v>
          </cell>
        </row>
        <row r="29">
          <cell r="B29" t="str">
            <v>Ms Off Aldeota</v>
          </cell>
          <cell r="D29">
            <v>108007.77999999974</v>
          </cell>
          <cell r="E29">
            <v>100000</v>
          </cell>
          <cell r="K29">
            <v>3232.739999999998</v>
          </cell>
          <cell r="N29" t="str">
            <v>Ms Off Caucaia</v>
          </cell>
          <cell r="P29">
            <v>99069.939999999566</v>
          </cell>
          <cell r="W29">
            <v>2498.63</v>
          </cell>
          <cell r="Z29" t="str">
            <v>Stz Iguatemi</v>
          </cell>
          <cell r="AA29">
            <v>258857.50000000003</v>
          </cell>
          <cell r="AB29">
            <v>213658.25999999998</v>
          </cell>
          <cell r="AI29">
            <v>6218</v>
          </cell>
        </row>
        <row r="30">
          <cell r="B30" t="str">
            <v>Ms Off Caucaia</v>
          </cell>
          <cell r="D30">
            <v>104928.92999999961</v>
          </cell>
          <cell r="E30">
            <v>115000</v>
          </cell>
          <cell r="K30">
            <v>1287.8200000000002</v>
          </cell>
          <cell r="N30" t="str">
            <v>Ms Off Aldeota</v>
          </cell>
          <cell r="P30">
            <v>54463.380000000107</v>
          </cell>
          <cell r="W30">
            <v>1759.9800000000002</v>
          </cell>
          <cell r="Z30" t="str">
            <v>Stz Riomar</v>
          </cell>
          <cell r="AA30">
            <v>229700</v>
          </cell>
          <cell r="AB30">
            <v>230699</v>
          </cell>
          <cell r="AI30">
            <v>17548</v>
          </cell>
        </row>
        <row r="31">
          <cell r="D31">
            <v>7901746.7100000139</v>
          </cell>
          <cell r="E31">
            <v>7810000</v>
          </cell>
          <cell r="K31">
            <v>253007.69</v>
          </cell>
          <cell r="P31">
            <v>6808661.6299999813</v>
          </cell>
          <cell r="W31">
            <v>191950.78000000009</v>
          </cell>
          <cell r="AA31">
            <v>4892646.0300000068</v>
          </cell>
          <cell r="AB31">
            <v>4418240.0700000087</v>
          </cell>
          <cell r="AI31">
            <v>210595.55</v>
          </cell>
        </row>
      </sheetData>
      <sheetData sheetId="3"/>
      <sheetData sheetId="4">
        <row r="6">
          <cell r="H6" t="str">
            <v>MS Riomar</v>
          </cell>
          <cell r="I6">
            <v>4294.82</v>
          </cell>
        </row>
        <row r="7">
          <cell r="H7" t="str">
            <v>MS Maison</v>
          </cell>
          <cell r="I7">
            <v>2128</v>
          </cell>
        </row>
        <row r="8">
          <cell r="H8" t="str">
            <v>MS Maison</v>
          </cell>
          <cell r="I8">
            <v>9135.5</v>
          </cell>
        </row>
        <row r="9">
          <cell r="H9" t="str">
            <v>AZZ 408</v>
          </cell>
          <cell r="I9">
            <v>611.87</v>
          </cell>
        </row>
        <row r="10">
          <cell r="H10" t="str">
            <v>AZZ 408</v>
          </cell>
          <cell r="I10">
            <v>1374.8300000000002</v>
          </cell>
        </row>
        <row r="11">
          <cell r="H11" t="str">
            <v>AZZ 408</v>
          </cell>
          <cell r="I11">
            <v>545.86</v>
          </cell>
        </row>
        <row r="12">
          <cell r="H12" t="str">
            <v>AZZ Riomar</v>
          </cell>
          <cell r="I12">
            <v>7153.7000000000007</v>
          </cell>
        </row>
        <row r="13">
          <cell r="H13" t="str">
            <v>MS Iguatemi</v>
          </cell>
          <cell r="I13">
            <v>5731.5700000000006</v>
          </cell>
        </row>
        <row r="14">
          <cell r="H14" t="str">
            <v>MS Iguatemi</v>
          </cell>
          <cell r="I14">
            <v>308.75</v>
          </cell>
        </row>
        <row r="15">
          <cell r="H15" t="str">
            <v>MS Maison</v>
          </cell>
          <cell r="I15">
            <v>4149.07</v>
          </cell>
        </row>
        <row r="16">
          <cell r="H16" t="str">
            <v>STZ Iguatemi</v>
          </cell>
          <cell r="I16">
            <v>12407.47</v>
          </cell>
        </row>
        <row r="17">
          <cell r="H17" t="str">
            <v>AZZ Dom Luís</v>
          </cell>
          <cell r="I17">
            <v>903.82999999999993</v>
          </cell>
        </row>
        <row r="18">
          <cell r="H18" t="str">
            <v>AZZ Dom Luís</v>
          </cell>
          <cell r="I18">
            <v>8316.2100000000009</v>
          </cell>
        </row>
        <row r="19">
          <cell r="H19" t="str">
            <v>AZZ Kennedy</v>
          </cell>
          <cell r="I19">
            <v>1299.7600000000002</v>
          </cell>
        </row>
        <row r="20">
          <cell r="H20" t="str">
            <v>AZZ Cariri</v>
          </cell>
          <cell r="I20">
            <v>1667.3400000000001</v>
          </cell>
        </row>
        <row r="21">
          <cell r="H21" t="str">
            <v>MS Riomar</v>
          </cell>
          <cell r="I21">
            <v>2994.7899999999995</v>
          </cell>
        </row>
        <row r="22">
          <cell r="H22" t="str">
            <v>STZ Iguatemi</v>
          </cell>
          <cell r="I22">
            <v>2139</v>
          </cell>
        </row>
        <row r="23">
          <cell r="H23" t="str">
            <v>E-commerce</v>
          </cell>
          <cell r="I23">
            <v>232115.20999999964</v>
          </cell>
        </row>
        <row r="24">
          <cell r="H24" t="str">
            <v>AZZ 90</v>
          </cell>
          <cell r="I24">
            <v>6318.16</v>
          </cell>
        </row>
        <row r="25">
          <cell r="H25" t="str">
            <v>MS Iguatemi</v>
          </cell>
          <cell r="I25">
            <v>4110.1499999999996</v>
          </cell>
        </row>
        <row r="26">
          <cell r="H26" t="str">
            <v>STZ Iguatemi</v>
          </cell>
          <cell r="I26">
            <v>1652</v>
          </cell>
        </row>
        <row r="27">
          <cell r="H27" t="str">
            <v>AZZ 90</v>
          </cell>
          <cell r="I27">
            <v>6567.6900000000005</v>
          </cell>
        </row>
        <row r="28">
          <cell r="H28" t="str">
            <v>AZZ Dom Luís</v>
          </cell>
          <cell r="I28">
            <v>5129.53</v>
          </cell>
        </row>
        <row r="29">
          <cell r="H29" t="str">
            <v>AZZ Riomar</v>
          </cell>
          <cell r="I29">
            <v>727.86</v>
          </cell>
        </row>
        <row r="30">
          <cell r="H30" t="str">
            <v>STZ Riomar</v>
          </cell>
          <cell r="I30">
            <v>14562.1</v>
          </cell>
        </row>
        <row r="31">
          <cell r="H31" t="str">
            <v>MS Iguatemi</v>
          </cell>
          <cell r="I31">
            <v>8973.0299999999988</v>
          </cell>
        </row>
        <row r="32">
          <cell r="H32" t="str">
            <v>MS OFF Aldeota</v>
          </cell>
          <cell r="I32">
            <v>110</v>
          </cell>
        </row>
        <row r="33">
          <cell r="H33" t="str">
            <v>AZZ Cariri</v>
          </cell>
          <cell r="I33">
            <v>270.66000000000003</v>
          </cell>
        </row>
        <row r="34">
          <cell r="H34" t="str">
            <v>AC Iguatemi</v>
          </cell>
          <cell r="I34">
            <v>7646.3400000000029</v>
          </cell>
        </row>
        <row r="35">
          <cell r="H35" t="str">
            <v>AZZ Kennedy</v>
          </cell>
          <cell r="I35">
            <v>775.84</v>
          </cell>
        </row>
        <row r="36">
          <cell r="H36" t="str">
            <v>AZZ Riomar</v>
          </cell>
          <cell r="I36">
            <v>6320.630000000001</v>
          </cell>
        </row>
        <row r="37">
          <cell r="H37" t="str">
            <v>AZZ Centro</v>
          </cell>
          <cell r="I37">
            <v>341.9</v>
          </cell>
        </row>
        <row r="38">
          <cell r="H38" t="str">
            <v>AZZ 408</v>
          </cell>
          <cell r="I38">
            <v>1358.1999999999998</v>
          </cell>
        </row>
        <row r="39">
          <cell r="H39" t="str">
            <v>AZZ Riomar</v>
          </cell>
          <cell r="I39">
            <v>2350.5300000000002</v>
          </cell>
        </row>
        <row r="40">
          <cell r="H40" t="str">
            <v>AZZ Dom Luís</v>
          </cell>
          <cell r="I40">
            <v>1462.4</v>
          </cell>
        </row>
        <row r="41">
          <cell r="H41" t="str">
            <v>AZZ Dom Luís</v>
          </cell>
          <cell r="I41">
            <v>3839.2400000000002</v>
          </cell>
        </row>
        <row r="42">
          <cell r="H42" t="str">
            <v>AZZ Cariri</v>
          </cell>
          <cell r="I42">
            <v>1351.56</v>
          </cell>
        </row>
        <row r="43">
          <cell r="H43" t="str">
            <v>MS Maison</v>
          </cell>
          <cell r="I43">
            <v>764.81999999999994</v>
          </cell>
        </row>
        <row r="44">
          <cell r="H44" t="str">
            <v>MS Iguatemi</v>
          </cell>
          <cell r="I44">
            <v>6318.8299999999981</v>
          </cell>
        </row>
        <row r="45">
          <cell r="H45" t="str">
            <v>MS Off Caucaia</v>
          </cell>
          <cell r="I45">
            <v>435.05</v>
          </cell>
        </row>
        <row r="46">
          <cell r="H46" t="str">
            <v>AZZ 90</v>
          </cell>
          <cell r="I46">
            <v>1649.6299999999999</v>
          </cell>
        </row>
        <row r="47">
          <cell r="H47" t="str">
            <v>STZ Riomar</v>
          </cell>
          <cell r="I47">
            <v>455.94</v>
          </cell>
        </row>
        <row r="48">
          <cell r="H48" t="str">
            <v>STZ Iguatemi</v>
          </cell>
          <cell r="I48">
            <v>17349.019999999997</v>
          </cell>
        </row>
        <row r="49">
          <cell r="H49" t="str">
            <v>AZZ 408</v>
          </cell>
          <cell r="I49">
            <v>459.8</v>
          </cell>
        </row>
        <row r="50">
          <cell r="H50" t="str">
            <v>AZZ Riomar</v>
          </cell>
          <cell r="I50">
            <v>1399.13</v>
          </cell>
        </row>
        <row r="51">
          <cell r="H51" t="str">
            <v>AZZ Cariri</v>
          </cell>
          <cell r="I51">
            <v>284.94</v>
          </cell>
        </row>
        <row r="52">
          <cell r="H52" t="str">
            <v>MS Maison</v>
          </cell>
          <cell r="I52">
            <v>771.83999999999992</v>
          </cell>
        </row>
        <row r="53">
          <cell r="H53" t="str">
            <v>AC Iguatemi</v>
          </cell>
          <cell r="I53">
            <v>603.70000000000005</v>
          </cell>
        </row>
        <row r="54">
          <cell r="H54" t="str">
            <v>AZZ Kennedy</v>
          </cell>
          <cell r="I54">
            <v>1359.83</v>
          </cell>
        </row>
        <row r="55">
          <cell r="H55" t="str">
            <v>STZ Iguatemi</v>
          </cell>
          <cell r="I55">
            <v>1951.24</v>
          </cell>
        </row>
        <row r="56">
          <cell r="H56" t="str">
            <v>AZZ Riomar</v>
          </cell>
          <cell r="I56">
            <v>4401.01</v>
          </cell>
        </row>
        <row r="57">
          <cell r="H57" t="str">
            <v>AZZ 90</v>
          </cell>
          <cell r="I57">
            <v>883.4</v>
          </cell>
        </row>
        <row r="58">
          <cell r="H58" t="str">
            <v>STZ Riomar</v>
          </cell>
          <cell r="I58">
            <v>295</v>
          </cell>
        </row>
        <row r="59">
          <cell r="H59" t="str">
            <v>STZ Iguatemi</v>
          </cell>
          <cell r="I59">
            <v>12106.880000000001</v>
          </cell>
        </row>
        <row r="60">
          <cell r="H60" t="str">
            <v>MS Off Caucaia</v>
          </cell>
          <cell r="I60">
            <v>162.36000000000001</v>
          </cell>
        </row>
        <row r="61">
          <cell r="H61" t="str">
            <v>STZ Riomar</v>
          </cell>
          <cell r="I61">
            <v>4822.95</v>
          </cell>
        </row>
        <row r="62">
          <cell r="H62" t="str">
            <v>MS Off Caucaia</v>
          </cell>
          <cell r="I62">
            <v>227.94</v>
          </cell>
        </row>
        <row r="63">
          <cell r="H63" t="str">
            <v>AZZ Riomar</v>
          </cell>
          <cell r="I63">
            <v>1342.2799999999997</v>
          </cell>
        </row>
        <row r="64">
          <cell r="H64" t="str">
            <v>AC Iguatemi</v>
          </cell>
          <cell r="I64">
            <v>209.93</v>
          </cell>
        </row>
        <row r="65">
          <cell r="H65" t="str">
            <v>MS OFF Aldeota</v>
          </cell>
          <cell r="I65">
            <v>1556.08</v>
          </cell>
        </row>
        <row r="66">
          <cell r="H66" t="str">
            <v>AZZ 90</v>
          </cell>
          <cell r="I66">
            <v>-170.95</v>
          </cell>
        </row>
        <row r="67">
          <cell r="H67" t="str">
            <v>MS Off Caucaia</v>
          </cell>
          <cell r="I67">
            <v>219.38</v>
          </cell>
        </row>
        <row r="68">
          <cell r="H68" t="str">
            <v>STZ Iguatemi</v>
          </cell>
          <cell r="I68">
            <v>16970.88</v>
          </cell>
        </row>
        <row r="69">
          <cell r="H69" t="str">
            <v>AZZ 90</v>
          </cell>
          <cell r="I69">
            <v>811.93</v>
          </cell>
        </row>
        <row r="70">
          <cell r="H70" t="str">
            <v>AZZ Dom Luís</v>
          </cell>
          <cell r="I70">
            <v>3553.54</v>
          </cell>
        </row>
        <row r="71">
          <cell r="H71" t="str">
            <v>MS Maison</v>
          </cell>
          <cell r="I71">
            <v>449.95</v>
          </cell>
        </row>
        <row r="72">
          <cell r="H72" t="str">
            <v>MS OFF Aldeota</v>
          </cell>
          <cell r="I72">
            <v>719.94</v>
          </cell>
        </row>
        <row r="73">
          <cell r="H73" t="str">
            <v>STZ Riomar</v>
          </cell>
          <cell r="I73">
            <v>1980</v>
          </cell>
        </row>
        <row r="74">
          <cell r="H74" t="str">
            <v>AZZ Riomar</v>
          </cell>
          <cell r="I74">
            <v>436.9</v>
          </cell>
        </row>
        <row r="75">
          <cell r="H75" t="str">
            <v>AZZ Dom Luís</v>
          </cell>
          <cell r="I75">
            <v>2177.6099999999997</v>
          </cell>
        </row>
        <row r="76">
          <cell r="H76" t="str">
            <v>AZZ Kennedy</v>
          </cell>
          <cell r="I76">
            <v>1113.0999999999999</v>
          </cell>
        </row>
        <row r="77">
          <cell r="H77" t="str">
            <v>MS Iguatemi</v>
          </cell>
          <cell r="I77">
            <v>721.8</v>
          </cell>
        </row>
        <row r="78">
          <cell r="H78" t="str">
            <v>MS Riomar</v>
          </cell>
          <cell r="I78">
            <v>2357.09</v>
          </cell>
        </row>
        <row r="79">
          <cell r="H79" t="str">
            <v>MS Riomar</v>
          </cell>
          <cell r="I79">
            <v>6215.08</v>
          </cell>
        </row>
        <row r="80">
          <cell r="H80" t="str">
            <v>AC Iguatemi</v>
          </cell>
          <cell r="I80">
            <v>269.91000000000003</v>
          </cell>
        </row>
        <row r="81">
          <cell r="H81" t="str">
            <v>AC Iguatemi</v>
          </cell>
          <cell r="I81">
            <v>576.1</v>
          </cell>
        </row>
        <row r="82">
          <cell r="H82" t="str">
            <v>MS Off Caucaia</v>
          </cell>
          <cell r="I82">
            <v>215.94</v>
          </cell>
        </row>
        <row r="83">
          <cell r="H83" t="str">
            <v>STZ Riomar</v>
          </cell>
          <cell r="I83">
            <v>260</v>
          </cell>
        </row>
        <row r="84">
          <cell r="H84" t="str">
            <v>STZ Riomar</v>
          </cell>
          <cell r="I84">
            <v>4355.5</v>
          </cell>
        </row>
        <row r="85">
          <cell r="H85" t="str">
            <v>E-commerce</v>
          </cell>
          <cell r="I85">
            <v>1150.3400000000001</v>
          </cell>
        </row>
        <row r="86">
          <cell r="H86" t="str">
            <v>AC Iguatemi</v>
          </cell>
          <cell r="I86">
            <v>3557.17</v>
          </cell>
        </row>
        <row r="87">
          <cell r="H87" t="str">
            <v>AC Iguatemi</v>
          </cell>
          <cell r="I87">
            <v>235.23000000000002</v>
          </cell>
        </row>
        <row r="88">
          <cell r="H88" t="str">
            <v/>
          </cell>
          <cell r="I88">
            <v>479133.43999999983</v>
          </cell>
        </row>
        <row r="89">
          <cell r="H89" t="str">
            <v/>
          </cell>
          <cell r="I89">
            <v>0</v>
          </cell>
        </row>
        <row r="90">
          <cell r="H90" t="str">
            <v/>
          </cell>
          <cell r="I90">
            <v>0</v>
          </cell>
        </row>
        <row r="91">
          <cell r="H91" t="str">
            <v/>
          </cell>
          <cell r="I91">
            <v>0</v>
          </cell>
        </row>
        <row r="92">
          <cell r="H92" t="str">
            <v/>
          </cell>
          <cell r="I92">
            <v>0</v>
          </cell>
        </row>
        <row r="93">
          <cell r="H93" t="str">
            <v/>
          </cell>
          <cell r="I93">
            <v>0</v>
          </cell>
        </row>
        <row r="94">
          <cell r="H94" t="str">
            <v/>
          </cell>
          <cell r="I94">
            <v>0</v>
          </cell>
        </row>
        <row r="95">
          <cell r="H95" t="str">
            <v/>
          </cell>
          <cell r="I95">
            <v>0</v>
          </cell>
        </row>
        <row r="96">
          <cell r="H96" t="str">
            <v/>
          </cell>
          <cell r="I96">
            <v>0</v>
          </cell>
        </row>
        <row r="97">
          <cell r="H97" t="str">
            <v/>
          </cell>
          <cell r="I97">
            <v>0</v>
          </cell>
        </row>
        <row r="98">
          <cell r="H98" t="str">
            <v/>
          </cell>
          <cell r="I98">
            <v>0</v>
          </cell>
        </row>
        <row r="99">
          <cell r="H99" t="str">
            <v/>
          </cell>
          <cell r="I99">
            <v>0</v>
          </cell>
        </row>
        <row r="100">
          <cell r="H100" t="str">
            <v/>
          </cell>
          <cell r="I100">
            <v>0</v>
          </cell>
        </row>
        <row r="101">
          <cell r="H101" t="str">
            <v/>
          </cell>
          <cell r="I101">
            <v>0</v>
          </cell>
        </row>
      </sheetData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showGridLines="0" workbookViewId="0">
      <selection activeCell="E22" sqref="E22"/>
    </sheetView>
  </sheetViews>
  <sheetFormatPr defaultColWidth="9.109375" defaultRowHeight="14.4" x14ac:dyDescent="0.3"/>
  <cols>
    <col min="1" max="1" width="15.5546875" style="50" bestFit="1" customWidth="1"/>
    <col min="2" max="2" width="15.44140625" style="51" bestFit="1" customWidth="1"/>
    <col min="3" max="4" width="9.109375" style="50"/>
    <col min="5" max="5" width="15.44140625" style="51" bestFit="1" customWidth="1"/>
    <col min="6" max="7" width="9.109375" style="50"/>
    <col min="8" max="8" width="15.44140625" style="51" bestFit="1" customWidth="1"/>
    <col min="9" max="10" width="9.109375" style="50"/>
    <col min="11" max="11" width="15.44140625" style="50" bestFit="1" customWidth="1"/>
    <col min="12" max="12" width="10.5546875" style="50" bestFit="1" customWidth="1"/>
    <col min="13" max="16384" width="9.109375" style="50"/>
  </cols>
  <sheetData>
    <row r="1" spans="1:12" s="59" customFormat="1" x14ac:dyDescent="0.3">
      <c r="A1" s="57" t="s">
        <v>90</v>
      </c>
      <c r="B1" s="58" t="s">
        <v>91</v>
      </c>
      <c r="C1" s="57" t="s">
        <v>92</v>
      </c>
      <c r="E1" s="58" t="s">
        <v>11</v>
      </c>
      <c r="F1" s="57" t="s">
        <v>92</v>
      </c>
      <c r="H1" s="58" t="s">
        <v>27</v>
      </c>
      <c r="I1" s="57" t="s">
        <v>92</v>
      </c>
    </row>
    <row r="2" spans="1:12" x14ac:dyDescent="0.3">
      <c r="A2" s="60" t="s">
        <v>89</v>
      </c>
      <c r="B2" s="61">
        <f>H2+E2</f>
        <v>3426.7</v>
      </c>
      <c r="C2" s="62">
        <f>B2/$B$11</f>
        <v>4.3840843218046583E-3</v>
      </c>
      <c r="E2" s="61">
        <v>3426.7</v>
      </c>
      <c r="F2" s="62">
        <f>E2/$E$11</f>
        <v>6.4412370904578476E-3</v>
      </c>
      <c r="H2" s="61">
        <v>0</v>
      </c>
      <c r="I2" s="62">
        <f>H2/$H$11</f>
        <v>0</v>
      </c>
    </row>
    <row r="3" spans="1:12" x14ac:dyDescent="0.3">
      <c r="A3" s="50" t="s">
        <v>93</v>
      </c>
      <c r="B3" s="51">
        <f t="shared" ref="B3:B10" si="0">H3+E3</f>
        <v>41663.980000000003</v>
      </c>
      <c r="C3" s="63">
        <f t="shared" ref="C3:C10" si="1">B3/$B$11</f>
        <v>5.3304462457169542E-2</v>
      </c>
      <c r="E3" s="51">
        <v>39013.980000000003</v>
      </c>
      <c r="F3" s="63">
        <f t="shared" ref="F3:F10" si="2">E3/$E$11</f>
        <v>7.3335364934887987E-2</v>
      </c>
      <c r="H3" s="51">
        <v>2650</v>
      </c>
      <c r="I3" s="63">
        <f t="shared" ref="I3:I10" si="3">H3/$H$11</f>
        <v>1.0615768237509267E-2</v>
      </c>
    </row>
    <row r="4" spans="1:12" x14ac:dyDescent="0.3">
      <c r="A4" s="50" t="s">
        <v>94</v>
      </c>
      <c r="B4" s="51">
        <f t="shared" si="0"/>
        <v>517385.53</v>
      </c>
      <c r="C4" s="63">
        <f t="shared" si="1"/>
        <v>0.66193766317494795</v>
      </c>
      <c r="E4" s="51">
        <v>366450.43000000005</v>
      </c>
      <c r="F4" s="63">
        <f t="shared" si="2"/>
        <v>0.68882426285645881</v>
      </c>
      <c r="H4" s="51">
        <v>150935.1</v>
      </c>
      <c r="I4" s="63">
        <f t="shared" si="3"/>
        <v>0.60463850585105094</v>
      </c>
    </row>
    <row r="5" spans="1:12" x14ac:dyDescent="0.3">
      <c r="A5" s="60" t="s">
        <v>88</v>
      </c>
      <c r="B5" s="61">
        <f t="shared" si="0"/>
        <v>51507.66</v>
      </c>
      <c r="C5" s="62">
        <f t="shared" si="1"/>
        <v>6.5898364215964331E-2</v>
      </c>
      <c r="E5" s="61">
        <v>34613.660000000003</v>
      </c>
      <c r="F5" s="62">
        <f t="shared" si="2"/>
        <v>6.5063994697083849E-2</v>
      </c>
      <c r="H5" s="61">
        <v>16894</v>
      </c>
      <c r="I5" s="62">
        <f t="shared" si="3"/>
        <v>6.7676524001691149E-2</v>
      </c>
    </row>
    <row r="6" spans="1:12" x14ac:dyDescent="0.3">
      <c r="A6" s="60" t="s">
        <v>95</v>
      </c>
      <c r="B6" s="61">
        <f t="shared" si="0"/>
        <v>101974.17000000001</v>
      </c>
      <c r="C6" s="62">
        <f t="shared" si="1"/>
        <v>0.13046469195612193</v>
      </c>
      <c r="E6" s="61">
        <v>54628.610000000008</v>
      </c>
      <c r="F6" s="62">
        <f t="shared" si="2"/>
        <v>0.10268649981969724</v>
      </c>
      <c r="H6" s="61">
        <v>47345.56</v>
      </c>
      <c r="I6" s="62">
        <f t="shared" si="3"/>
        <v>0.18966395925852422</v>
      </c>
    </row>
    <row r="7" spans="1:12" x14ac:dyDescent="0.3">
      <c r="A7" s="50" t="s">
        <v>96</v>
      </c>
      <c r="B7" s="51">
        <f t="shared" si="0"/>
        <v>11634.89</v>
      </c>
      <c r="C7" s="63">
        <f t="shared" si="1"/>
        <v>1.488555719348697E-2</v>
      </c>
      <c r="E7" s="51">
        <v>3556.89</v>
      </c>
      <c r="F7" s="63">
        <f t="shared" si="2"/>
        <v>6.685957858779179E-3</v>
      </c>
      <c r="H7" s="51">
        <v>8078</v>
      </c>
      <c r="I7" s="63">
        <f t="shared" si="3"/>
        <v>3.236006634815089E-2</v>
      </c>
    </row>
    <row r="8" spans="1:12" x14ac:dyDescent="0.3">
      <c r="A8" s="50" t="s">
        <v>97</v>
      </c>
      <c r="B8" s="51">
        <f t="shared" si="0"/>
        <v>14794.36</v>
      </c>
      <c r="C8" s="63">
        <f t="shared" si="1"/>
        <v>1.8927750234083513E-2</v>
      </c>
      <c r="E8" s="51">
        <v>14794.36</v>
      </c>
      <c r="F8" s="63">
        <f t="shared" si="2"/>
        <v>2.7809256824812785E-2</v>
      </c>
      <c r="H8" s="51">
        <v>0</v>
      </c>
      <c r="I8" s="63">
        <f t="shared" si="3"/>
        <v>0</v>
      </c>
    </row>
    <row r="9" spans="1:12" x14ac:dyDescent="0.3">
      <c r="A9" s="50" t="s">
        <v>98</v>
      </c>
      <c r="B9" s="51">
        <f t="shared" si="0"/>
        <v>27970.050000000003</v>
      </c>
      <c r="C9" s="63">
        <f t="shared" si="1"/>
        <v>3.578459091402586E-2</v>
      </c>
      <c r="E9" s="51">
        <v>11514.050000000001</v>
      </c>
      <c r="F9" s="63">
        <f t="shared" si="2"/>
        <v>2.1643191969354245E-2</v>
      </c>
      <c r="H9" s="51">
        <v>16456</v>
      </c>
      <c r="I9" s="63">
        <f t="shared" si="3"/>
        <v>6.5921917779793393E-2</v>
      </c>
    </row>
    <row r="10" spans="1:12" x14ac:dyDescent="0.3">
      <c r="A10" s="60" t="s">
        <v>99</v>
      </c>
      <c r="B10" s="61">
        <f t="shared" si="0"/>
        <v>11265.4</v>
      </c>
      <c r="C10" s="62">
        <f t="shared" si="1"/>
        <v>1.4412835532395073E-2</v>
      </c>
      <c r="E10" s="61">
        <v>3995.4</v>
      </c>
      <c r="F10" s="62">
        <f t="shared" si="2"/>
        <v>7.5102339484679967E-3</v>
      </c>
      <c r="H10" s="61">
        <v>7270</v>
      </c>
      <c r="I10" s="62">
        <f t="shared" si="3"/>
        <v>2.9123258523280141E-2</v>
      </c>
    </row>
    <row r="11" spans="1:12" x14ac:dyDescent="0.3">
      <c r="A11" s="64" t="s">
        <v>44</v>
      </c>
      <c r="B11" s="65">
        <f>SUM(B2:B10)</f>
        <v>781622.74000000022</v>
      </c>
      <c r="C11" s="66">
        <f>SUM(C2:C10)</f>
        <v>0.99999999999999967</v>
      </c>
      <c r="E11" s="65">
        <f>SUM(E2:E10)</f>
        <v>531994.08000000007</v>
      </c>
      <c r="F11" s="66">
        <f>SUM(F2:F10)</f>
        <v>1</v>
      </c>
      <c r="H11" s="65">
        <f>SUM(H2:H10)</f>
        <v>249628.66</v>
      </c>
      <c r="I11" s="66">
        <f>SUM(I2:I10)</f>
        <v>1</v>
      </c>
      <c r="K11" s="67"/>
    </row>
    <row r="13" spans="1:12" x14ac:dyDescent="0.3">
      <c r="A13" s="60" t="s">
        <v>100</v>
      </c>
      <c r="B13" s="61">
        <f>E13+H13</f>
        <v>48868.61</v>
      </c>
      <c r="C13" s="62">
        <f>B13/B11</f>
        <v>6.2521991107884076E-2</v>
      </c>
      <c r="E13" s="61">
        <v>34798.61</v>
      </c>
      <c r="F13" s="62">
        <f>E13/E11</f>
        <v>6.5411648941657394E-2</v>
      </c>
      <c r="H13" s="61">
        <v>14070</v>
      </c>
      <c r="I13" s="62">
        <f>H13/H11</f>
        <v>5.6363720415756748E-2</v>
      </c>
    </row>
    <row r="15" spans="1:12" s="71" customFormat="1" x14ac:dyDescent="0.3">
      <c r="A15" s="68" t="s">
        <v>101</v>
      </c>
      <c r="B15" s="69">
        <f>B2+B5+B6+B10+B13</f>
        <v>217042.54000000004</v>
      </c>
      <c r="C15" s="70">
        <f>C2+C5+C6+C10+C13</f>
        <v>0.27768196713417009</v>
      </c>
      <c r="E15" s="69">
        <f>E2+E5+E6+E10+E13</f>
        <v>131462.97999999998</v>
      </c>
      <c r="F15" s="70">
        <f>F2+F5+F6+F10+F13</f>
        <v>0.24711361449736435</v>
      </c>
      <c r="H15" s="69">
        <f>H2+H5+H6+H10+H13</f>
        <v>85579.56</v>
      </c>
      <c r="I15" s="70">
        <f>I2+I5+I6+I10+I13</f>
        <v>0.34282746219925225</v>
      </c>
      <c r="K15" s="72"/>
      <c r="L15" s="73"/>
    </row>
    <row r="17" spans="1:3" x14ac:dyDescent="0.3">
      <c r="A17" s="71"/>
      <c r="B17" s="74" t="s">
        <v>45</v>
      </c>
      <c r="C17" s="75">
        <v>0.30530000000000002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DD20-67AD-428B-BD62-76337AB044FF}">
  <dimension ref="A1:J33"/>
  <sheetViews>
    <sheetView zoomScaleNormal="100" workbookViewId="0">
      <pane xSplit="1" ySplit="2" topLeftCell="C18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ColWidth="9.109375" defaultRowHeight="14.4" x14ac:dyDescent="0.3"/>
  <cols>
    <col min="1" max="1" width="25.33203125" style="212" bestFit="1" customWidth="1"/>
    <col min="2" max="9" width="20.44140625" style="212" customWidth="1"/>
    <col min="10" max="16384" width="9.109375" style="212"/>
  </cols>
  <sheetData>
    <row r="1" spans="1:10" x14ac:dyDescent="0.3">
      <c r="B1" s="302" t="s">
        <v>229</v>
      </c>
      <c r="C1" s="302"/>
      <c r="D1" s="302"/>
      <c r="E1" s="302"/>
      <c r="F1" s="302" t="s">
        <v>228</v>
      </c>
      <c r="G1" s="302"/>
      <c r="H1" s="302"/>
      <c r="I1" s="302"/>
      <c r="J1" s="225"/>
    </row>
    <row r="2" spans="1:10" x14ac:dyDescent="0.3">
      <c r="A2" s="224" t="s">
        <v>105</v>
      </c>
      <c r="B2" s="222" t="s">
        <v>227</v>
      </c>
      <c r="C2" s="222" t="s">
        <v>226</v>
      </c>
      <c r="D2" s="222" t="s">
        <v>135</v>
      </c>
      <c r="E2" s="222" t="s">
        <v>225</v>
      </c>
      <c r="F2" s="223" t="s">
        <v>224</v>
      </c>
      <c r="G2" s="223" t="s">
        <v>223</v>
      </c>
      <c r="H2" s="223" t="s">
        <v>222</v>
      </c>
      <c r="I2" s="222" t="s">
        <v>221</v>
      </c>
    </row>
    <row r="3" spans="1:10" x14ac:dyDescent="0.3">
      <c r="A3" s="220" t="s">
        <v>17</v>
      </c>
      <c r="B3" s="218">
        <v>4045000</v>
      </c>
      <c r="C3" s="218">
        <v>4445000</v>
      </c>
      <c r="D3" s="218">
        <v>7060000</v>
      </c>
      <c r="E3" s="218">
        <f t="shared" ref="E3:E24" si="0">B3+C3+D3</f>
        <v>15550000</v>
      </c>
      <c r="F3" s="218">
        <f>SUM(F4:F11)</f>
        <v>40450</v>
      </c>
      <c r="G3" s="218">
        <f>SUM(G4:G11)</f>
        <v>44450</v>
      </c>
      <c r="H3" s="218">
        <f>SUM(H4:H11)</f>
        <v>70600</v>
      </c>
      <c r="I3" s="218">
        <f t="shared" ref="I3:I27" si="1">F3+G3+H3</f>
        <v>155500</v>
      </c>
    </row>
    <row r="4" spans="1:10" x14ac:dyDescent="0.3">
      <c r="A4" s="217" t="s">
        <v>19</v>
      </c>
      <c r="B4" s="216">
        <v>995000</v>
      </c>
      <c r="C4" s="216">
        <v>1030000</v>
      </c>
      <c r="D4" s="216">
        <v>1800000</v>
      </c>
      <c r="E4" s="216">
        <f t="shared" si="0"/>
        <v>3825000</v>
      </c>
      <c r="F4" s="216">
        <f t="shared" ref="F4:H11" si="2">B4*0.01</f>
        <v>9950</v>
      </c>
      <c r="G4" s="216">
        <f t="shared" si="2"/>
        <v>10300</v>
      </c>
      <c r="H4" s="216">
        <f t="shared" si="2"/>
        <v>18000</v>
      </c>
      <c r="I4" s="216">
        <f t="shared" si="1"/>
        <v>38250</v>
      </c>
    </row>
    <row r="5" spans="1:10" x14ac:dyDescent="0.3">
      <c r="A5" s="217" t="s">
        <v>18</v>
      </c>
      <c r="B5" s="216">
        <v>550000</v>
      </c>
      <c r="C5" s="216">
        <v>590000</v>
      </c>
      <c r="D5" s="216">
        <v>950000</v>
      </c>
      <c r="E5" s="216">
        <f t="shared" si="0"/>
        <v>2090000</v>
      </c>
      <c r="F5" s="216">
        <f t="shared" si="2"/>
        <v>5500</v>
      </c>
      <c r="G5" s="216">
        <f t="shared" si="2"/>
        <v>5900</v>
      </c>
      <c r="H5" s="216">
        <f t="shared" si="2"/>
        <v>9500</v>
      </c>
      <c r="I5" s="216">
        <f t="shared" si="1"/>
        <v>20900</v>
      </c>
    </row>
    <row r="6" spans="1:10" x14ac:dyDescent="0.3">
      <c r="A6" s="217" t="s">
        <v>116</v>
      </c>
      <c r="B6" s="216">
        <v>370000</v>
      </c>
      <c r="C6" s="216">
        <v>410000</v>
      </c>
      <c r="D6" s="216">
        <v>600000</v>
      </c>
      <c r="E6" s="216">
        <f t="shared" si="0"/>
        <v>1380000</v>
      </c>
      <c r="F6" s="216">
        <f t="shared" si="2"/>
        <v>3700</v>
      </c>
      <c r="G6" s="216">
        <f t="shared" si="2"/>
        <v>4100</v>
      </c>
      <c r="H6" s="216">
        <f t="shared" si="2"/>
        <v>6000</v>
      </c>
      <c r="I6" s="216">
        <f t="shared" si="1"/>
        <v>13800</v>
      </c>
    </row>
    <row r="7" spans="1:10" x14ac:dyDescent="0.3">
      <c r="A7" s="217" t="s">
        <v>117</v>
      </c>
      <c r="B7" s="216">
        <v>145000</v>
      </c>
      <c r="C7" s="216">
        <v>160000</v>
      </c>
      <c r="D7" s="216">
        <v>230000</v>
      </c>
      <c r="E7" s="216">
        <f t="shared" si="0"/>
        <v>535000</v>
      </c>
      <c r="F7" s="216">
        <f t="shared" si="2"/>
        <v>1450</v>
      </c>
      <c r="G7" s="216">
        <f t="shared" si="2"/>
        <v>1600</v>
      </c>
      <c r="H7" s="216">
        <f t="shared" si="2"/>
        <v>2300</v>
      </c>
      <c r="I7" s="216">
        <f t="shared" si="1"/>
        <v>5350</v>
      </c>
    </row>
    <row r="8" spans="1:10" x14ac:dyDescent="0.3">
      <c r="A8" s="217" t="s">
        <v>118</v>
      </c>
      <c r="B8" s="216">
        <v>710000</v>
      </c>
      <c r="C8" s="216">
        <v>800000</v>
      </c>
      <c r="D8" s="216">
        <v>1200000</v>
      </c>
      <c r="E8" s="216">
        <f t="shared" si="0"/>
        <v>2710000</v>
      </c>
      <c r="F8" s="216">
        <f t="shared" si="2"/>
        <v>7100</v>
      </c>
      <c r="G8" s="216">
        <f t="shared" si="2"/>
        <v>8000</v>
      </c>
      <c r="H8" s="216">
        <f t="shared" si="2"/>
        <v>12000</v>
      </c>
      <c r="I8" s="216">
        <f t="shared" si="1"/>
        <v>27100</v>
      </c>
    </row>
    <row r="9" spans="1:10" x14ac:dyDescent="0.3">
      <c r="A9" s="217" t="s">
        <v>119</v>
      </c>
      <c r="B9" s="216">
        <v>375000</v>
      </c>
      <c r="C9" s="216">
        <v>420000</v>
      </c>
      <c r="D9" s="216">
        <v>650000</v>
      </c>
      <c r="E9" s="216">
        <f t="shared" si="0"/>
        <v>1445000</v>
      </c>
      <c r="F9" s="216">
        <f t="shared" si="2"/>
        <v>3750</v>
      </c>
      <c r="G9" s="216">
        <f t="shared" si="2"/>
        <v>4200</v>
      </c>
      <c r="H9" s="216">
        <f t="shared" si="2"/>
        <v>6500</v>
      </c>
      <c r="I9" s="216">
        <f t="shared" si="1"/>
        <v>14450</v>
      </c>
    </row>
    <row r="10" spans="1:10" x14ac:dyDescent="0.3">
      <c r="A10" s="217" t="s">
        <v>120</v>
      </c>
      <c r="B10" s="216">
        <v>700000</v>
      </c>
      <c r="C10" s="216">
        <v>820000</v>
      </c>
      <c r="D10" s="216">
        <v>1300000</v>
      </c>
      <c r="E10" s="216">
        <f t="shared" si="0"/>
        <v>2820000</v>
      </c>
      <c r="F10" s="216">
        <f t="shared" si="2"/>
        <v>7000</v>
      </c>
      <c r="G10" s="216">
        <f t="shared" si="2"/>
        <v>8200</v>
      </c>
      <c r="H10" s="216">
        <f t="shared" si="2"/>
        <v>13000</v>
      </c>
      <c r="I10" s="216">
        <f t="shared" si="1"/>
        <v>28200</v>
      </c>
    </row>
    <row r="11" spans="1:10" x14ac:dyDescent="0.3">
      <c r="A11" s="217" t="s">
        <v>121</v>
      </c>
      <c r="B11" s="216">
        <v>200000</v>
      </c>
      <c r="C11" s="216">
        <v>215000</v>
      </c>
      <c r="D11" s="216">
        <v>330000</v>
      </c>
      <c r="E11" s="216">
        <f t="shared" si="0"/>
        <v>745000</v>
      </c>
      <c r="F11" s="216">
        <f t="shared" si="2"/>
        <v>2000</v>
      </c>
      <c r="G11" s="216">
        <f t="shared" si="2"/>
        <v>2150</v>
      </c>
      <c r="H11" s="216">
        <f t="shared" si="2"/>
        <v>3300</v>
      </c>
      <c r="I11" s="216">
        <f t="shared" si="1"/>
        <v>7450</v>
      </c>
    </row>
    <row r="12" spans="1:10" x14ac:dyDescent="0.3">
      <c r="A12" s="220" t="s">
        <v>11</v>
      </c>
      <c r="B12" s="218">
        <v>1700000</v>
      </c>
      <c r="C12" s="218">
        <v>1800000</v>
      </c>
      <c r="D12" s="218">
        <v>2850000</v>
      </c>
      <c r="E12" s="218">
        <f t="shared" si="0"/>
        <v>6350000</v>
      </c>
      <c r="F12" s="218">
        <f>SUM(F13:F15)</f>
        <v>17000</v>
      </c>
      <c r="G12" s="218">
        <f>SUM(G13:G15)</f>
        <v>18000</v>
      </c>
      <c r="H12" s="218">
        <f>SUM(H13:H15)</f>
        <v>28500</v>
      </c>
      <c r="I12" s="218">
        <f t="shared" si="1"/>
        <v>63500</v>
      </c>
    </row>
    <row r="13" spans="1:10" x14ac:dyDescent="0.3">
      <c r="A13" s="217" t="s">
        <v>123</v>
      </c>
      <c r="B13" s="216">
        <v>430000</v>
      </c>
      <c r="C13" s="216">
        <v>460000</v>
      </c>
      <c r="D13" s="216">
        <v>700000</v>
      </c>
      <c r="E13" s="216">
        <f t="shared" si="0"/>
        <v>1590000</v>
      </c>
      <c r="F13" s="216">
        <f t="shared" ref="F13:H15" si="3">B13*0.01</f>
        <v>4300</v>
      </c>
      <c r="G13" s="216">
        <f t="shared" si="3"/>
        <v>4600</v>
      </c>
      <c r="H13" s="216">
        <f t="shared" si="3"/>
        <v>7000</v>
      </c>
      <c r="I13" s="216">
        <f t="shared" si="1"/>
        <v>15900</v>
      </c>
    </row>
    <row r="14" spans="1:10" x14ac:dyDescent="0.3">
      <c r="A14" s="217" t="s">
        <v>58</v>
      </c>
      <c r="B14" s="216">
        <v>970000</v>
      </c>
      <c r="C14" s="216">
        <v>1010000</v>
      </c>
      <c r="D14" s="216">
        <v>1650000</v>
      </c>
      <c r="E14" s="216">
        <f t="shared" si="0"/>
        <v>3630000</v>
      </c>
      <c r="F14" s="216">
        <f t="shared" si="3"/>
        <v>9700</v>
      </c>
      <c r="G14" s="216">
        <f t="shared" si="3"/>
        <v>10100</v>
      </c>
      <c r="H14" s="216">
        <f t="shared" si="3"/>
        <v>16500</v>
      </c>
      <c r="I14" s="216">
        <f t="shared" si="1"/>
        <v>36300</v>
      </c>
    </row>
    <row r="15" spans="1:10" x14ac:dyDescent="0.3">
      <c r="A15" s="217" t="s">
        <v>124</v>
      </c>
      <c r="B15" s="216">
        <v>300000</v>
      </c>
      <c r="C15" s="216">
        <v>330000</v>
      </c>
      <c r="D15" s="216">
        <v>500000</v>
      </c>
      <c r="E15" s="216">
        <f t="shared" si="0"/>
        <v>1130000</v>
      </c>
      <c r="F15" s="216">
        <f t="shared" si="3"/>
        <v>3000</v>
      </c>
      <c r="G15" s="216">
        <f t="shared" si="3"/>
        <v>3300</v>
      </c>
      <c r="H15" s="216">
        <f t="shared" si="3"/>
        <v>5000</v>
      </c>
      <c r="I15" s="216">
        <f t="shared" si="1"/>
        <v>11300</v>
      </c>
    </row>
    <row r="16" spans="1:10" x14ac:dyDescent="0.3">
      <c r="A16" s="220" t="s">
        <v>27</v>
      </c>
      <c r="B16" s="218">
        <v>950000</v>
      </c>
      <c r="C16" s="218">
        <v>1070000</v>
      </c>
      <c r="D16" s="218">
        <v>1760000</v>
      </c>
      <c r="E16" s="218">
        <f t="shared" si="0"/>
        <v>3780000</v>
      </c>
      <c r="F16" s="218">
        <f>SUM(F17:F19)</f>
        <v>9500</v>
      </c>
      <c r="G16" s="218">
        <f>SUM(G17:G19)</f>
        <v>10700</v>
      </c>
      <c r="H16" s="218">
        <f>SUM(H17:H19)</f>
        <v>17600</v>
      </c>
      <c r="I16" s="218">
        <f t="shared" si="1"/>
        <v>37800</v>
      </c>
    </row>
    <row r="17" spans="1:9" x14ac:dyDescent="0.3">
      <c r="A17" s="217" t="s">
        <v>125</v>
      </c>
      <c r="B17" s="216">
        <v>230000</v>
      </c>
      <c r="C17" s="216">
        <v>250000</v>
      </c>
      <c r="D17" s="216">
        <v>380000</v>
      </c>
      <c r="E17" s="216">
        <f t="shared" si="0"/>
        <v>860000</v>
      </c>
      <c r="F17" s="216">
        <f t="shared" ref="F17:H19" si="4">B17*0.01</f>
        <v>2300</v>
      </c>
      <c r="G17" s="216">
        <f t="shared" si="4"/>
        <v>2500</v>
      </c>
      <c r="H17" s="216">
        <f t="shared" si="4"/>
        <v>3800</v>
      </c>
      <c r="I17" s="216">
        <f t="shared" si="1"/>
        <v>8600</v>
      </c>
    </row>
    <row r="18" spans="1:9" x14ac:dyDescent="0.3">
      <c r="A18" s="217" t="s">
        <v>126</v>
      </c>
      <c r="B18" s="216">
        <v>410000</v>
      </c>
      <c r="C18" s="216">
        <v>470000</v>
      </c>
      <c r="D18" s="216">
        <v>760000</v>
      </c>
      <c r="E18" s="216">
        <f t="shared" si="0"/>
        <v>1640000</v>
      </c>
      <c r="F18" s="216">
        <f t="shared" si="4"/>
        <v>4100</v>
      </c>
      <c r="G18" s="216">
        <f t="shared" si="4"/>
        <v>4700</v>
      </c>
      <c r="H18" s="216">
        <f t="shared" si="4"/>
        <v>7600</v>
      </c>
      <c r="I18" s="216">
        <f t="shared" si="1"/>
        <v>16400</v>
      </c>
    </row>
    <row r="19" spans="1:9" x14ac:dyDescent="0.3">
      <c r="A19" s="217" t="s">
        <v>127</v>
      </c>
      <c r="B19" s="216">
        <v>310000</v>
      </c>
      <c r="C19" s="216">
        <v>350000</v>
      </c>
      <c r="D19" s="216">
        <v>620000</v>
      </c>
      <c r="E19" s="216">
        <f t="shared" si="0"/>
        <v>1280000</v>
      </c>
      <c r="F19" s="216">
        <f t="shared" si="4"/>
        <v>3100</v>
      </c>
      <c r="G19" s="216">
        <f t="shared" si="4"/>
        <v>3500</v>
      </c>
      <c r="H19" s="216">
        <f t="shared" si="4"/>
        <v>6200</v>
      </c>
      <c r="I19" s="216">
        <f t="shared" si="1"/>
        <v>12800</v>
      </c>
    </row>
    <row r="20" spans="1:9" x14ac:dyDescent="0.3">
      <c r="A20" s="220" t="s">
        <v>32</v>
      </c>
      <c r="B20" s="218">
        <v>625000</v>
      </c>
      <c r="C20" s="218">
        <v>695000</v>
      </c>
      <c r="D20" s="218">
        <v>1410000</v>
      </c>
      <c r="E20" s="218">
        <f t="shared" si="0"/>
        <v>2730000</v>
      </c>
      <c r="F20" s="218">
        <f>SUM(F21:F24)</f>
        <v>6250</v>
      </c>
      <c r="G20" s="218">
        <f>SUM(G21:G24)</f>
        <v>6950</v>
      </c>
      <c r="H20" s="218">
        <f>SUM(H21:H24)</f>
        <v>14100</v>
      </c>
      <c r="I20" s="218">
        <f t="shared" si="1"/>
        <v>27300</v>
      </c>
    </row>
    <row r="21" spans="1:9" x14ac:dyDescent="0.3">
      <c r="A21" s="217" t="s">
        <v>56</v>
      </c>
      <c r="B21" s="216">
        <v>130000</v>
      </c>
      <c r="C21" s="216">
        <v>150000</v>
      </c>
      <c r="D21" s="216">
        <v>270000</v>
      </c>
      <c r="E21" s="216">
        <f t="shared" si="0"/>
        <v>550000</v>
      </c>
      <c r="F21" s="216">
        <f t="shared" ref="F21:H24" si="5">B21*0.01</f>
        <v>1300</v>
      </c>
      <c r="G21" s="216">
        <f t="shared" si="5"/>
        <v>1500</v>
      </c>
      <c r="H21" s="216">
        <f t="shared" si="5"/>
        <v>2700</v>
      </c>
      <c r="I21" s="216">
        <f t="shared" si="1"/>
        <v>5500</v>
      </c>
    </row>
    <row r="22" spans="1:9" x14ac:dyDescent="0.3">
      <c r="A22" s="217" t="s">
        <v>128</v>
      </c>
      <c r="B22" s="216">
        <v>85000</v>
      </c>
      <c r="C22" s="216">
        <v>85000</v>
      </c>
      <c r="D22" s="216">
        <v>180000</v>
      </c>
      <c r="E22" s="216">
        <f t="shared" si="0"/>
        <v>350000</v>
      </c>
      <c r="F22" s="216">
        <f t="shared" si="5"/>
        <v>850</v>
      </c>
      <c r="G22" s="216">
        <f t="shared" si="5"/>
        <v>850</v>
      </c>
      <c r="H22" s="216">
        <f t="shared" si="5"/>
        <v>1800</v>
      </c>
      <c r="I22" s="216">
        <f t="shared" si="1"/>
        <v>3500</v>
      </c>
    </row>
    <row r="23" spans="1:9" x14ac:dyDescent="0.3">
      <c r="A23" s="217" t="s">
        <v>129</v>
      </c>
      <c r="B23" s="216">
        <v>210000</v>
      </c>
      <c r="C23" s="216">
        <v>240000</v>
      </c>
      <c r="D23" s="216">
        <v>500000</v>
      </c>
      <c r="E23" s="216">
        <f t="shared" si="0"/>
        <v>950000</v>
      </c>
      <c r="F23" s="216">
        <f t="shared" si="5"/>
        <v>2100</v>
      </c>
      <c r="G23" s="216">
        <f t="shared" si="5"/>
        <v>2400</v>
      </c>
      <c r="H23" s="216">
        <f t="shared" si="5"/>
        <v>5000</v>
      </c>
      <c r="I23" s="216">
        <f t="shared" si="1"/>
        <v>9500</v>
      </c>
    </row>
    <row r="24" spans="1:9" x14ac:dyDescent="0.3">
      <c r="A24" s="217" t="s">
        <v>130</v>
      </c>
      <c r="B24" s="216">
        <v>200000</v>
      </c>
      <c r="C24" s="216">
        <v>220000</v>
      </c>
      <c r="D24" s="216">
        <v>460000</v>
      </c>
      <c r="E24" s="216">
        <f t="shared" si="0"/>
        <v>880000</v>
      </c>
      <c r="F24" s="216">
        <f t="shared" si="5"/>
        <v>2000</v>
      </c>
      <c r="G24" s="216">
        <f t="shared" si="5"/>
        <v>2200</v>
      </c>
      <c r="H24" s="216">
        <f t="shared" si="5"/>
        <v>4600</v>
      </c>
      <c r="I24" s="216">
        <f t="shared" si="1"/>
        <v>8800</v>
      </c>
    </row>
    <row r="25" spans="1:9" x14ac:dyDescent="0.3">
      <c r="A25" s="220" t="s">
        <v>131</v>
      </c>
      <c r="B25" s="218">
        <v>160000</v>
      </c>
      <c r="C25" s="218">
        <v>200000</v>
      </c>
      <c r="D25" s="218">
        <v>380000</v>
      </c>
      <c r="E25" s="218">
        <f>SUM(E26:E27)</f>
        <v>740000</v>
      </c>
      <c r="F25" s="218">
        <f>SUM(F26:F27)</f>
        <v>1600</v>
      </c>
      <c r="G25" s="218">
        <f>SUM(G26:G27)</f>
        <v>2000</v>
      </c>
      <c r="H25" s="218">
        <f>SUM(H26:H27)</f>
        <v>3800</v>
      </c>
      <c r="I25" s="218">
        <f t="shared" si="1"/>
        <v>7400</v>
      </c>
    </row>
    <row r="26" spans="1:9" x14ac:dyDescent="0.3">
      <c r="A26" s="217" t="s">
        <v>132</v>
      </c>
      <c r="B26" s="216">
        <v>80000</v>
      </c>
      <c r="C26" s="216">
        <v>100000</v>
      </c>
      <c r="D26" s="216">
        <v>190000</v>
      </c>
      <c r="E26" s="216">
        <f t="shared" ref="E26:E32" si="6">B26+C26+D26</f>
        <v>370000</v>
      </c>
      <c r="F26" s="216">
        <f t="shared" ref="F26:H27" si="7">B26*0.01</f>
        <v>800</v>
      </c>
      <c r="G26" s="216">
        <f t="shared" si="7"/>
        <v>1000</v>
      </c>
      <c r="H26" s="216">
        <f t="shared" si="7"/>
        <v>1900</v>
      </c>
      <c r="I26" s="216">
        <f t="shared" si="1"/>
        <v>3700</v>
      </c>
    </row>
    <row r="27" spans="1:9" x14ac:dyDescent="0.3">
      <c r="A27" s="217" t="s">
        <v>219</v>
      </c>
      <c r="B27" s="216">
        <v>80000</v>
      </c>
      <c r="C27" s="216">
        <v>100000</v>
      </c>
      <c r="D27" s="216">
        <v>190000</v>
      </c>
      <c r="E27" s="216">
        <f t="shared" si="6"/>
        <v>370000</v>
      </c>
      <c r="F27" s="216">
        <f t="shared" si="7"/>
        <v>800</v>
      </c>
      <c r="G27" s="216">
        <f t="shared" si="7"/>
        <v>1000</v>
      </c>
      <c r="H27" s="216">
        <f t="shared" si="7"/>
        <v>1900</v>
      </c>
      <c r="I27" s="216">
        <f t="shared" si="1"/>
        <v>3700</v>
      </c>
    </row>
    <row r="28" spans="1:9" x14ac:dyDescent="0.3">
      <c r="A28" s="220" t="s">
        <v>133</v>
      </c>
      <c r="B28" s="218">
        <v>40000</v>
      </c>
      <c r="C28" s="218">
        <v>40000</v>
      </c>
      <c r="D28" s="218">
        <v>40000</v>
      </c>
      <c r="E28" s="218">
        <f t="shared" si="6"/>
        <v>120000</v>
      </c>
      <c r="F28" s="218"/>
      <c r="G28" s="218"/>
      <c r="H28" s="218"/>
      <c r="I28" s="218"/>
    </row>
    <row r="29" spans="1:9" x14ac:dyDescent="0.3">
      <c r="A29" s="217" t="s">
        <v>133</v>
      </c>
      <c r="B29" s="216">
        <v>40000</v>
      </c>
      <c r="C29" s="216">
        <v>40000</v>
      </c>
      <c r="D29" s="216">
        <v>40000</v>
      </c>
      <c r="E29" s="221">
        <f t="shared" si="6"/>
        <v>120000</v>
      </c>
      <c r="F29" s="221"/>
      <c r="G29" s="221"/>
      <c r="H29" s="221"/>
      <c r="I29" s="221"/>
    </row>
    <row r="30" spans="1:9" x14ac:dyDescent="0.3">
      <c r="A30" s="220" t="s">
        <v>103</v>
      </c>
      <c r="B30" s="219">
        <v>80000</v>
      </c>
      <c r="C30" s="219">
        <v>100000</v>
      </c>
      <c r="D30" s="219">
        <v>100000</v>
      </c>
      <c r="E30" s="218">
        <f t="shared" si="6"/>
        <v>280000</v>
      </c>
      <c r="F30" s="218"/>
      <c r="G30" s="218"/>
      <c r="H30" s="218"/>
      <c r="I30" s="218"/>
    </row>
    <row r="31" spans="1:9" x14ac:dyDescent="0.3">
      <c r="A31" s="217" t="s">
        <v>103</v>
      </c>
      <c r="B31" s="216">
        <v>80000</v>
      </c>
      <c r="C31" s="216">
        <v>100000</v>
      </c>
      <c r="D31" s="216">
        <v>100000</v>
      </c>
      <c r="E31" s="216">
        <f t="shared" si="6"/>
        <v>280000</v>
      </c>
      <c r="F31" s="216"/>
      <c r="G31" s="216"/>
      <c r="H31" s="216"/>
      <c r="I31" s="216"/>
    </row>
    <row r="32" spans="1:9" x14ac:dyDescent="0.3">
      <c r="A32" s="215" t="s">
        <v>43</v>
      </c>
      <c r="B32" s="214">
        <v>7600000</v>
      </c>
      <c r="C32" s="214">
        <v>8350000</v>
      </c>
      <c r="D32" s="214">
        <v>13600000</v>
      </c>
      <c r="E32" s="214">
        <f t="shared" si="6"/>
        <v>29550000</v>
      </c>
      <c r="F32" s="214">
        <f>F3+F12+F16+F20+F25</f>
        <v>74800</v>
      </c>
      <c r="G32" s="214">
        <f>G3+G12+G16+G20+G25</f>
        <v>82100</v>
      </c>
      <c r="H32" s="214">
        <f>H3+H12+H16+H20+H25</f>
        <v>134600</v>
      </c>
      <c r="I32" s="214">
        <f>I3+I12+I16+I20+I25</f>
        <v>291500</v>
      </c>
    </row>
    <row r="33" spans="5:5" x14ac:dyDescent="0.3">
      <c r="E33" s="213"/>
    </row>
  </sheetData>
  <mergeCells count="2">
    <mergeCell ref="B1:E1"/>
    <mergeCell ref="F1:I1"/>
  </mergeCells>
  <pageMargins left="0.511811024" right="0.511811024" top="0.78740157499999996" bottom="0.78740157499999996" header="0.31496062000000002" footer="0.31496062000000002"/>
  <pageSetup paperSize="9" scale="50" orientation="landscape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514A-E7AF-4100-9985-FB4D00519096}">
  <sheetPr>
    <tabColor rgb="FF00B050"/>
  </sheetPr>
  <dimension ref="A1:G18"/>
  <sheetViews>
    <sheetView showGridLines="0" workbookViewId="0">
      <selection activeCell="C6" sqref="C6"/>
    </sheetView>
  </sheetViews>
  <sheetFormatPr defaultRowHeight="13.2" x14ac:dyDescent="0.25"/>
  <cols>
    <col min="1" max="1" width="18" bestFit="1" customWidth="1"/>
    <col min="2" max="2" width="14.44140625" bestFit="1" customWidth="1"/>
    <col min="3" max="3" width="11.6640625" bestFit="1" customWidth="1"/>
    <col min="4" max="4" width="11.6640625" customWidth="1"/>
    <col min="5" max="5" width="10.5546875" style="32" bestFit="1" customWidth="1"/>
    <col min="6" max="6" width="11" bestFit="1" customWidth="1"/>
  </cols>
  <sheetData>
    <row r="1" spans="1:7" ht="14.4" x14ac:dyDescent="0.3">
      <c r="A1" s="226" t="s">
        <v>105</v>
      </c>
      <c r="B1" s="227" t="s">
        <v>230</v>
      </c>
      <c r="C1" s="227" t="s">
        <v>231</v>
      </c>
      <c r="D1" s="228" t="s">
        <v>232</v>
      </c>
      <c r="E1" s="227" t="s">
        <v>233</v>
      </c>
    </row>
    <row r="2" spans="1:7" ht="14.4" x14ac:dyDescent="0.3">
      <c r="A2" s="229" t="s">
        <v>11</v>
      </c>
      <c r="B2" s="230">
        <f>SUM(B3:B5)</f>
        <v>18000</v>
      </c>
      <c r="C2" s="230">
        <f>SUM(C3:C5)</f>
        <v>2335.4699999999998</v>
      </c>
      <c r="D2" s="231"/>
    </row>
    <row r="3" spans="1:7" ht="14.4" x14ac:dyDescent="0.3">
      <c r="A3" s="232" t="s">
        <v>123</v>
      </c>
      <c r="B3" s="233">
        <f>VLOOKUP(A:A,Triunfo!A:I,7,0)</f>
        <v>4600</v>
      </c>
      <c r="C3" s="233">
        <f>SUMIFS('Fev22'!$F:$F,'Fev22'!$A:$A,A3)</f>
        <v>806.82999999999993</v>
      </c>
      <c r="D3" s="234">
        <f t="shared" ref="D3:D9" si="0">B3/$B$13</f>
        <v>0.14983713355048861</v>
      </c>
      <c r="E3" s="32" t="str">
        <f>IF(C3&lt;=B3,"",D3*500)</f>
        <v/>
      </c>
    </row>
    <row r="4" spans="1:7" ht="14.4" x14ac:dyDescent="0.3">
      <c r="A4" s="232" t="s">
        <v>58</v>
      </c>
      <c r="B4" s="233">
        <f>VLOOKUP(A:A,Triunfo!A:I,7,0)</f>
        <v>10100</v>
      </c>
      <c r="C4" s="233">
        <f>SUMIFS('Fev22'!$F:$F,'Fev22'!$A:$A,A4)</f>
        <v>0</v>
      </c>
      <c r="D4" s="234">
        <f t="shared" si="0"/>
        <v>0.3289902280130293</v>
      </c>
      <c r="E4" s="32" t="str">
        <f>IF(C4&lt;=B4,"",D4*500)</f>
        <v/>
      </c>
    </row>
    <row r="5" spans="1:7" ht="14.4" x14ac:dyDescent="0.3">
      <c r="A5" s="232" t="s">
        <v>124</v>
      </c>
      <c r="B5" s="233">
        <f>VLOOKUP(A:A,Triunfo!A:I,7,0)</f>
        <v>3300</v>
      </c>
      <c r="C5" s="246">
        <f>SUMIFS('Fev22'!$F:$F,'Fev22'!$A:$A,A5)</f>
        <v>1528.6399999999999</v>
      </c>
      <c r="D5" s="234">
        <f t="shared" si="0"/>
        <v>0.10749185667752444</v>
      </c>
      <c r="E5" s="246" t="str">
        <f>IF(C5&lt;=2940.14,"",D5*500)</f>
        <v/>
      </c>
    </row>
    <row r="6" spans="1:7" ht="14.4" x14ac:dyDescent="0.3">
      <c r="A6" s="229" t="s">
        <v>27</v>
      </c>
      <c r="B6" s="247">
        <f>SUM(B7:B9)</f>
        <v>10700</v>
      </c>
      <c r="C6" s="247">
        <f>SUM(C7:C9)</f>
        <v>900</v>
      </c>
      <c r="D6" s="248"/>
      <c r="E6" s="249"/>
    </row>
    <row r="7" spans="1:7" ht="14.4" x14ac:dyDescent="0.3">
      <c r="A7" s="232" t="s">
        <v>125</v>
      </c>
      <c r="B7" s="233">
        <f>VLOOKUP(A:A,Triunfo!A:I,7,0)</f>
        <v>2500</v>
      </c>
      <c r="C7" s="246">
        <f>SUMIFS('Fev22'!$F:$F,'Fev22'!$A:$A,A7)</f>
        <v>0</v>
      </c>
      <c r="D7" s="234">
        <f t="shared" si="0"/>
        <v>8.143322475570032E-2</v>
      </c>
      <c r="E7" s="246" t="str">
        <f>IF(C7&lt;=B7,"",D7*500)</f>
        <v/>
      </c>
    </row>
    <row r="8" spans="1:7" ht="14.4" x14ac:dyDescent="0.3">
      <c r="A8" s="232" t="s">
        <v>126</v>
      </c>
      <c r="B8" s="233">
        <f>VLOOKUP(A:A,Triunfo!A:I,7,0)</f>
        <v>4700</v>
      </c>
      <c r="C8" s="246">
        <f>SUMIFS('Fev22'!$F:$F,'Fev22'!$A:$A,A8)</f>
        <v>900</v>
      </c>
      <c r="D8" s="234">
        <f t="shared" si="0"/>
        <v>0.15309446254071662</v>
      </c>
      <c r="E8" s="246" t="str">
        <f>IF(C8&lt;=B8,"",D8*500)</f>
        <v/>
      </c>
    </row>
    <row r="9" spans="1:7" ht="14.4" x14ac:dyDescent="0.3">
      <c r="A9" s="232" t="s">
        <v>127</v>
      </c>
      <c r="B9" s="233">
        <f>VLOOKUP(A:A,Triunfo!A:I,7,0)</f>
        <v>3500</v>
      </c>
      <c r="C9" s="233">
        <f>SUMIFS('Fev22'!$F:$F,'Fev22'!$A:$A,A9)</f>
        <v>0</v>
      </c>
      <c r="D9" s="234">
        <f t="shared" si="0"/>
        <v>0.11400651465798045</v>
      </c>
      <c r="E9" s="32" t="str">
        <f>IF(C9&lt;=B9,"",D9*500)</f>
        <v/>
      </c>
      <c r="G9" s="235"/>
    </row>
    <row r="10" spans="1:7" ht="14.4" x14ac:dyDescent="0.3">
      <c r="A10" s="229" t="s">
        <v>131</v>
      </c>
      <c r="B10" s="230">
        <f>SUM(B11:B12)</f>
        <v>2000</v>
      </c>
      <c r="C10" s="230">
        <f>SUM(C11:C12)</f>
        <v>1320.4</v>
      </c>
      <c r="D10" s="234"/>
      <c r="G10" s="235"/>
    </row>
    <row r="11" spans="1:7" ht="14.4" x14ac:dyDescent="0.3">
      <c r="A11" s="232" t="s">
        <v>132</v>
      </c>
      <c r="B11" s="233">
        <f>VLOOKUP(A:A,Triunfo!A:I,7,0)</f>
        <v>1000</v>
      </c>
      <c r="C11" s="233">
        <f>SUMIFS('Fev22'!$F:$F,'Fev22'!$A:$A,A11)</f>
        <v>0</v>
      </c>
      <c r="D11" s="234">
        <f t="shared" ref="D11:D12" si="1">B11/$B$13</f>
        <v>3.2573289902280131E-2</v>
      </c>
      <c r="E11" s="246" t="str">
        <f>IF(C11&lt;=779.69,"",D11*500)</f>
        <v/>
      </c>
      <c r="G11" s="235"/>
    </row>
    <row r="12" spans="1:7" ht="14.4" x14ac:dyDescent="0.3">
      <c r="A12" s="232" t="s">
        <v>219</v>
      </c>
      <c r="B12" s="233">
        <f>VLOOKUP(A:A,Triunfo!A:I,7,0)</f>
        <v>1000</v>
      </c>
      <c r="C12" s="233">
        <f>SUMIFS('Fev22'!$F:$F,'Fev22'!$A:$A,A12)</f>
        <v>1320.4</v>
      </c>
      <c r="D12" s="234">
        <f t="shared" si="1"/>
        <v>3.2573289902280131E-2</v>
      </c>
      <c r="E12" s="32">
        <f>IF(C12&lt;=B12,"",D12*500)</f>
        <v>16.286644951140065</v>
      </c>
      <c r="G12" s="235"/>
    </row>
    <row r="13" spans="1:7" ht="14.4" x14ac:dyDescent="0.3">
      <c r="A13" s="236" t="s">
        <v>43</v>
      </c>
      <c r="B13" s="237">
        <f>B2+B6+B10</f>
        <v>30700</v>
      </c>
      <c r="C13" s="237">
        <f>C2+C6+C10</f>
        <v>4555.87</v>
      </c>
      <c r="D13" s="238">
        <f>SUM(D3:D12)</f>
        <v>1.0000000000000002</v>
      </c>
      <c r="E13" s="239">
        <f>SUM(E3:E12)</f>
        <v>16.286644951140065</v>
      </c>
      <c r="G13" s="235"/>
    </row>
    <row r="14" spans="1:7" ht="14.4" x14ac:dyDescent="0.3">
      <c r="A14" s="240"/>
      <c r="B14" s="241"/>
      <c r="C14" s="241"/>
      <c r="D14" s="241"/>
    </row>
    <row r="15" spans="1:7" ht="14.4" x14ac:dyDescent="0.3">
      <c r="B15" s="241"/>
      <c r="C15" s="241"/>
      <c r="D15" s="241"/>
      <c r="E15" s="242"/>
      <c r="F15" s="243"/>
    </row>
    <row r="16" spans="1:7" x14ac:dyDescent="0.25">
      <c r="E16" s="242"/>
    </row>
    <row r="17" spans="5:7" x14ac:dyDescent="0.25">
      <c r="E17" s="242"/>
      <c r="F17" s="242"/>
      <c r="G17" s="235"/>
    </row>
    <row r="18" spans="5:7" x14ac:dyDescent="0.25">
      <c r="G18" s="235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276E-101A-472D-A948-7053ED50953F}">
  <sheetPr>
    <tabColor rgb="FF00B050"/>
  </sheetPr>
  <dimension ref="A1:G21"/>
  <sheetViews>
    <sheetView showGridLines="0" workbookViewId="0">
      <selection activeCell="C6" sqref="C6"/>
    </sheetView>
  </sheetViews>
  <sheetFormatPr defaultRowHeight="13.2" x14ac:dyDescent="0.25"/>
  <cols>
    <col min="1" max="1" width="18" bestFit="1" customWidth="1"/>
    <col min="2" max="3" width="11.6640625" bestFit="1" customWidth="1"/>
    <col min="5" max="5" width="10.5546875" style="32" bestFit="1" customWidth="1"/>
    <col min="6" max="6" width="9.44140625" bestFit="1" customWidth="1"/>
  </cols>
  <sheetData>
    <row r="1" spans="1:5" ht="14.4" x14ac:dyDescent="0.3">
      <c r="A1" s="226" t="s">
        <v>105</v>
      </c>
      <c r="B1" s="227" t="s">
        <v>230</v>
      </c>
      <c r="C1" s="227" t="s">
        <v>231</v>
      </c>
      <c r="D1" s="228" t="s">
        <v>232</v>
      </c>
      <c r="E1" s="228" t="s">
        <v>233</v>
      </c>
    </row>
    <row r="2" spans="1:5" ht="14.4" x14ac:dyDescent="0.3">
      <c r="A2" s="229" t="s">
        <v>17</v>
      </c>
      <c r="B2" s="230">
        <f>SUM(B3:B10)</f>
        <v>44450</v>
      </c>
      <c r="C2" s="230">
        <f>SUM(C3:C10)</f>
        <v>987.83999999999992</v>
      </c>
    </row>
    <row r="3" spans="1:5" ht="14.4" x14ac:dyDescent="0.3">
      <c r="A3" s="232" t="s">
        <v>19</v>
      </c>
      <c r="B3" s="233">
        <f>VLOOKUP(A:A,Triunfo!A:I,7,0)</f>
        <v>10300</v>
      </c>
      <c r="C3" s="233">
        <f>SUMIFS('Fev22'!$F:$F,'Fev22'!$A:$A,A3)</f>
        <v>0</v>
      </c>
      <c r="D3" s="244">
        <f t="shared" ref="D3:D10" si="0">B3/$B$16</f>
        <v>0.20038910505836577</v>
      </c>
      <c r="E3" s="246" t="str">
        <f>IF(C3&lt;=B3,"",D3*500)</f>
        <v/>
      </c>
    </row>
    <row r="4" spans="1:5" ht="14.4" x14ac:dyDescent="0.3">
      <c r="A4" s="232" t="s">
        <v>18</v>
      </c>
      <c r="B4" s="233">
        <f>VLOOKUP(A:A,Triunfo!A:I,7,0)</f>
        <v>5900</v>
      </c>
      <c r="C4" s="233">
        <f>SUMIFS('Fev22'!$F:$F,'Fev22'!$A:$A,A4)</f>
        <v>0</v>
      </c>
      <c r="D4" s="244">
        <f t="shared" si="0"/>
        <v>0.11478599221789883</v>
      </c>
      <c r="E4" s="246" t="str">
        <f t="shared" ref="E4:E10" si="1">IF(C4&lt;=B4,"",D4*500)</f>
        <v/>
      </c>
    </row>
    <row r="5" spans="1:5" ht="14.4" x14ac:dyDescent="0.3">
      <c r="A5" s="232" t="s">
        <v>116</v>
      </c>
      <c r="B5" s="233">
        <f>VLOOKUP(A:A,Triunfo!A:I,7,0)</f>
        <v>4100</v>
      </c>
      <c r="C5" s="233">
        <f>SUMIFS('Fev22'!$F:$F,'Fev22'!$A:$A,A5)</f>
        <v>987.83999999999992</v>
      </c>
      <c r="D5" s="244">
        <f t="shared" si="0"/>
        <v>7.9766536964980539E-2</v>
      </c>
      <c r="E5" s="246" t="str">
        <f t="shared" si="1"/>
        <v/>
      </c>
    </row>
    <row r="6" spans="1:5" ht="14.4" x14ac:dyDescent="0.3">
      <c r="A6" s="232" t="s">
        <v>117</v>
      </c>
      <c r="B6" s="233">
        <f>VLOOKUP(A:A,Triunfo!A:I,7,0)</f>
        <v>1600</v>
      </c>
      <c r="C6" s="233">
        <f>SUMIFS('Fev22'!$F:$F,'Fev22'!$A:$A,A6)</f>
        <v>0</v>
      </c>
      <c r="D6" s="244">
        <f t="shared" si="0"/>
        <v>3.1128404669260701E-2</v>
      </c>
      <c r="E6" s="246" t="str">
        <f t="shared" si="1"/>
        <v/>
      </c>
    </row>
    <row r="7" spans="1:5" ht="14.4" x14ac:dyDescent="0.3">
      <c r="A7" s="232" t="s">
        <v>118</v>
      </c>
      <c r="B7" s="233">
        <f>VLOOKUP(A:A,Triunfo!A:I,7,0)</f>
        <v>8000</v>
      </c>
      <c r="C7" s="233">
        <f>SUMIFS('Fev22'!$F:$F,'Fev22'!$A:$A,A7)</f>
        <v>0</v>
      </c>
      <c r="D7" s="244">
        <f t="shared" si="0"/>
        <v>0.1556420233463035</v>
      </c>
      <c r="E7" s="246" t="str">
        <f t="shared" si="1"/>
        <v/>
      </c>
    </row>
    <row r="8" spans="1:5" ht="14.4" x14ac:dyDescent="0.3">
      <c r="A8" s="232" t="s">
        <v>119</v>
      </c>
      <c r="B8" s="233">
        <f>VLOOKUP(A:A,Triunfo!A:I,7,0)</f>
        <v>4200</v>
      </c>
      <c r="C8" s="233">
        <f>SUMIFS('Fev22'!$F:$F,'Fev22'!$A:$A,A8)</f>
        <v>0</v>
      </c>
      <c r="D8" s="244">
        <f t="shared" si="0"/>
        <v>8.171206225680934E-2</v>
      </c>
      <c r="E8" s="246" t="str">
        <f t="shared" si="1"/>
        <v/>
      </c>
    </row>
    <row r="9" spans="1:5" ht="14.4" x14ac:dyDescent="0.3">
      <c r="A9" s="232" t="s">
        <v>120</v>
      </c>
      <c r="B9" s="233">
        <f>VLOOKUP(A:A,Triunfo!A:I,7,0)</f>
        <v>8200</v>
      </c>
      <c r="C9" s="233">
        <f>SUMIFS('Fev22'!$F:$F,'Fev22'!$A:$A,A9)</f>
        <v>0</v>
      </c>
      <c r="D9" s="244">
        <f t="shared" si="0"/>
        <v>0.15953307392996108</v>
      </c>
      <c r="E9" s="246" t="str">
        <f t="shared" si="1"/>
        <v/>
      </c>
    </row>
    <row r="10" spans="1:5" ht="14.4" x14ac:dyDescent="0.3">
      <c r="A10" s="232" t="s">
        <v>121</v>
      </c>
      <c r="B10" s="233">
        <f>VLOOKUP(A:A,Triunfo!A:I,7,0)</f>
        <v>2150</v>
      </c>
      <c r="C10" s="233">
        <f>SUMIFS('Fev22'!$F:$F,'Fev22'!$A:$A,A10)</f>
        <v>0</v>
      </c>
      <c r="D10" s="244">
        <f t="shared" si="0"/>
        <v>4.1828793774319063E-2</v>
      </c>
      <c r="E10" s="246" t="str">
        <f t="shared" si="1"/>
        <v/>
      </c>
    </row>
    <row r="11" spans="1:5" ht="14.4" x14ac:dyDescent="0.3">
      <c r="A11" s="229" t="s">
        <v>32</v>
      </c>
      <c r="B11" s="230">
        <f>SUM(B12:B15)</f>
        <v>6950</v>
      </c>
      <c r="C11" s="230">
        <f>SUM(C12:C15)</f>
        <v>170.9</v>
      </c>
      <c r="D11" s="244"/>
      <c r="E11" s="246"/>
    </row>
    <row r="12" spans="1:5" ht="14.4" x14ac:dyDescent="0.3">
      <c r="A12" s="232" t="s">
        <v>56</v>
      </c>
      <c r="B12" s="233">
        <f>VLOOKUP(A:A,Triunfo!A:I,7,0)</f>
        <v>1500</v>
      </c>
      <c r="C12" s="233">
        <f>SUMIFS('Fev22'!$F:$F,'Fev22'!$A:$A,A12)</f>
        <v>0</v>
      </c>
      <c r="D12" s="244">
        <f>B12/$B$16</f>
        <v>2.9182879377431907E-2</v>
      </c>
      <c r="E12" s="246" t="str">
        <f t="shared" ref="E12:E15" si="2">IF(C12&lt;=B12,"",D12*500)</f>
        <v/>
      </c>
    </row>
    <row r="13" spans="1:5" ht="14.4" x14ac:dyDescent="0.3">
      <c r="A13" s="232" t="s">
        <v>128</v>
      </c>
      <c r="B13" s="233">
        <f>VLOOKUP(A:A,Triunfo!A:I,7,0)</f>
        <v>850</v>
      </c>
      <c r="C13" s="233">
        <f>SUMIFS('Fev22'!$F:$F,'Fev22'!$A:$A,A13)</f>
        <v>0</v>
      </c>
      <c r="D13" s="244">
        <f>B13/$B$16</f>
        <v>1.6536964980544747E-2</v>
      </c>
      <c r="E13" s="246" t="str">
        <f t="shared" si="2"/>
        <v/>
      </c>
    </row>
    <row r="14" spans="1:5" ht="14.4" x14ac:dyDescent="0.3">
      <c r="A14" s="232" t="s">
        <v>129</v>
      </c>
      <c r="B14" s="233">
        <f>VLOOKUP(A:A,Triunfo!A:I,7,0)</f>
        <v>2400</v>
      </c>
      <c r="C14" s="233">
        <f>SUMIFS('Fev22'!$F:$F,'Fev22'!$A:$A,A14)</f>
        <v>170.9</v>
      </c>
      <c r="D14" s="244">
        <f>B14/$B$16</f>
        <v>4.6692607003891051E-2</v>
      </c>
      <c r="E14" s="246" t="str">
        <f t="shared" si="2"/>
        <v/>
      </c>
    </row>
    <row r="15" spans="1:5" ht="14.4" x14ac:dyDescent="0.3">
      <c r="A15" s="232" t="s">
        <v>130</v>
      </c>
      <c r="B15" s="233">
        <f>VLOOKUP(A:A,Triunfo!A:I,7,0)</f>
        <v>2200</v>
      </c>
      <c r="C15" s="233">
        <f>SUMIFS('Fev22'!$F:$F,'Fev22'!$A:$A,A15)</f>
        <v>0</v>
      </c>
      <c r="D15" s="244">
        <f>B15/$B$16</f>
        <v>4.2801556420233464E-2</v>
      </c>
      <c r="E15" s="246" t="str">
        <f t="shared" si="2"/>
        <v/>
      </c>
    </row>
    <row r="16" spans="1:5" ht="14.4" x14ac:dyDescent="0.3">
      <c r="A16" s="236" t="s">
        <v>43</v>
      </c>
      <c r="B16" s="237">
        <f>B2+B11</f>
        <v>51400</v>
      </c>
      <c r="C16" s="237">
        <f>C2+C11</f>
        <v>1158.74</v>
      </c>
      <c r="D16" s="245">
        <f>SUM(D2:D15)</f>
        <v>0.99999999999999989</v>
      </c>
      <c r="E16" s="237">
        <f>SUM(E2:E15)</f>
        <v>0</v>
      </c>
    </row>
    <row r="17" spans="1:7" ht="14.4" x14ac:dyDescent="0.3">
      <c r="A17" s="240"/>
      <c r="B17" s="241"/>
      <c r="C17" s="241"/>
    </row>
    <row r="18" spans="1:7" ht="14.4" x14ac:dyDescent="0.3">
      <c r="B18" s="241"/>
      <c r="C18" s="241"/>
      <c r="E18" s="242"/>
      <c r="F18" s="243"/>
    </row>
    <row r="19" spans="1:7" x14ac:dyDescent="0.25">
      <c r="E19" s="242"/>
    </row>
    <row r="20" spans="1:7" x14ac:dyDescent="0.25">
      <c r="E20" s="242"/>
      <c r="F20" s="242"/>
      <c r="G20" s="235"/>
    </row>
    <row r="21" spans="1:7" x14ac:dyDescent="0.25">
      <c r="G21" s="235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F95B-E707-4F7E-A5CE-CA3876382442}">
  <sheetPr>
    <pageSetUpPr fitToPage="1"/>
  </sheetPr>
  <dimension ref="A1:S41"/>
  <sheetViews>
    <sheetView showGridLines="0" zoomScale="85" zoomScaleNormal="85" zoomScaleSheetLayoutView="90"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D33" sqref="D33"/>
    </sheetView>
  </sheetViews>
  <sheetFormatPr defaultColWidth="9.109375" defaultRowHeight="14.4" x14ac:dyDescent="0.3"/>
  <cols>
    <col min="1" max="1" width="21.88671875" style="182" bestFit="1" customWidth="1"/>
    <col min="2" max="2" width="19.6640625" style="182" customWidth="1"/>
    <col min="3" max="3" width="19.6640625" style="182" hidden="1" customWidth="1"/>
    <col min="4" max="6" width="19.6640625" style="182" customWidth="1"/>
    <col min="7" max="7" width="19.6640625" style="183" hidden="1" customWidth="1"/>
    <col min="8" max="10" width="19.6640625" style="182" customWidth="1"/>
    <col min="11" max="11" width="19.6640625" style="182" hidden="1" customWidth="1"/>
    <col min="12" max="12" width="19.6640625" style="182" customWidth="1"/>
    <col min="13" max="13" width="19.6640625" style="182" hidden="1" customWidth="1"/>
    <col min="14" max="14" width="19.6640625" style="182" customWidth="1"/>
    <col min="15" max="15" width="16.33203125" style="182" customWidth="1"/>
    <col min="16" max="16" width="14.88671875" style="182" customWidth="1"/>
    <col min="17" max="18" width="9.109375" style="183"/>
    <col min="19" max="16384" width="9.109375" style="182"/>
  </cols>
  <sheetData>
    <row r="1" spans="1:19" ht="15" customHeight="1" x14ac:dyDescent="0.3">
      <c r="A1" s="303" t="s">
        <v>218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182" t="s">
        <v>104</v>
      </c>
    </row>
    <row r="2" spans="1:19" x14ac:dyDescent="0.3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184">
        <v>44440</v>
      </c>
    </row>
    <row r="3" spans="1:19" s="188" customFormat="1" x14ac:dyDescent="0.3">
      <c r="A3" s="185" t="s">
        <v>105</v>
      </c>
      <c r="B3" s="186" t="s">
        <v>215</v>
      </c>
      <c r="C3" s="187" t="s">
        <v>193</v>
      </c>
      <c r="D3" s="186" t="s">
        <v>216</v>
      </c>
      <c r="E3" s="186" t="s">
        <v>217</v>
      </c>
      <c r="F3" s="186" t="s">
        <v>196</v>
      </c>
      <c r="G3" s="187" t="s">
        <v>197</v>
      </c>
      <c r="H3" s="186" t="s">
        <v>106</v>
      </c>
      <c r="I3" s="186" t="s">
        <v>107</v>
      </c>
      <c r="J3" s="186" t="s">
        <v>138</v>
      </c>
      <c r="K3" s="186" t="s">
        <v>111</v>
      </c>
      <c r="L3" s="186" t="s">
        <v>214</v>
      </c>
      <c r="M3" s="187" t="s">
        <v>113</v>
      </c>
      <c r="Q3" s="189"/>
      <c r="R3" s="189"/>
    </row>
    <row r="4" spans="1:19" x14ac:dyDescent="0.3">
      <c r="A4" s="190" t="s">
        <v>17</v>
      </c>
      <c r="B4" s="191">
        <v>2869592.9000000171</v>
      </c>
      <c r="C4" s="191">
        <v>2672167.7800000436</v>
      </c>
      <c r="D4" s="191">
        <v>2679567.7900000438</v>
      </c>
      <c r="E4" s="191">
        <v>2990000</v>
      </c>
      <c r="F4" s="191">
        <v>10492.75</v>
      </c>
      <c r="G4" s="191">
        <v>3092.74</v>
      </c>
      <c r="H4" s="192">
        <v>-6.6220232842077426E-2</v>
      </c>
      <c r="I4" s="191">
        <v>137481.87</v>
      </c>
      <c r="J4" s="191">
        <v>96176.039999999964</v>
      </c>
      <c r="K4" s="191">
        <v>360085.06999998417</v>
      </c>
      <c r="L4" s="192">
        <v>0.8961765183946635</v>
      </c>
      <c r="M4" s="191" t="e">
        <v>#DIV/0!</v>
      </c>
      <c r="P4" s="184">
        <v>44287</v>
      </c>
      <c r="S4" s="182" t="s">
        <v>199</v>
      </c>
    </row>
    <row r="5" spans="1:19" x14ac:dyDescent="0.3">
      <c r="A5" s="193" t="s">
        <v>19</v>
      </c>
      <c r="B5" s="194">
        <v>671159.58000000799</v>
      </c>
      <c r="C5" s="194">
        <v>701083.46000002977</v>
      </c>
      <c r="D5" s="194">
        <v>701056.56000002974</v>
      </c>
      <c r="E5" s="194">
        <v>670000</v>
      </c>
      <c r="F5" s="194">
        <v>692.45</v>
      </c>
      <c r="G5" s="195">
        <v>719.34999999999991</v>
      </c>
      <c r="H5" s="196">
        <v>4.4545262990988516E-2</v>
      </c>
      <c r="I5" s="197">
        <v>28509.15</v>
      </c>
      <c r="J5" s="194">
        <v>22618.120000000024</v>
      </c>
      <c r="K5" s="194">
        <v>0</v>
      </c>
      <c r="L5" s="198">
        <v>1.0463530746269101</v>
      </c>
      <c r="M5" s="194">
        <v>701097.06258999987</v>
      </c>
      <c r="N5" s="199"/>
      <c r="P5" s="184">
        <v>44441</v>
      </c>
      <c r="Q5" s="183">
        <v>151</v>
      </c>
      <c r="R5" s="183">
        <v>151</v>
      </c>
      <c r="S5" s="182" t="s">
        <v>200</v>
      </c>
    </row>
    <row r="6" spans="1:19" x14ac:dyDescent="0.3">
      <c r="A6" s="193" t="s">
        <v>18</v>
      </c>
      <c r="B6" s="194">
        <v>425489.56000000302</v>
      </c>
      <c r="C6" s="194">
        <v>338730.02000000217</v>
      </c>
      <c r="D6" s="194">
        <v>342544.39000000217</v>
      </c>
      <c r="E6" s="194">
        <v>440000</v>
      </c>
      <c r="F6" s="194">
        <v>3814.37</v>
      </c>
      <c r="G6" s="195">
        <v>0</v>
      </c>
      <c r="H6" s="196">
        <v>-0.19494055271297436</v>
      </c>
      <c r="I6" s="197">
        <v>19582.3</v>
      </c>
      <c r="J6" s="194">
        <v>16558.049999999985</v>
      </c>
      <c r="K6" s="194">
        <v>97455.609999997832</v>
      </c>
      <c r="L6" s="196">
        <v>0.77850997727273219</v>
      </c>
      <c r="M6" s="194">
        <v>338740.14062970673</v>
      </c>
      <c r="P6" s="184">
        <v>44316</v>
      </c>
      <c r="Q6" s="183">
        <v>13</v>
      </c>
      <c r="R6" s="183">
        <v>13</v>
      </c>
    </row>
    <row r="7" spans="1:19" x14ac:dyDescent="0.3">
      <c r="A7" s="193" t="s">
        <v>116</v>
      </c>
      <c r="B7" s="194">
        <v>289608.33</v>
      </c>
      <c r="C7" s="194">
        <v>239786.71999999636</v>
      </c>
      <c r="D7" s="194">
        <v>239786.71999999636</v>
      </c>
      <c r="E7" s="194">
        <v>285000</v>
      </c>
      <c r="F7" s="194">
        <v>0</v>
      </c>
      <c r="G7" s="195">
        <v>0</v>
      </c>
      <c r="H7" s="196">
        <v>-0.1720309978653019</v>
      </c>
      <c r="I7" s="197">
        <v>11255.72</v>
      </c>
      <c r="J7" s="194">
        <v>7855.6399999999931</v>
      </c>
      <c r="K7" s="194">
        <v>45213.280000003637</v>
      </c>
      <c r="L7" s="196">
        <v>0.84135691228068898</v>
      </c>
      <c r="M7" s="194">
        <v>239797.65763985601</v>
      </c>
      <c r="Q7" s="183" t="s">
        <v>140</v>
      </c>
      <c r="R7" s="183" t="s">
        <v>141</v>
      </c>
    </row>
    <row r="8" spans="1:19" x14ac:dyDescent="0.3">
      <c r="A8" s="193" t="s">
        <v>117</v>
      </c>
      <c r="B8" s="194">
        <v>106325.600000002</v>
      </c>
      <c r="C8" s="194">
        <v>96349.499999999578</v>
      </c>
      <c r="D8" s="194">
        <v>97022.949999999575</v>
      </c>
      <c r="E8" s="194">
        <v>145000</v>
      </c>
      <c r="F8" s="194">
        <v>673.45</v>
      </c>
      <c r="G8" s="195">
        <v>0</v>
      </c>
      <c r="H8" s="196">
        <v>-8.7492099738936333E-2</v>
      </c>
      <c r="I8" s="197">
        <v>8816.5400000000009</v>
      </c>
      <c r="J8" s="194">
        <v>3525.860000000001</v>
      </c>
      <c r="K8" s="194">
        <v>47977.050000000425</v>
      </c>
      <c r="L8" s="196">
        <v>0.66912379310344539</v>
      </c>
      <c r="M8" s="194">
        <v>96358.198609309926</v>
      </c>
    </row>
    <row r="9" spans="1:19" x14ac:dyDescent="0.3">
      <c r="A9" s="193" t="s">
        <v>118</v>
      </c>
      <c r="B9" s="194">
        <v>485829.23000000301</v>
      </c>
      <c r="C9" s="194">
        <v>424869.47000000795</v>
      </c>
      <c r="D9" s="194">
        <v>423448.86000000796</v>
      </c>
      <c r="E9" s="194">
        <v>500000</v>
      </c>
      <c r="F9" s="194">
        <v>952.78</v>
      </c>
      <c r="G9" s="195">
        <v>2373.39</v>
      </c>
      <c r="H9" s="196">
        <v>-0.12839978771963692</v>
      </c>
      <c r="I9" s="197">
        <v>18282.150000000001</v>
      </c>
      <c r="J9" s="194">
        <v>11069.029999999988</v>
      </c>
      <c r="K9" s="194">
        <v>76551.13999999204</v>
      </c>
      <c r="L9" s="196">
        <v>0.84689772000001595</v>
      </c>
      <c r="M9" s="194">
        <v>424880.47967036796</v>
      </c>
    </row>
    <row r="10" spans="1:19" x14ac:dyDescent="0.3">
      <c r="A10" s="193" t="s">
        <v>119</v>
      </c>
      <c r="B10" s="194">
        <v>212612.789999998</v>
      </c>
      <c r="C10" s="194">
        <v>285176.64999999839</v>
      </c>
      <c r="D10" s="194">
        <v>288596.29999999842</v>
      </c>
      <c r="E10" s="194">
        <v>270000</v>
      </c>
      <c r="F10" s="194">
        <v>3419.6500000000005</v>
      </c>
      <c r="G10" s="195">
        <v>0</v>
      </c>
      <c r="H10" s="196">
        <v>0.35737977005052768</v>
      </c>
      <c r="I10" s="197">
        <v>12110.61</v>
      </c>
      <c r="J10" s="194">
        <v>14801.449999999984</v>
      </c>
      <c r="K10" s="194">
        <v>0</v>
      </c>
      <c r="L10" s="198">
        <v>1.0688751851851792</v>
      </c>
      <c r="M10" s="194">
        <v>285190.54537740583</v>
      </c>
      <c r="Q10" s="183" t="s">
        <v>201</v>
      </c>
      <c r="R10" s="183" t="s">
        <v>202</v>
      </c>
    </row>
    <row r="11" spans="1:19" x14ac:dyDescent="0.3">
      <c r="A11" s="193" t="s">
        <v>120</v>
      </c>
      <c r="B11" s="194">
        <v>500738.61000000499</v>
      </c>
      <c r="C11" s="194">
        <v>459979.44000001077</v>
      </c>
      <c r="D11" s="194">
        <v>460520.69000001077</v>
      </c>
      <c r="E11" s="194">
        <v>510000</v>
      </c>
      <c r="F11" s="194">
        <v>541.25</v>
      </c>
      <c r="G11" s="195">
        <v>0</v>
      </c>
      <c r="H11" s="196">
        <v>-8.031719383491083E-2</v>
      </c>
      <c r="I11" s="197">
        <v>28829.200000000001</v>
      </c>
      <c r="J11" s="194">
        <v>14773.139999999983</v>
      </c>
      <c r="K11" s="194">
        <v>49479.309999989229</v>
      </c>
      <c r="L11" s="196">
        <v>0.90298174509806028</v>
      </c>
      <c r="M11" s="194">
        <v>459991.17876269703</v>
      </c>
      <c r="P11" s="182" t="s">
        <v>140</v>
      </c>
      <c r="Q11" s="183">
        <v>22</v>
      </c>
      <c r="R11" s="183">
        <v>7</v>
      </c>
    </row>
    <row r="12" spans="1:19" x14ac:dyDescent="0.3">
      <c r="A12" s="193" t="s">
        <v>121</v>
      </c>
      <c r="B12" s="194">
        <v>177829.199999998</v>
      </c>
      <c r="C12" s="194">
        <v>126192.51999999897</v>
      </c>
      <c r="D12" s="194">
        <v>126591.31999999897</v>
      </c>
      <c r="E12" s="194">
        <v>170000</v>
      </c>
      <c r="F12" s="194">
        <v>398.8</v>
      </c>
      <c r="G12" s="195">
        <v>0</v>
      </c>
      <c r="H12" s="196">
        <v>-0.28812973347459025</v>
      </c>
      <c r="I12" s="197">
        <v>10096.200000000001</v>
      </c>
      <c r="J12" s="194">
        <v>4974.7499999999982</v>
      </c>
      <c r="K12" s="194">
        <v>43408.680000001026</v>
      </c>
      <c r="L12" s="196">
        <v>0.74465482352940571</v>
      </c>
      <c r="M12" s="194">
        <v>126202.20051270485</v>
      </c>
      <c r="P12" s="182" t="s">
        <v>141</v>
      </c>
      <c r="Q12" s="183">
        <v>19</v>
      </c>
      <c r="R12" s="183">
        <v>6</v>
      </c>
    </row>
    <row r="13" spans="1:19" hidden="1" x14ac:dyDescent="0.3">
      <c r="A13" s="193" t="s">
        <v>134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5">
        <v>0</v>
      </c>
      <c r="H13" s="196">
        <v>0</v>
      </c>
      <c r="I13" s="197">
        <v>0</v>
      </c>
      <c r="J13" s="194">
        <v>0</v>
      </c>
      <c r="K13" s="194">
        <v>0</v>
      </c>
      <c r="L13" s="196" t="e">
        <v>#DIV/0!</v>
      </c>
      <c r="M13" s="194" t="e">
        <v>#DIV/0!</v>
      </c>
    </row>
    <row r="14" spans="1:19" x14ac:dyDescent="0.3">
      <c r="A14" s="190" t="s">
        <v>11</v>
      </c>
      <c r="B14" s="191">
        <v>1512897.4800000028</v>
      </c>
      <c r="C14" s="191">
        <v>1416313.5300000052</v>
      </c>
      <c r="D14" s="191">
        <v>1410146.7000000051</v>
      </c>
      <c r="E14" s="191">
        <v>1105000</v>
      </c>
      <c r="F14" s="191">
        <v>8520.130000000001</v>
      </c>
      <c r="G14" s="191">
        <v>14686.96</v>
      </c>
      <c r="H14" s="192">
        <v>-6.7916551754714741E-2</v>
      </c>
      <c r="I14" s="191">
        <v>90304.6</v>
      </c>
      <c r="J14" s="191">
        <v>56542.73000000001</v>
      </c>
      <c r="K14" s="191">
        <v>24568.40000000014</v>
      </c>
      <c r="L14" s="200">
        <v>1.2761508597285114</v>
      </c>
      <c r="M14" s="191">
        <v>1416374.2386375994</v>
      </c>
    </row>
    <row r="15" spans="1:19" x14ac:dyDescent="0.3">
      <c r="A15" s="193" t="s">
        <v>122</v>
      </c>
      <c r="B15" s="194">
        <v>99249.199999999604</v>
      </c>
      <c r="C15" s="194">
        <v>78279.899999999863</v>
      </c>
      <c r="D15" s="194">
        <v>80431.59999999986</v>
      </c>
      <c r="E15" s="194">
        <v>105000</v>
      </c>
      <c r="F15" s="194">
        <v>2151.6999999999998</v>
      </c>
      <c r="G15" s="195">
        <v>0</v>
      </c>
      <c r="H15" s="196">
        <v>-0.18959951314468851</v>
      </c>
      <c r="I15" s="197">
        <v>2243.6999999999998</v>
      </c>
      <c r="J15" s="194">
        <v>1353.95</v>
      </c>
      <c r="K15" s="194">
        <v>24568.40000000014</v>
      </c>
      <c r="L15" s="196">
        <v>0.76601523809523675</v>
      </c>
      <c r="M15" s="194">
        <v>78289.858198095098</v>
      </c>
    </row>
    <row r="16" spans="1:19" x14ac:dyDescent="0.3">
      <c r="A16" s="193" t="s">
        <v>123</v>
      </c>
      <c r="B16" s="194">
        <v>288942.93</v>
      </c>
      <c r="C16" s="194">
        <v>394572.11000000167</v>
      </c>
      <c r="D16" s="194">
        <v>392321.06000000169</v>
      </c>
      <c r="E16" s="194">
        <v>350000</v>
      </c>
      <c r="F16" s="194">
        <v>502.55</v>
      </c>
      <c r="G16" s="195">
        <v>2753.6</v>
      </c>
      <c r="H16" s="196">
        <v>0.3577804447404257</v>
      </c>
      <c r="I16" s="197">
        <v>17099.900000000001</v>
      </c>
      <c r="J16" s="194">
        <v>13596.570000000002</v>
      </c>
      <c r="K16" s="194">
        <v>0</v>
      </c>
      <c r="L16" s="198">
        <v>1.1209173142857192</v>
      </c>
      <c r="M16" s="194">
        <v>394586.68192508741</v>
      </c>
    </row>
    <row r="17" spans="1:14" x14ac:dyDescent="0.3">
      <c r="A17" s="193" t="s">
        <v>58</v>
      </c>
      <c r="B17" s="194">
        <v>902997.09000000404</v>
      </c>
      <c r="C17" s="194">
        <v>651440.02000000444</v>
      </c>
      <c r="D17" s="194">
        <v>642525.16000000446</v>
      </c>
      <c r="E17" s="194">
        <v>380000</v>
      </c>
      <c r="F17" s="194">
        <v>2629.5</v>
      </c>
      <c r="G17" s="195">
        <v>11544.359999999999</v>
      </c>
      <c r="H17" s="196">
        <v>-0.28845267928825596</v>
      </c>
      <c r="I17" s="197">
        <v>61498.8</v>
      </c>
      <c r="J17" s="194">
        <v>33798.410000000003</v>
      </c>
      <c r="K17" s="194">
        <v>0</v>
      </c>
      <c r="L17" s="198">
        <v>1.690855684210538</v>
      </c>
      <c r="M17" s="194">
        <v>651462.00112389913</v>
      </c>
    </row>
    <row r="18" spans="1:14" x14ac:dyDescent="0.3">
      <c r="A18" s="193" t="s">
        <v>124</v>
      </c>
      <c r="B18" s="194">
        <v>221708.25999999899</v>
      </c>
      <c r="C18" s="194">
        <v>292021.49999999924</v>
      </c>
      <c r="D18" s="194">
        <v>294868.87999999925</v>
      </c>
      <c r="E18" s="194">
        <v>270000</v>
      </c>
      <c r="F18" s="194">
        <v>3236.38</v>
      </c>
      <c r="G18" s="195">
        <v>389</v>
      </c>
      <c r="H18" s="196">
        <v>0.32998599150072527</v>
      </c>
      <c r="I18" s="197">
        <v>9462.2000000000007</v>
      </c>
      <c r="J18" s="194">
        <v>7793.8000000000011</v>
      </c>
      <c r="K18" s="194">
        <v>0</v>
      </c>
      <c r="L18" s="198">
        <v>1.0921069629629603</v>
      </c>
      <c r="M18" s="194">
        <v>292035.69739051774</v>
      </c>
    </row>
    <row r="19" spans="1:14" x14ac:dyDescent="0.3">
      <c r="A19" s="190" t="s">
        <v>27</v>
      </c>
      <c r="B19" s="191">
        <v>733599.3</v>
      </c>
      <c r="C19" s="191">
        <v>740411.94999999972</v>
      </c>
      <c r="D19" s="191">
        <v>747709.09999999963</v>
      </c>
      <c r="E19" s="191">
        <v>815000</v>
      </c>
      <c r="F19" s="191">
        <v>10227.15</v>
      </c>
      <c r="G19" s="191">
        <v>2930</v>
      </c>
      <c r="H19" s="192">
        <v>1.9233660664615657E-2</v>
      </c>
      <c r="I19" s="191">
        <v>46595</v>
      </c>
      <c r="J19" s="191">
        <v>41432.490000000005</v>
      </c>
      <c r="K19" s="191">
        <v>67290.900000000314</v>
      </c>
      <c r="L19" s="192">
        <v>0.91743447852760696</v>
      </c>
      <c r="M19" s="191">
        <v>740447.97426727542</v>
      </c>
    </row>
    <row r="20" spans="1:14" x14ac:dyDescent="0.3">
      <c r="A20" s="193" t="s">
        <v>125</v>
      </c>
      <c r="B20" s="194">
        <v>153042.9</v>
      </c>
      <c r="C20" s="194">
        <v>174771.74999999985</v>
      </c>
      <c r="D20" s="194">
        <v>175223.54999999984</v>
      </c>
      <c r="E20" s="194">
        <v>190000</v>
      </c>
      <c r="F20" s="194">
        <v>3381.8</v>
      </c>
      <c r="G20" s="195">
        <v>2930</v>
      </c>
      <c r="H20" s="196">
        <v>0.14493093113107403</v>
      </c>
      <c r="I20" s="197">
        <v>15280</v>
      </c>
      <c r="J20" s="194">
        <v>13318.92</v>
      </c>
      <c r="K20" s="194">
        <v>14776.450000000157</v>
      </c>
      <c r="L20" s="196">
        <v>0.92222921052631501</v>
      </c>
      <c r="M20" s="194">
        <v>174783.73897973669</v>
      </c>
    </row>
    <row r="21" spans="1:14" x14ac:dyDescent="0.3">
      <c r="A21" s="193" t="s">
        <v>126</v>
      </c>
      <c r="B21" s="194">
        <v>355873.1</v>
      </c>
      <c r="C21" s="194">
        <v>355151.75999999989</v>
      </c>
      <c r="D21" s="194">
        <v>357691.85999999987</v>
      </c>
      <c r="E21" s="194">
        <v>400000</v>
      </c>
      <c r="F21" s="194">
        <v>2540.1</v>
      </c>
      <c r="G21" s="195">
        <v>0</v>
      </c>
      <c r="H21" s="196">
        <v>5.1106981674082508E-3</v>
      </c>
      <c r="I21" s="197">
        <v>16480</v>
      </c>
      <c r="J21" s="194">
        <v>20117.070000000007</v>
      </c>
      <c r="K21" s="194">
        <v>42308.14000000013</v>
      </c>
      <c r="L21" s="196">
        <v>0.89422964999999965</v>
      </c>
      <c r="M21" s="194">
        <v>355163.3849854499</v>
      </c>
    </row>
    <row r="22" spans="1:14" x14ac:dyDescent="0.3">
      <c r="A22" s="193" t="s">
        <v>127</v>
      </c>
      <c r="B22" s="194">
        <v>224683.3</v>
      </c>
      <c r="C22" s="194">
        <v>210488.43999999997</v>
      </c>
      <c r="D22" s="194">
        <v>214793.68999999997</v>
      </c>
      <c r="E22" s="194">
        <v>225000</v>
      </c>
      <c r="F22" s="194">
        <v>4305.25</v>
      </c>
      <c r="G22" s="195">
        <v>0</v>
      </c>
      <c r="H22" s="196">
        <v>-4.4015776873492674E-2</v>
      </c>
      <c r="I22" s="197">
        <v>14835</v>
      </c>
      <c r="J22" s="194">
        <v>7996.5000000000009</v>
      </c>
      <c r="K22" s="194">
        <v>10206.310000000027</v>
      </c>
      <c r="L22" s="196">
        <v>0.95463862222222207</v>
      </c>
      <c r="M22" s="194">
        <v>210500.85030208886</v>
      </c>
    </row>
    <row r="23" spans="1:14" x14ac:dyDescent="0.3">
      <c r="A23" s="190" t="s">
        <v>32</v>
      </c>
      <c r="B23" s="191">
        <v>376655.93000000005</v>
      </c>
      <c r="C23" s="191">
        <v>366601.32999999676</v>
      </c>
      <c r="D23" s="191">
        <v>370945.3299999967</v>
      </c>
      <c r="E23" s="191">
        <v>570000</v>
      </c>
      <c r="F23" s="191">
        <v>4344</v>
      </c>
      <c r="G23" s="191">
        <v>0</v>
      </c>
      <c r="H23" s="192">
        <v>-1.5161317120384517E-2</v>
      </c>
      <c r="I23" s="191">
        <v>20833.019999999997</v>
      </c>
      <c r="J23" s="191">
        <v>11921.710000000005</v>
      </c>
      <c r="K23" s="191">
        <v>199054.67000000324</v>
      </c>
      <c r="L23" s="192">
        <v>0.65078128070174857</v>
      </c>
      <c r="M23" s="191">
        <v>366634.42990137875</v>
      </c>
    </row>
    <row r="24" spans="1:14" x14ac:dyDescent="0.3">
      <c r="A24" s="193" t="s">
        <v>56</v>
      </c>
      <c r="B24" s="194">
        <v>141675.99</v>
      </c>
      <c r="C24" s="194">
        <v>97559.509999999136</v>
      </c>
      <c r="D24" s="194">
        <v>98329.009999999136</v>
      </c>
      <c r="E24" s="194">
        <v>140000</v>
      </c>
      <c r="F24" s="194">
        <v>769.5</v>
      </c>
      <c r="G24" s="195">
        <v>0</v>
      </c>
      <c r="H24" s="196">
        <v>-0.30595854668106331</v>
      </c>
      <c r="I24" s="197">
        <v>5943.42</v>
      </c>
      <c r="J24" s="194">
        <v>3707.6800000000017</v>
      </c>
      <c r="K24" s="194">
        <v>41670.990000000864</v>
      </c>
      <c r="L24" s="196">
        <v>0.7023500714285652</v>
      </c>
      <c r="M24" s="194">
        <v>97568.64055092771</v>
      </c>
    </row>
    <row r="25" spans="1:14" x14ac:dyDescent="0.3">
      <c r="A25" s="193" t="s">
        <v>128</v>
      </c>
      <c r="B25" s="194">
        <v>58070.1000000001</v>
      </c>
      <c r="C25" s="194">
        <v>42234.270000000208</v>
      </c>
      <c r="D25" s="194">
        <v>42234.270000000208</v>
      </c>
      <c r="E25" s="194">
        <v>80000</v>
      </c>
      <c r="F25" s="194">
        <v>0</v>
      </c>
      <c r="G25" s="195">
        <v>0</v>
      </c>
      <c r="H25" s="196">
        <v>-0.27270195849498907</v>
      </c>
      <c r="I25" s="197">
        <v>2768.2</v>
      </c>
      <c r="J25" s="194">
        <v>1688.9000000000005</v>
      </c>
      <c r="K25" s="194">
        <v>37765.729999999792</v>
      </c>
      <c r="L25" s="196">
        <v>0.52792837500000256</v>
      </c>
      <c r="M25" s="194">
        <v>42241.133068875206</v>
      </c>
    </row>
    <row r="26" spans="1:14" x14ac:dyDescent="0.3">
      <c r="A26" s="193" t="s">
        <v>129</v>
      </c>
      <c r="B26" s="194">
        <v>0</v>
      </c>
      <c r="C26" s="194">
        <v>118137.78999999868</v>
      </c>
      <c r="D26" s="194">
        <v>120321.38999999869</v>
      </c>
      <c r="E26" s="194">
        <v>180000</v>
      </c>
      <c r="F26" s="194">
        <v>2183.6</v>
      </c>
      <c r="G26" s="195">
        <v>0</v>
      </c>
      <c r="H26" s="196">
        <v>0</v>
      </c>
      <c r="I26" s="197">
        <v>0</v>
      </c>
      <c r="J26" s="194">
        <v>2752.7100000000009</v>
      </c>
      <c r="K26" s="194">
        <v>59678.61000000131</v>
      </c>
      <c r="L26" s="196">
        <v>0.66845216666665941</v>
      </c>
      <c r="M26" s="194">
        <v>118146.47987816535</v>
      </c>
    </row>
    <row r="27" spans="1:14" ht="15" customHeight="1" x14ac:dyDescent="0.3">
      <c r="A27" s="193" t="s">
        <v>130</v>
      </c>
      <c r="B27" s="194">
        <v>176909.84</v>
      </c>
      <c r="C27" s="194">
        <v>108669.75999999871</v>
      </c>
      <c r="D27" s="194">
        <v>110060.65999999871</v>
      </c>
      <c r="E27" s="194">
        <v>170000</v>
      </c>
      <c r="F27" s="194">
        <v>1390.9</v>
      </c>
      <c r="G27" s="195">
        <v>0</v>
      </c>
      <c r="H27" s="196">
        <v>-0.37787146266143978</v>
      </c>
      <c r="I27" s="197">
        <v>12121.4</v>
      </c>
      <c r="J27" s="194">
        <v>3772.4200000000014</v>
      </c>
      <c r="K27" s="194">
        <v>59939.340000001292</v>
      </c>
      <c r="L27" s="196">
        <v>0.64741564705881594</v>
      </c>
      <c r="M27" s="194">
        <v>108678.17640341049</v>
      </c>
    </row>
    <row r="28" spans="1:14" ht="15" customHeight="1" x14ac:dyDescent="0.3">
      <c r="A28" s="190" t="s">
        <v>131</v>
      </c>
      <c r="B28" s="191">
        <v>0</v>
      </c>
      <c r="C28" s="191">
        <v>77369.589999999094</v>
      </c>
      <c r="D28" s="191">
        <v>77701.139999999097</v>
      </c>
      <c r="E28" s="191">
        <v>115000</v>
      </c>
      <c r="F28" s="191">
        <v>331.55</v>
      </c>
      <c r="G28" s="191">
        <v>0</v>
      </c>
      <c r="H28" s="192">
        <v>0</v>
      </c>
      <c r="I28" s="191">
        <v>0</v>
      </c>
      <c r="J28" s="191">
        <v>1269.0500000000004</v>
      </c>
      <c r="K28" s="191">
        <v>37298.860000000903</v>
      </c>
      <c r="L28" s="192">
        <v>0.67566208695651386</v>
      </c>
      <c r="M28" s="191">
        <v>77378.373607129528</v>
      </c>
    </row>
    <row r="29" spans="1:14" ht="15" customHeight="1" x14ac:dyDescent="0.3">
      <c r="A29" s="193" t="s">
        <v>132</v>
      </c>
      <c r="B29" s="194">
        <v>0</v>
      </c>
      <c r="C29" s="194">
        <v>77369.589999999094</v>
      </c>
      <c r="D29" s="194">
        <v>77701.139999999097</v>
      </c>
      <c r="E29" s="194">
        <v>115000</v>
      </c>
      <c r="F29" s="194">
        <v>331.55</v>
      </c>
      <c r="G29" s="195">
        <v>0</v>
      </c>
      <c r="H29" s="196">
        <v>0</v>
      </c>
      <c r="I29" s="197">
        <v>0</v>
      </c>
      <c r="J29" s="194">
        <v>1269.0500000000004</v>
      </c>
      <c r="K29" s="194">
        <v>37298.860000000903</v>
      </c>
      <c r="L29" s="196">
        <v>0.67566208695651386</v>
      </c>
      <c r="M29" s="194">
        <v>77378.373607129528</v>
      </c>
    </row>
    <row r="30" spans="1:14" ht="15" customHeight="1" x14ac:dyDescent="0.3">
      <c r="A30" s="190" t="s">
        <v>133</v>
      </c>
      <c r="B30" s="191">
        <v>0</v>
      </c>
      <c r="C30" s="191">
        <v>20709.699999999997</v>
      </c>
      <c r="D30" s="191">
        <v>20709.699999999997</v>
      </c>
      <c r="E30" s="191">
        <v>12000</v>
      </c>
      <c r="F30" s="191">
        <v>0</v>
      </c>
      <c r="G30" s="191">
        <v>0</v>
      </c>
      <c r="H30" s="192">
        <v>0</v>
      </c>
      <c r="I30" s="191">
        <v>0</v>
      </c>
      <c r="J30" s="191">
        <v>0</v>
      </c>
      <c r="K30" s="191">
        <v>0</v>
      </c>
      <c r="L30" s="200">
        <v>1.7258083333333332</v>
      </c>
      <c r="M30" s="191">
        <v>20732.135508333329</v>
      </c>
      <c r="N30" s="201"/>
    </row>
    <row r="31" spans="1:14" ht="15" customHeight="1" x14ac:dyDescent="0.3">
      <c r="A31" s="193" t="s">
        <v>133</v>
      </c>
      <c r="B31" s="197">
        <v>0</v>
      </c>
      <c r="C31" s="194">
        <v>20709.699999999997</v>
      </c>
      <c r="D31" s="194">
        <v>20709.699999999997</v>
      </c>
      <c r="E31" s="194">
        <v>12000</v>
      </c>
      <c r="F31" s="194">
        <v>0</v>
      </c>
      <c r="G31" s="195">
        <v>0</v>
      </c>
      <c r="H31" s="196">
        <v>0</v>
      </c>
      <c r="I31" s="197">
        <v>0</v>
      </c>
      <c r="J31" s="194">
        <v>0</v>
      </c>
      <c r="K31" s="194">
        <v>0</v>
      </c>
      <c r="L31" s="198">
        <v>1.7258083333333332</v>
      </c>
      <c r="M31" s="194">
        <v>20732.135508333329</v>
      </c>
    </row>
    <row r="32" spans="1:14" ht="15" customHeight="1" x14ac:dyDescent="0.3">
      <c r="A32" s="190" t="s">
        <v>103</v>
      </c>
      <c r="B32" s="191">
        <v>39630.68</v>
      </c>
      <c r="C32" s="191">
        <v>66520.140000000087</v>
      </c>
      <c r="D32" s="202">
        <v>66520.140000000087</v>
      </c>
      <c r="E32" s="202">
        <v>90000</v>
      </c>
      <c r="F32" s="191">
        <v>0</v>
      </c>
      <c r="G32" s="191"/>
      <c r="H32" s="192">
        <v>0.67850110066241831</v>
      </c>
      <c r="I32" s="191">
        <v>0</v>
      </c>
      <c r="J32" s="191">
        <v>4098.1000000000004</v>
      </c>
      <c r="K32" s="191">
        <v>23479.859999999913</v>
      </c>
      <c r="L32" s="192">
        <v>0.73911266666666764</v>
      </c>
      <c r="M32" s="191">
        <v>66520.140000000087</v>
      </c>
    </row>
    <row r="33" spans="1:13" ht="15" customHeight="1" x14ac:dyDescent="0.3">
      <c r="A33" s="193" t="s">
        <v>103</v>
      </c>
      <c r="B33" s="194">
        <v>39630.68</v>
      </c>
      <c r="C33" s="194">
        <v>66520.140000000087</v>
      </c>
      <c r="D33" s="203">
        <v>32604.560000000085</v>
      </c>
      <c r="E33" s="203"/>
      <c r="F33" s="194">
        <v>0</v>
      </c>
      <c r="G33" s="195">
        <v>1248.8999999999999</v>
      </c>
      <c r="H33" s="196">
        <v>0</v>
      </c>
      <c r="I33" s="197">
        <v>0</v>
      </c>
      <c r="J33" s="194">
        <v>2079.75</v>
      </c>
      <c r="K33" s="194"/>
      <c r="L33" s="196"/>
      <c r="M33" s="194">
        <v>66520.140000000087</v>
      </c>
    </row>
    <row r="34" spans="1:13" ht="15" customHeight="1" x14ac:dyDescent="0.3">
      <c r="A34" s="193" t="s">
        <v>204</v>
      </c>
      <c r="B34" s="194"/>
      <c r="C34" s="194"/>
      <c r="D34" s="203">
        <v>33915.58</v>
      </c>
      <c r="E34" s="203"/>
      <c r="F34" s="194">
        <v>0</v>
      </c>
      <c r="G34" s="195">
        <v>0</v>
      </c>
      <c r="H34" s="196">
        <v>0</v>
      </c>
      <c r="I34" s="197">
        <v>0</v>
      </c>
      <c r="J34" s="194">
        <v>2018.35</v>
      </c>
      <c r="K34" s="194"/>
      <c r="L34" s="194"/>
      <c r="M34" s="194"/>
    </row>
    <row r="35" spans="1:13" ht="15" customHeight="1" x14ac:dyDescent="0.3">
      <c r="A35" s="204" t="s">
        <v>43</v>
      </c>
      <c r="B35" s="205">
        <v>5532376.2900000187</v>
      </c>
      <c r="C35" s="205">
        <v>5360094.0200000433</v>
      </c>
      <c r="D35" s="205">
        <v>5339384.3200000431</v>
      </c>
      <c r="E35" s="205">
        <v>5685000</v>
      </c>
      <c r="F35" s="205">
        <v>33915.58</v>
      </c>
      <c r="G35" s="205">
        <v>20709.699999999997</v>
      </c>
      <c r="H35" s="206">
        <v>-3.4884100408863347E-2</v>
      </c>
      <c r="I35" s="205">
        <v>295214.49</v>
      </c>
      <c r="J35" s="205">
        <v>211440.11999999994</v>
      </c>
      <c r="K35" s="205">
        <v>711777.75999998872</v>
      </c>
      <c r="L35" s="206">
        <v>0.93920568513633129</v>
      </c>
      <c r="M35" s="205" t="e">
        <v>#DIV/0!</v>
      </c>
    </row>
    <row r="36" spans="1:13" ht="15" customHeight="1" x14ac:dyDescent="0.3">
      <c r="C36" s="194"/>
      <c r="D36" s="194"/>
      <c r="E36" s="194"/>
      <c r="F36" s="194"/>
      <c r="G36" s="194"/>
      <c r="H36" s="194"/>
      <c r="I36" s="194"/>
      <c r="M36" s="194"/>
    </row>
    <row r="37" spans="1:13" ht="15" customHeight="1" x14ac:dyDescent="0.3">
      <c r="D37" s="201"/>
      <c r="E37" s="201"/>
    </row>
    <row r="38" spans="1:13" ht="15" customHeight="1" x14ac:dyDescent="0.3">
      <c r="D38" s="201"/>
      <c r="E38" s="201"/>
    </row>
    <row r="39" spans="1:13" ht="15" customHeight="1" x14ac:dyDescent="0.3">
      <c r="D39" s="201"/>
      <c r="E39" s="201"/>
    </row>
    <row r="40" spans="1:13" ht="15" customHeight="1" x14ac:dyDescent="0.3"/>
    <row r="41" spans="1:13" ht="15" customHeight="1" x14ac:dyDescent="0.3"/>
  </sheetData>
  <mergeCells count="1">
    <mergeCell ref="A1:M2"/>
  </mergeCells>
  <pageMargins left="0.25" right="0.25" top="0.75" bottom="0.75" header="0.3" footer="0.3"/>
  <pageSetup paperSize="9" scale="7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6A49-DF72-4119-89A4-140B869DB63D}">
  <sheetPr>
    <pageSetUpPr fitToPage="1"/>
  </sheetPr>
  <dimension ref="A1:O43"/>
  <sheetViews>
    <sheetView showGridLines="0" zoomScale="85" zoomScaleNormal="85" zoomScaleSheetLayoutView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9.109375" defaultRowHeight="14.4" x14ac:dyDescent="0.3"/>
  <cols>
    <col min="1" max="1" width="21.88671875" style="270" bestFit="1" customWidth="1"/>
    <col min="2" max="2" width="19" style="270" customWidth="1"/>
    <col min="3" max="3" width="17.21875" style="270" bestFit="1" customWidth="1"/>
    <col min="4" max="4" width="18" style="270" customWidth="1"/>
    <col min="5" max="5" width="17.21875" style="270" bestFit="1" customWidth="1"/>
    <col min="6" max="6" width="18.77734375" style="270" customWidth="1"/>
    <col min="7" max="7" width="17.33203125" style="270" bestFit="1" customWidth="1"/>
    <col min="8" max="8" width="18" style="293" customWidth="1"/>
    <col min="9" max="9" width="15.88671875" style="270" bestFit="1" customWidth="1"/>
    <col min="10" max="12" width="15.88671875" style="270" customWidth="1"/>
    <col min="13" max="13" width="17.44140625" style="270" customWidth="1"/>
    <col min="14" max="14" width="15.5546875" style="270" customWidth="1"/>
    <col min="15" max="15" width="13.44140625" style="270" customWidth="1"/>
    <col min="16" max="16384" width="9.109375" style="270"/>
  </cols>
  <sheetData>
    <row r="1" spans="1:15" ht="15" customHeight="1" x14ac:dyDescent="0.3">
      <c r="A1" s="304" t="s">
        <v>248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</row>
    <row r="2" spans="1:15" ht="15" customHeight="1" x14ac:dyDescent="0.3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</row>
    <row r="3" spans="1:15" s="273" customFormat="1" ht="15" customHeight="1" x14ac:dyDescent="0.25">
      <c r="A3" s="271" t="s">
        <v>238</v>
      </c>
      <c r="B3" s="271" t="s">
        <v>244</v>
      </c>
      <c r="C3" s="271" t="s">
        <v>245</v>
      </c>
      <c r="D3" s="272" t="s">
        <v>246</v>
      </c>
      <c r="E3" s="271" t="s">
        <v>246</v>
      </c>
      <c r="F3" s="271" t="s">
        <v>247</v>
      </c>
      <c r="G3" s="271" t="s">
        <v>196</v>
      </c>
      <c r="H3" s="272" t="s">
        <v>197</v>
      </c>
      <c r="I3" s="271" t="s">
        <v>106</v>
      </c>
      <c r="J3" s="271" t="s">
        <v>236</v>
      </c>
      <c r="K3" s="271" t="s">
        <v>108</v>
      </c>
      <c r="L3" s="271" t="s">
        <v>240</v>
      </c>
      <c r="M3" s="271" t="s">
        <v>111</v>
      </c>
      <c r="N3" s="271" t="s">
        <v>239</v>
      </c>
      <c r="O3" s="271" t="s">
        <v>110</v>
      </c>
    </row>
    <row r="4" spans="1:15" x14ac:dyDescent="0.3">
      <c r="A4" s="274" t="s">
        <v>17</v>
      </c>
      <c r="B4" s="275">
        <f t="shared" ref="B4:H4" si="0">SUM(B5:B13)</f>
        <v>2443165.290000008</v>
      </c>
      <c r="C4" s="275">
        <f>SUM(C5:C13)</f>
        <v>3302935.8199999849</v>
      </c>
      <c r="D4" s="276">
        <f t="shared" si="0"/>
        <v>4075097.800000011</v>
      </c>
      <c r="E4" s="276">
        <f t="shared" si="0"/>
        <v>4153487.550000011</v>
      </c>
      <c r="F4" s="276">
        <f t="shared" si="0"/>
        <v>3595000</v>
      </c>
      <c r="G4" s="276">
        <f>SUM(G5:G13)</f>
        <v>78389.75</v>
      </c>
      <c r="H4" s="276">
        <f t="shared" si="0"/>
        <v>0</v>
      </c>
      <c r="I4" s="277">
        <f t="shared" ref="I4:I37" si="1">IFERROR((E4-B4)/B4,0)</f>
        <v>0.70004361432295781</v>
      </c>
      <c r="J4" s="276">
        <f t="shared" ref="J4:N4" si="2">SUM(J5:J13)</f>
        <v>89181.570000000065</v>
      </c>
      <c r="K4" s="276">
        <f t="shared" si="2"/>
        <v>112090.95999999998</v>
      </c>
      <c r="L4" s="276">
        <f t="shared" si="2"/>
        <v>119899.16999999998</v>
      </c>
      <c r="M4" s="276">
        <f>IF(SUM(M5:M13)&lt;0,0,SUM(M5:M13))</f>
        <v>0</v>
      </c>
      <c r="N4" s="276">
        <f t="shared" si="2"/>
        <v>4296711.2586207008</v>
      </c>
      <c r="O4" s="278">
        <f t="shared" ref="O4:O27" si="3">E4/F4</f>
        <v>1.1553511961057055</v>
      </c>
    </row>
    <row r="5" spans="1:15" x14ac:dyDescent="0.3">
      <c r="A5" s="279" t="s">
        <v>19</v>
      </c>
      <c r="B5" s="280">
        <f>IFERROR(VLOOKUP($A5,[2]Dados!Z:AB,3,0),0)</f>
        <v>599982.94000000844</v>
      </c>
      <c r="C5" s="294">
        <f>SUMIF([2]Dados!N:N,A5,[2]Dados!P:P)</f>
        <v>812875.78999998874</v>
      </c>
      <c r="D5" s="258">
        <f>SUMIF([2]Dados!B:B,A5,[2]Dados!D:D)</f>
        <v>980165.60000002198</v>
      </c>
      <c r="E5" s="281">
        <f t="shared" ref="E5:E13" si="4">D5+G5-H5</f>
        <v>984516.16000002204</v>
      </c>
      <c r="F5" s="282">
        <f>SUMIF([2]Dados!$B:$B,A5,[2]Dados!$E:$E)</f>
        <v>900000</v>
      </c>
      <c r="G5" s="258">
        <f>SUMIF('[2]Din Movi'!H:H,A5,'[2]Din Movi'!I:I)</f>
        <v>4350.5600000000004</v>
      </c>
      <c r="H5" s="283">
        <v>0</v>
      </c>
      <c r="I5" s="284">
        <f t="shared" si="1"/>
        <v>0.64090692312019437</v>
      </c>
      <c r="J5" s="285">
        <f>SUMIF([2]Dados!N:N,A5,[2]Dados!W:W)</f>
        <v>20532.240000000009</v>
      </c>
      <c r="K5" s="285">
        <f>SUMIF([2]Dados!Z:Z,A5,[2]Dados!AI:AI)</f>
        <v>27018.37000000001</v>
      </c>
      <c r="L5" s="281">
        <f>SUMIF([2]Dados!B:B,A5,[2]Dados!K:K)</f>
        <v>25900.029999999988</v>
      </c>
      <c r="M5" s="281">
        <f t="shared" ref="M5" si="5">IF(((F5-E5)/1)&lt;0,0,(F5-E5)/1)</f>
        <v>0</v>
      </c>
      <c r="N5" s="281">
        <f t="shared" ref="N5:N13" si="6">E5+((E5/(29))*1)</f>
        <v>1018464.9931034711</v>
      </c>
      <c r="O5" s="286">
        <f>IFERROR(E5/F5,0)</f>
        <v>1.0939068444444688</v>
      </c>
    </row>
    <row r="6" spans="1:15" x14ac:dyDescent="0.3">
      <c r="A6" s="279" t="s">
        <v>18</v>
      </c>
      <c r="B6" s="280">
        <f>IFERROR(VLOOKUP($A6,[2]Dados!Z:AB,3,0),0)</f>
        <v>335316.89999999898</v>
      </c>
      <c r="C6" s="294">
        <f>SUMIF([2]Dados!N:N,A6,[2]Dados!P:P)</f>
        <v>439994.58000000037</v>
      </c>
      <c r="D6" s="258">
        <f>SUMIF([2]Dados!B:B,A6,[2]Dados!D:D)</f>
        <v>596703.90999999177</v>
      </c>
      <c r="E6" s="281">
        <f t="shared" si="4"/>
        <v>612763.76999999175</v>
      </c>
      <c r="F6" s="282">
        <f>SUMIF([2]Dados!$B:$B,A6,[2]Dados!$E:$E)</f>
        <v>495000</v>
      </c>
      <c r="G6" s="258">
        <f>SUMIF('[2]Din Movi'!H:H,A6,'[2]Din Movi'!I:I)</f>
        <v>16059.859999999999</v>
      </c>
      <c r="H6" s="283">
        <v>0</v>
      </c>
      <c r="I6" s="284">
        <f t="shared" si="1"/>
        <v>0.82741690025165338</v>
      </c>
      <c r="J6" s="285">
        <f>SUMIF([2]Dados!N:N,A6,[2]Dados!W:W)</f>
        <v>10203.880000000008</v>
      </c>
      <c r="K6" s="285">
        <f>SUMIF([2]Dados!Z:Z,A6,[2]Dados!AI:AI)</f>
        <v>16742.499999999989</v>
      </c>
      <c r="L6" s="281">
        <f>SUMIF([2]Dados!B:B,A6,[2]Dados!K:K)</f>
        <v>21180.239999999994</v>
      </c>
      <c r="M6" s="281">
        <f t="shared" ref="M6:M12" si="7">IF(((F6-E6)/1)&lt;0,0,(F6-E6)/1)</f>
        <v>0</v>
      </c>
      <c r="N6" s="281">
        <f t="shared" si="6"/>
        <v>633893.55517240521</v>
      </c>
      <c r="O6" s="286">
        <f t="shared" ref="O6:O13" si="8">IFERROR(E6/F6,0)</f>
        <v>1.2379066060605894</v>
      </c>
    </row>
    <row r="7" spans="1:15" x14ac:dyDescent="0.3">
      <c r="A7" s="279" t="s">
        <v>116</v>
      </c>
      <c r="B7" s="280">
        <f>IFERROR(VLOOKUP($A7,[2]Dados!Z:AB,3,0),0)</f>
        <v>238521.30999999869</v>
      </c>
      <c r="C7" s="294">
        <f>SUMIF([2]Dados!N:N,A7,[2]Dados!P:P)</f>
        <v>327688.93000000133</v>
      </c>
      <c r="D7" s="258">
        <f>SUMIF([2]Dados!B:B,A7,[2]Dados!D:D)</f>
        <v>450919.07999999326</v>
      </c>
      <c r="E7" s="281">
        <f t="shared" si="4"/>
        <v>454493.57999999326</v>
      </c>
      <c r="F7" s="282">
        <f>SUMIF([2]Dados!$B:$B,A7,[2]Dados!$E:$E)</f>
        <v>370000</v>
      </c>
      <c r="G7" s="258">
        <f>SUMIF('[2]Din Movi'!H:H,A7,'[2]Din Movi'!I:I)</f>
        <v>3574.5000000000005</v>
      </c>
      <c r="H7" s="283">
        <v>0</v>
      </c>
      <c r="I7" s="284">
        <f t="shared" si="1"/>
        <v>0.90546320578230832</v>
      </c>
      <c r="J7" s="285">
        <f>SUMIF([2]Dados!N:N,A7,[2]Dados!W:W)</f>
        <v>11406.37</v>
      </c>
      <c r="K7" s="285">
        <f>SUMIF([2]Dados!Z:Z,A7,[2]Dados!AI:AI)</f>
        <v>10275.699999999995</v>
      </c>
      <c r="L7" s="281">
        <f>SUMIF([2]Dados!B:B,A7,[2]Dados!K:K)</f>
        <v>16392.899999999998</v>
      </c>
      <c r="M7" s="281">
        <f t="shared" si="7"/>
        <v>0</v>
      </c>
      <c r="N7" s="281">
        <f t="shared" si="6"/>
        <v>470165.77241378615</v>
      </c>
      <c r="O7" s="286">
        <f t="shared" si="8"/>
        <v>1.2283610270270089</v>
      </c>
    </row>
    <row r="8" spans="1:15" x14ac:dyDescent="0.3">
      <c r="A8" s="279" t="s">
        <v>117</v>
      </c>
      <c r="B8" s="280">
        <f>IFERROR(VLOOKUP($A8,[2]Dados!Z:AB,3,0),0)</f>
        <v>71261.740000000136</v>
      </c>
      <c r="C8" s="294">
        <f>SUMIF([2]Dados!N:N,A8,[2]Dados!P:P)</f>
        <v>108903.35999999926</v>
      </c>
      <c r="D8" s="258">
        <f>SUMIF([2]Dados!B:B,A8,[2]Dados!D:D)</f>
        <v>0</v>
      </c>
      <c r="E8" s="281">
        <f t="shared" si="4"/>
        <v>341.9</v>
      </c>
      <c r="F8" s="282">
        <f>SUMIF([2]Dados!$B:$B,A8,[2]Dados!$E:$E)</f>
        <v>0</v>
      </c>
      <c r="G8" s="258">
        <f>SUMIF('[2]Din Movi'!H:H,A8,'[2]Din Movi'!I:I)</f>
        <v>341.9</v>
      </c>
      <c r="H8" s="283">
        <v>0</v>
      </c>
      <c r="I8" s="284">
        <f t="shared" si="1"/>
        <v>-0.99520219405251686</v>
      </c>
      <c r="J8" s="285">
        <f>SUMIF([2]Dados!N:N,A8,[2]Dados!W:W)</f>
        <v>0</v>
      </c>
      <c r="K8" s="285">
        <f>SUMIF([2]Dados!Z:Z,A8,[2]Dados!AI:AI)</f>
        <v>6737.3000000000011</v>
      </c>
      <c r="L8" s="281">
        <f>SUMIF([2]Dados!B:B,A8,[2]Dados!K:K)</f>
        <v>0</v>
      </c>
      <c r="M8" s="281">
        <f t="shared" si="7"/>
        <v>0</v>
      </c>
      <c r="N8" s="281">
        <f t="shared" si="6"/>
        <v>353.68965517241378</v>
      </c>
      <c r="O8" s="286">
        <f t="shared" si="8"/>
        <v>0</v>
      </c>
    </row>
    <row r="9" spans="1:15" x14ac:dyDescent="0.3">
      <c r="A9" s="279" t="s">
        <v>118</v>
      </c>
      <c r="B9" s="280">
        <f>IFERROR(VLOOKUP($A9,[2]Dados!Z:AB,3,0),0)</f>
        <v>472264.81000000174</v>
      </c>
      <c r="C9" s="294">
        <f>SUMIF([2]Dados!N:N,A9,[2]Dados!P:P)</f>
        <v>559981.67000000016</v>
      </c>
      <c r="D9" s="258">
        <f>SUMIF([2]Dados!B:B,A9,[2]Dados!D:D)</f>
        <v>701357.50000000396</v>
      </c>
      <c r="E9" s="281">
        <f t="shared" si="4"/>
        <v>726739.86000000394</v>
      </c>
      <c r="F9" s="282">
        <f>SUMIF([2]Dados!$B:$B,A9,[2]Dados!$E:$E)</f>
        <v>630000</v>
      </c>
      <c r="G9" s="258">
        <f>SUMIF('[2]Din Movi'!H:H,A9,'[2]Din Movi'!I:I)</f>
        <v>25382.36</v>
      </c>
      <c r="H9" s="283">
        <v>0</v>
      </c>
      <c r="I9" s="284">
        <f t="shared" si="1"/>
        <v>0.53883974543858404</v>
      </c>
      <c r="J9" s="285">
        <f>SUMIF([2]Dados!N:N,A9,[2]Dados!W:W)</f>
        <v>20992.120000000028</v>
      </c>
      <c r="K9" s="285">
        <f>SUMIF([2]Dados!Z:Z,A9,[2]Dados!AI:AI)</f>
        <v>19383.71</v>
      </c>
      <c r="L9" s="281">
        <f>SUMIF([2]Dados!B:B,A9,[2]Dados!K:K)</f>
        <v>19355.28</v>
      </c>
      <c r="M9" s="281">
        <f t="shared" si="7"/>
        <v>0</v>
      </c>
      <c r="N9" s="281">
        <f t="shared" si="6"/>
        <v>751799.85517241783</v>
      </c>
      <c r="O9" s="286">
        <f t="shared" si="8"/>
        <v>1.1535553333333395</v>
      </c>
    </row>
    <row r="10" spans="1:15" x14ac:dyDescent="0.3">
      <c r="A10" s="279" t="s">
        <v>119</v>
      </c>
      <c r="B10" s="280">
        <f>IFERROR(VLOOKUP($A10,[2]Dados!Z:AB,3,0),0)</f>
        <v>179991.87999999907</v>
      </c>
      <c r="C10" s="294">
        <f>SUMIF([2]Dados!N:N,A10,[2]Dados!P:P)</f>
        <v>297312.69000000105</v>
      </c>
      <c r="D10" s="258">
        <f>SUMIF([2]Dados!B:B,A10,[2]Dados!D:D)</f>
        <v>356966.36999999761</v>
      </c>
      <c r="E10" s="281">
        <f t="shared" si="4"/>
        <v>361514.89999999764</v>
      </c>
      <c r="F10" s="282">
        <f>SUMIF([2]Dados!$B:$B,A10,[2]Dados!$E:$E)</f>
        <v>330000</v>
      </c>
      <c r="G10" s="258">
        <f>SUMIF('[2]Din Movi'!H:H,A10,'[2]Din Movi'!I:I)</f>
        <v>4548.5300000000007</v>
      </c>
      <c r="H10" s="283">
        <v>0</v>
      </c>
      <c r="I10" s="284">
        <f t="shared" si="1"/>
        <v>1.00850671708079</v>
      </c>
      <c r="J10" s="285">
        <f>SUMIF([2]Dados!N:N,A10,[2]Dados!W:W)</f>
        <v>6242.0499999999984</v>
      </c>
      <c r="K10" s="285">
        <f>SUMIF([2]Dados!Z:Z,A10,[2]Dados!AI:AI)</f>
        <v>10092.219999999996</v>
      </c>
      <c r="L10" s="281">
        <f>SUMIF([2]Dados!B:B,A10,[2]Dados!K:K)</f>
        <v>13665.370000000004</v>
      </c>
      <c r="M10" s="281">
        <f t="shared" si="7"/>
        <v>0</v>
      </c>
      <c r="N10" s="281">
        <f t="shared" si="6"/>
        <v>373980.93103448034</v>
      </c>
      <c r="O10" s="286">
        <f t="shared" si="8"/>
        <v>1.0954996969696897</v>
      </c>
    </row>
    <row r="11" spans="1:15" x14ac:dyDescent="0.3">
      <c r="A11" s="279" t="s">
        <v>120</v>
      </c>
      <c r="B11" s="280">
        <f>IFERROR(VLOOKUP($A11,[2]Dados!Z:AB,3,0),0)</f>
        <v>371918.69000000157</v>
      </c>
      <c r="C11" s="294">
        <f>SUMIF([2]Dados!N:N,A11,[2]Dados!P:P)</f>
        <v>608029.25999999489</v>
      </c>
      <c r="D11" s="258">
        <f>SUMIF([2]Dados!B:B,A11,[2]Dados!D:D)</f>
        <v>784852.0300000034</v>
      </c>
      <c r="E11" s="281">
        <f t="shared" si="4"/>
        <v>808984.07000000344</v>
      </c>
      <c r="F11" s="282">
        <f>SUMIF([2]Dados!$B:$B,A11,[2]Dados!$E:$E)</f>
        <v>700000</v>
      </c>
      <c r="G11" s="258">
        <f>SUMIF('[2]Din Movi'!H:H,A11,'[2]Din Movi'!I:I)</f>
        <v>24132.04</v>
      </c>
      <c r="H11" s="283">
        <v>0</v>
      </c>
      <c r="I11" s="284">
        <f t="shared" si="1"/>
        <v>1.1751637972267541</v>
      </c>
      <c r="J11" s="285">
        <f>SUMIF([2]Dados!N:N,A11,[2]Dados!W:W)</f>
        <v>14114.470000000008</v>
      </c>
      <c r="K11" s="285">
        <f>SUMIF([2]Dados!Z:Z,A11,[2]Dados!AI:AI)</f>
        <v>14704.259999999993</v>
      </c>
      <c r="L11" s="281">
        <f>SUMIF([2]Dados!B:B,A11,[2]Dados!K:K)</f>
        <v>19055.309999999998</v>
      </c>
      <c r="M11" s="281">
        <f t="shared" si="7"/>
        <v>0</v>
      </c>
      <c r="N11" s="281">
        <f t="shared" si="6"/>
        <v>836880.07241379668</v>
      </c>
      <c r="O11" s="286">
        <f t="shared" si="8"/>
        <v>1.1556915285714335</v>
      </c>
    </row>
    <row r="12" spans="1:15" x14ac:dyDescent="0.3">
      <c r="A12" s="279" t="s">
        <v>121</v>
      </c>
      <c r="B12" s="280">
        <f>IFERROR(VLOOKUP($A12,[2]Dados!Z:AB,3,0),0)</f>
        <v>173907.01999999929</v>
      </c>
      <c r="C12" s="294">
        <f>SUMIF([2]Dados!N:N,A12,[2]Dados!P:P)</f>
        <v>148149.53999999978</v>
      </c>
      <c r="D12" s="258">
        <f>SUMIF([2]Dados!B:B,A12,[2]Dados!D:D)</f>
        <v>204133.30999999889</v>
      </c>
      <c r="E12" s="281">
        <f t="shared" si="4"/>
        <v>204133.30999999889</v>
      </c>
      <c r="F12" s="282">
        <f>SUMIF([2]Dados!$B:$B,A12,[2]Dados!$E:$E)</f>
        <v>170000</v>
      </c>
      <c r="G12" s="258">
        <f>SUMIF('[2]Din Movi'!H:H,A12,'[2]Din Movi'!I:I)</f>
        <v>0</v>
      </c>
      <c r="H12" s="283">
        <v>0</v>
      </c>
      <c r="I12" s="284">
        <f t="shared" si="1"/>
        <v>0.17380718731193096</v>
      </c>
      <c r="J12" s="285">
        <f>SUMIF([2]Dados!N:N,A12,[2]Dados!W:W)</f>
        <v>5690.4399999999987</v>
      </c>
      <c r="K12" s="285">
        <f>SUMIF([2]Dados!Z:Z,A12,[2]Dados!AI:AI)</f>
        <v>7136.9</v>
      </c>
      <c r="L12" s="281">
        <f>SUMIF([2]Dados!B:B,A12,[2]Dados!K:K)</f>
        <v>4350.0399999999991</v>
      </c>
      <c r="M12" s="281">
        <f t="shared" si="7"/>
        <v>0</v>
      </c>
      <c r="N12" s="281">
        <f t="shared" si="6"/>
        <v>211172.38965517125</v>
      </c>
      <c r="O12" s="286">
        <f t="shared" si="8"/>
        <v>1.2007841764705818</v>
      </c>
    </row>
    <row r="13" spans="1:15" x14ac:dyDescent="0.3">
      <c r="A13" s="279" t="s">
        <v>134</v>
      </c>
      <c r="B13" s="280">
        <f>IFERROR(VLOOKUP($A13,[2]Dados!Z:AB,3,0),0)</f>
        <v>0</v>
      </c>
      <c r="C13" s="294">
        <f>SUMIF([2]Dados!N:N,A13,[2]Dados!P:P)</f>
        <v>0</v>
      </c>
      <c r="D13" s="258">
        <f>SUMIF([2]Dados!B:B,A13,[2]Dados!D:D)</f>
        <v>0</v>
      </c>
      <c r="E13" s="281">
        <f t="shared" si="4"/>
        <v>0</v>
      </c>
      <c r="F13" s="282">
        <f>SUMIF([2]Dados!$B:$B,A13,[2]Dados!$E:$E)</f>
        <v>0</v>
      </c>
      <c r="G13" s="258">
        <f>SUMIF('[2]Din Movi'!H:H,A13,'[2]Din Movi'!I:I)</f>
        <v>0</v>
      </c>
      <c r="H13" s="283">
        <v>0</v>
      </c>
      <c r="I13" s="284">
        <f t="shared" si="1"/>
        <v>0</v>
      </c>
      <c r="J13" s="285">
        <f>SUMIF([2]Dados!N:N,A13,[2]Dados!W:W)</f>
        <v>0</v>
      </c>
      <c r="K13" s="285">
        <f>SUMIF([2]Dados!Z:Z,A13,[2]Dados!AI:AI)</f>
        <v>0</v>
      </c>
      <c r="L13" s="281">
        <f>SUMIF([2]Dados!B:B,A13,[2]Dados!K:K)</f>
        <v>0</v>
      </c>
      <c r="M13" s="281">
        <f t="shared" ref="M13" si="9">IF(((F13-E13)/1)&lt;0,0,(F13-E13)/1)</f>
        <v>0</v>
      </c>
      <c r="N13" s="281">
        <f t="shared" si="6"/>
        <v>0</v>
      </c>
      <c r="O13" s="286">
        <f t="shared" si="8"/>
        <v>0</v>
      </c>
    </row>
    <row r="14" spans="1:15" x14ac:dyDescent="0.3">
      <c r="A14" s="274" t="s">
        <v>11</v>
      </c>
      <c r="B14" s="275">
        <f t="shared" ref="B14:H14" si="10">SUM(B15:B17)</f>
        <v>937037.19000000111</v>
      </c>
      <c r="C14" s="275">
        <f t="shared" si="10"/>
        <v>1741643.2299999958</v>
      </c>
      <c r="D14" s="276">
        <f t="shared" si="10"/>
        <v>1787878.6800000048</v>
      </c>
      <c r="E14" s="276">
        <f t="shared" si="10"/>
        <v>1847303.7700000049</v>
      </c>
      <c r="F14" s="276">
        <f t="shared" si="10"/>
        <v>2010000</v>
      </c>
      <c r="G14" s="276">
        <f t="shared" si="10"/>
        <v>59425.09</v>
      </c>
      <c r="H14" s="276">
        <f t="shared" si="10"/>
        <v>0</v>
      </c>
      <c r="I14" s="277">
        <f t="shared" si="1"/>
        <v>0.97143057897200724</v>
      </c>
      <c r="J14" s="276">
        <f>SUM(J15:J17)</f>
        <v>54045.33</v>
      </c>
      <c r="K14" s="276">
        <f>SUM(K15:K17)</f>
        <v>48973.600000000006</v>
      </c>
      <c r="L14" s="276">
        <f>SUM(L15:L17)</f>
        <v>52555.600000000006</v>
      </c>
      <c r="M14" s="276">
        <f>IF(SUM(M15:M17)&lt;0,0,SUM(M15:M17))</f>
        <v>251307.7499999936</v>
      </c>
      <c r="N14" s="276">
        <f>SUM(N15:N17)</f>
        <v>1911003.900000005</v>
      </c>
      <c r="O14" s="278">
        <f t="shared" si="3"/>
        <v>0.91905660199005224</v>
      </c>
    </row>
    <row r="15" spans="1:15" x14ac:dyDescent="0.3">
      <c r="A15" s="279" t="s">
        <v>123</v>
      </c>
      <c r="B15" s="280">
        <f>IFERROR(VLOOKUP($A15,[2]Dados!Z:AB,3,0),0)</f>
        <v>209947.81999999969</v>
      </c>
      <c r="C15" s="294">
        <f>SUMIF([2]Dados!N:N,A15,[2]Dados!P:P)</f>
        <v>506832.01999999851</v>
      </c>
      <c r="D15" s="258">
        <f>SUMIF([2]Dados!B:B,A15,[2]Dados!D:D)</f>
        <v>581261.19999999914</v>
      </c>
      <c r="E15" s="281">
        <f>D15+G15-H15</f>
        <v>607425.32999999914</v>
      </c>
      <c r="F15" s="282">
        <f>SUMIF([2]Dados!$B:$B,A15,[2]Dados!$E:$E)</f>
        <v>570000</v>
      </c>
      <c r="G15" s="258">
        <f>SUMIF('[2]Din Movi'!H:H,A15,'[2]Din Movi'!I:I)</f>
        <v>26164.129999999997</v>
      </c>
      <c r="H15" s="283">
        <v>0</v>
      </c>
      <c r="I15" s="284">
        <f t="shared" si="1"/>
        <v>1.8932204678286253</v>
      </c>
      <c r="J15" s="285">
        <f>SUMIF([2]Dados!N:N,A15,[2]Dados!W:W)</f>
        <v>13743.500000000007</v>
      </c>
      <c r="K15" s="285">
        <f>SUMIF([2]Dados!Z:Z,A15,[2]Dados!AI:AI)</f>
        <v>12380.199999999999</v>
      </c>
      <c r="L15" s="281">
        <f>SUMIF([2]Dados!B:B,A15,[2]Dados!K:K)</f>
        <v>16826.360000000004</v>
      </c>
      <c r="M15" s="281">
        <f t="shared" ref="M15:M17" si="11">IF(((F15-E15)/1)&lt;0,0,(F15-E15)/1)</f>
        <v>0</v>
      </c>
      <c r="N15" s="281">
        <f>E15+((E15/(29))*1)</f>
        <v>628371.03103448183</v>
      </c>
      <c r="O15" s="286">
        <f t="shared" ref="O15:O17" si="12">IFERROR(E15/F15,0)</f>
        <v>1.065658473684209</v>
      </c>
    </row>
    <row r="16" spans="1:15" x14ac:dyDescent="0.3">
      <c r="A16" s="279" t="s">
        <v>58</v>
      </c>
      <c r="B16" s="280">
        <f>IFERROR(VLOOKUP($A16,[2]Dados!Z:AB,3,0),0)</f>
        <v>618259.78000000166</v>
      </c>
      <c r="C16" s="294">
        <f>SUMIF([2]Dados!N:N,A16,[2]Dados!P:P)</f>
        <v>938546.22999999777</v>
      </c>
      <c r="D16" s="258">
        <f>SUMIF([2]Dados!B:B,A16,[2]Dados!D:D)</f>
        <v>831293.07000000635</v>
      </c>
      <c r="E16" s="281">
        <f>D16+G16+H16</f>
        <v>848692.2500000064</v>
      </c>
      <c r="F16" s="282">
        <f>SUMIF([2]Dados!$B:$B,A16,[2]Dados!$E:$E)</f>
        <v>1100000</v>
      </c>
      <c r="G16" s="258">
        <f>SUMIF('[2]Din Movi'!H:H,A16,'[2]Din Movi'!I:I)</f>
        <v>17399.18</v>
      </c>
      <c r="H16" s="283">
        <v>0</v>
      </c>
      <c r="I16" s="284">
        <f t="shared" si="1"/>
        <v>0.37271140296398403</v>
      </c>
      <c r="J16" s="285">
        <f>SUMIF([2]Dados!N:N,A16,[2]Dados!W:W)</f>
        <v>27122</v>
      </c>
      <c r="K16" s="285">
        <f>SUMIF([2]Dados!Z:Z,A16,[2]Dados!AI:AI)</f>
        <v>34484.100000000006</v>
      </c>
      <c r="L16" s="281">
        <f>SUMIF([2]Dados!B:B,A16,[2]Dados!K:K)</f>
        <v>26231.840000000007</v>
      </c>
      <c r="M16" s="281">
        <f t="shared" si="11"/>
        <v>251307.7499999936</v>
      </c>
      <c r="N16" s="281">
        <f>E16+((E16/(29))*1)</f>
        <v>877957.50000000664</v>
      </c>
      <c r="O16" s="286">
        <f t="shared" si="12"/>
        <v>0.77153840909091487</v>
      </c>
    </row>
    <row r="17" spans="1:15" x14ac:dyDescent="0.3">
      <c r="A17" s="279" t="s">
        <v>124</v>
      </c>
      <c r="B17" s="280">
        <f>IFERROR(VLOOKUP($A17,[2]Dados!Z:AB,3,0),0)</f>
        <v>108829.58999999972</v>
      </c>
      <c r="C17" s="294">
        <f>SUMIF([2]Dados!N:N,A17,[2]Dados!P:P)</f>
        <v>296264.97999999963</v>
      </c>
      <c r="D17" s="258">
        <f>SUMIF([2]Dados!B:B,A17,[2]Dados!D:D)</f>
        <v>375324.40999999928</v>
      </c>
      <c r="E17" s="281">
        <f>D17+G17-H17</f>
        <v>391186.18999999925</v>
      </c>
      <c r="F17" s="282">
        <f>SUMIF([2]Dados!$B:$B,A17,[2]Dados!$E:$E)</f>
        <v>340000</v>
      </c>
      <c r="G17" s="258">
        <f>SUMIF('[2]Din Movi'!H:H,A17,'[2]Din Movi'!I:I)</f>
        <v>15861.779999999999</v>
      </c>
      <c r="H17" s="283">
        <v>0</v>
      </c>
      <c r="I17" s="284">
        <f t="shared" si="1"/>
        <v>2.5944837245091179</v>
      </c>
      <c r="J17" s="285">
        <f>SUMIF([2]Dados!N:N,A17,[2]Dados!W:W)</f>
        <v>13179.829999999996</v>
      </c>
      <c r="K17" s="285">
        <f>SUMIF([2]Dados!Z:Z,A17,[2]Dados!AI:AI)</f>
        <v>2109.3000000000002</v>
      </c>
      <c r="L17" s="281">
        <f>SUMIF([2]Dados!B:B,A17,[2]Dados!K:K)</f>
        <v>9497.3999999999978</v>
      </c>
      <c r="M17" s="281">
        <f t="shared" si="11"/>
        <v>0</v>
      </c>
      <c r="N17" s="281">
        <f>E17+((E17/(29))*1)</f>
        <v>404675.36896551645</v>
      </c>
      <c r="O17" s="286">
        <f t="shared" si="12"/>
        <v>1.1505476176470566</v>
      </c>
    </row>
    <row r="18" spans="1:15" x14ac:dyDescent="0.3">
      <c r="A18" s="274" t="s">
        <v>27</v>
      </c>
      <c r="B18" s="275">
        <f t="shared" ref="B18:H18" si="13">SUM(B19:B21)</f>
        <v>574930.26</v>
      </c>
      <c r="C18" s="275">
        <f t="shared" si="13"/>
        <v>918826.38000000012</v>
      </c>
      <c r="D18" s="276">
        <f t="shared" si="13"/>
        <v>908162.6100000001</v>
      </c>
      <c r="E18" s="276">
        <f t="shared" si="13"/>
        <v>999470.59000000008</v>
      </c>
      <c r="F18" s="276">
        <f t="shared" si="13"/>
        <v>1000000</v>
      </c>
      <c r="G18" s="276">
        <f t="shared" si="13"/>
        <v>91307.98000000001</v>
      </c>
      <c r="H18" s="276">
        <f t="shared" si="13"/>
        <v>0</v>
      </c>
      <c r="I18" s="277">
        <f t="shared" si="1"/>
        <v>0.73842056947915746</v>
      </c>
      <c r="J18" s="276">
        <f t="shared" ref="J18:N18" si="14">SUM(J19:J21)</f>
        <v>23523.63</v>
      </c>
      <c r="K18" s="276">
        <f t="shared" si="14"/>
        <v>28536</v>
      </c>
      <c r="L18" s="276">
        <f t="shared" si="14"/>
        <v>32965.630000000005</v>
      </c>
      <c r="M18" s="276">
        <f>IF(SUM(M19:M21)&lt;0,0,SUM(M19:M21))</f>
        <v>31012.34999999986</v>
      </c>
      <c r="N18" s="276">
        <f t="shared" si="14"/>
        <v>1033935.0931034484</v>
      </c>
      <c r="O18" s="278">
        <f t="shared" si="3"/>
        <v>0.99947059000000005</v>
      </c>
    </row>
    <row r="19" spans="1:15" x14ac:dyDescent="0.3">
      <c r="A19" s="279" t="s">
        <v>125</v>
      </c>
      <c r="B19" s="280">
        <f>IFERROR(VLOOKUP($A19,[2]Dados!Z:AB,3,0),0)</f>
        <v>130572.99999999999</v>
      </c>
      <c r="C19" s="294">
        <f>SUMIF([2]Dados!N:N,A19,[2]Dados!P:P)</f>
        <v>91796.079999999973</v>
      </c>
      <c r="D19" s="258">
        <f>SUMIF([2]Dados!B:B,A19,[2]Dados!D:D)</f>
        <v>0</v>
      </c>
      <c r="E19" s="281">
        <f>D19+G19-H19</f>
        <v>0</v>
      </c>
      <c r="F19" s="282">
        <f>SUMIF([2]Dados!$B:$B,A19,[2]Dados!$E:$E)</f>
        <v>0</v>
      </c>
      <c r="G19" s="258">
        <f>SUMIF('[2]Din Movi'!H:H,A19,'[2]Din Movi'!I:I)</f>
        <v>0</v>
      </c>
      <c r="H19" s="283">
        <v>0</v>
      </c>
      <c r="I19" s="284">
        <f t="shared" si="1"/>
        <v>-1</v>
      </c>
      <c r="J19" s="285">
        <f>SUMIF([2]Dados!N:N,A19,[2]Dados!W:W)</f>
        <v>0</v>
      </c>
      <c r="K19" s="285">
        <f>SUMIF([2]Dados!Z:Z,A19,[2]Dados!AI:AI)</f>
        <v>4770</v>
      </c>
      <c r="L19" s="281">
        <f>SUMIF([2]Dados!B:B,A19,[2]Dados!K:K)</f>
        <v>0</v>
      </c>
      <c r="M19" s="281">
        <f t="shared" ref="M19:M21" si="15">IF(((F19-E19)/1)&lt;0,0,(F19-E19)/1)</f>
        <v>0</v>
      </c>
      <c r="N19" s="281">
        <f>E19+((E19/(29))*1)</f>
        <v>0</v>
      </c>
      <c r="O19" s="286">
        <f t="shared" ref="O19:O21" si="16">IFERROR(E19/F19,0)</f>
        <v>0</v>
      </c>
    </row>
    <row r="20" spans="1:15" x14ac:dyDescent="0.3">
      <c r="A20" s="279" t="s">
        <v>126</v>
      </c>
      <c r="B20" s="280">
        <f>IFERROR(VLOOKUP($A20,[2]Dados!Z:AB,3,0),0)</f>
        <v>213658.25999999998</v>
      </c>
      <c r="C20" s="294">
        <f>SUMIF([2]Dados!N:N,A20,[2]Dados!P:P)</f>
        <v>466462.21000000014</v>
      </c>
      <c r="D20" s="258">
        <f>SUMIF([2]Dados!B:B,A20,[2]Dados!D:D)</f>
        <v>464411.16000000015</v>
      </c>
      <c r="E20" s="281">
        <f>D20+G20-H20</f>
        <v>528987.65000000014</v>
      </c>
      <c r="F20" s="282">
        <f>SUMIF([2]Dados!$B:$B,A20,[2]Dados!$E:$E)</f>
        <v>560000</v>
      </c>
      <c r="G20" s="258">
        <f>SUMIF('[2]Din Movi'!H:H,A20,'[2]Din Movi'!I:I)</f>
        <v>64576.490000000005</v>
      </c>
      <c r="H20" s="283">
        <v>0</v>
      </c>
      <c r="I20" s="284">
        <f t="shared" si="1"/>
        <v>1.4758586445476067</v>
      </c>
      <c r="J20" s="285">
        <f>SUMIF([2]Dados!N:N,A20,[2]Dados!W:W)</f>
        <v>11101</v>
      </c>
      <c r="K20" s="285">
        <f>SUMIF([2]Dados!Z:Z,A20,[2]Dados!AI:AI)</f>
        <v>6218</v>
      </c>
      <c r="L20" s="281">
        <f>SUMIF([2]Dados!B:B,A20,[2]Dados!K:K)</f>
        <v>18398.13</v>
      </c>
      <c r="M20" s="281">
        <f t="shared" si="15"/>
        <v>31012.34999999986</v>
      </c>
      <c r="N20" s="281">
        <f>E20+((E20/(29))*1)</f>
        <v>547228.60344827606</v>
      </c>
      <c r="O20" s="286">
        <f t="shared" si="16"/>
        <v>0.94462080357142886</v>
      </c>
    </row>
    <row r="21" spans="1:15" x14ac:dyDescent="0.3">
      <c r="A21" s="279" t="s">
        <v>127</v>
      </c>
      <c r="B21" s="280">
        <f>IFERROR(VLOOKUP($A21,[2]Dados!Z:AB,3,0),0)</f>
        <v>230699</v>
      </c>
      <c r="C21" s="294">
        <f>SUMIF([2]Dados!N:N,A21,[2]Dados!P:P)</f>
        <v>360568.09</v>
      </c>
      <c r="D21" s="258">
        <f>SUMIF([2]Dados!B:B,A21,[2]Dados!D:D)</f>
        <v>443751.4499999999</v>
      </c>
      <c r="E21" s="281">
        <f>D21+G21-H21</f>
        <v>470482.93999999989</v>
      </c>
      <c r="F21" s="282">
        <f>SUMIF([2]Dados!$B:$B,A21,[2]Dados!$E:$E)</f>
        <v>440000</v>
      </c>
      <c r="G21" s="258">
        <f>SUMIF('[2]Din Movi'!H:H,A21,'[2]Din Movi'!I:I)</f>
        <v>26731.49</v>
      </c>
      <c r="H21" s="283">
        <v>0</v>
      </c>
      <c r="I21" s="284">
        <f t="shared" si="1"/>
        <v>1.0393800579976502</v>
      </c>
      <c r="J21" s="285">
        <f>SUMIF([2]Dados!N:N,A21,[2]Dados!W:W)</f>
        <v>12422.630000000001</v>
      </c>
      <c r="K21" s="285">
        <f>SUMIF([2]Dados!Z:Z,A21,[2]Dados!AI:AI)</f>
        <v>17548</v>
      </c>
      <c r="L21" s="281">
        <f>SUMIF([2]Dados!B:B,A21,[2]Dados!K:K)</f>
        <v>14567.5</v>
      </c>
      <c r="M21" s="281">
        <f t="shared" si="15"/>
        <v>0</v>
      </c>
      <c r="N21" s="281">
        <f>E21+((E21/(29))*1)</f>
        <v>486706.48965517228</v>
      </c>
      <c r="O21" s="286">
        <f t="shared" si="16"/>
        <v>1.0692794090909088</v>
      </c>
    </row>
    <row r="22" spans="1:15" x14ac:dyDescent="0.3">
      <c r="A22" s="274" t="s">
        <v>32</v>
      </c>
      <c r="B22" s="275">
        <f t="shared" ref="B22:H22" si="17">SUM(B23:B26)</f>
        <v>356203.21999999962</v>
      </c>
      <c r="C22" s="275">
        <f t="shared" si="17"/>
        <v>453101.39000000025</v>
      </c>
      <c r="D22" s="276">
        <f t="shared" si="17"/>
        <v>438537.47000000044</v>
      </c>
      <c r="E22" s="276">
        <f t="shared" si="17"/>
        <v>451635.85000000044</v>
      </c>
      <c r="F22" s="276">
        <f t="shared" si="17"/>
        <v>490000</v>
      </c>
      <c r="G22" s="276">
        <f t="shared" si="17"/>
        <v>13098.380000000003</v>
      </c>
      <c r="H22" s="276">
        <f t="shared" si="17"/>
        <v>0</v>
      </c>
      <c r="I22" s="277">
        <f t="shared" si="1"/>
        <v>0.26791624736014719</v>
      </c>
      <c r="J22" s="276">
        <f t="shared" ref="J22:N22" si="18">SUM(J23:J26)</f>
        <v>13126.139999999994</v>
      </c>
      <c r="K22" s="276">
        <f t="shared" si="18"/>
        <v>17702.019999999997</v>
      </c>
      <c r="L22" s="276">
        <f t="shared" si="18"/>
        <v>18532.41</v>
      </c>
      <c r="M22" s="276">
        <f>IF(SUM(M23:M26)&lt;0,0,SUM(M23:M26))</f>
        <v>50144.350000000413</v>
      </c>
      <c r="N22" s="276">
        <f t="shared" si="18"/>
        <v>467209.50000000047</v>
      </c>
      <c r="O22" s="278">
        <f t="shared" si="3"/>
        <v>0.92170581632653148</v>
      </c>
    </row>
    <row r="23" spans="1:15" x14ac:dyDescent="0.3">
      <c r="A23" s="279" t="s">
        <v>56</v>
      </c>
      <c r="B23" s="280">
        <f>IFERROR(VLOOKUP($A23,[2]Dados!Z:AB,3,0),0)</f>
        <v>133514.30999999976</v>
      </c>
      <c r="C23" s="294">
        <f>SUMIF([2]Dados!N:N,A23,[2]Dados!P:P)</f>
        <v>122770.65999999942</v>
      </c>
      <c r="D23" s="258">
        <f>SUMIF([2]Dados!B:B,A23,[2]Dados!D:D)</f>
        <v>99091.049999999028</v>
      </c>
      <c r="E23" s="281">
        <f>D23+G23-H23</f>
        <v>99091.049999999028</v>
      </c>
      <c r="F23" s="282">
        <f>SUMIF([2]Dados!$B:$B,A23,[2]Dados!$E:$E)</f>
        <v>130000</v>
      </c>
      <c r="G23" s="258">
        <f>SUMIF('[2]Din Movi'!H:H,A23,'[2]Din Movi'!I:I)</f>
        <v>0</v>
      </c>
      <c r="H23" s="283">
        <v>0</v>
      </c>
      <c r="I23" s="284">
        <f t="shared" si="1"/>
        <v>-0.25782449836276572</v>
      </c>
      <c r="J23" s="285">
        <f>SUMIF([2]Dados!N:N,A23,[2]Dados!W:W)</f>
        <v>6589.5899999999956</v>
      </c>
      <c r="K23" s="285">
        <f>SUMIF([2]Dados!Z:Z,A23,[2]Dados!AI:AI)</f>
        <v>6592.6100000000006</v>
      </c>
      <c r="L23" s="281">
        <f>SUMIF([2]Dados!B:B,A23,[2]Dados!K:K)</f>
        <v>4696.97</v>
      </c>
      <c r="M23" s="281">
        <f t="shared" ref="M23:M26" si="19">IF(((F23-E23)/1)&lt;0,0,(F23-E23)/1)</f>
        <v>30908.950000000972</v>
      </c>
      <c r="N23" s="281">
        <f>E23+((E23/(29))*1)</f>
        <v>102507.98275861968</v>
      </c>
      <c r="O23" s="286">
        <f t="shared" ref="O23:O26" si="20">IFERROR(E23/F23,0)</f>
        <v>0.76223884615383863</v>
      </c>
    </row>
    <row r="24" spans="1:15" x14ac:dyDescent="0.3">
      <c r="A24" s="279" t="s">
        <v>128</v>
      </c>
      <c r="B24" s="280">
        <f>IFERROR(VLOOKUP($A24,[2]Dados!Z:AB,3,0),0)</f>
        <v>63603.630000000099</v>
      </c>
      <c r="C24" s="294">
        <f>SUMIF([2]Dados!N:N,A24,[2]Dados!P:P)</f>
        <v>0</v>
      </c>
      <c r="D24" s="258">
        <f>SUMIF([2]Dados!B:B,A24,[2]Dados!D:D)</f>
        <v>0</v>
      </c>
      <c r="E24" s="281">
        <f>D24+G24-H24</f>
        <v>0</v>
      </c>
      <c r="F24" s="282">
        <f>SUMIF([2]Dados!$B:$B,A24,[2]Dados!$E:$E)</f>
        <v>0</v>
      </c>
      <c r="G24" s="258">
        <f>SUMIF('[2]Din Movi'!H:H,A24,'[2]Din Movi'!I:I)</f>
        <v>0</v>
      </c>
      <c r="H24" s="283">
        <v>0</v>
      </c>
      <c r="I24" s="284">
        <f t="shared" si="1"/>
        <v>-1</v>
      </c>
      <c r="J24" s="285">
        <f>SUMIF([2]Dados!N:N,A24,[2]Dados!W:W)</f>
        <v>0</v>
      </c>
      <c r="K24" s="285">
        <f>SUMIF([2]Dados!Z:Z,A24,[2]Dados!AI:AI)</f>
        <v>2168.3000000000006</v>
      </c>
      <c r="L24" s="281">
        <f>SUMIF([2]Dados!B:B,A24,[2]Dados!K:K)</f>
        <v>0</v>
      </c>
      <c r="M24" s="281">
        <f t="shared" si="19"/>
        <v>0</v>
      </c>
      <c r="N24" s="281">
        <f>E24+((E24/(29))*1)</f>
        <v>0</v>
      </c>
      <c r="O24" s="286">
        <f t="shared" si="20"/>
        <v>0</v>
      </c>
    </row>
    <row r="25" spans="1:15" x14ac:dyDescent="0.3">
      <c r="A25" s="279" t="s">
        <v>129</v>
      </c>
      <c r="B25" s="280">
        <f>IFERROR(VLOOKUP($A25,[2]Dados!Z:AB,3,0),0)</f>
        <v>0</v>
      </c>
      <c r="C25" s="294">
        <f>SUMIF([2]Dados!N:N,A25,[2]Dados!P:P)</f>
        <v>176303.52000000063</v>
      </c>
      <c r="D25" s="258">
        <f>SUMIF([2]Dados!B:B,A25,[2]Dados!D:D)</f>
        <v>188681.82000000088</v>
      </c>
      <c r="E25" s="281">
        <f>D25+G25-H25</f>
        <v>201780.20000000088</v>
      </c>
      <c r="F25" s="282">
        <f>SUMIF([2]Dados!$B:$B,A25,[2]Dados!$E:$E)</f>
        <v>190000</v>
      </c>
      <c r="G25" s="258">
        <f>SUMIF('[2]Din Movi'!H:H,A25,'[2]Din Movi'!I:I)</f>
        <v>13098.380000000003</v>
      </c>
      <c r="H25" s="283">
        <v>0</v>
      </c>
      <c r="I25" s="284">
        <f t="shared" si="1"/>
        <v>0</v>
      </c>
      <c r="J25" s="285">
        <f>SUMIF([2]Dados!N:N,A25,[2]Dados!W:W)</f>
        <v>3338.1499999999996</v>
      </c>
      <c r="K25" s="285">
        <f>SUMIF([2]Dados!Z:Z,A25,[2]Dados!AI:AI)</f>
        <v>0</v>
      </c>
      <c r="L25" s="281">
        <f>SUMIF([2]Dados!B:B,A25,[2]Dados!K:K)</f>
        <v>9682.590000000002</v>
      </c>
      <c r="M25" s="281">
        <f t="shared" si="19"/>
        <v>0</v>
      </c>
      <c r="N25" s="281">
        <f>E25+((E25/(29))*1)</f>
        <v>208738.1379310354</v>
      </c>
      <c r="O25" s="286">
        <f t="shared" si="20"/>
        <v>1.0620010526315835</v>
      </c>
    </row>
    <row r="26" spans="1:15" ht="15" customHeight="1" x14ac:dyDescent="0.3">
      <c r="A26" s="279" t="s">
        <v>130</v>
      </c>
      <c r="B26" s="280">
        <f>IFERROR(VLOOKUP($A26,[2]Dados!Z:AB,3,0),0)</f>
        <v>159085.2799999998</v>
      </c>
      <c r="C26" s="294">
        <f>SUMIF([2]Dados!N:N,A26,[2]Dados!P:P)</f>
        <v>154027.21000000017</v>
      </c>
      <c r="D26" s="258">
        <f>SUMIF([2]Dados!B:B,A26,[2]Dados!D:D)</f>
        <v>150764.60000000056</v>
      </c>
      <c r="E26" s="281">
        <f>D26+G26-H26</f>
        <v>150764.60000000056</v>
      </c>
      <c r="F26" s="282">
        <f>SUMIF([2]Dados!$B:$B,A26,[2]Dados!$E:$E)</f>
        <v>170000</v>
      </c>
      <c r="G26" s="258">
        <f>SUMIF('[2]Din Movi'!H:H,A26,'[2]Din Movi'!I:I)</f>
        <v>0</v>
      </c>
      <c r="H26" s="283">
        <v>0</v>
      </c>
      <c r="I26" s="284">
        <f t="shared" si="1"/>
        <v>-5.2303267781904444E-2</v>
      </c>
      <c r="J26" s="285">
        <f>SUMIF([2]Dados!N:N,A26,[2]Dados!W:W)</f>
        <v>3198.3999999999992</v>
      </c>
      <c r="K26" s="285">
        <f>SUMIF([2]Dados!Z:Z,A26,[2]Dados!AI:AI)</f>
        <v>8941.1099999999969</v>
      </c>
      <c r="L26" s="281">
        <f>SUMIF([2]Dados!B:B,A26,[2]Dados!K:K)</f>
        <v>4152.8499999999995</v>
      </c>
      <c r="M26" s="281">
        <f t="shared" si="19"/>
        <v>19235.399999999441</v>
      </c>
      <c r="N26" s="281">
        <f>E26+((E26/(29))*1)</f>
        <v>155963.37931034539</v>
      </c>
      <c r="O26" s="286">
        <f t="shared" si="20"/>
        <v>0.88685058823529739</v>
      </c>
    </row>
    <row r="27" spans="1:15" ht="15" customHeight="1" x14ac:dyDescent="0.3">
      <c r="A27" s="274" t="s">
        <v>131</v>
      </c>
      <c r="B27" s="275">
        <f t="shared" ref="B27:H27" si="21">SUM(B28:B29)</f>
        <v>106904.10999999993</v>
      </c>
      <c r="C27" s="275">
        <f t="shared" si="21"/>
        <v>153533.31999999966</v>
      </c>
      <c r="D27" s="276">
        <f t="shared" si="21"/>
        <v>212936.70999999935</v>
      </c>
      <c r="E27" s="276">
        <f t="shared" si="21"/>
        <v>216583.39999999935</v>
      </c>
      <c r="F27" s="276">
        <f t="shared" si="21"/>
        <v>215000</v>
      </c>
      <c r="G27" s="276">
        <f t="shared" si="21"/>
        <v>3646.69</v>
      </c>
      <c r="H27" s="276">
        <f t="shared" si="21"/>
        <v>0</v>
      </c>
      <c r="I27" s="277">
        <f t="shared" si="1"/>
        <v>1.0259595257843641</v>
      </c>
      <c r="J27" s="276">
        <f>SUM(J28:J29)</f>
        <v>4258.6100000000006</v>
      </c>
      <c r="K27" s="276">
        <f>SUM(K28:K29)</f>
        <v>3292.9700000000003</v>
      </c>
      <c r="L27" s="276">
        <f>SUM(L28:L29)</f>
        <v>4520.5599999999977</v>
      </c>
      <c r="M27" s="276">
        <f>IF(SUM(M28:M29)&lt;0,0,SUM(M28:M29))</f>
        <v>8810.4000000003871</v>
      </c>
      <c r="N27" s="276">
        <f>SUM(N28:N29)</f>
        <v>224051.79310344759</v>
      </c>
      <c r="O27" s="278">
        <f t="shared" si="3"/>
        <v>1.0073646511627876</v>
      </c>
    </row>
    <row r="28" spans="1:15" ht="15" customHeight="1" x14ac:dyDescent="0.3">
      <c r="A28" s="279" t="s">
        <v>132</v>
      </c>
      <c r="B28" s="280">
        <f>IFERROR(VLOOKUP($A28,[2]Dados!Z:AB,3,0),0)</f>
        <v>44391.119999999857</v>
      </c>
      <c r="C28" s="294">
        <f>SUMIF([2]Dados!N:N,A28,[2]Dados!P:P)</f>
        <v>99069.939999999566</v>
      </c>
      <c r="D28" s="258">
        <f>SUMIF([2]Dados!B:B,A28,[2]Dados!D:D)</f>
        <v>104928.92999999961</v>
      </c>
      <c r="E28" s="281">
        <f>D28+G28-H28</f>
        <v>106189.59999999961</v>
      </c>
      <c r="F28" s="282">
        <f>SUMIF([2]Dados!$B:$B,A28,[2]Dados!$E:$E)</f>
        <v>115000</v>
      </c>
      <c r="G28" s="258">
        <f>SUMIF('[2]Din Movi'!H:H,A28,'[2]Din Movi'!I:I)</f>
        <v>1260.67</v>
      </c>
      <c r="H28" s="283">
        <v>0</v>
      </c>
      <c r="I28" s="284">
        <f t="shared" si="1"/>
        <v>1.3921360848746316</v>
      </c>
      <c r="J28" s="285">
        <f>SUMIF([2]Dados!N:N,A28,[2]Dados!W:W)</f>
        <v>2498.63</v>
      </c>
      <c r="K28" s="285">
        <f>SUMIF([2]Dados!Z:Z,A28,[2]Dados!AI:AI)</f>
        <v>1878.9800000000005</v>
      </c>
      <c r="L28" s="281">
        <f>SUMIF([2]Dados!B:B,A28,[2]Dados!K:K)</f>
        <v>1287.8200000000002</v>
      </c>
      <c r="M28" s="281">
        <f t="shared" ref="M28:M29" si="22">IF(((F28-E28)/1)&lt;0,0,(F28-E28)/1)</f>
        <v>8810.4000000003871</v>
      </c>
      <c r="N28" s="281">
        <f>E28+((E28/(29))*1)</f>
        <v>109851.31034482719</v>
      </c>
      <c r="O28" s="286">
        <f t="shared" ref="O28:O32" si="23">IFERROR(E28/F28,0)</f>
        <v>0.92338782608695313</v>
      </c>
    </row>
    <row r="29" spans="1:15" x14ac:dyDescent="0.3">
      <c r="A29" s="279" t="s">
        <v>219</v>
      </c>
      <c r="B29" s="280">
        <f>IFERROR(VLOOKUP($A29,[2]Dados!Z:AB,3,0),0)</f>
        <v>62512.990000000063</v>
      </c>
      <c r="C29" s="294">
        <f>SUMIF([2]Dados!N:N,A29,[2]Dados!P:P)</f>
        <v>54463.380000000107</v>
      </c>
      <c r="D29" s="258">
        <f>SUMIF([2]Dados!B:B,A29,[2]Dados!D:D)</f>
        <v>108007.77999999974</v>
      </c>
      <c r="E29" s="281">
        <f>D29+G29-H29</f>
        <v>110393.79999999974</v>
      </c>
      <c r="F29" s="282">
        <f>SUMIF([2]Dados!$B:$B,A29,[2]Dados!$E:$E)</f>
        <v>100000</v>
      </c>
      <c r="G29" s="258">
        <f>SUMIF('[2]Din Movi'!H:H,A29,'[2]Din Movi'!I:I)</f>
        <v>2386.02</v>
      </c>
      <c r="H29" s="283">
        <v>0</v>
      </c>
      <c r="I29" s="284">
        <f t="shared" si="1"/>
        <v>0.76593376832558524</v>
      </c>
      <c r="J29" s="285">
        <f>SUMIF([2]Dados!N:N,A29,[2]Dados!W:W)</f>
        <v>1759.9800000000002</v>
      </c>
      <c r="K29" s="285">
        <f>SUMIF([2]Dados!Z:Z,A29,[2]Dados!AI:AI)</f>
        <v>1413.9899999999998</v>
      </c>
      <c r="L29" s="281">
        <f>SUMIF([2]Dados!B:B,A29,[2]Dados!K:K)</f>
        <v>3232.739999999998</v>
      </c>
      <c r="M29" s="281">
        <f t="shared" si="22"/>
        <v>0</v>
      </c>
      <c r="N29" s="281">
        <f>E29+((E29/(29))*1)</f>
        <v>114200.48275862042</v>
      </c>
      <c r="O29" s="286">
        <f t="shared" si="23"/>
        <v>1.1039379999999974</v>
      </c>
    </row>
    <row r="30" spans="1:15" x14ac:dyDescent="0.3">
      <c r="A30" s="253" t="s">
        <v>164</v>
      </c>
      <c r="B30" s="275">
        <f>SUM(B31)</f>
        <v>0</v>
      </c>
      <c r="C30" s="275">
        <f>SUM(C31)</f>
        <v>0</v>
      </c>
      <c r="D30" s="276">
        <f>D31</f>
        <v>0</v>
      </c>
      <c r="E30" s="295">
        <f t="shared" ref="E30:H30" si="24">SUM(E31)</f>
        <v>0</v>
      </c>
      <c r="F30" s="295">
        <f t="shared" si="24"/>
        <v>0</v>
      </c>
      <c r="G30" s="295">
        <f t="shared" si="24"/>
        <v>0</v>
      </c>
      <c r="H30" s="295">
        <f t="shared" si="24"/>
        <v>0</v>
      </c>
      <c r="I30" s="277">
        <f t="shared" si="1"/>
        <v>0</v>
      </c>
      <c r="J30" s="276">
        <f>SUM(J31)</f>
        <v>0</v>
      </c>
      <c r="K30" s="276">
        <f>SUM(K31)</f>
        <v>0</v>
      </c>
      <c r="L30" s="276">
        <f>SUM(L31)</f>
        <v>0</v>
      </c>
      <c r="M30" s="276">
        <f>IF(SUM(M31)&lt;0,0,SUM(M31))</f>
        <v>0</v>
      </c>
      <c r="N30" s="276">
        <f>SUM(N31)</f>
        <v>0</v>
      </c>
      <c r="O30" s="278">
        <f t="shared" si="23"/>
        <v>0</v>
      </c>
    </row>
    <row r="31" spans="1:15" x14ac:dyDescent="0.3">
      <c r="A31" s="257" t="s">
        <v>164</v>
      </c>
      <c r="B31" s="280">
        <f>IFERROR(VLOOKUP($A31,[2]Dados!Z:AB,3,0),0)</f>
        <v>0</v>
      </c>
      <c r="C31" s="294">
        <f>SUMIF([2]Dados!N:N,A31,[2]Dados!P:P)</f>
        <v>0</v>
      </c>
      <c r="D31" s="258">
        <f>SUMIF([2]Dados!B:B,A31,[2]Dados!D:D)</f>
        <v>0</v>
      </c>
      <c r="E31" s="281">
        <f>D31+G31-H31</f>
        <v>0</v>
      </c>
      <c r="F31" s="282">
        <f>SUMIF([2]Dados!$B:$B,A31,[2]Dados!$E:$E)</f>
        <v>0</v>
      </c>
      <c r="G31" s="258">
        <f>SUMIF('[2]Din Movi'!H:H,A31,'[2]Din Movi'!I:I)</f>
        <v>0</v>
      </c>
      <c r="H31" s="283">
        <v>0</v>
      </c>
      <c r="I31" s="284">
        <f t="shared" si="1"/>
        <v>0</v>
      </c>
      <c r="J31" s="285">
        <f>SUMIF([2]Dados!N:N,A31,[2]Dados!W:W)</f>
        <v>0</v>
      </c>
      <c r="K31" s="285">
        <f>SUMIF([2]Dados!Z:Z,A31,[2]Dados!AI:AI)</f>
        <v>0</v>
      </c>
      <c r="L31" s="281">
        <f>SUMIF([2]Dados!B:B,A31,[2]Dados!K:K)</f>
        <v>0</v>
      </c>
      <c r="M31" s="281">
        <f t="shared" ref="M31" si="25">IF(((F31-E31)/1)&lt;0,0,(F31-E31)/1)</f>
        <v>0</v>
      </c>
      <c r="N31" s="281">
        <f>E31+((E31/(29))*1)</f>
        <v>0</v>
      </c>
      <c r="O31" s="286">
        <f>IFERROR(E31/F31,0)</f>
        <v>0</v>
      </c>
    </row>
    <row r="32" spans="1:15" ht="15" customHeight="1" x14ac:dyDescent="0.3">
      <c r="A32" s="274" t="s">
        <v>133</v>
      </c>
      <c r="B32" s="275">
        <f t="shared" ref="B32:H32" si="26">SUM(B33)</f>
        <v>0</v>
      </c>
      <c r="C32" s="275">
        <f t="shared" si="26"/>
        <v>0</v>
      </c>
      <c r="D32" s="276">
        <f t="shared" si="26"/>
        <v>0</v>
      </c>
      <c r="E32" s="275">
        <f t="shared" si="26"/>
        <v>0</v>
      </c>
      <c r="F32" s="276">
        <f t="shared" si="26"/>
        <v>0</v>
      </c>
      <c r="G32" s="276">
        <f t="shared" si="26"/>
        <v>0</v>
      </c>
      <c r="H32" s="276">
        <f t="shared" si="26"/>
        <v>0</v>
      </c>
      <c r="I32" s="277">
        <f t="shared" si="1"/>
        <v>0</v>
      </c>
      <c r="J32" s="276">
        <f>SUM(J33)</f>
        <v>0</v>
      </c>
      <c r="K32" s="276">
        <f>SUM(K33)</f>
        <v>0</v>
      </c>
      <c r="L32" s="276">
        <f>SUM(L33)</f>
        <v>0</v>
      </c>
      <c r="M32" s="276">
        <f>M33</f>
        <v>0</v>
      </c>
      <c r="N32" s="276">
        <f>SUM(N33)</f>
        <v>0</v>
      </c>
      <c r="O32" s="278">
        <f t="shared" si="23"/>
        <v>0</v>
      </c>
    </row>
    <row r="33" spans="1:15" ht="15" customHeight="1" x14ac:dyDescent="0.3">
      <c r="A33" s="279" t="s">
        <v>133</v>
      </c>
      <c r="B33" s="280">
        <f>IFERROR(VLOOKUP($A33,[2]Dados!Z:AB,3,0),0)</f>
        <v>0</v>
      </c>
      <c r="C33" s="294">
        <f>SUMIF([2]Dados!N:N,A33,[2]Dados!P:P)</f>
        <v>0</v>
      </c>
      <c r="D33" s="258">
        <f>SUMIF([2]Dados!B:B,A33,[2]Dados!D:D)</f>
        <v>0</v>
      </c>
      <c r="E33" s="281">
        <f>D33+G33-H33</f>
        <v>0</v>
      </c>
      <c r="F33" s="282">
        <f>SUMIF([2]Dados!$B:$B,A33,[2]Dados!$E:$E)</f>
        <v>0</v>
      </c>
      <c r="G33" s="258">
        <f>SUMIF('[2]Din Movi'!H:H,A33,'[2]Din Movi'!I:I)</f>
        <v>0</v>
      </c>
      <c r="H33" s="283">
        <v>0</v>
      </c>
      <c r="I33" s="284">
        <f t="shared" si="1"/>
        <v>0</v>
      </c>
      <c r="J33" s="285">
        <f>SUMIF([2]Dados!N:N,A33,[2]Dados!W:W)</f>
        <v>0</v>
      </c>
      <c r="K33" s="285">
        <f>SUMIF([2]Dados!Z:Z,A33,[2]Dados!AI:AI)</f>
        <v>0</v>
      </c>
      <c r="L33" s="281">
        <f>SUMIF([2]Dados!B:B,A33,[2]Dados!K:K)</f>
        <v>0</v>
      </c>
      <c r="M33" s="281">
        <f t="shared" ref="M33" si="27">IF(((F33-E33)/1)&lt;0,0,(F33-E33)/1)</f>
        <v>0</v>
      </c>
      <c r="N33" s="281">
        <f>E33+((E33/(29))*1)</f>
        <v>0</v>
      </c>
      <c r="O33" s="286">
        <f>IFERROR(E33/F33,0)</f>
        <v>0</v>
      </c>
    </row>
    <row r="34" spans="1:15" ht="15" customHeight="1" x14ac:dyDescent="0.3">
      <c r="A34" s="274" t="s">
        <v>103</v>
      </c>
      <c r="B34" s="275">
        <f>SUM(B35:B36)</f>
        <v>0</v>
      </c>
      <c r="C34" s="275">
        <f>SUM(C35:C36)</f>
        <v>204014.7899999994</v>
      </c>
      <c r="D34" s="276">
        <f>D35</f>
        <v>479133.43999999977</v>
      </c>
      <c r="E34" s="287">
        <f>D35-G37</f>
        <v>233265.54999999976</v>
      </c>
      <c r="F34" s="287">
        <f>SUM(F35:F36)</f>
        <v>500000</v>
      </c>
      <c r="G34" s="287">
        <f>SUM(G35:G36)</f>
        <v>233265.54999999964</v>
      </c>
      <c r="H34" s="276"/>
      <c r="I34" s="277">
        <f t="shared" si="1"/>
        <v>0</v>
      </c>
      <c r="J34" s="276">
        <f>SUM(J35:J36)</f>
        <v>7815.4999999999982</v>
      </c>
      <c r="K34" s="276">
        <f>SUM(K35:K36)</f>
        <v>0</v>
      </c>
      <c r="L34" s="276">
        <f>SUM(L35:L36)</f>
        <v>24534.32</v>
      </c>
      <c r="M34" s="276">
        <f>IF(((F34-E34)/1)&lt;0,0,(F34-E34)/1)</f>
        <v>266734.45000000024</v>
      </c>
      <c r="N34" s="276">
        <f>SUM(N35:N36)</f>
        <v>241309.18965517217</v>
      </c>
      <c r="O34" s="278">
        <f t="shared" ref="O34" si="28">E34/F34</f>
        <v>0.46653109999999953</v>
      </c>
    </row>
    <row r="35" spans="1:15" ht="15" customHeight="1" x14ac:dyDescent="0.3">
      <c r="A35" s="279" t="s">
        <v>103</v>
      </c>
      <c r="B35" s="280">
        <f>IFERROR(VLOOKUP($A35,[2]Dados!Z:AB,3,0),0)</f>
        <v>0</v>
      </c>
      <c r="C35" s="294">
        <f>SUMIF([2]Dados!N:N,A35,[2]Dados!P:P)</f>
        <v>204014.7899999994</v>
      </c>
      <c r="D35" s="258">
        <f>SUMIF([2]Dados!B:B,A35,[2]Dados!D:D)</f>
        <v>479133.43999999977</v>
      </c>
      <c r="E35" s="281">
        <f>D35-G37-H35</f>
        <v>233265.54999999976</v>
      </c>
      <c r="F35" s="282">
        <f>SUMIF([2]Dados!$B:$B,A35,[2]Dados!$E:$E)</f>
        <v>500000</v>
      </c>
      <c r="G35" s="258">
        <f>SUMIF('[2]Din Movi'!H:H,A35,'[2]Din Movi'!I:I)</f>
        <v>233265.54999999964</v>
      </c>
      <c r="H35" s="283">
        <v>0</v>
      </c>
      <c r="I35" s="284">
        <f t="shared" si="1"/>
        <v>0</v>
      </c>
      <c r="J35" s="285">
        <f>SUMIF([2]Dados!N:N,A35,[2]Dados!W:W)</f>
        <v>7815.4999999999982</v>
      </c>
      <c r="K35" s="285">
        <f>SUMIF([2]Dados!Z:Z,A35,[2]Dados!AI:AI)</f>
        <v>0</v>
      </c>
      <c r="L35" s="281">
        <f>SUMIF([2]Dados!B:B,A35,[2]Dados!K:K)</f>
        <v>24534.32</v>
      </c>
      <c r="M35" s="281">
        <f t="shared" ref="M35:M36" si="29">IF(((F35-E35)/1)&lt;0,0,(F35-E35)/1)</f>
        <v>266734.45000000024</v>
      </c>
      <c r="N35" s="281">
        <f>E35+((E35/(29))*1)</f>
        <v>241309.18965517217</v>
      </c>
      <c r="O35" s="286">
        <f>IFERROR(E35/F35,0)</f>
        <v>0.46653109999999953</v>
      </c>
    </row>
    <row r="36" spans="1:15" ht="15" customHeight="1" x14ac:dyDescent="0.3">
      <c r="A36" s="279" t="s">
        <v>204</v>
      </c>
      <c r="B36" s="280">
        <f>IFERROR(VLOOKUP($A36,[2]Dados!Z:AB,3,0),0)</f>
        <v>0</v>
      </c>
      <c r="C36" s="294">
        <f>SUMIF([2]Dados!N:N,A36,[2]Dados!P:P)</f>
        <v>0</v>
      </c>
      <c r="D36" s="258">
        <f>SUMIF([2]Dados!B:B,A36,[2]Dados!D:D)</f>
        <v>0</v>
      </c>
      <c r="E36" s="281">
        <f>D36+G36-H36</f>
        <v>0</v>
      </c>
      <c r="F36" s="282">
        <f>SUMIF([2]Dados!$B:$B,A36,[2]Dados!$E:$E)</f>
        <v>0</v>
      </c>
      <c r="G36" s="258">
        <f>SUMIF('[2]Din Movi'!H:H,A36,'[2]Din Movi'!I:I)</f>
        <v>0</v>
      </c>
      <c r="H36" s="283">
        <v>0</v>
      </c>
      <c r="I36" s="284">
        <f t="shared" si="1"/>
        <v>0</v>
      </c>
      <c r="J36" s="285">
        <f>SUMIF([2]Dados!N:N,A36,[2]Dados!W:W)</f>
        <v>0</v>
      </c>
      <c r="K36" s="285">
        <f>SUMIF([2]Dados!Z:Z,A36,[2]Dados!AI:AI)</f>
        <v>0</v>
      </c>
      <c r="L36" s="281">
        <f>SUMIF([2]Dados!B:B,A36,[2]Dados!K:K)</f>
        <v>0</v>
      </c>
      <c r="M36" s="281">
        <f t="shared" si="29"/>
        <v>0</v>
      </c>
      <c r="N36" s="281">
        <f>E36+((E36/(29))*1)</f>
        <v>0</v>
      </c>
      <c r="O36" s="286"/>
    </row>
    <row r="37" spans="1:15" ht="15" customHeight="1" x14ac:dyDescent="0.3">
      <c r="A37" s="288" t="s">
        <v>43</v>
      </c>
      <c r="B37" s="289">
        <f>SUM(B4,B14,B18,B22,B27,B32,B34)</f>
        <v>4418240.0700000087</v>
      </c>
      <c r="C37" s="289">
        <f>SUM(C4,C14,C18,C22,C27,C32,C34)</f>
        <v>6774054.9299999792</v>
      </c>
      <c r="D37" s="290">
        <f>SUM(D4,D14,D18,D22,D27,D32,D34)</f>
        <v>7901746.7100000149</v>
      </c>
      <c r="E37" s="290">
        <f>SUM(E4,E14,E18,E22,E27,E32,E34)</f>
        <v>7901746.7100000158</v>
      </c>
      <c r="F37" s="290">
        <f>SUM(F27,F22,F18,F14,F4)+F34+F32</f>
        <v>7810000</v>
      </c>
      <c r="G37" s="290">
        <f>SUM(G4,G14,G18,G22,G27,G32)</f>
        <v>245867.89</v>
      </c>
      <c r="H37" s="290">
        <f>SUM(H4,H14,H18,H22,H27,H32,H35)</f>
        <v>0</v>
      </c>
      <c r="I37" s="291">
        <f t="shared" si="1"/>
        <v>0.78843760972907029</v>
      </c>
      <c r="J37" s="290">
        <f>SUM(J4,J14,J18,J22,J27,J32,J34)</f>
        <v>191950.78000000009</v>
      </c>
      <c r="K37" s="290">
        <f>SUM(K4,K14,K18,K22,K27,K32,K34)</f>
        <v>210595.55</v>
      </c>
      <c r="L37" s="290">
        <f>SUM(L4,L14,L18,L22,L27,L32,L34)</f>
        <v>253007.69</v>
      </c>
      <c r="M37" s="290">
        <f>IF(((F37-E37)/1)&lt;0,0,(F37-E37)/1)</f>
        <v>0</v>
      </c>
      <c r="N37" s="290">
        <f>SUM(N4,N14,N18,N22,N27,N32,N34)</f>
        <v>8174220.7344827726</v>
      </c>
      <c r="O37" s="291">
        <f t="shared" ref="O37" si="30">E37/F37</f>
        <v>1.011747338028171</v>
      </c>
    </row>
    <row r="38" spans="1:15" ht="15" customHeight="1" x14ac:dyDescent="0.3">
      <c r="D38" s="281"/>
      <c r="E38" s="281"/>
      <c r="F38" s="281"/>
      <c r="G38" s="281"/>
      <c r="H38" s="281"/>
      <c r="I38" s="281"/>
      <c r="J38" s="281"/>
      <c r="K38" s="281"/>
    </row>
    <row r="39" spans="1:15" ht="15" customHeight="1" x14ac:dyDescent="0.3">
      <c r="E39" s="292"/>
      <c r="F39" s="281"/>
      <c r="G39" s="281"/>
    </row>
    <row r="40" spans="1:15" ht="15" customHeight="1" x14ac:dyDescent="0.3">
      <c r="E40" s="292"/>
      <c r="F40" s="292"/>
    </row>
    <row r="41" spans="1:15" ht="15" customHeight="1" x14ac:dyDescent="0.3">
      <c r="E41" s="292"/>
      <c r="F41" s="292"/>
    </row>
    <row r="42" spans="1:15" ht="15" customHeight="1" x14ac:dyDescent="0.3"/>
    <row r="43" spans="1:15" ht="15" customHeight="1" x14ac:dyDescent="0.3"/>
  </sheetData>
  <mergeCells count="1">
    <mergeCell ref="A1:O2"/>
  </mergeCells>
  <pageMargins left="0.25" right="0.25" top="0.75" bottom="0.75" header="0.3" footer="0.3"/>
  <pageSetup paperSize="9" scale="8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11">
    <pageSetUpPr fitToPage="1"/>
  </sheetPr>
  <dimension ref="A1:J44"/>
  <sheetViews>
    <sheetView showGridLines="0" tabSelected="1" zoomScale="60" zoomScaleNormal="60" workbookViewId="0">
      <pane xSplit="2" ySplit="6" topLeftCell="C7" activePane="bottomRight" state="frozen"/>
      <selection activeCell="J18" sqref="J18"/>
      <selection pane="topRight" activeCell="J18" sqref="J18"/>
      <selection pane="bottomLeft" activeCell="J18" sqref="J18"/>
      <selection pane="bottomRight" activeCell="A6" sqref="A6:B6"/>
    </sheetView>
  </sheetViews>
  <sheetFormatPr defaultColWidth="9.109375" defaultRowHeight="18" x14ac:dyDescent="0.25"/>
  <cols>
    <col min="1" max="1" width="19.88671875" style="29" customWidth="1"/>
    <col min="2" max="2" width="19.33203125" style="30" bestFit="1" customWidth="1"/>
    <col min="3" max="3" width="23.77734375" style="1" customWidth="1"/>
    <col min="4" max="4" width="26.88671875" style="1" bestFit="1" customWidth="1"/>
    <col min="5" max="5" width="13.88671875" style="1" bestFit="1" customWidth="1"/>
    <col min="6" max="6" width="22" style="6" customWidth="1"/>
    <col min="7" max="7" width="23.33203125" style="1" bestFit="1" customWidth="1"/>
    <col min="8" max="8" width="13" style="1" bestFit="1" customWidth="1"/>
    <col min="9" max="9" width="9.109375" style="1"/>
    <col min="10" max="10" width="14.5546875" style="1" bestFit="1" customWidth="1"/>
    <col min="11" max="16384" width="9.109375" style="1"/>
  </cols>
  <sheetData>
    <row r="1" spans="1:7" ht="19.5" customHeight="1" x14ac:dyDescent="0.25">
      <c r="A1" s="305" t="s">
        <v>0</v>
      </c>
      <c r="B1" s="305"/>
      <c r="C1" s="305"/>
      <c r="D1" s="305"/>
      <c r="E1" s="305"/>
      <c r="F1" s="305"/>
      <c r="G1" s="305"/>
    </row>
    <row r="2" spans="1:7" ht="16.5" customHeight="1" x14ac:dyDescent="0.25">
      <c r="A2" s="305"/>
      <c r="B2" s="305"/>
      <c r="C2" s="305"/>
      <c r="D2" s="305"/>
      <c r="E2" s="305"/>
      <c r="F2" s="305"/>
      <c r="G2" s="305"/>
    </row>
    <row r="3" spans="1:7" x14ac:dyDescent="0.25">
      <c r="A3" s="305"/>
      <c r="B3" s="305"/>
      <c r="C3" s="305"/>
      <c r="D3" s="305"/>
      <c r="E3" s="305"/>
      <c r="F3" s="305"/>
      <c r="G3" s="305"/>
    </row>
    <row r="4" spans="1:7" ht="18.75" customHeight="1" x14ac:dyDescent="0.25">
      <c r="A4" s="305"/>
      <c r="B4" s="305"/>
      <c r="C4" s="305"/>
      <c r="D4" s="305"/>
      <c r="E4" s="305"/>
      <c r="F4" s="305"/>
      <c r="G4" s="305"/>
    </row>
    <row r="5" spans="1:7" ht="5.25" customHeight="1" x14ac:dyDescent="0.25">
      <c r="A5" s="4"/>
      <c r="B5" s="5"/>
      <c r="C5" s="4"/>
      <c r="D5" s="7"/>
      <c r="E5" s="7"/>
      <c r="F5" s="8"/>
    </row>
    <row r="6" spans="1:7" ht="77.25" customHeight="1" x14ac:dyDescent="0.25">
      <c r="A6" s="309" t="s">
        <v>5</v>
      </c>
      <c r="B6" s="309"/>
      <c r="C6" s="10" t="s">
        <v>6</v>
      </c>
      <c r="D6" s="11" t="s">
        <v>7</v>
      </c>
      <c r="E6" s="11" t="s">
        <v>8</v>
      </c>
      <c r="F6" s="12" t="s">
        <v>9</v>
      </c>
      <c r="G6" s="45" t="s">
        <v>59</v>
      </c>
    </row>
    <row r="7" spans="1:7" x14ac:dyDescent="0.3">
      <c r="A7" s="310" t="s">
        <v>17</v>
      </c>
      <c r="B7" s="80" t="s">
        <v>19</v>
      </c>
      <c r="C7" s="16">
        <f>VLOOKUP(B7,'Jan24'!$A$5:$E$37,5,0)</f>
        <v>984516.16000002204</v>
      </c>
      <c r="D7" s="17">
        <f>VLOOKUP(B7,'Jan24'!$A$5:$F$37,6,0)</f>
        <v>900000</v>
      </c>
      <c r="E7" s="18">
        <f t="shared" ref="E7:E19" si="0">IF(ISERROR(C7/D7),0,C7/D7)</f>
        <v>1.0939068444444688</v>
      </c>
      <c r="F7" s="18">
        <f t="shared" ref="F7:F14" si="1">D7/$D$33</f>
        <v>0.11523687580025609</v>
      </c>
      <c r="G7" s="48">
        <f t="shared" ref="G7:G18" si="2">IF(E7&lt;=100%,"",F7*2000)</f>
        <v>230.47375160051217</v>
      </c>
    </row>
    <row r="8" spans="1:7" x14ac:dyDescent="0.3">
      <c r="A8" s="311"/>
      <c r="B8" s="80" t="s">
        <v>18</v>
      </c>
      <c r="C8" s="16">
        <f>VLOOKUP(B8,'Jan24'!$A$5:$E$37,5,0)</f>
        <v>612763.76999999175</v>
      </c>
      <c r="D8" s="17">
        <f>VLOOKUP(B8,'Jan24'!$A$5:$F$37,6,0)</f>
        <v>495000</v>
      </c>
      <c r="E8" s="18">
        <f t="shared" si="0"/>
        <v>1.2379066060605894</v>
      </c>
      <c r="F8" s="18">
        <f t="shared" si="1"/>
        <v>6.3380281690140844E-2</v>
      </c>
      <c r="G8" s="48">
        <f t="shared" si="2"/>
        <v>126.76056338028168</v>
      </c>
    </row>
    <row r="9" spans="1:7" x14ac:dyDescent="0.3">
      <c r="A9" s="311"/>
      <c r="B9" s="80" t="s">
        <v>116</v>
      </c>
      <c r="C9" s="16">
        <f>VLOOKUP(B9,'Jan24'!$A$5:$E$37,5,0)</f>
        <v>454493.57999999326</v>
      </c>
      <c r="D9" s="17">
        <f>VLOOKUP(B9,'Jan24'!$A$5:$F$37,6,0)</f>
        <v>370000</v>
      </c>
      <c r="E9" s="18">
        <f t="shared" si="0"/>
        <v>1.2283610270270089</v>
      </c>
      <c r="F9" s="18">
        <f t="shared" si="1"/>
        <v>4.7375160051216392E-2</v>
      </c>
      <c r="G9" s="48">
        <f t="shared" si="2"/>
        <v>94.750320102432781</v>
      </c>
    </row>
    <row r="10" spans="1:7" x14ac:dyDescent="0.3">
      <c r="A10" s="311"/>
      <c r="B10" s="80" t="s">
        <v>117</v>
      </c>
      <c r="C10" s="16">
        <f>VLOOKUP(B10,'Jan24'!$A$5:$E$37,5,0)</f>
        <v>341.9</v>
      </c>
      <c r="D10" s="17">
        <f>VLOOKUP(B10,'Jan24'!$A$5:$F$37,6,0)</f>
        <v>0</v>
      </c>
      <c r="E10" s="18">
        <f t="shared" si="0"/>
        <v>0</v>
      </c>
      <c r="F10" s="18">
        <f t="shared" si="1"/>
        <v>0</v>
      </c>
      <c r="G10" s="48" t="str">
        <f t="shared" si="2"/>
        <v/>
      </c>
    </row>
    <row r="11" spans="1:7" x14ac:dyDescent="0.3">
      <c r="A11" s="311"/>
      <c r="B11" s="80" t="s">
        <v>118</v>
      </c>
      <c r="C11" s="16">
        <f>VLOOKUP(B11,'Jan24'!$A$5:$E$37,5,0)</f>
        <v>726739.86000000394</v>
      </c>
      <c r="D11" s="17">
        <f>VLOOKUP(B11,'Jan24'!$A$5:$F$37,6,0)</f>
        <v>630000</v>
      </c>
      <c r="E11" s="18">
        <f t="shared" si="0"/>
        <v>1.1535553333333395</v>
      </c>
      <c r="F11" s="18">
        <f t="shared" si="1"/>
        <v>8.0665813060179253E-2</v>
      </c>
      <c r="G11" s="48">
        <f t="shared" si="2"/>
        <v>161.33162612035849</v>
      </c>
    </row>
    <row r="12" spans="1:7" x14ac:dyDescent="0.3">
      <c r="A12" s="311"/>
      <c r="B12" s="80" t="s">
        <v>119</v>
      </c>
      <c r="C12" s="16">
        <f>VLOOKUP(B12,'Jan24'!$A$5:$E$37,5,0)</f>
        <v>361514.89999999764</v>
      </c>
      <c r="D12" s="17">
        <f>VLOOKUP(B12,'Jan24'!$A$5:$F$37,6,0)</f>
        <v>330000</v>
      </c>
      <c r="E12" s="18">
        <f t="shared" si="0"/>
        <v>1.0954996969696897</v>
      </c>
      <c r="F12" s="18">
        <f t="shared" si="1"/>
        <v>4.2253521126760563E-2</v>
      </c>
      <c r="G12" s="48">
        <f t="shared" si="2"/>
        <v>84.507042253521121</v>
      </c>
    </row>
    <row r="13" spans="1:7" x14ac:dyDescent="0.3">
      <c r="A13" s="311"/>
      <c r="B13" s="80" t="s">
        <v>120</v>
      </c>
      <c r="C13" s="16">
        <f>VLOOKUP(B13,'Jan24'!$A$5:$E$37,5,0)</f>
        <v>808984.07000000344</v>
      </c>
      <c r="D13" s="17">
        <f>VLOOKUP(B13,'Jan24'!$A$5:$F$37,6,0)</f>
        <v>700000</v>
      </c>
      <c r="E13" s="18">
        <f t="shared" si="0"/>
        <v>1.1556915285714335</v>
      </c>
      <c r="F13" s="18">
        <f t="shared" si="1"/>
        <v>8.9628681177976954E-2</v>
      </c>
      <c r="G13" s="48">
        <f t="shared" si="2"/>
        <v>179.25736235595392</v>
      </c>
    </row>
    <row r="14" spans="1:7" x14ac:dyDescent="0.3">
      <c r="A14" s="311"/>
      <c r="B14" s="80" t="s">
        <v>121</v>
      </c>
      <c r="C14" s="16">
        <f>VLOOKUP(B14,'Jan24'!$A$5:$E$37,5,0)</f>
        <v>204133.30999999889</v>
      </c>
      <c r="D14" s="17">
        <f>VLOOKUP(B14,'Jan24'!$A$5:$F$37,6,0)</f>
        <v>170000</v>
      </c>
      <c r="E14" s="18">
        <f t="shared" si="0"/>
        <v>1.2007841764705818</v>
      </c>
      <c r="F14" s="18">
        <f t="shared" si="1"/>
        <v>2.176696542893726E-2</v>
      </c>
      <c r="G14" s="48">
        <f t="shared" si="2"/>
        <v>43.533930857874523</v>
      </c>
    </row>
    <row r="15" spans="1:7" x14ac:dyDescent="0.25">
      <c r="A15" s="308" t="s">
        <v>26</v>
      </c>
      <c r="B15" s="308"/>
      <c r="C15" s="21">
        <f>SUM(C7:C14)</f>
        <v>4153487.550000011</v>
      </c>
      <c r="D15" s="21">
        <f>SUM(D7:D14)</f>
        <v>3595000</v>
      </c>
      <c r="E15" s="22">
        <f t="shared" si="0"/>
        <v>1.1553511961057055</v>
      </c>
      <c r="F15" s="22">
        <f>SUM(F7:F14)</f>
        <v>0.46030729833546735</v>
      </c>
      <c r="G15" s="48"/>
    </row>
    <row r="16" spans="1:7" x14ac:dyDescent="0.25">
      <c r="A16" s="312" t="s">
        <v>32</v>
      </c>
      <c r="B16" s="15" t="s">
        <v>56</v>
      </c>
      <c r="C16" s="16">
        <f>VLOOKUP(B16,'Jan24'!$A$5:$E$37,5,0)</f>
        <v>99091.049999999028</v>
      </c>
      <c r="D16" s="17">
        <f>VLOOKUP(B16,'Jan24'!$A$5:$F$37,6,0)</f>
        <v>130000</v>
      </c>
      <c r="E16" s="18">
        <f t="shared" si="0"/>
        <v>0.76223884615383863</v>
      </c>
      <c r="F16" s="18">
        <f>D16/$D$33</f>
        <v>1.6645326504481434E-2</v>
      </c>
      <c r="G16" s="48" t="str">
        <f t="shared" si="2"/>
        <v/>
      </c>
    </row>
    <row r="17" spans="1:10" x14ac:dyDescent="0.25">
      <c r="A17" s="313"/>
      <c r="B17" s="15" t="s">
        <v>129</v>
      </c>
      <c r="C17" s="16">
        <f>VLOOKUP(B17,'Jan24'!$A$5:$E$37,5,0)</f>
        <v>201780.20000000088</v>
      </c>
      <c r="D17" s="17">
        <f>VLOOKUP(B17,'Jan24'!$A$5:$F$37,6,0)</f>
        <v>190000</v>
      </c>
      <c r="E17" s="18">
        <f>IF(ISERROR(C17/D17),0,C17/D17)</f>
        <v>1.0620010526315835</v>
      </c>
      <c r="F17" s="18">
        <f>D17/$D$33</f>
        <v>2.4327784891165175E-2</v>
      </c>
      <c r="G17" s="48">
        <f t="shared" si="2"/>
        <v>48.655569782330346</v>
      </c>
    </row>
    <row r="18" spans="1:10" x14ac:dyDescent="0.25">
      <c r="A18" s="314"/>
      <c r="B18" s="15" t="s">
        <v>130</v>
      </c>
      <c r="C18" s="16">
        <f>VLOOKUP(B18,'Jan24'!$A$5:$E$37,5,0)</f>
        <v>150764.60000000056</v>
      </c>
      <c r="D18" s="17">
        <f>VLOOKUP(B18,'Jan24'!$A$5:$F$37,6,0)</f>
        <v>170000</v>
      </c>
      <c r="E18" s="18">
        <f>IF(ISERROR(C18/D18),0,C18/D18)</f>
        <v>0.88685058823529739</v>
      </c>
      <c r="F18" s="18">
        <f>D18/$D$33</f>
        <v>2.176696542893726E-2</v>
      </c>
      <c r="G18" s="48" t="str">
        <f t="shared" si="2"/>
        <v/>
      </c>
    </row>
    <row r="19" spans="1:10" x14ac:dyDescent="0.25">
      <c r="A19" s="308" t="s">
        <v>37</v>
      </c>
      <c r="B19" s="308"/>
      <c r="C19" s="21">
        <f>SUM(C16:C18)</f>
        <v>451635.85000000044</v>
      </c>
      <c r="D19" s="21">
        <f>SUM(D16:D18)</f>
        <v>490000</v>
      </c>
      <c r="E19" s="22">
        <f t="shared" si="0"/>
        <v>0.92170581632653148</v>
      </c>
      <c r="F19" s="22">
        <f>SUM(F16:F18)</f>
        <v>6.2740076824583865E-2</v>
      </c>
      <c r="G19" s="48"/>
    </row>
    <row r="20" spans="1:10" x14ac:dyDescent="0.25">
      <c r="A20" s="307" t="s">
        <v>11</v>
      </c>
      <c r="B20" s="15" t="s">
        <v>12</v>
      </c>
      <c r="C20" s="16">
        <f>VLOOKUP(B20,'Jan24'!$A$5:$E$37,5,0)</f>
        <v>848692.2500000064</v>
      </c>
      <c r="D20" s="17">
        <f>VLOOKUP(B20,'Jan24'!$A$5:$F$37,6,0)</f>
        <v>1100000</v>
      </c>
      <c r="E20" s="18">
        <f t="shared" ref="E20:E33" si="3">IF(ISERROR(C20/D20),0,C20/D20)</f>
        <v>0.77153840909091487</v>
      </c>
      <c r="F20" s="18">
        <f>D20/$D$33</f>
        <v>0.14084507042253522</v>
      </c>
      <c r="G20" s="48" t="str">
        <f>IF(E20&lt;=100%,"",F20*2000)</f>
        <v/>
      </c>
    </row>
    <row r="21" spans="1:10" x14ac:dyDescent="0.25">
      <c r="A21" s="307"/>
      <c r="B21" s="15" t="s">
        <v>13</v>
      </c>
      <c r="C21" s="16">
        <f>VLOOKUP(B21,'Jan24'!$A$5:$E$37,5,0)</f>
        <v>607425.32999999914</v>
      </c>
      <c r="D21" s="17">
        <f>VLOOKUP(B21,'Jan24'!$A$5:$F$37,6,0)</f>
        <v>570000</v>
      </c>
      <c r="E21" s="18">
        <f t="shared" si="3"/>
        <v>1.065658473684209</v>
      </c>
      <c r="F21" s="18">
        <f>D21/$D$33</f>
        <v>7.2983354673495524E-2</v>
      </c>
      <c r="G21" s="48">
        <f>IF(E21&lt;=100%,"",F21*2000)</f>
        <v>145.96670934699105</v>
      </c>
    </row>
    <row r="22" spans="1:10" x14ac:dyDescent="0.25">
      <c r="A22" s="307"/>
      <c r="B22" s="15" t="s">
        <v>14</v>
      </c>
      <c r="C22" s="16">
        <f>VLOOKUP(B22,'Jan24'!$A$5:$E$37,5,0)</f>
        <v>391186.18999999925</v>
      </c>
      <c r="D22" s="17">
        <f>VLOOKUP(B22,'Jan24'!$A$5:$F$37,6,0)</f>
        <v>340000</v>
      </c>
      <c r="E22" s="18">
        <f t="shared" si="3"/>
        <v>1.1505476176470566</v>
      </c>
      <c r="F22" s="18">
        <f>D22/$D$33</f>
        <v>4.353393085787452E-2</v>
      </c>
      <c r="G22" s="48">
        <f>IF(E22&lt;=100%,"",F22*2000)</f>
        <v>87.067861715749046</v>
      </c>
    </row>
    <row r="23" spans="1:10" x14ac:dyDescent="0.25">
      <c r="A23" s="308" t="s">
        <v>16</v>
      </c>
      <c r="B23" s="308"/>
      <c r="C23" s="21">
        <f>SUM(C20:C22)</f>
        <v>1847303.7700000049</v>
      </c>
      <c r="D23" s="21">
        <f>SUM(D20:D22)</f>
        <v>2010000</v>
      </c>
      <c r="E23" s="22">
        <f t="shared" si="3"/>
        <v>0.91905660199005224</v>
      </c>
      <c r="F23" s="22">
        <f>SUM(F20:F22)</f>
        <v>0.25736235595390522</v>
      </c>
      <c r="G23" s="48"/>
    </row>
    <row r="24" spans="1:10" x14ac:dyDescent="0.25">
      <c r="A24" s="307" t="s">
        <v>27</v>
      </c>
      <c r="B24" s="15" t="s">
        <v>102</v>
      </c>
      <c r="C24" s="16">
        <f>VLOOKUP(B24,'Jan24'!$A$5:$E$37,5,0)</f>
        <v>0</v>
      </c>
      <c r="D24" s="17">
        <f>VLOOKUP(B24,'Jan24'!$A$5:$F$37,6,0)</f>
        <v>0</v>
      </c>
      <c r="E24" s="18">
        <f t="shared" si="3"/>
        <v>0</v>
      </c>
      <c r="F24" s="18">
        <f>D24/$D$33</f>
        <v>0</v>
      </c>
      <c r="G24" s="48" t="str">
        <f>IF(E24&lt;=100%,"",F24*2000)</f>
        <v/>
      </c>
    </row>
    <row r="25" spans="1:10" x14ac:dyDescent="0.25">
      <c r="A25" s="307"/>
      <c r="B25" s="15" t="s">
        <v>29</v>
      </c>
      <c r="C25" s="16">
        <f>VLOOKUP(B25,'Jan24'!$A$5:$E$37,5,0)</f>
        <v>528987.65000000014</v>
      </c>
      <c r="D25" s="17">
        <f>VLOOKUP(B25,'Jan24'!$A$5:$F$37,6,0)</f>
        <v>560000</v>
      </c>
      <c r="E25" s="18">
        <f t="shared" si="3"/>
        <v>0.94462080357142886</v>
      </c>
      <c r="F25" s="18">
        <f>D25/$D$33</f>
        <v>7.1702944942381566E-2</v>
      </c>
      <c r="G25" s="48" t="str">
        <f>IF(E25&lt;=100%,"",F25*2000)</f>
        <v/>
      </c>
    </row>
    <row r="26" spans="1:10" x14ac:dyDescent="0.25">
      <c r="A26" s="307"/>
      <c r="B26" s="15" t="s">
        <v>30</v>
      </c>
      <c r="C26" s="16">
        <f>VLOOKUP(B26,'Jan24'!$A$5:$E$37,5,0)</f>
        <v>470482.93999999989</v>
      </c>
      <c r="D26" s="17">
        <f>VLOOKUP(B26,'Jan24'!$A$5:$F$37,6,0)</f>
        <v>440000</v>
      </c>
      <c r="E26" s="18">
        <f t="shared" si="3"/>
        <v>1.0692794090909088</v>
      </c>
      <c r="F26" s="18">
        <f>D26/$D$33</f>
        <v>5.6338028169014086E-2</v>
      </c>
      <c r="G26" s="48">
        <f>IF(E26&lt;=100%,"",F26*2000)</f>
        <v>112.67605633802818</v>
      </c>
    </row>
    <row r="27" spans="1:10" x14ac:dyDescent="0.25">
      <c r="A27" s="308" t="s">
        <v>31</v>
      </c>
      <c r="B27" s="308"/>
      <c r="C27" s="21">
        <f>SUM(C24:C26)</f>
        <v>999470.59000000008</v>
      </c>
      <c r="D27" s="21">
        <f>SUM(D24:D26)</f>
        <v>1000000</v>
      </c>
      <c r="E27" s="22">
        <f t="shared" si="3"/>
        <v>0.99947059000000005</v>
      </c>
      <c r="F27" s="22">
        <f>SUM(F24:F26)</f>
        <v>0.12804097311139565</v>
      </c>
      <c r="G27" s="48"/>
    </row>
    <row r="28" spans="1:10" x14ac:dyDescent="0.25">
      <c r="A28" s="312" t="s">
        <v>38</v>
      </c>
      <c r="B28" s="15" t="s">
        <v>39</v>
      </c>
      <c r="C28" s="16">
        <f>VLOOKUP(B28,'Jan24'!$A$5:$E$37,5,0)</f>
        <v>106189.59999999961</v>
      </c>
      <c r="D28" s="17">
        <f>VLOOKUP(B28,'Jan24'!$A$5:$F$37,6,0)</f>
        <v>115000</v>
      </c>
      <c r="E28" s="18">
        <f t="shared" si="3"/>
        <v>0.92338782608695313</v>
      </c>
      <c r="F28" s="49">
        <f>D28/$D$33</f>
        <v>1.47247119078105E-2</v>
      </c>
      <c r="G28" s="48" t="str">
        <f t="shared" ref="G28:G29" si="4">IF(E28&lt;=100%,"",F28*2000)</f>
        <v/>
      </c>
    </row>
    <row r="29" spans="1:10" x14ac:dyDescent="0.25">
      <c r="A29" s="314"/>
      <c r="B29" s="15" t="s">
        <v>220</v>
      </c>
      <c r="C29" s="16">
        <f>VLOOKUP(B29,'Jan24'!$A$5:$E$37,5,0)</f>
        <v>110393.79999999974</v>
      </c>
      <c r="D29" s="17">
        <f>VLOOKUP(B29,'Jan24'!$A$5:$F$37,6,0)</f>
        <v>100000</v>
      </c>
      <c r="E29" s="18">
        <f t="shared" ref="E29:E31" si="5">IF(ISERROR(C29/D29),0,C29/D29)</f>
        <v>1.1039379999999974</v>
      </c>
      <c r="F29" s="49">
        <f>D29/$D$33</f>
        <v>1.2804097311139564E-2</v>
      </c>
      <c r="G29" s="48">
        <f t="shared" si="4"/>
        <v>25.608194622279129</v>
      </c>
    </row>
    <row r="30" spans="1:10" x14ac:dyDescent="0.25">
      <c r="A30" s="308" t="s">
        <v>241</v>
      </c>
      <c r="B30" s="308"/>
      <c r="C30" s="21">
        <f>SUM(C28:C29)</f>
        <v>216583.39999999935</v>
      </c>
      <c r="D30" s="21">
        <f>SUM(D28:D29)</f>
        <v>215000</v>
      </c>
      <c r="E30" s="22">
        <f t="shared" si="5"/>
        <v>1.0073646511627876</v>
      </c>
      <c r="F30" s="22">
        <f>SUM(F28:F29)</f>
        <v>2.7528809218950064E-2</v>
      </c>
      <c r="G30" s="48"/>
    </row>
    <row r="31" spans="1:10" x14ac:dyDescent="0.25">
      <c r="A31" s="296" t="s">
        <v>103</v>
      </c>
      <c r="B31" s="15" t="s">
        <v>242</v>
      </c>
      <c r="C31" s="16">
        <f>'Jan24'!D35</f>
        <v>479133.43999999977</v>
      </c>
      <c r="D31" s="17">
        <f>VLOOKUP(B31,'Jan24'!$A$5:$F$37,6,0)</f>
        <v>500000</v>
      </c>
      <c r="E31" s="18">
        <f t="shared" si="5"/>
        <v>0.95826687999999949</v>
      </c>
      <c r="F31" s="49">
        <f>D31/$D$33</f>
        <v>6.4020486555697823E-2</v>
      </c>
      <c r="G31" s="48" t="str">
        <f t="shared" ref="G31" si="6">IF(E31&lt;=100%,"",F31*2000)</f>
        <v/>
      </c>
    </row>
    <row r="32" spans="1:10" ht="18.75" customHeight="1" x14ac:dyDescent="0.25">
      <c r="A32" s="308" t="s">
        <v>243</v>
      </c>
      <c r="B32" s="308"/>
      <c r="C32" s="21">
        <f>SUM(C31:C31)</f>
        <v>479133.43999999977</v>
      </c>
      <c r="D32" s="21">
        <f>SUM(D31)</f>
        <v>500000</v>
      </c>
      <c r="E32" s="22">
        <f t="shared" si="3"/>
        <v>0.95826687999999949</v>
      </c>
      <c r="F32" s="22">
        <f>SUM(F31)</f>
        <v>6.4020486555697823E-2</v>
      </c>
      <c r="G32" s="48"/>
      <c r="J32" s="46"/>
    </row>
    <row r="33" spans="1:10" s="29" customFormat="1" ht="23.4" x14ac:dyDescent="0.25">
      <c r="A33" s="306" t="s">
        <v>43</v>
      </c>
      <c r="B33" s="306"/>
      <c r="C33" s="26">
        <f>C23+C27+C32+C19+C15+C30-'Jan24'!G37</f>
        <v>7901746.7100000158</v>
      </c>
      <c r="D33" s="26">
        <f>D23+D27+D32+D19+D15+D30</f>
        <v>7810000</v>
      </c>
      <c r="E33" s="27">
        <f t="shared" si="3"/>
        <v>1.011747338028171</v>
      </c>
      <c r="F33" s="27">
        <f>F23+F27+F32+F19+F15+F30</f>
        <v>0.99999999999999989</v>
      </c>
      <c r="G33" s="48">
        <f>IFERROR((C33/D33)*2000,0)</f>
        <v>2023.4946760563419</v>
      </c>
      <c r="H33" s="54"/>
      <c r="I33" s="1"/>
      <c r="J33" s="47"/>
    </row>
    <row r="34" spans="1:10" x14ac:dyDescent="0.25">
      <c r="D34" s="6"/>
      <c r="G34" s="54"/>
    </row>
    <row r="35" spans="1:10" x14ac:dyDescent="0.25">
      <c r="C35" s="55"/>
      <c r="G35" s="9"/>
    </row>
    <row r="36" spans="1:10" x14ac:dyDescent="0.25">
      <c r="C36" s="55"/>
      <c r="G36" s="54"/>
    </row>
    <row r="37" spans="1:10" x14ac:dyDescent="0.25">
      <c r="D37" s="55"/>
      <c r="F37" s="78"/>
      <c r="G37" s="6"/>
    </row>
    <row r="38" spans="1:10" x14ac:dyDescent="0.25">
      <c r="F38" s="9"/>
    </row>
    <row r="40" spans="1:10" x14ac:dyDescent="0.25">
      <c r="D40" s="31"/>
      <c r="G40" s="6"/>
    </row>
    <row r="41" spans="1:10" s="6" customFormat="1" x14ac:dyDescent="0.25">
      <c r="A41" s="29"/>
      <c r="B41" s="30"/>
      <c r="C41" s="1"/>
      <c r="D41" s="1"/>
      <c r="E41" s="1"/>
      <c r="G41" s="1"/>
    </row>
    <row r="44" spans="1:10" s="6" customFormat="1" x14ac:dyDescent="0.25">
      <c r="A44" s="29"/>
      <c r="B44" s="30"/>
      <c r="C44" s="1"/>
      <c r="D44" s="1"/>
      <c r="E44" s="1"/>
      <c r="G44" s="1"/>
    </row>
  </sheetData>
  <mergeCells count="14">
    <mergeCell ref="A1:G4"/>
    <mergeCell ref="A33:B33"/>
    <mergeCell ref="A24:A26"/>
    <mergeCell ref="A27:B27"/>
    <mergeCell ref="A6:B6"/>
    <mergeCell ref="A20:A22"/>
    <mergeCell ref="A23:B23"/>
    <mergeCell ref="A32:B32"/>
    <mergeCell ref="A7:A14"/>
    <mergeCell ref="A15:B15"/>
    <mergeCell ref="A16:A18"/>
    <mergeCell ref="A19:B19"/>
    <mergeCell ref="A28:A29"/>
    <mergeCell ref="A30:B30"/>
  </mergeCells>
  <pageMargins left="0.15748031496062992" right="0.19685039370078741" top="0.98425196850393704" bottom="0.98425196850393704" header="0.51181102362204722" footer="0.51181102362204722"/>
  <pageSetup scale="46" orientation="landscape" r:id="rId1"/>
  <headerFooter alignWithMargins="0"/>
  <ignoredErrors>
    <ignoredError sqref="C23:D23 E23:F28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  <pageSetUpPr fitToPage="1"/>
  </sheetPr>
  <dimension ref="A1:EZ42"/>
  <sheetViews>
    <sheetView showGridLines="0" zoomScale="60" zoomScaleNormal="60" workbookViewId="0">
      <pane xSplit="2" ySplit="6" topLeftCell="C28" activePane="bottomRight" state="frozen"/>
      <selection activeCell="H4" sqref="H4"/>
      <selection pane="topRight" activeCell="H4" sqref="H4"/>
      <selection pane="bottomLeft" activeCell="H4" sqref="H4"/>
      <selection pane="bottomRight" activeCell="G39" sqref="G39"/>
    </sheetView>
  </sheetViews>
  <sheetFormatPr defaultColWidth="9.109375" defaultRowHeight="18" x14ac:dyDescent="0.25"/>
  <cols>
    <col min="1" max="1" width="19.88671875" style="29" customWidth="1"/>
    <col min="2" max="2" width="19.33203125" style="30" bestFit="1" customWidth="1"/>
    <col min="3" max="3" width="23.88671875" style="1" customWidth="1"/>
    <col min="4" max="4" width="26.88671875" style="1" bestFit="1" customWidth="1"/>
    <col min="5" max="5" width="13.88671875" style="1" bestFit="1" customWidth="1"/>
    <col min="6" max="6" width="22" style="6" customWidth="1"/>
    <col min="7" max="7" width="26.88671875" style="6" bestFit="1" customWidth="1"/>
    <col min="8" max="8" width="13.109375" style="1" customWidth="1"/>
    <col min="9" max="9" width="23.33203125" style="1" bestFit="1" customWidth="1"/>
    <col min="10" max="16384" width="9.109375" style="1"/>
  </cols>
  <sheetData>
    <row r="1" spans="1:9" ht="19.5" customHeight="1" x14ac:dyDescent="0.25">
      <c r="A1" s="315" t="s">
        <v>0</v>
      </c>
      <c r="B1" s="315"/>
      <c r="C1" s="315"/>
      <c r="D1" s="2"/>
      <c r="E1" s="2"/>
      <c r="F1" s="2" t="s">
        <v>1</v>
      </c>
      <c r="G1" s="316"/>
      <c r="H1" s="316"/>
    </row>
    <row r="2" spans="1:9" ht="16.5" customHeight="1" x14ac:dyDescent="0.25">
      <c r="A2" s="315"/>
      <c r="B2" s="315"/>
      <c r="C2" s="315"/>
      <c r="D2" s="2">
        <v>26</v>
      </c>
      <c r="E2" s="2" t="s">
        <v>2</v>
      </c>
      <c r="F2" s="2">
        <v>23</v>
      </c>
      <c r="G2" s="76"/>
      <c r="H2" s="76"/>
    </row>
    <row r="3" spans="1:9" ht="15.75" customHeight="1" x14ac:dyDescent="0.25">
      <c r="A3" s="315"/>
      <c r="B3" s="315"/>
      <c r="C3" s="315"/>
      <c r="D3" s="2">
        <v>26</v>
      </c>
      <c r="E3" s="2" t="s">
        <v>3</v>
      </c>
      <c r="F3" s="2">
        <v>23</v>
      </c>
      <c r="G3" s="76"/>
      <c r="H3" s="76"/>
    </row>
    <row r="4" spans="1:9" ht="18.75" customHeight="1" x14ac:dyDescent="0.25">
      <c r="A4" s="315"/>
      <c r="B4" s="315"/>
      <c r="C4" s="315"/>
      <c r="D4" s="2">
        <f>D3-D2</f>
        <v>0</v>
      </c>
      <c r="E4" s="2" t="s">
        <v>4</v>
      </c>
      <c r="F4" s="2">
        <f>F3-F2</f>
        <v>0</v>
      </c>
      <c r="G4" s="3"/>
      <c r="H4" s="3"/>
    </row>
    <row r="5" spans="1:9" ht="5.25" customHeight="1" x14ac:dyDescent="0.25">
      <c r="A5" s="4"/>
      <c r="B5" s="5"/>
      <c r="C5" s="4"/>
      <c r="D5" s="7"/>
      <c r="E5" s="7"/>
      <c r="F5" s="8"/>
      <c r="G5" s="1"/>
    </row>
    <row r="6" spans="1:9" ht="77.25" customHeight="1" x14ac:dyDescent="0.25">
      <c r="A6" s="309" t="s">
        <v>5</v>
      </c>
      <c r="B6" s="309"/>
      <c r="C6" s="10" t="s">
        <v>6</v>
      </c>
      <c r="D6" s="11" t="s">
        <v>7</v>
      </c>
      <c r="E6" s="11" t="s">
        <v>8</v>
      </c>
      <c r="F6" s="12" t="s">
        <v>9</v>
      </c>
      <c r="G6" s="13" t="s">
        <v>10</v>
      </c>
      <c r="H6" s="14" t="s">
        <v>8</v>
      </c>
      <c r="I6" s="45" t="s">
        <v>59</v>
      </c>
    </row>
    <row r="7" spans="1:9" x14ac:dyDescent="0.25">
      <c r="A7" s="307" t="s">
        <v>11</v>
      </c>
      <c r="B7" s="15" t="s">
        <v>12</v>
      </c>
      <c r="C7" s="16">
        <v>362871.27</v>
      </c>
      <c r="D7" s="17">
        <v>348387.09677419357</v>
      </c>
      <c r="E7" s="18">
        <v>1.0415749416666666</v>
      </c>
      <c r="F7" s="18">
        <v>0.34883720930232565</v>
      </c>
      <c r="G7" s="19">
        <v>450000</v>
      </c>
      <c r="H7" s="20">
        <v>0.8063806</v>
      </c>
      <c r="I7" s="48"/>
    </row>
    <row r="8" spans="1:9" x14ac:dyDescent="0.25">
      <c r="A8" s="307"/>
      <c r="B8" s="15" t="s">
        <v>13</v>
      </c>
      <c r="C8" s="16">
        <v>141283.54</v>
      </c>
      <c r="D8" s="17">
        <v>145161.29032258067</v>
      </c>
      <c r="E8" s="18">
        <v>0.97328660888888885</v>
      </c>
      <c r="F8" s="18">
        <v>0.14534883720930236</v>
      </c>
      <c r="G8" s="19">
        <v>220000</v>
      </c>
      <c r="H8" s="20">
        <v>0.64219790909090912</v>
      </c>
      <c r="I8" s="48"/>
    </row>
    <row r="9" spans="1:9" x14ac:dyDescent="0.25">
      <c r="A9" s="307"/>
      <c r="B9" s="15" t="s">
        <v>14</v>
      </c>
      <c r="C9" s="16">
        <v>89747.62</v>
      </c>
      <c r="D9" s="17">
        <v>63870.967741935485</v>
      </c>
      <c r="E9" s="18">
        <v>1.4051395050505049</v>
      </c>
      <c r="F9" s="18">
        <v>6.3953488372093026E-2</v>
      </c>
      <c r="G9" s="19">
        <v>140000</v>
      </c>
      <c r="H9" s="20">
        <v>0.64105442857142858</v>
      </c>
      <c r="I9" s="48"/>
    </row>
    <row r="10" spans="1:9" x14ac:dyDescent="0.25">
      <c r="A10" s="307"/>
      <c r="B10" s="15" t="s">
        <v>15</v>
      </c>
      <c r="C10" s="16">
        <v>34162.720000000001</v>
      </c>
      <c r="D10" s="17">
        <v>98709.677419354848</v>
      </c>
      <c r="E10" s="18">
        <v>0.34609291503267969</v>
      </c>
      <c r="F10" s="18">
        <v>9.883720930232559E-2</v>
      </c>
      <c r="G10" s="19">
        <v>100000</v>
      </c>
      <c r="H10" s="20">
        <v>0.34162720000000002</v>
      </c>
      <c r="I10" s="48"/>
    </row>
    <row r="11" spans="1:9" x14ac:dyDescent="0.25">
      <c r="A11" s="308" t="s">
        <v>16</v>
      </c>
      <c r="B11" s="308"/>
      <c r="C11" s="21">
        <v>628065.15</v>
      </c>
      <c r="D11" s="21">
        <v>656129.03225806449</v>
      </c>
      <c r="E11" s="22">
        <v>0.95722810471976405</v>
      </c>
      <c r="F11" s="22">
        <v>0.65697674418604657</v>
      </c>
      <c r="G11" s="21">
        <v>910000</v>
      </c>
      <c r="H11" s="22">
        <v>0.69018148351648356</v>
      </c>
      <c r="I11" s="48"/>
    </row>
    <row r="12" spans="1:9" x14ac:dyDescent="0.25">
      <c r="A12" s="307" t="s">
        <v>27</v>
      </c>
      <c r="B12" s="15" t="s">
        <v>28</v>
      </c>
      <c r="C12" s="16">
        <v>68022.42</v>
      </c>
      <c r="D12" s="17">
        <v>98709.677419354848</v>
      </c>
      <c r="E12" s="18">
        <v>0.68911601960784308</v>
      </c>
      <c r="F12" s="18">
        <v>9.883720930232559E-2</v>
      </c>
      <c r="G12" s="19">
        <v>155000</v>
      </c>
      <c r="H12" s="20">
        <v>0.43885432258064516</v>
      </c>
      <c r="I12" s="48"/>
    </row>
    <row r="13" spans="1:9" x14ac:dyDescent="0.25">
      <c r="A13" s="307"/>
      <c r="B13" s="15" t="s">
        <v>29</v>
      </c>
      <c r="C13" s="16">
        <v>161736.01999999999</v>
      </c>
      <c r="D13" s="17">
        <v>133548.38709677418</v>
      </c>
      <c r="E13" s="18">
        <v>1.2110668164251208</v>
      </c>
      <c r="F13" s="18">
        <v>0.13372093023255813</v>
      </c>
      <c r="G13" s="19">
        <v>210000</v>
      </c>
      <c r="H13" s="20">
        <v>0.77017152380952381</v>
      </c>
      <c r="I13" s="48"/>
    </row>
    <row r="14" spans="1:9" x14ac:dyDescent="0.25">
      <c r="A14" s="307"/>
      <c r="B14" s="15" t="s">
        <v>30</v>
      </c>
      <c r="C14" s="16">
        <v>76289.89</v>
      </c>
      <c r="D14" s="17">
        <v>110322.58064516129</v>
      </c>
      <c r="E14" s="18">
        <v>0.69151654678362573</v>
      </c>
      <c r="F14" s="18">
        <v>0.11046511627906977</v>
      </c>
      <c r="G14" s="19">
        <v>180000</v>
      </c>
      <c r="H14" s="20">
        <v>0.42383272222222224</v>
      </c>
      <c r="I14" s="48"/>
    </row>
    <row r="15" spans="1:9" x14ac:dyDescent="0.25">
      <c r="A15" s="308" t="s">
        <v>31</v>
      </c>
      <c r="B15" s="308"/>
      <c r="C15" s="21">
        <v>306048.33</v>
      </c>
      <c r="D15" s="21">
        <v>342580.6451612903</v>
      </c>
      <c r="E15" s="22">
        <v>0.8933614152542374</v>
      </c>
      <c r="F15" s="22">
        <v>0.34302325581395349</v>
      </c>
      <c r="G15" s="21">
        <v>545000</v>
      </c>
      <c r="H15" s="22">
        <v>0.56155656880733951</v>
      </c>
      <c r="I15" s="48"/>
    </row>
    <row r="16" spans="1:9" x14ac:dyDescent="0.25">
      <c r="A16" s="317" t="s">
        <v>17</v>
      </c>
      <c r="B16" s="23" t="s">
        <v>18</v>
      </c>
      <c r="C16" s="16">
        <f>'faturam março'!C13</f>
        <v>121294.14</v>
      </c>
      <c r="D16" s="17">
        <v>223548.38709677421</v>
      </c>
      <c r="E16" s="18">
        <f t="shared" ref="E16:E33" si="0">IF(ISERROR(C16/D16),0,C16/D16)</f>
        <v>0.54258561904761904</v>
      </c>
      <c r="F16" s="18">
        <f>D16/$D$34</f>
        <v>7.5342465753424667E-2</v>
      </c>
      <c r="G16" s="19">
        <v>380000</v>
      </c>
      <c r="H16" s="20">
        <f t="shared" ref="H16:H31" si="1">IF(ISERROR(C16/G16),0,C16/G16)</f>
        <v>0.31919510526315792</v>
      </c>
      <c r="I16" s="48"/>
    </row>
    <row r="17" spans="1:156" x14ac:dyDescent="0.25">
      <c r="A17" s="317"/>
      <c r="B17" s="23" t="s">
        <v>19</v>
      </c>
      <c r="C17" s="16">
        <f>'faturam março'!C14</f>
        <v>277512.45</v>
      </c>
      <c r="D17" s="17">
        <v>365806.45161290327</v>
      </c>
      <c r="E17" s="18">
        <f t="shared" si="0"/>
        <v>0.75863191798941798</v>
      </c>
      <c r="F17" s="18">
        <f t="shared" ref="F17:F32" si="2">D17/$D$34</f>
        <v>0.12328767123287673</v>
      </c>
      <c r="G17" s="19">
        <v>550000</v>
      </c>
      <c r="H17" s="20">
        <f t="shared" si="1"/>
        <v>0.50456809090909094</v>
      </c>
      <c r="I17" s="48"/>
    </row>
    <row r="18" spans="1:156" x14ac:dyDescent="0.25">
      <c r="A18" s="317"/>
      <c r="B18" s="23" t="s">
        <v>20</v>
      </c>
      <c r="C18" s="16">
        <f>'faturam março'!C16</f>
        <v>135870.89000000001</v>
      </c>
      <c r="D18" s="17">
        <v>156774.19354838709</v>
      </c>
      <c r="E18" s="18">
        <f t="shared" si="0"/>
        <v>0.86666617078189312</v>
      </c>
      <c r="F18" s="18">
        <f t="shared" si="2"/>
        <v>5.2837573385518595E-2</v>
      </c>
      <c r="G18" s="19">
        <v>250000</v>
      </c>
      <c r="H18" s="20">
        <f t="shared" si="1"/>
        <v>0.54348356000000009</v>
      </c>
      <c r="I18" s="48"/>
    </row>
    <row r="19" spans="1:156" x14ac:dyDescent="0.25">
      <c r="A19" s="317"/>
      <c r="B19" s="15" t="s">
        <v>21</v>
      </c>
      <c r="C19" s="16">
        <f>'faturam março'!C17</f>
        <v>50286.720000000001</v>
      </c>
      <c r="D19" s="17">
        <v>63870.967741935485</v>
      </c>
      <c r="E19" s="18">
        <f t="shared" si="0"/>
        <v>0.78731733333333331</v>
      </c>
      <c r="F19" s="18">
        <f t="shared" si="2"/>
        <v>2.1526418786692762E-2</v>
      </c>
      <c r="G19" s="19">
        <v>100000</v>
      </c>
      <c r="H19" s="20">
        <f t="shared" si="1"/>
        <v>0.50286719999999996</v>
      </c>
      <c r="I19" s="48"/>
    </row>
    <row r="20" spans="1:156" x14ac:dyDescent="0.25">
      <c r="A20" s="317"/>
      <c r="B20" s="15" t="s">
        <v>22</v>
      </c>
      <c r="C20" s="16">
        <f>'faturam março'!C19</f>
        <v>120470.92</v>
      </c>
      <c r="D20" s="17">
        <v>150967.74193548388</v>
      </c>
      <c r="E20" s="18">
        <f t="shared" si="0"/>
        <v>0.79799113675213673</v>
      </c>
      <c r="F20" s="18">
        <f t="shared" si="2"/>
        <v>5.0880626223091981E-2</v>
      </c>
      <c r="G20" s="19">
        <v>220000</v>
      </c>
      <c r="H20" s="20">
        <f t="shared" si="1"/>
        <v>0.54759509090909086</v>
      </c>
      <c r="I20" s="48"/>
    </row>
    <row r="21" spans="1:156" x14ac:dyDescent="0.25">
      <c r="A21" s="317"/>
      <c r="B21" s="15" t="s">
        <v>23</v>
      </c>
      <c r="C21" s="16">
        <f>'faturam março'!C20</f>
        <v>82040.08</v>
      </c>
      <c r="D21" s="17">
        <v>95806.451612903227</v>
      </c>
      <c r="E21" s="18">
        <f t="shared" si="0"/>
        <v>0.85631059932659936</v>
      </c>
      <c r="F21" s="18">
        <f t="shared" si="2"/>
        <v>3.2289628180039144E-2</v>
      </c>
      <c r="G21" s="19">
        <v>150000</v>
      </c>
      <c r="H21" s="20">
        <f t="shared" si="1"/>
        <v>0.54693386666666666</v>
      </c>
      <c r="I21" s="48" t="str">
        <f t="shared" ref="I21:I33" si="3">IF(E21&lt;=100%,"",F21*1000)</f>
        <v/>
      </c>
    </row>
    <row r="22" spans="1:156" x14ac:dyDescent="0.25">
      <c r="A22" s="317"/>
      <c r="B22" s="15" t="s">
        <v>24</v>
      </c>
      <c r="C22" s="16">
        <f>'faturam março'!C23</f>
        <v>227562.3</v>
      </c>
      <c r="D22" s="17">
        <v>255483.87096774194</v>
      </c>
      <c r="E22" s="18">
        <f t="shared" si="0"/>
        <v>0.89071102272727265</v>
      </c>
      <c r="F22" s="18">
        <f t="shared" si="2"/>
        <v>8.6105675146771046E-2</v>
      </c>
      <c r="G22" s="19">
        <v>450000</v>
      </c>
      <c r="H22" s="20">
        <f t="shared" si="1"/>
        <v>0.50569399999999998</v>
      </c>
      <c r="I22" s="48" t="str">
        <f t="shared" si="3"/>
        <v/>
      </c>
    </row>
    <row r="23" spans="1:156" ht="20.25" customHeight="1" x14ac:dyDescent="0.25">
      <c r="A23" s="317"/>
      <c r="B23" s="15" t="s">
        <v>25</v>
      </c>
      <c r="C23" s="16">
        <f>'faturam março'!C25</f>
        <v>201691.07</v>
      </c>
      <c r="D23" s="17">
        <v>255483.87096774194</v>
      </c>
      <c r="E23" s="18">
        <f t="shared" si="0"/>
        <v>0.78944736994949494</v>
      </c>
      <c r="F23" s="18">
        <f t="shared" si="2"/>
        <v>8.6105675146771046E-2</v>
      </c>
      <c r="G23" s="19">
        <v>450000</v>
      </c>
      <c r="H23" s="20">
        <f t="shared" si="1"/>
        <v>0.44820237777777777</v>
      </c>
      <c r="I23" s="48" t="str">
        <f t="shared" si="3"/>
        <v/>
      </c>
    </row>
    <row r="24" spans="1:156" x14ac:dyDescent="0.25">
      <c r="A24" s="308" t="s">
        <v>26</v>
      </c>
      <c r="B24" s="308"/>
      <c r="C24" s="21">
        <f>SUM(C16:C23)</f>
        <v>1216728.57</v>
      </c>
      <c r="D24" s="21">
        <f>SUM(D16:D23)</f>
        <v>1567741.935483871</v>
      </c>
      <c r="E24" s="22">
        <f t="shared" si="0"/>
        <v>0.77610258580246916</v>
      </c>
      <c r="F24" s="22">
        <f>SUM(F16:F23)</f>
        <v>0.52837573385518599</v>
      </c>
      <c r="G24" s="21">
        <f>SUM(G16:G23)</f>
        <v>2550000</v>
      </c>
      <c r="H24" s="22">
        <f t="shared" si="1"/>
        <v>0.47714845882352946</v>
      </c>
      <c r="I24" s="48" t="str">
        <f t="shared" si="3"/>
        <v/>
      </c>
    </row>
    <row r="25" spans="1:156" x14ac:dyDescent="0.25">
      <c r="A25" s="307" t="s">
        <v>32</v>
      </c>
      <c r="B25" s="15" t="s">
        <v>33</v>
      </c>
      <c r="C25" s="16">
        <f>'faturam março'!C24</f>
        <v>81501.61</v>
      </c>
      <c r="D25" s="17">
        <v>107419.35483870968</v>
      </c>
      <c r="E25" s="18">
        <f t="shared" si="0"/>
        <v>0.7587236966966967</v>
      </c>
      <c r="F25" s="18">
        <f t="shared" si="2"/>
        <v>3.6203522504892373E-2</v>
      </c>
      <c r="G25" s="19">
        <v>155000</v>
      </c>
      <c r="H25" s="20">
        <f t="shared" si="1"/>
        <v>0.52581683870967744</v>
      </c>
      <c r="I25" s="48" t="str">
        <f t="shared" si="3"/>
        <v/>
      </c>
    </row>
    <row r="26" spans="1:156" x14ac:dyDescent="0.25">
      <c r="A26" s="307"/>
      <c r="B26" s="15" t="s">
        <v>34</v>
      </c>
      <c r="C26" s="16">
        <f>'faturam março'!C29</f>
        <v>54586.3</v>
      </c>
      <c r="D26" s="17">
        <v>92903.225806451606</v>
      </c>
      <c r="E26" s="18">
        <f t="shared" si="0"/>
        <v>0.58756086805555563</v>
      </c>
      <c r="F26" s="18">
        <f t="shared" si="2"/>
        <v>3.131115459882583E-2</v>
      </c>
      <c r="G26" s="19">
        <v>140000</v>
      </c>
      <c r="H26" s="20">
        <f t="shared" si="1"/>
        <v>0.38990214285714286</v>
      </c>
      <c r="I26" s="48" t="str">
        <f t="shared" si="3"/>
        <v/>
      </c>
    </row>
    <row r="27" spans="1:156" x14ac:dyDescent="0.25">
      <c r="A27" s="307"/>
      <c r="B27" s="15" t="s">
        <v>35</v>
      </c>
      <c r="C27" s="16">
        <f>'faturam março'!C30</f>
        <v>35816.1</v>
      </c>
      <c r="D27" s="17">
        <v>52258.06451612903</v>
      </c>
      <c r="E27" s="18">
        <f t="shared" si="0"/>
        <v>0.68536981481481485</v>
      </c>
      <c r="F27" s="18">
        <f t="shared" si="2"/>
        <v>1.7612524461839533E-2</v>
      </c>
      <c r="G27" s="19">
        <v>85000</v>
      </c>
      <c r="H27" s="20">
        <f t="shared" si="1"/>
        <v>0.42136588235294115</v>
      </c>
      <c r="I27" s="48" t="str">
        <f t="shared" si="3"/>
        <v/>
      </c>
    </row>
    <row r="28" spans="1:156" s="24" customFormat="1" x14ac:dyDescent="0.25">
      <c r="A28" s="307"/>
      <c r="B28" s="15" t="s">
        <v>36</v>
      </c>
      <c r="C28" s="16">
        <f>'faturam março'!C27</f>
        <v>87782.96</v>
      </c>
      <c r="D28" s="17">
        <v>107419.35483870968</v>
      </c>
      <c r="E28" s="18">
        <f t="shared" si="0"/>
        <v>0.81719872672672678</v>
      </c>
      <c r="F28" s="18">
        <f t="shared" si="2"/>
        <v>3.6203522504892373E-2</v>
      </c>
      <c r="G28" s="19">
        <v>155000</v>
      </c>
      <c r="H28" s="20">
        <f t="shared" si="1"/>
        <v>0.56634167741935493</v>
      </c>
      <c r="I28" s="48" t="str">
        <f t="shared" si="3"/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</row>
    <row r="29" spans="1:156" x14ac:dyDescent="0.25">
      <c r="A29" s="308" t="s">
        <v>37</v>
      </c>
      <c r="B29" s="308"/>
      <c r="C29" s="21">
        <f>SUM(C25:C28)</f>
        <v>259686.97000000003</v>
      </c>
      <c r="D29" s="21">
        <f>SUM(D25:D28)</f>
        <v>360000</v>
      </c>
      <c r="E29" s="22">
        <f t="shared" si="0"/>
        <v>0.7213526944444445</v>
      </c>
      <c r="F29" s="22">
        <f>SUM(F25:F28)</f>
        <v>0.12133072407045009</v>
      </c>
      <c r="G29" s="21">
        <f>SUM(G25:G28)</f>
        <v>535000</v>
      </c>
      <c r="H29" s="22">
        <f t="shared" si="1"/>
        <v>0.48539620560747671</v>
      </c>
      <c r="I29" s="48" t="str">
        <f t="shared" si="3"/>
        <v/>
      </c>
    </row>
    <row r="30" spans="1:156" x14ac:dyDescent="0.25">
      <c r="A30" s="77" t="s">
        <v>38</v>
      </c>
      <c r="B30" s="15" t="s">
        <v>39</v>
      </c>
      <c r="C30" s="16">
        <f>'faturam março'!C12</f>
        <v>25782.74</v>
      </c>
      <c r="D30" s="17">
        <v>40645.161290322576</v>
      </c>
      <c r="E30" s="18">
        <f t="shared" si="0"/>
        <v>0.63433725396825413</v>
      </c>
      <c r="F30" s="18">
        <f t="shared" si="2"/>
        <v>1.3698630136986301E-2</v>
      </c>
      <c r="G30" s="19">
        <v>60000</v>
      </c>
      <c r="H30" s="20">
        <f t="shared" si="1"/>
        <v>0.42971233333333336</v>
      </c>
      <c r="I30" s="48" t="str">
        <f t="shared" si="3"/>
        <v/>
      </c>
    </row>
    <row r="31" spans="1:156" x14ac:dyDescent="0.25">
      <c r="A31" s="308" t="s">
        <v>40</v>
      </c>
      <c r="B31" s="308"/>
      <c r="C31" s="21">
        <f>SUM(C30:C30)</f>
        <v>25782.74</v>
      </c>
      <c r="D31" s="21">
        <f>SUM(D30:D30)</f>
        <v>40645.161290322576</v>
      </c>
      <c r="E31" s="22">
        <f t="shared" si="0"/>
        <v>0.63433725396825413</v>
      </c>
      <c r="F31" s="22">
        <f>F30</f>
        <v>1.3698630136986301E-2</v>
      </c>
      <c r="G31" s="21">
        <f>SUM(G30:G30)</f>
        <v>60000</v>
      </c>
      <c r="H31" s="22">
        <f t="shared" si="1"/>
        <v>0.42971233333333336</v>
      </c>
      <c r="I31" s="48" t="str">
        <f t="shared" si="3"/>
        <v/>
      </c>
    </row>
    <row r="32" spans="1:156" x14ac:dyDescent="0.25">
      <c r="A32" s="44"/>
      <c r="B32" s="25" t="s">
        <v>41</v>
      </c>
      <c r="C32" s="16">
        <f>3298.76+Supervisão!C28</f>
        <v>109488.35999999961</v>
      </c>
      <c r="D32" s="17">
        <v>0</v>
      </c>
      <c r="E32" s="18">
        <f t="shared" si="0"/>
        <v>0</v>
      </c>
      <c r="F32" s="18">
        <f t="shared" si="2"/>
        <v>0</v>
      </c>
      <c r="G32" s="19"/>
      <c r="H32" s="20">
        <v>0</v>
      </c>
      <c r="I32" s="48" t="str">
        <f t="shared" si="3"/>
        <v/>
      </c>
    </row>
    <row r="33" spans="1:9" ht="18.75" customHeight="1" x14ac:dyDescent="0.25">
      <c r="A33" s="308" t="s">
        <v>42</v>
      </c>
      <c r="B33" s="308"/>
      <c r="C33" s="21">
        <f>SUM(C32:C32)</f>
        <v>109488.35999999961</v>
      </c>
      <c r="D33" s="21">
        <f>SUM(D32:D32)</f>
        <v>0</v>
      </c>
      <c r="E33" s="22">
        <f t="shared" si="0"/>
        <v>0</v>
      </c>
      <c r="F33" s="22">
        <f>F32</f>
        <v>0</v>
      </c>
      <c r="G33" s="21">
        <f>SUM(G32:G32)</f>
        <v>0</v>
      </c>
      <c r="H33" s="22">
        <f>IF(ISERROR(C33/G33),0,C33/G33)</f>
        <v>0</v>
      </c>
      <c r="I33" s="48" t="str">
        <f t="shared" si="3"/>
        <v/>
      </c>
    </row>
    <row r="34" spans="1:9" s="29" customFormat="1" ht="23.4" x14ac:dyDescent="0.25">
      <c r="A34" s="306" t="s">
        <v>43</v>
      </c>
      <c r="B34" s="306"/>
      <c r="C34" s="26">
        <f>SUM(C11,C15,C24,C29,C31,C33)</f>
        <v>2545800.1199999996</v>
      </c>
      <c r="D34" s="26">
        <f>SUM(D11,D15,D24,D29,D31,D33)</f>
        <v>2967096.7741935481</v>
      </c>
      <c r="E34" s="27"/>
      <c r="F34" s="27">
        <f>F24+F29+F31+F33</f>
        <v>0.66340508806262233</v>
      </c>
      <c r="G34" s="28"/>
      <c r="H34" s="27"/>
      <c r="I34" s="48">
        <f>SUM(I16:I33)</f>
        <v>0</v>
      </c>
    </row>
    <row r="35" spans="1:9" x14ac:dyDescent="0.25">
      <c r="C35" s="54"/>
    </row>
    <row r="36" spans="1:9" x14ac:dyDescent="0.25">
      <c r="C36" s="79"/>
    </row>
    <row r="37" spans="1:9" x14ac:dyDescent="0.25">
      <c r="C37" s="55"/>
    </row>
    <row r="38" spans="1:9" x14ac:dyDescent="0.25">
      <c r="C38" s="56"/>
      <c r="D38" s="31"/>
    </row>
    <row r="39" spans="1:9" s="6" customFormat="1" x14ac:dyDescent="0.25">
      <c r="A39" s="29"/>
      <c r="B39" s="30"/>
      <c r="C39" s="1"/>
      <c r="D39" s="1"/>
      <c r="E39" s="1"/>
      <c r="H39" s="1"/>
    </row>
    <row r="42" spans="1:9" s="6" customFormat="1" x14ac:dyDescent="0.25">
      <c r="A42" s="29"/>
      <c r="B42" s="30"/>
      <c r="C42" s="1"/>
      <c r="D42" s="1"/>
      <c r="E42" s="1"/>
      <c r="H42" s="1"/>
    </row>
  </sheetData>
  <mergeCells count="14">
    <mergeCell ref="A1:C4"/>
    <mergeCell ref="G1:H1"/>
    <mergeCell ref="A6:B6"/>
    <mergeCell ref="A16:A23"/>
    <mergeCell ref="A24:B24"/>
    <mergeCell ref="A29:B29"/>
    <mergeCell ref="A31:B31"/>
    <mergeCell ref="A33:B33"/>
    <mergeCell ref="A34:B34"/>
    <mergeCell ref="A7:A10"/>
    <mergeCell ref="A11:B11"/>
    <mergeCell ref="A12:A14"/>
    <mergeCell ref="A15:B15"/>
    <mergeCell ref="A25:A28"/>
  </mergeCells>
  <conditionalFormatting sqref="E34">
    <cfRule type="cellIs" dxfId="1" priority="2" stopIfTrue="1" operator="lessThan">
      <formula>0</formula>
    </cfRule>
  </conditionalFormatting>
  <conditionalFormatting sqref="H34">
    <cfRule type="cellIs" dxfId="0" priority="1" stopIfTrue="1" operator="lessThan">
      <formula>0</formula>
    </cfRule>
  </conditionalFormatting>
  <pageMargins left="0.15748031496062992" right="0.19685039370078741" top="0.98425196850393704" bottom="0.98425196850393704" header="0.51181102362204722" footer="0.51181102362204722"/>
  <pageSetup scale="46" orientation="landscape" r:id="rId1"/>
  <headerFooter alignWithMargins="0"/>
  <ignoredErrors>
    <ignoredError sqref="E24:F34 C3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13" workbookViewId="0">
      <selection activeCell="H20" sqref="H20"/>
    </sheetView>
  </sheetViews>
  <sheetFormatPr defaultColWidth="9.109375" defaultRowHeight="14.4" x14ac:dyDescent="0.3"/>
  <cols>
    <col min="1" max="1" width="39.33203125" style="50" bestFit="1" customWidth="1"/>
    <col min="2" max="2" width="19.44140625" style="50" bestFit="1" customWidth="1"/>
    <col min="3" max="3" width="20.33203125" style="51" bestFit="1" customWidth="1"/>
    <col min="4" max="4" width="12.6640625" style="50" bestFit="1" customWidth="1"/>
    <col min="5" max="16384" width="9.109375" style="50"/>
  </cols>
  <sheetData>
    <row r="1" spans="1:4" x14ac:dyDescent="0.3">
      <c r="A1" s="50" t="s">
        <v>60</v>
      </c>
    </row>
    <row r="3" spans="1:4" x14ac:dyDescent="0.3">
      <c r="A3" s="50" t="s">
        <v>61</v>
      </c>
    </row>
    <row r="7" spans="1:4" x14ac:dyDescent="0.3">
      <c r="A7" s="50" t="s">
        <v>62</v>
      </c>
      <c r="B7" s="50" t="s">
        <v>63</v>
      </c>
    </row>
    <row r="10" spans="1:4" x14ac:dyDescent="0.3">
      <c r="A10" s="50" t="s">
        <v>48</v>
      </c>
      <c r="C10" s="51" t="s">
        <v>64</v>
      </c>
    </row>
    <row r="11" spans="1:4" x14ac:dyDescent="0.3">
      <c r="A11" s="50">
        <v>1</v>
      </c>
      <c r="B11" s="50" t="s">
        <v>65</v>
      </c>
      <c r="C11" s="51">
        <v>362871.27</v>
      </c>
      <c r="D11" s="52"/>
    </row>
    <row r="12" spans="1:4" x14ac:dyDescent="0.3">
      <c r="A12" s="50">
        <v>2</v>
      </c>
      <c r="B12" s="50" t="s">
        <v>66</v>
      </c>
      <c r="C12" s="51">
        <v>25782.74</v>
      </c>
    </row>
    <row r="13" spans="1:4" x14ac:dyDescent="0.3">
      <c r="A13" s="50">
        <v>4</v>
      </c>
      <c r="B13" s="50" t="s">
        <v>67</v>
      </c>
      <c r="C13" s="51">
        <v>121294.14</v>
      </c>
    </row>
    <row r="14" spans="1:4" x14ac:dyDescent="0.3">
      <c r="A14" s="50">
        <v>5</v>
      </c>
      <c r="B14" s="50" t="s">
        <v>68</v>
      </c>
      <c r="C14" s="51">
        <v>277512.45</v>
      </c>
    </row>
    <row r="15" spans="1:4" x14ac:dyDescent="0.3">
      <c r="A15" s="50">
        <v>6</v>
      </c>
      <c r="B15" s="50" t="s">
        <v>69</v>
      </c>
      <c r="C15" s="51">
        <v>141283.54</v>
      </c>
    </row>
    <row r="16" spans="1:4" x14ac:dyDescent="0.3">
      <c r="A16" s="50">
        <v>8</v>
      </c>
      <c r="B16" s="50" t="s">
        <v>70</v>
      </c>
      <c r="C16" s="51">
        <v>135870.89000000001</v>
      </c>
    </row>
    <row r="17" spans="1:4" x14ac:dyDescent="0.3">
      <c r="A17" s="50">
        <v>9</v>
      </c>
      <c r="B17" s="50" t="s">
        <v>71</v>
      </c>
      <c r="C17" s="51">
        <v>50286.720000000001</v>
      </c>
    </row>
    <row r="18" spans="1:4" x14ac:dyDescent="0.3">
      <c r="A18" s="50">
        <v>10</v>
      </c>
      <c r="B18" s="50" t="s">
        <v>72</v>
      </c>
      <c r="C18" s="51">
        <v>34162.720000000001</v>
      </c>
    </row>
    <row r="19" spans="1:4" x14ac:dyDescent="0.3">
      <c r="A19" s="50">
        <v>12</v>
      </c>
      <c r="B19" s="50" t="s">
        <v>73</v>
      </c>
      <c r="C19" s="51">
        <v>120470.92</v>
      </c>
    </row>
    <row r="20" spans="1:4" x14ac:dyDescent="0.3">
      <c r="A20" s="50">
        <v>14</v>
      </c>
      <c r="B20" s="50" t="s">
        <v>74</v>
      </c>
      <c r="C20" s="51">
        <v>82040.08</v>
      </c>
    </row>
    <row r="21" spans="1:4" x14ac:dyDescent="0.3">
      <c r="A21" s="50">
        <v>15</v>
      </c>
      <c r="B21" s="50" t="s">
        <v>75</v>
      </c>
      <c r="C21" s="51">
        <v>68022.42</v>
      </c>
    </row>
    <row r="22" spans="1:4" x14ac:dyDescent="0.3">
      <c r="A22" s="50">
        <v>21</v>
      </c>
      <c r="B22" s="50" t="s">
        <v>76</v>
      </c>
      <c r="C22" s="51">
        <v>161736.01999999999</v>
      </c>
    </row>
    <row r="23" spans="1:4" x14ac:dyDescent="0.3">
      <c r="A23" s="50">
        <v>22</v>
      </c>
      <c r="B23" s="50" t="s">
        <v>77</v>
      </c>
      <c r="C23" s="51">
        <v>227562.3</v>
      </c>
    </row>
    <row r="24" spans="1:4" x14ac:dyDescent="0.3">
      <c r="A24" s="50">
        <v>25</v>
      </c>
      <c r="B24" s="50" t="s">
        <v>78</v>
      </c>
      <c r="C24" s="51">
        <v>81501.61</v>
      </c>
    </row>
    <row r="25" spans="1:4" x14ac:dyDescent="0.3">
      <c r="A25" s="50">
        <v>26</v>
      </c>
      <c r="B25" s="50" t="s">
        <v>79</v>
      </c>
      <c r="C25" s="51">
        <v>201691.07</v>
      </c>
    </row>
    <row r="26" spans="1:4" x14ac:dyDescent="0.3">
      <c r="A26" s="50">
        <v>27</v>
      </c>
      <c r="B26" s="50" t="s">
        <v>80</v>
      </c>
      <c r="C26" s="51">
        <v>76289.89</v>
      </c>
    </row>
    <row r="27" spans="1:4" x14ac:dyDescent="0.3">
      <c r="A27" s="50">
        <v>28</v>
      </c>
      <c r="B27" s="50" t="s">
        <v>81</v>
      </c>
      <c r="C27" s="51">
        <v>87782.96</v>
      </c>
    </row>
    <row r="28" spans="1:4" x14ac:dyDescent="0.3">
      <c r="A28" s="50">
        <v>29</v>
      </c>
      <c r="B28" s="50" t="s">
        <v>82</v>
      </c>
      <c r="C28" s="51">
        <v>89747.62</v>
      </c>
    </row>
    <row r="29" spans="1:4" x14ac:dyDescent="0.3">
      <c r="A29" s="50">
        <v>30</v>
      </c>
      <c r="B29" s="50" t="s">
        <v>83</v>
      </c>
      <c r="C29" s="51">
        <v>54586.3</v>
      </c>
    </row>
    <row r="30" spans="1:4" x14ac:dyDescent="0.3">
      <c r="A30" s="50">
        <v>32</v>
      </c>
      <c r="B30" s="50" t="s">
        <v>84</v>
      </c>
      <c r="C30" s="51">
        <v>35816.1</v>
      </c>
    </row>
    <row r="31" spans="1:4" x14ac:dyDescent="0.3">
      <c r="A31" s="50">
        <v>33</v>
      </c>
      <c r="B31" s="50" t="s">
        <v>85</v>
      </c>
      <c r="C31" s="51">
        <v>26463.599999999999</v>
      </c>
      <c r="D31" s="67">
        <f>C31-GERAL!C32</f>
        <v>-83024.759999999602</v>
      </c>
    </row>
    <row r="32" spans="1:4" x14ac:dyDescent="0.3">
      <c r="A32" s="50">
        <v>45</v>
      </c>
      <c r="B32" s="50" t="s">
        <v>86</v>
      </c>
      <c r="C32" s="51">
        <v>0</v>
      </c>
    </row>
    <row r="33" spans="1:3" x14ac:dyDescent="0.3">
      <c r="A33" s="50">
        <v>99</v>
      </c>
      <c r="B33" s="50" t="s">
        <v>87</v>
      </c>
      <c r="C33" s="51">
        <v>0</v>
      </c>
    </row>
    <row r="34" spans="1:3" x14ac:dyDescent="0.3">
      <c r="A34" s="53"/>
      <c r="C34" s="51">
        <f>SUM(C11:C33)</f>
        <v>2462775.3600000003</v>
      </c>
    </row>
  </sheetData>
  <autoFilter ref="A10:C34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5"/>
  <sheetViews>
    <sheetView showGridLines="0" workbookViewId="0">
      <selection activeCell="B3" sqref="B3"/>
    </sheetView>
  </sheetViews>
  <sheetFormatPr defaultRowHeight="13.2" x14ac:dyDescent="0.25"/>
  <cols>
    <col min="1" max="1" width="19.33203125" bestFit="1" customWidth="1"/>
    <col min="2" max="2" width="16.88671875" bestFit="1" customWidth="1"/>
    <col min="3" max="3" width="15.88671875" bestFit="1" customWidth="1"/>
    <col min="5" max="6" width="12.109375" bestFit="1" customWidth="1"/>
  </cols>
  <sheetData>
    <row r="2" spans="1:6" x14ac:dyDescent="0.25">
      <c r="A2" s="33" t="s">
        <v>48</v>
      </c>
      <c r="B2" s="38" t="s">
        <v>49</v>
      </c>
      <c r="C2" s="33" t="s">
        <v>47</v>
      </c>
      <c r="D2" s="33" t="s">
        <v>46</v>
      </c>
      <c r="E2" s="33" t="s">
        <v>51</v>
      </c>
      <c r="F2" s="33" t="s">
        <v>50</v>
      </c>
    </row>
    <row r="3" spans="1:6" x14ac:dyDescent="0.25">
      <c r="A3" t="s">
        <v>58</v>
      </c>
      <c r="B3" s="32" t="e">
        <f>SUMIFS(#REF!,#REF!,JOE!A3)</f>
        <v>#REF!</v>
      </c>
      <c r="C3" s="32" t="e">
        <f>SUMIFS(#REF!,#REF!,JOE!A3)</f>
        <v>#REF!</v>
      </c>
      <c r="D3" s="34" t="e">
        <f>B3/C3</f>
        <v>#REF!</v>
      </c>
      <c r="E3" s="32">
        <v>350</v>
      </c>
      <c r="F3" s="32">
        <f>(E3/29)*13</f>
        <v>156.89655172413794</v>
      </c>
    </row>
    <row r="4" spans="1:6" x14ac:dyDescent="0.25">
      <c r="A4" t="s">
        <v>57</v>
      </c>
      <c r="B4" s="32" t="e">
        <f>SUMIFS(#REF!,#REF!,JOE!A4)</f>
        <v>#REF!</v>
      </c>
      <c r="C4" s="32" t="e">
        <f>SUMIFS(#REF!,#REF!,JOE!A4)</f>
        <v>#REF!</v>
      </c>
      <c r="D4" s="35" t="e">
        <f t="shared" ref="D4:D6" si="0">B4/C4</f>
        <v>#REF!</v>
      </c>
      <c r="E4" s="32">
        <v>300</v>
      </c>
      <c r="F4" s="32">
        <v>0</v>
      </c>
    </row>
    <row r="5" spans="1:6" x14ac:dyDescent="0.25">
      <c r="A5" t="s">
        <v>56</v>
      </c>
      <c r="B5" s="32" t="e">
        <f>SUMIFS(#REF!,#REF!,JOE!A5)</f>
        <v>#REF!</v>
      </c>
      <c r="C5" s="32" t="e">
        <f>SUMIFS(#REF!,#REF!,JOE!A5)</f>
        <v>#REF!</v>
      </c>
      <c r="D5" s="35" t="e">
        <f t="shared" si="0"/>
        <v>#REF!</v>
      </c>
      <c r="E5" s="32">
        <v>150</v>
      </c>
      <c r="F5" s="32">
        <v>0</v>
      </c>
    </row>
    <row r="6" spans="1:6" x14ac:dyDescent="0.25">
      <c r="A6" t="s">
        <v>55</v>
      </c>
      <c r="B6" s="32" t="e">
        <f>SUMIFS(#REF!,#REF!,JOE!A6)</f>
        <v>#REF!</v>
      </c>
      <c r="C6" s="32" t="e">
        <f>SUMIFS(#REF!,#REF!,JOE!A6)</f>
        <v>#REF!</v>
      </c>
      <c r="D6" s="35" t="e">
        <f t="shared" si="0"/>
        <v>#REF!</v>
      </c>
      <c r="E6" s="32">
        <v>200</v>
      </c>
      <c r="F6" s="32">
        <v>0</v>
      </c>
    </row>
    <row r="7" spans="1:6" x14ac:dyDescent="0.25">
      <c r="A7" s="40" t="s">
        <v>44</v>
      </c>
      <c r="B7" s="41" t="e">
        <f>SUM(B3:B6)</f>
        <v>#REF!</v>
      </c>
      <c r="C7" s="41" t="e">
        <f>SUM(C3:C6)</f>
        <v>#REF!</v>
      </c>
      <c r="D7" s="42"/>
      <c r="E7" s="43">
        <f>SUM(E3:E6)</f>
        <v>1000</v>
      </c>
      <c r="F7" s="43">
        <f>SUM(F3:F6)</f>
        <v>156.89655172413794</v>
      </c>
    </row>
    <row r="10" spans="1:6" x14ac:dyDescent="0.25">
      <c r="A10" t="s">
        <v>52</v>
      </c>
      <c r="B10" s="32">
        <v>7706.27</v>
      </c>
      <c r="C10" s="39"/>
    </row>
    <row r="11" spans="1:6" x14ac:dyDescent="0.25">
      <c r="A11" s="40" t="s">
        <v>53</v>
      </c>
      <c r="B11" s="43">
        <f>B10*2%</f>
        <v>154.12540000000001</v>
      </c>
    </row>
    <row r="15" spans="1:6" x14ac:dyDescent="0.25">
      <c r="A15" s="36" t="s">
        <v>54</v>
      </c>
      <c r="B15" s="37">
        <f>B11+F7</f>
        <v>311.02195172413792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8072-096B-4D96-8145-0B39983C6387}">
  <sheetPr>
    <tabColor rgb="FFFFC000"/>
  </sheetPr>
  <dimension ref="B1:M26"/>
  <sheetViews>
    <sheetView showGridLines="0" topLeftCell="B1" zoomScale="110" zoomScaleNormal="110" workbookViewId="0">
      <selection activeCell="H18" sqref="H18"/>
    </sheetView>
  </sheetViews>
  <sheetFormatPr defaultColWidth="9.109375" defaultRowHeight="15.6" x14ac:dyDescent="0.25"/>
  <cols>
    <col min="1" max="1" width="0" style="85" hidden="1" customWidth="1"/>
    <col min="2" max="2" width="5.5546875" style="85" customWidth="1"/>
    <col min="3" max="3" width="20.6640625" style="85" bestFit="1" customWidth="1"/>
    <col min="4" max="4" width="15.5546875" style="85" bestFit="1" customWidth="1"/>
    <col min="5" max="5" width="17.33203125" style="86" bestFit="1" customWidth="1"/>
    <col min="6" max="6" width="14.88671875" style="85" bestFit="1" customWidth="1"/>
    <col min="7" max="7" width="6.6640625" style="85" customWidth="1"/>
    <col min="8" max="8" width="4.109375" style="85" customWidth="1"/>
    <col min="9" max="9" width="15.5546875" style="85" bestFit="1" customWidth="1"/>
    <col min="10" max="10" width="17.33203125" style="86" bestFit="1" customWidth="1"/>
    <col min="11" max="11" width="14.88671875" style="86" bestFit="1" customWidth="1"/>
    <col min="12" max="12" width="7.33203125" style="85" bestFit="1" customWidth="1"/>
    <col min="13" max="13" width="6.44140625" style="85" customWidth="1"/>
    <col min="14" max="16384" width="9.109375" style="85"/>
  </cols>
  <sheetData>
    <row r="1" spans="2:13" ht="11.25" customHeight="1" x14ac:dyDescent="0.25"/>
    <row r="2" spans="2:13" s="106" customFormat="1" x14ac:dyDescent="0.25">
      <c r="B2" s="106" t="s">
        <v>143</v>
      </c>
      <c r="E2" s="107"/>
      <c r="J2" s="107"/>
      <c r="K2" s="107"/>
    </row>
    <row r="3" spans="2:13" ht="7.5" customHeight="1" x14ac:dyDescent="0.25"/>
    <row r="4" spans="2:13" x14ac:dyDescent="0.25">
      <c r="B4" s="108" t="s">
        <v>144</v>
      </c>
      <c r="C4" s="109" t="s">
        <v>144</v>
      </c>
      <c r="D4" s="109" t="s">
        <v>145</v>
      </c>
      <c r="E4" s="110" t="s">
        <v>146</v>
      </c>
      <c r="F4" s="109" t="s">
        <v>147</v>
      </c>
      <c r="G4" s="109" t="s">
        <v>148</v>
      </c>
      <c r="H4" s="111"/>
      <c r="I4" s="109" t="s">
        <v>145</v>
      </c>
      <c r="J4" s="112" t="s">
        <v>146</v>
      </c>
      <c r="K4" s="110" t="s">
        <v>147</v>
      </c>
      <c r="L4" s="113" t="s">
        <v>148</v>
      </c>
      <c r="M4" s="113" t="s">
        <v>149</v>
      </c>
    </row>
    <row r="5" spans="2:13" x14ac:dyDescent="0.25">
      <c r="B5" s="85" t="s">
        <v>150</v>
      </c>
      <c r="C5" s="85" t="s">
        <v>151</v>
      </c>
      <c r="D5" s="85" t="s">
        <v>17</v>
      </c>
      <c r="E5" s="86">
        <v>60155.07</v>
      </c>
      <c r="F5" s="86">
        <v>309.8</v>
      </c>
      <c r="G5" s="114">
        <v>5.150023098634912E-3</v>
      </c>
      <c r="H5" s="115"/>
      <c r="I5" s="85" t="s">
        <v>17</v>
      </c>
      <c r="J5" s="86">
        <v>1388758.6900000004</v>
      </c>
      <c r="K5" s="86">
        <v>115950.10000000005</v>
      </c>
      <c r="L5" s="116">
        <f>K5/J5</f>
        <v>8.3491898797767389E-2</v>
      </c>
      <c r="M5" s="114">
        <v>0.12</v>
      </c>
    </row>
    <row r="6" spans="2:13" x14ac:dyDescent="0.25">
      <c r="B6" s="85" t="s">
        <v>152</v>
      </c>
      <c r="C6" s="85" t="s">
        <v>153</v>
      </c>
      <c r="D6" s="85" t="s">
        <v>17</v>
      </c>
      <c r="E6" s="86">
        <v>137014.88</v>
      </c>
      <c r="F6" s="86">
        <v>11123.659999999998</v>
      </c>
      <c r="G6" s="114">
        <v>8.1185780697687712E-2</v>
      </c>
      <c r="H6" s="115"/>
      <c r="I6" s="117" t="s">
        <v>11</v>
      </c>
      <c r="J6" s="118">
        <v>671671.83</v>
      </c>
      <c r="K6" s="118">
        <v>125010.93000000002</v>
      </c>
      <c r="L6" s="119">
        <f t="shared" ref="L6:L11" si="0">K6/J6</f>
        <v>0.18611906055372313</v>
      </c>
      <c r="M6" s="120">
        <v>0.12</v>
      </c>
    </row>
    <row r="7" spans="2:13" x14ac:dyDescent="0.25">
      <c r="B7" s="85" t="s">
        <v>154</v>
      </c>
      <c r="C7" s="85" t="s">
        <v>155</v>
      </c>
      <c r="D7" s="85" t="s">
        <v>17</v>
      </c>
      <c r="E7" s="86">
        <v>181982.83000000002</v>
      </c>
      <c r="F7" s="86">
        <v>9944.5599999999977</v>
      </c>
      <c r="G7" s="114">
        <v>5.4645594861888878E-2</v>
      </c>
      <c r="H7" s="115"/>
      <c r="I7" s="117" t="s">
        <v>27</v>
      </c>
      <c r="J7" s="118">
        <v>372684.44</v>
      </c>
      <c r="K7" s="118">
        <v>74121.570000000007</v>
      </c>
      <c r="L7" s="119">
        <f t="shared" si="0"/>
        <v>0.19888560413201048</v>
      </c>
      <c r="M7" s="120">
        <v>0.2</v>
      </c>
    </row>
    <row r="8" spans="2:13" x14ac:dyDescent="0.25">
      <c r="B8" s="85" t="s">
        <v>156</v>
      </c>
      <c r="C8" s="85" t="s">
        <v>157</v>
      </c>
      <c r="D8" s="85" t="s">
        <v>17</v>
      </c>
      <c r="E8" s="86">
        <v>355174.29</v>
      </c>
      <c r="F8" s="86">
        <v>43615.180000000029</v>
      </c>
      <c r="G8" s="114">
        <v>0.1227993726685567</v>
      </c>
      <c r="H8" s="115"/>
      <c r="I8" s="85" t="s">
        <v>32</v>
      </c>
      <c r="J8" s="121">
        <v>222658.83999999997</v>
      </c>
      <c r="K8" s="121">
        <v>12316.24</v>
      </c>
      <c r="L8" s="122">
        <f t="shared" si="0"/>
        <v>5.531439937439718E-2</v>
      </c>
      <c r="M8" s="123">
        <v>0.08</v>
      </c>
    </row>
    <row r="9" spans="2:13" x14ac:dyDescent="0.25">
      <c r="B9" s="85" t="s">
        <v>158</v>
      </c>
      <c r="C9" s="85" t="s">
        <v>159</v>
      </c>
      <c r="D9" s="85" t="s">
        <v>17</v>
      </c>
      <c r="E9" s="86">
        <v>187586.85</v>
      </c>
      <c r="F9" s="86">
        <v>8196.6800000000021</v>
      </c>
      <c r="G9" s="114">
        <v>4.3695386963425217E-2</v>
      </c>
      <c r="H9" s="115"/>
      <c r="I9" s="85" t="s">
        <v>38</v>
      </c>
      <c r="J9" s="86">
        <v>33862.29</v>
      </c>
      <c r="K9" s="86">
        <v>469.65</v>
      </c>
      <c r="L9" s="116">
        <f t="shared" si="0"/>
        <v>1.3869410485823609E-2</v>
      </c>
      <c r="M9" s="114"/>
    </row>
    <row r="10" spans="2:13" x14ac:dyDescent="0.25">
      <c r="B10" s="85" t="s">
        <v>160</v>
      </c>
      <c r="C10" s="85" t="s">
        <v>161</v>
      </c>
      <c r="D10" s="85" t="s">
        <v>17</v>
      </c>
      <c r="E10" s="86">
        <v>251305.14</v>
      </c>
      <c r="F10" s="86">
        <v>25583.630000000008</v>
      </c>
      <c r="G10" s="114">
        <v>0.10180305106373871</v>
      </c>
      <c r="H10" s="115"/>
      <c r="I10" s="85" t="s">
        <v>103</v>
      </c>
      <c r="J10" s="86">
        <v>22395.439999999999</v>
      </c>
      <c r="K10" s="86">
        <v>3446.7000000000003</v>
      </c>
      <c r="L10" s="116">
        <f t="shared" si="0"/>
        <v>0.15390186573695361</v>
      </c>
      <c r="M10" s="114"/>
    </row>
    <row r="11" spans="2:13" x14ac:dyDescent="0.25">
      <c r="B11" s="85" t="s">
        <v>162</v>
      </c>
      <c r="C11" s="85" t="s">
        <v>163</v>
      </c>
      <c r="D11" s="85" t="s">
        <v>17</v>
      </c>
      <c r="E11" s="86">
        <v>184688.64000000001</v>
      </c>
      <c r="F11" s="86">
        <v>19788.340000000007</v>
      </c>
      <c r="G11" s="114">
        <v>0.10714432679779333</v>
      </c>
      <c r="H11" s="115"/>
      <c r="I11" s="117" t="s">
        <v>164</v>
      </c>
      <c r="J11" s="118">
        <v>37879.379999999997</v>
      </c>
      <c r="K11" s="118">
        <v>3736.3</v>
      </c>
      <c r="L11" s="119">
        <f t="shared" si="0"/>
        <v>9.8636778109884596E-2</v>
      </c>
      <c r="M11" s="120">
        <v>0.08</v>
      </c>
    </row>
    <row r="12" spans="2:13" x14ac:dyDescent="0.25">
      <c r="B12" s="85" t="s">
        <v>165</v>
      </c>
      <c r="C12" s="85" t="s">
        <v>166</v>
      </c>
      <c r="D12" s="85" t="s">
        <v>17</v>
      </c>
      <c r="E12" s="86">
        <v>68730.37</v>
      </c>
      <c r="F12" s="86">
        <v>1124.5500000000002</v>
      </c>
      <c r="G12" s="114">
        <v>1.6361762638554111E-2</v>
      </c>
      <c r="H12" s="115"/>
      <c r="I12" s="124" t="s">
        <v>167</v>
      </c>
      <c r="J12" s="112">
        <f>SUM(J5:J11)</f>
        <v>2749910.91</v>
      </c>
      <c r="K12" s="112">
        <f>SUM(K5:K11)</f>
        <v>335051.49000000011</v>
      </c>
      <c r="L12" s="125">
        <f>K12/J12</f>
        <v>0.12184085265511387</v>
      </c>
      <c r="M12" s="126"/>
    </row>
    <row r="13" spans="2:13" x14ac:dyDescent="0.25">
      <c r="B13" s="85" t="s">
        <v>168</v>
      </c>
      <c r="C13" s="85" t="s">
        <v>169</v>
      </c>
      <c r="D13" s="85" t="s">
        <v>11</v>
      </c>
      <c r="E13" s="86">
        <v>358363.5</v>
      </c>
      <c r="F13" s="86">
        <v>35946.460000000006</v>
      </c>
      <c r="G13" s="114">
        <v>0.10030725785410625</v>
      </c>
      <c r="H13" s="115"/>
    </row>
    <row r="14" spans="2:13" x14ac:dyDescent="0.25">
      <c r="B14" s="85" t="s">
        <v>170</v>
      </c>
      <c r="C14" s="85" t="s">
        <v>171</v>
      </c>
      <c r="D14" s="85" t="s">
        <v>11</v>
      </c>
      <c r="E14" s="86">
        <v>95193.56</v>
      </c>
      <c r="F14" s="86">
        <v>22334.050000000003</v>
      </c>
      <c r="G14" s="114">
        <v>0.23461723671223142</v>
      </c>
      <c r="H14" s="115"/>
    </row>
    <row r="15" spans="2:13" x14ac:dyDescent="0.25">
      <c r="B15" s="85" t="s">
        <v>172</v>
      </c>
      <c r="C15" s="85" t="s">
        <v>173</v>
      </c>
      <c r="D15" s="85" t="s">
        <v>11</v>
      </c>
      <c r="E15" s="86">
        <v>65024.66</v>
      </c>
      <c r="F15" s="86">
        <v>33112.319999999992</v>
      </c>
      <c r="G15" s="114">
        <v>0.50922711475923121</v>
      </c>
      <c r="H15" s="115"/>
    </row>
    <row r="16" spans="2:13" x14ac:dyDescent="0.25">
      <c r="B16" s="85" t="s">
        <v>174</v>
      </c>
      <c r="C16" s="85" t="s">
        <v>175</v>
      </c>
      <c r="D16" s="85" t="s">
        <v>11</v>
      </c>
      <c r="E16" s="86">
        <v>153090.11000000002</v>
      </c>
      <c r="F16" s="86">
        <v>33618.100000000013</v>
      </c>
      <c r="G16" s="114">
        <v>0.21959681131589762</v>
      </c>
      <c r="H16" s="115"/>
    </row>
    <row r="17" spans="2:13" x14ac:dyDescent="0.25">
      <c r="B17" s="85" t="s">
        <v>176</v>
      </c>
      <c r="C17" s="85" t="s">
        <v>38</v>
      </c>
      <c r="D17" s="85" t="s">
        <v>38</v>
      </c>
      <c r="E17" s="86">
        <v>33862.29</v>
      </c>
      <c r="F17" s="86">
        <v>469.65</v>
      </c>
      <c r="G17" s="114">
        <v>1.3869410485823609E-2</v>
      </c>
      <c r="H17" s="115"/>
      <c r="J17" s="121"/>
      <c r="K17" s="121"/>
      <c r="L17" s="121"/>
      <c r="M17" s="121"/>
    </row>
    <row r="18" spans="2:13" s="121" customFormat="1" x14ac:dyDescent="0.25">
      <c r="B18" s="85" t="s">
        <v>177</v>
      </c>
      <c r="C18" s="85" t="s">
        <v>178</v>
      </c>
      <c r="D18" s="85" t="s">
        <v>32</v>
      </c>
      <c r="E18" s="86">
        <v>54315.42</v>
      </c>
      <c r="F18" s="86">
        <v>2298.2100000000005</v>
      </c>
      <c r="G18" s="123">
        <v>4.2312293635950904E-2</v>
      </c>
      <c r="H18" s="115"/>
      <c r="I18" s="115"/>
    </row>
    <row r="19" spans="2:13" s="121" customFormat="1" x14ac:dyDescent="0.25">
      <c r="B19" s="85" t="s">
        <v>179</v>
      </c>
      <c r="C19" s="85" t="s">
        <v>180</v>
      </c>
      <c r="D19" s="85" t="s">
        <v>32</v>
      </c>
      <c r="E19" s="86">
        <v>32666.780000000002</v>
      </c>
      <c r="F19" s="86">
        <v>1276.5999999999999</v>
      </c>
      <c r="G19" s="123">
        <v>3.907945625494768E-2</v>
      </c>
      <c r="H19" s="115"/>
      <c r="I19" s="115"/>
    </row>
    <row r="20" spans="2:13" s="121" customFormat="1" x14ac:dyDescent="0.25">
      <c r="B20" s="85" t="s">
        <v>181</v>
      </c>
      <c r="C20" s="85" t="s">
        <v>182</v>
      </c>
      <c r="D20" s="85" t="s">
        <v>32</v>
      </c>
      <c r="E20" s="86">
        <v>82540.59</v>
      </c>
      <c r="F20" s="86">
        <v>7264.5599999999977</v>
      </c>
      <c r="G20" s="123">
        <v>8.8011970837620593E-2</v>
      </c>
      <c r="H20" s="115"/>
      <c r="I20" s="115"/>
    </row>
    <row r="21" spans="2:13" s="121" customFormat="1" x14ac:dyDescent="0.25">
      <c r="B21" s="85" t="s">
        <v>183</v>
      </c>
      <c r="C21" s="85" t="s">
        <v>184</v>
      </c>
      <c r="D21" s="85" t="s">
        <v>32</v>
      </c>
      <c r="E21" s="86">
        <v>53136.05</v>
      </c>
      <c r="F21" s="86">
        <v>1476.8700000000001</v>
      </c>
      <c r="G21" s="123">
        <v>2.7794124704414423E-2</v>
      </c>
      <c r="H21" s="115"/>
      <c r="I21" s="115"/>
      <c r="J21" s="86"/>
      <c r="K21" s="86"/>
      <c r="L21" s="85"/>
      <c r="M21" s="85"/>
    </row>
    <row r="22" spans="2:13" x14ac:dyDescent="0.25">
      <c r="B22" s="85" t="s">
        <v>185</v>
      </c>
      <c r="C22" s="85" t="s">
        <v>186</v>
      </c>
      <c r="D22" s="85" t="s">
        <v>27</v>
      </c>
      <c r="E22" s="86">
        <v>73411.61</v>
      </c>
      <c r="F22" s="86">
        <v>17418.310000000001</v>
      </c>
      <c r="G22" s="114">
        <v>0.23726914584763911</v>
      </c>
      <c r="H22" s="115"/>
      <c r="I22" s="115"/>
    </row>
    <row r="23" spans="2:13" x14ac:dyDescent="0.25">
      <c r="B23" s="85" t="s">
        <v>187</v>
      </c>
      <c r="C23" s="85" t="s">
        <v>188</v>
      </c>
      <c r="D23" s="85" t="s">
        <v>27</v>
      </c>
      <c r="E23" s="86">
        <v>109345.89</v>
      </c>
      <c r="F23" s="86">
        <v>18865.620000000003</v>
      </c>
      <c r="G23" s="114">
        <v>0.17253158760699649</v>
      </c>
      <c r="H23" s="115"/>
      <c r="I23" s="115"/>
    </row>
    <row r="24" spans="2:13" x14ac:dyDescent="0.25">
      <c r="B24" s="85" t="s">
        <v>189</v>
      </c>
      <c r="C24" s="85" t="s">
        <v>190</v>
      </c>
      <c r="D24" s="85" t="s">
        <v>27</v>
      </c>
      <c r="E24" s="86">
        <v>189926.94</v>
      </c>
      <c r="F24" s="86">
        <v>37837.640000000007</v>
      </c>
      <c r="G24" s="114">
        <v>0.19922207981658635</v>
      </c>
      <c r="H24" s="115"/>
      <c r="I24" s="115"/>
    </row>
    <row r="25" spans="2:13" x14ac:dyDescent="0.25">
      <c r="B25" s="85" t="s">
        <v>191</v>
      </c>
      <c r="C25" s="85" t="s">
        <v>103</v>
      </c>
      <c r="D25" s="85" t="s">
        <v>103</v>
      </c>
      <c r="E25" s="86">
        <v>22395.439999999999</v>
      </c>
      <c r="F25" s="86">
        <v>3446.7000000000003</v>
      </c>
      <c r="G25" s="114">
        <v>0.15390186573695361</v>
      </c>
      <c r="H25" s="115"/>
      <c r="I25" s="115"/>
    </row>
    <row r="26" spans="2:13" x14ac:dyDescent="0.25">
      <c r="B26" s="297" t="s">
        <v>167</v>
      </c>
      <c r="C26" s="297"/>
      <c r="D26" s="113"/>
      <c r="E26" s="127">
        <v>2749910.9099999997</v>
      </c>
      <c r="F26" s="127">
        <v>335051.49000000005</v>
      </c>
      <c r="G26" s="126">
        <v>0.12184085265511387</v>
      </c>
      <c r="H26" s="115"/>
      <c r="I26" s="115"/>
    </row>
  </sheetData>
  <mergeCells count="1">
    <mergeCell ref="B26:C26"/>
  </mergeCells>
  <pageMargins left="0.511811024" right="0.511811024" top="0.78740157499999996" bottom="0.78740157499999996" header="0.31496062000000002" footer="0.31496062000000002"/>
  <pageSetup paperSize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5B99-1E2E-478D-89A7-6EFD7F4320F1}">
  <sheetPr>
    <pageSetUpPr fitToPage="1"/>
  </sheetPr>
  <dimension ref="A1:S35"/>
  <sheetViews>
    <sheetView showGridLines="0" zoomScale="85" zoomScaleNormal="85" zoomScaleSheetLayoutView="9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24" sqref="B24"/>
    </sheetView>
  </sheetViews>
  <sheetFormatPr defaultColWidth="9.109375" defaultRowHeight="14.4" x14ac:dyDescent="0.3"/>
  <cols>
    <col min="1" max="1" width="17.5546875" style="81" bestFit="1" customWidth="1"/>
    <col min="2" max="3" width="18" style="81" bestFit="1" customWidth="1"/>
    <col min="4" max="4" width="16" style="81" bestFit="1" customWidth="1"/>
    <col min="5" max="6" width="15.44140625" style="81" bestFit="1" customWidth="1"/>
    <col min="7" max="7" width="19.44140625" style="81" bestFit="1" customWidth="1"/>
    <col min="8" max="8" width="14.88671875" style="81" bestFit="1" customWidth="1"/>
    <col min="9" max="9" width="11.44140625" style="81" bestFit="1" customWidth="1"/>
    <col min="10" max="10" width="13.109375" style="81" hidden="1" customWidth="1"/>
    <col min="11" max="11" width="17.44140625" style="81" hidden="1" customWidth="1"/>
    <col min="12" max="12" width="14.6640625" style="81" customWidth="1"/>
    <col min="13" max="13" width="17.44140625" style="81" hidden="1" customWidth="1"/>
    <col min="14" max="14" width="12.5546875" style="81" customWidth="1"/>
    <col min="15" max="15" width="17.44140625" style="81" customWidth="1"/>
    <col min="16" max="16" width="9.109375" style="81"/>
    <col min="17" max="17" width="11.5546875" style="81" bestFit="1" customWidth="1"/>
    <col min="18" max="19" width="9.109375" style="82"/>
    <col min="20" max="16384" width="9.109375" style="81"/>
  </cols>
  <sheetData>
    <row r="1" spans="1:19" ht="15" customHeight="1" x14ac:dyDescent="0.3">
      <c r="A1" s="298" t="s">
        <v>142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81" t="s">
        <v>104</v>
      </c>
    </row>
    <row r="2" spans="1:19" ht="15" customHeight="1" x14ac:dyDescent="0.3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83">
        <f ca="1">TODAY()-1</f>
        <v>45322</v>
      </c>
    </row>
    <row r="3" spans="1:19" x14ac:dyDescent="0.3">
      <c r="A3" s="89" t="s">
        <v>105</v>
      </c>
      <c r="B3" s="93" t="s">
        <v>136</v>
      </c>
      <c r="C3" s="93" t="s">
        <v>137</v>
      </c>
      <c r="D3" s="93" t="s">
        <v>106</v>
      </c>
      <c r="E3" s="93" t="s">
        <v>108</v>
      </c>
      <c r="F3" s="93" t="s">
        <v>138</v>
      </c>
      <c r="G3" s="93" t="s">
        <v>139</v>
      </c>
      <c r="H3" s="93" t="s">
        <v>109</v>
      </c>
      <c r="I3" s="93" t="s">
        <v>110</v>
      </c>
      <c r="J3" s="93" t="s">
        <v>111</v>
      </c>
      <c r="K3" s="93" t="s">
        <v>112</v>
      </c>
      <c r="L3" s="93" t="s">
        <v>113</v>
      </c>
      <c r="M3" s="93" t="s">
        <v>114</v>
      </c>
      <c r="N3" s="93" t="s">
        <v>115</v>
      </c>
    </row>
    <row r="4" spans="1:19" x14ac:dyDescent="0.3">
      <c r="A4" s="91" t="s">
        <v>17</v>
      </c>
      <c r="B4" s="94">
        <v>1871639.6000000027</v>
      </c>
      <c r="C4" s="94">
        <v>1426638.070000001</v>
      </c>
      <c r="D4" s="100">
        <v>-0.23776026645300785</v>
      </c>
      <c r="E4" s="94">
        <v>94190.48000000001</v>
      </c>
      <c r="F4" s="94">
        <v>20617.78</v>
      </c>
      <c r="G4" s="94">
        <v>1895000</v>
      </c>
      <c r="H4" s="94">
        <v>468361.929999999</v>
      </c>
      <c r="I4" s="102">
        <v>0.75284330870712457</v>
      </c>
      <c r="J4" s="94" t="e">
        <v>#DIV/0!</v>
      </c>
      <c r="K4" s="94">
        <v>48708.158666666706</v>
      </c>
      <c r="L4" s="94">
        <v>1352292.879333334</v>
      </c>
      <c r="M4" s="95">
        <v>0.28638898188214562</v>
      </c>
      <c r="N4" s="102">
        <v>0.71361101811785432</v>
      </c>
      <c r="Q4" s="83">
        <v>44228</v>
      </c>
    </row>
    <row r="5" spans="1:19" x14ac:dyDescent="0.3">
      <c r="A5" s="90" t="s">
        <v>19</v>
      </c>
      <c r="B5" s="88">
        <v>478763.810000005</v>
      </c>
      <c r="C5" s="88">
        <v>317294.91000000102</v>
      </c>
      <c r="D5" s="105">
        <v>-0.3372621251384943</v>
      </c>
      <c r="E5" s="96">
        <v>29796.65</v>
      </c>
      <c r="F5" s="88">
        <v>5283.51</v>
      </c>
      <c r="G5" s="88">
        <v>380000</v>
      </c>
      <c r="H5" s="88">
        <v>62705.089999998978</v>
      </c>
      <c r="I5" s="103">
        <v>0.8349866052631606</v>
      </c>
      <c r="J5" s="88">
        <v>0</v>
      </c>
      <c r="K5" s="88">
        <v>10576.497000000034</v>
      </c>
      <c r="L5" s="88">
        <v>296141.91600000096</v>
      </c>
      <c r="M5" s="97">
        <v>0.22067916842105012</v>
      </c>
      <c r="N5" s="103">
        <v>0.77932083157894994</v>
      </c>
      <c r="O5" s="84"/>
      <c r="Q5" s="83">
        <f ca="1">TODAY()</f>
        <v>45323</v>
      </c>
      <c r="R5" s="82">
        <f ca="1">Q5-Q4</f>
        <v>1095</v>
      </c>
      <c r="S5" s="82">
        <f ca="1">Q5-Q4-3</f>
        <v>1092</v>
      </c>
    </row>
    <row r="6" spans="1:19" x14ac:dyDescent="0.3">
      <c r="A6" s="90" t="s">
        <v>18</v>
      </c>
      <c r="B6" s="88">
        <v>224284.49</v>
      </c>
      <c r="C6" s="88">
        <v>181982.83</v>
      </c>
      <c r="D6" s="105">
        <v>-0.18860715691932156</v>
      </c>
      <c r="E6" s="96">
        <v>11093.59</v>
      </c>
      <c r="F6" s="88">
        <v>3379.33</v>
      </c>
      <c r="G6" s="88">
        <v>285000</v>
      </c>
      <c r="H6" s="88">
        <v>103017.17000000001</v>
      </c>
      <c r="I6" s="103">
        <v>0.63853624561403499</v>
      </c>
      <c r="J6" s="88">
        <v>0</v>
      </c>
      <c r="K6" s="88">
        <v>6066.0943333333325</v>
      </c>
      <c r="L6" s="88">
        <v>169850.64133333333</v>
      </c>
      <c r="M6" s="97">
        <v>0.4040328374269006</v>
      </c>
      <c r="N6" s="103">
        <v>0.59596716257309945</v>
      </c>
      <c r="Q6" s="83">
        <v>44255</v>
      </c>
      <c r="R6" s="82">
        <f ca="1">Q6-Q5+1</f>
        <v>-1067</v>
      </c>
      <c r="S6" s="82">
        <v>0</v>
      </c>
    </row>
    <row r="7" spans="1:19" x14ac:dyDescent="0.3">
      <c r="A7" s="90" t="s">
        <v>116</v>
      </c>
      <c r="B7" s="88">
        <v>200767.330000002</v>
      </c>
      <c r="C7" s="88">
        <v>184688.64000000001</v>
      </c>
      <c r="D7" s="105">
        <v>-8.0086187329391795E-2</v>
      </c>
      <c r="E7" s="96">
        <v>8626.34</v>
      </c>
      <c r="F7" s="88">
        <v>4578.08</v>
      </c>
      <c r="G7" s="88">
        <v>190000</v>
      </c>
      <c r="H7" s="88">
        <v>5311.359999999986</v>
      </c>
      <c r="I7" s="103">
        <v>0.97204547368421057</v>
      </c>
      <c r="J7" s="88">
        <v>0</v>
      </c>
      <c r="K7" s="88">
        <v>6156.2880000000005</v>
      </c>
      <c r="L7" s="88">
        <v>172376.06400000001</v>
      </c>
      <c r="M7" s="97">
        <v>9.2757557894736775E-2</v>
      </c>
      <c r="N7" s="103">
        <v>0.90724244210526328</v>
      </c>
      <c r="R7" s="82" t="s">
        <v>140</v>
      </c>
      <c r="S7" s="82" t="s">
        <v>141</v>
      </c>
    </row>
    <row r="8" spans="1:19" x14ac:dyDescent="0.3">
      <c r="A8" s="90" t="s">
        <v>117</v>
      </c>
      <c r="B8" s="88">
        <v>66561.739999999802</v>
      </c>
      <c r="C8" s="88">
        <v>60155.07</v>
      </c>
      <c r="D8" s="105">
        <v>-9.6251540299274338E-2</v>
      </c>
      <c r="E8" s="96">
        <v>3093.76</v>
      </c>
      <c r="F8" s="88">
        <v>0</v>
      </c>
      <c r="G8" s="88">
        <v>80000</v>
      </c>
      <c r="H8" s="88">
        <v>19844.93</v>
      </c>
      <c r="I8" s="103">
        <v>0.75193837500000005</v>
      </c>
      <c r="J8" s="88" t="e">
        <v>#DIV/0!</v>
      </c>
      <c r="K8" s="88">
        <v>2227.9655555555555</v>
      </c>
      <c r="L8" s="88">
        <v>60155.07</v>
      </c>
      <c r="M8" s="97">
        <v>0.24806162500000001</v>
      </c>
      <c r="N8" s="103">
        <v>0.75193837500000005</v>
      </c>
    </row>
    <row r="9" spans="1:19" x14ac:dyDescent="0.3">
      <c r="A9" s="90" t="s">
        <v>118</v>
      </c>
      <c r="B9" s="88">
        <v>319011.10999999801</v>
      </c>
      <c r="C9" s="88">
        <v>251305.14</v>
      </c>
      <c r="D9" s="105">
        <v>-0.21223702835928948</v>
      </c>
      <c r="E9" s="96">
        <v>15421.96</v>
      </c>
      <c r="F9" s="88">
        <v>0</v>
      </c>
      <c r="G9" s="88">
        <v>320000</v>
      </c>
      <c r="H9" s="88">
        <v>68694.859999999986</v>
      </c>
      <c r="I9" s="103">
        <v>0.78532856250000005</v>
      </c>
      <c r="J9" s="88" t="e">
        <v>#DIV/0!</v>
      </c>
      <c r="K9" s="88">
        <v>9307.5977777777789</v>
      </c>
      <c r="L9" s="88">
        <v>251305.14</v>
      </c>
      <c r="M9" s="97">
        <v>0.21467143749999995</v>
      </c>
      <c r="N9" s="103">
        <v>0.78532856250000005</v>
      </c>
    </row>
    <row r="10" spans="1:19" x14ac:dyDescent="0.3">
      <c r="A10" s="90" t="s">
        <v>119</v>
      </c>
      <c r="B10" s="88">
        <v>137313.43999999901</v>
      </c>
      <c r="C10" s="88">
        <v>137014.88</v>
      </c>
      <c r="D10" s="105">
        <v>-2.1742955387251991E-3</v>
      </c>
      <c r="E10" s="96">
        <v>5286.8</v>
      </c>
      <c r="F10" s="88">
        <v>1973.72</v>
      </c>
      <c r="G10" s="88">
        <v>180000</v>
      </c>
      <c r="H10" s="88">
        <v>42985.119999999995</v>
      </c>
      <c r="I10" s="103">
        <v>0.76119377777777786</v>
      </c>
      <c r="J10" s="88">
        <v>0</v>
      </c>
      <c r="K10" s="88">
        <v>4567.1626666666671</v>
      </c>
      <c r="L10" s="88">
        <v>127880.55466666666</v>
      </c>
      <c r="M10" s="97">
        <v>0.28955247407407408</v>
      </c>
      <c r="N10" s="103">
        <v>0.71044752592592586</v>
      </c>
    </row>
    <row r="11" spans="1:19" x14ac:dyDescent="0.3">
      <c r="A11" s="90" t="s">
        <v>120</v>
      </c>
      <c r="B11" s="88">
        <v>327626.19</v>
      </c>
      <c r="C11" s="88">
        <v>187586.85</v>
      </c>
      <c r="D11" s="105">
        <v>-0.42743634139871417</v>
      </c>
      <c r="E11" s="96">
        <v>15164.08</v>
      </c>
      <c r="F11" s="88">
        <v>3312.47</v>
      </c>
      <c r="G11" s="88">
        <v>290000</v>
      </c>
      <c r="H11" s="88">
        <v>102413.15</v>
      </c>
      <c r="I11" s="103">
        <v>0.64685120689655173</v>
      </c>
      <c r="J11" s="88">
        <v>0</v>
      </c>
      <c r="K11" s="88">
        <v>6252.8950000000004</v>
      </c>
      <c r="L11" s="88">
        <v>175081.06</v>
      </c>
      <c r="M11" s="97">
        <v>0.39627220689655174</v>
      </c>
      <c r="N11" s="103">
        <v>0.60372779310344826</v>
      </c>
    </row>
    <row r="12" spans="1:19" x14ac:dyDescent="0.3">
      <c r="A12" s="90" t="s">
        <v>121</v>
      </c>
      <c r="B12" s="88">
        <v>117311.489999999</v>
      </c>
      <c r="C12" s="88">
        <v>68730.369999999893</v>
      </c>
      <c r="D12" s="105">
        <v>-0.41412073105541086</v>
      </c>
      <c r="E12" s="96">
        <v>5707.3</v>
      </c>
      <c r="F12" s="88">
        <v>1973.85</v>
      </c>
      <c r="G12" s="88">
        <v>110000</v>
      </c>
      <c r="H12" s="88">
        <v>41269.630000000107</v>
      </c>
      <c r="I12" s="103">
        <v>0.62482154545454449</v>
      </c>
      <c r="J12" s="88">
        <v>0</v>
      </c>
      <c r="K12" s="88">
        <v>2291.0123333333299</v>
      </c>
      <c r="L12" s="88">
        <v>64148.345333333236</v>
      </c>
      <c r="M12" s="97">
        <v>0.41683322424242514</v>
      </c>
      <c r="N12" s="103">
        <v>0.58316677575757492</v>
      </c>
    </row>
    <row r="13" spans="1:19" x14ac:dyDescent="0.3">
      <c r="A13" s="90" t="s">
        <v>134</v>
      </c>
      <c r="B13" s="88">
        <v>0</v>
      </c>
      <c r="C13" s="88">
        <v>37879.379999999997</v>
      </c>
      <c r="D13" s="105">
        <v>0</v>
      </c>
      <c r="E13" s="96">
        <v>0</v>
      </c>
      <c r="F13" s="88">
        <v>116.82</v>
      </c>
      <c r="G13" s="88">
        <v>60000</v>
      </c>
      <c r="H13" s="88">
        <v>22120.620000000003</v>
      </c>
      <c r="I13" s="103">
        <v>0.63132299999999997</v>
      </c>
      <c r="J13" s="88">
        <v>0</v>
      </c>
      <c r="K13" s="88">
        <v>1262.646</v>
      </c>
      <c r="L13" s="88">
        <v>35354.087999999996</v>
      </c>
      <c r="M13" s="97">
        <v>0.41076520000000005</v>
      </c>
      <c r="N13" s="103">
        <v>0.58923479999999995</v>
      </c>
    </row>
    <row r="14" spans="1:19" x14ac:dyDescent="0.3">
      <c r="A14" s="91" t="s">
        <v>11</v>
      </c>
      <c r="B14" s="94">
        <v>829194.03000000108</v>
      </c>
      <c r="C14" s="94">
        <v>671671.83000000007</v>
      </c>
      <c r="D14" s="100">
        <v>-0.18997025340377907</v>
      </c>
      <c r="E14" s="94">
        <v>73740.01999999999</v>
      </c>
      <c r="F14" s="94">
        <v>4449.7700000000004</v>
      </c>
      <c r="G14" s="94">
        <v>650000</v>
      </c>
      <c r="H14" s="94">
        <v>0</v>
      </c>
      <c r="I14" s="102">
        <v>1.033341276923077</v>
      </c>
      <c r="J14" s="94" t="e">
        <v>#DIV/0!</v>
      </c>
      <c r="K14" s="94">
        <v>23716.33322222222</v>
      </c>
      <c r="L14" s="94">
        <v>650784.60800000001</v>
      </c>
      <c r="M14" s="95">
        <v>-1.2070892307692422E-3</v>
      </c>
      <c r="N14" s="102">
        <v>1.0012070892307692</v>
      </c>
    </row>
    <row r="15" spans="1:19" x14ac:dyDescent="0.3">
      <c r="A15" s="90" t="s">
        <v>122</v>
      </c>
      <c r="B15" s="88">
        <v>67886.77</v>
      </c>
      <c r="C15" s="88">
        <v>65024.66</v>
      </c>
      <c r="D15" s="105">
        <v>-4.2160055633814961E-2</v>
      </c>
      <c r="E15" s="96">
        <v>2300.8200000000002</v>
      </c>
      <c r="F15" s="88">
        <v>0</v>
      </c>
      <c r="G15" s="88">
        <v>65000</v>
      </c>
      <c r="H15" s="88">
        <v>0</v>
      </c>
      <c r="I15" s="103">
        <v>1.0003793846153846</v>
      </c>
      <c r="J15" s="88">
        <v>0</v>
      </c>
      <c r="K15" s="88">
        <v>2167.4886666666666</v>
      </c>
      <c r="L15" s="88">
        <v>60689.682666666668</v>
      </c>
      <c r="M15" s="97">
        <v>6.6312574358974349E-2</v>
      </c>
      <c r="N15" s="103">
        <v>0.93368742564102569</v>
      </c>
    </row>
    <row r="16" spans="1:19" x14ac:dyDescent="0.3">
      <c r="A16" s="90" t="s">
        <v>123</v>
      </c>
      <c r="B16" s="88">
        <v>181327.73</v>
      </c>
      <c r="C16" s="88">
        <v>153090.10999999999</v>
      </c>
      <c r="D16" s="105">
        <v>-0.15572698119587128</v>
      </c>
      <c r="E16" s="96">
        <v>10570.38</v>
      </c>
      <c r="F16" s="88">
        <v>3069.87</v>
      </c>
      <c r="G16" s="88">
        <v>160000</v>
      </c>
      <c r="H16" s="88">
        <v>6909.890000000014</v>
      </c>
      <c r="I16" s="103">
        <v>0.95681318749999988</v>
      </c>
      <c r="J16" s="88">
        <v>0</v>
      </c>
      <c r="K16" s="88">
        <v>5103.0036666666665</v>
      </c>
      <c r="L16" s="88">
        <v>142884.10266666664</v>
      </c>
      <c r="M16" s="97">
        <v>0.10697435833333348</v>
      </c>
      <c r="N16" s="103">
        <v>0.89302564166666654</v>
      </c>
    </row>
    <row r="17" spans="1:14" x14ac:dyDescent="0.3">
      <c r="A17" s="90" t="s">
        <v>58</v>
      </c>
      <c r="B17" s="88">
        <v>434351.41000000102</v>
      </c>
      <c r="C17" s="88">
        <v>358363.5</v>
      </c>
      <c r="D17" s="105">
        <v>-0.17494569661924395</v>
      </c>
      <c r="E17" s="96">
        <v>48424.92</v>
      </c>
      <c r="F17" s="88">
        <v>0</v>
      </c>
      <c r="G17" s="88">
        <v>330000</v>
      </c>
      <c r="H17" s="88">
        <v>0</v>
      </c>
      <c r="I17" s="103">
        <v>1.08595</v>
      </c>
      <c r="J17" s="88" t="e">
        <v>#DIV/0!</v>
      </c>
      <c r="K17" s="88">
        <v>13272.722222222223</v>
      </c>
      <c r="L17" s="88">
        <v>358363.5</v>
      </c>
      <c r="M17" s="97">
        <v>-8.5949999999999999E-2</v>
      </c>
      <c r="N17" s="103">
        <v>1.08595</v>
      </c>
    </row>
    <row r="18" spans="1:14" x14ac:dyDescent="0.3">
      <c r="A18" s="90" t="s">
        <v>124</v>
      </c>
      <c r="B18" s="88">
        <v>145628.12</v>
      </c>
      <c r="C18" s="88">
        <v>95193.56</v>
      </c>
      <c r="D18" s="105">
        <v>-0.34632432252781947</v>
      </c>
      <c r="E18" s="96">
        <v>12443.9</v>
      </c>
      <c r="F18" s="88">
        <v>1379.9</v>
      </c>
      <c r="G18" s="88">
        <v>95000</v>
      </c>
      <c r="H18" s="88">
        <v>0</v>
      </c>
      <c r="I18" s="103">
        <v>1.0020374736842106</v>
      </c>
      <c r="J18" s="88">
        <v>0</v>
      </c>
      <c r="K18" s="88">
        <v>3173.1186666666667</v>
      </c>
      <c r="L18" s="88">
        <v>88847.32266666666</v>
      </c>
      <c r="M18" s="97">
        <v>6.4765024561403581E-2</v>
      </c>
      <c r="N18" s="103">
        <v>0.93523497543859646</v>
      </c>
    </row>
    <row r="19" spans="1:14" x14ac:dyDescent="0.3">
      <c r="A19" s="91" t="s">
        <v>27</v>
      </c>
      <c r="B19" s="94">
        <v>476148.92000000004</v>
      </c>
      <c r="C19" s="94">
        <v>372684.44</v>
      </c>
      <c r="D19" s="100">
        <v>-0.21729437084515499</v>
      </c>
      <c r="E19" s="94">
        <v>29207</v>
      </c>
      <c r="F19" s="94">
        <v>3765.97</v>
      </c>
      <c r="G19" s="94">
        <v>405000</v>
      </c>
      <c r="H19" s="94">
        <v>32315.559999999998</v>
      </c>
      <c r="I19" s="102">
        <v>0.92020849382716052</v>
      </c>
      <c r="J19" s="94" t="e">
        <v>#DIV/0!</v>
      </c>
      <c r="K19" s="94">
        <v>12694.709518518519</v>
      </c>
      <c r="L19" s="94">
        <v>352732.91800000001</v>
      </c>
      <c r="M19" s="95">
        <v>0.12905452345679011</v>
      </c>
      <c r="N19" s="102">
        <v>0.87094547654320986</v>
      </c>
    </row>
    <row r="20" spans="1:14" x14ac:dyDescent="0.3">
      <c r="A20" s="90" t="s">
        <v>125</v>
      </c>
      <c r="B20" s="88">
        <v>84698.78</v>
      </c>
      <c r="C20" s="88">
        <v>73411.61</v>
      </c>
      <c r="D20" s="105">
        <v>-0.13326248618929337</v>
      </c>
      <c r="E20" s="96">
        <v>4060</v>
      </c>
      <c r="F20" s="88">
        <v>0</v>
      </c>
      <c r="G20" s="88">
        <v>120000</v>
      </c>
      <c r="H20" s="88">
        <v>46588.39</v>
      </c>
      <c r="I20" s="103">
        <v>0.61176341666666667</v>
      </c>
      <c r="J20" s="88" t="e">
        <v>#DIV/0!</v>
      </c>
      <c r="K20" s="88">
        <v>2718.9485185185185</v>
      </c>
      <c r="L20" s="88">
        <v>73411.61</v>
      </c>
      <c r="M20" s="97">
        <v>0.38823658333333333</v>
      </c>
      <c r="N20" s="103">
        <v>0.61176341666666667</v>
      </c>
    </row>
    <row r="21" spans="1:14" x14ac:dyDescent="0.3">
      <c r="A21" s="90" t="s">
        <v>126</v>
      </c>
      <c r="B21" s="88">
        <v>223301.1</v>
      </c>
      <c r="C21" s="88">
        <v>189926.94</v>
      </c>
      <c r="D21" s="105">
        <v>-0.14945810835683301</v>
      </c>
      <c r="E21" s="96">
        <v>16793</v>
      </c>
      <c r="F21" s="88">
        <v>2775.97</v>
      </c>
      <c r="G21" s="88">
        <v>160000</v>
      </c>
      <c r="H21" s="88">
        <v>0</v>
      </c>
      <c r="I21" s="103">
        <v>1.187043375</v>
      </c>
      <c r="J21" s="88">
        <v>0</v>
      </c>
      <c r="K21" s="88">
        <v>6330.8980000000001</v>
      </c>
      <c r="L21" s="88">
        <v>177265.144</v>
      </c>
      <c r="M21" s="97">
        <v>-0.10790715000000001</v>
      </c>
      <c r="N21" s="103">
        <v>1.10790715</v>
      </c>
    </row>
    <row r="22" spans="1:14" x14ac:dyDescent="0.3">
      <c r="A22" s="90" t="s">
        <v>127</v>
      </c>
      <c r="B22" s="88">
        <v>168149.04</v>
      </c>
      <c r="C22" s="88">
        <v>109345.89</v>
      </c>
      <c r="D22" s="105">
        <v>-0.34970850859451835</v>
      </c>
      <c r="E22" s="96">
        <v>8354</v>
      </c>
      <c r="F22" s="88">
        <v>990</v>
      </c>
      <c r="G22" s="88">
        <v>125000</v>
      </c>
      <c r="H22" s="88">
        <v>15654.11</v>
      </c>
      <c r="I22" s="103">
        <v>0.87476712000000001</v>
      </c>
      <c r="J22" s="88">
        <v>0</v>
      </c>
      <c r="K22" s="88">
        <v>3644.8629999999998</v>
      </c>
      <c r="L22" s="88">
        <v>102056.164</v>
      </c>
      <c r="M22" s="97">
        <v>0.18355068799999996</v>
      </c>
      <c r="N22" s="103">
        <v>0.81644931200000004</v>
      </c>
    </row>
    <row r="23" spans="1:14" x14ac:dyDescent="0.3">
      <c r="A23" s="91" t="s">
        <v>32</v>
      </c>
      <c r="B23" s="94">
        <v>437457.7499999979</v>
      </c>
      <c r="C23" s="94">
        <v>222658.83999999971</v>
      </c>
      <c r="D23" s="100">
        <v>-0.49101635529373805</v>
      </c>
      <c r="E23" s="94">
        <v>28435.460000000003</v>
      </c>
      <c r="F23" s="94">
        <v>3866.45</v>
      </c>
      <c r="G23" s="94">
        <v>380000</v>
      </c>
      <c r="H23" s="94">
        <v>157341.16000000029</v>
      </c>
      <c r="I23" s="102">
        <v>0.58594431578947292</v>
      </c>
      <c r="J23" s="94" t="e">
        <v>#DIV/0!</v>
      </c>
      <c r="K23" s="94">
        <v>7623.1295555555444</v>
      </c>
      <c r="L23" s="94">
        <v>211435.94533333305</v>
      </c>
      <c r="M23" s="95">
        <v>0.44358961754386039</v>
      </c>
      <c r="N23" s="102">
        <v>0.55641038245613961</v>
      </c>
    </row>
    <row r="24" spans="1:14" x14ac:dyDescent="0.3">
      <c r="A24" s="90" t="s">
        <v>56</v>
      </c>
      <c r="B24" s="88">
        <v>92653.939999999697</v>
      </c>
      <c r="C24" s="88">
        <v>54315.419999999896</v>
      </c>
      <c r="D24" s="105">
        <v>-0.4137818639984433</v>
      </c>
      <c r="E24" s="96">
        <v>7375.41</v>
      </c>
      <c r="F24" s="88">
        <v>0</v>
      </c>
      <c r="G24" s="88">
        <v>90000</v>
      </c>
      <c r="H24" s="88">
        <v>35684.580000000104</v>
      </c>
      <c r="I24" s="103">
        <v>0.60350466666666547</v>
      </c>
      <c r="J24" s="88" t="e">
        <v>#DIV/0!</v>
      </c>
      <c r="K24" s="88">
        <v>2011.6822222222183</v>
      </c>
      <c r="L24" s="88">
        <v>54315.419999999896</v>
      </c>
      <c r="M24" s="97">
        <v>0.39649533333333448</v>
      </c>
      <c r="N24" s="103">
        <v>0.60350466666666547</v>
      </c>
    </row>
    <row r="25" spans="1:14" x14ac:dyDescent="0.3">
      <c r="A25" s="90" t="s">
        <v>128</v>
      </c>
      <c r="B25" s="88">
        <v>62304.990000000202</v>
      </c>
      <c r="C25" s="88">
        <v>32666.78</v>
      </c>
      <c r="D25" s="105">
        <v>-0.47569560640327696</v>
      </c>
      <c r="E25" s="96">
        <v>2653.13</v>
      </c>
      <c r="F25" s="88">
        <v>897.26</v>
      </c>
      <c r="G25" s="88">
        <v>75000</v>
      </c>
      <c r="H25" s="88">
        <v>42333.22</v>
      </c>
      <c r="I25" s="103">
        <v>0.43555706666666666</v>
      </c>
      <c r="J25" s="88">
        <v>0</v>
      </c>
      <c r="K25" s="88">
        <v>1088.8926666666666</v>
      </c>
      <c r="L25" s="88">
        <v>30488.994666666666</v>
      </c>
      <c r="M25" s="97">
        <v>0.59348007111111112</v>
      </c>
      <c r="N25" s="103">
        <v>0.40651992888888888</v>
      </c>
    </row>
    <row r="26" spans="1:14" x14ac:dyDescent="0.3">
      <c r="A26" s="90" t="s">
        <v>129</v>
      </c>
      <c r="B26" s="88">
        <v>149426.459999999</v>
      </c>
      <c r="C26" s="88">
        <v>82540.589999999895</v>
      </c>
      <c r="D26" s="105">
        <v>-0.44761730954477241</v>
      </c>
      <c r="E26" s="96">
        <v>11787.15</v>
      </c>
      <c r="F26" s="88">
        <v>2368.4699999999998</v>
      </c>
      <c r="G26" s="88">
        <v>120000</v>
      </c>
      <c r="H26" s="88">
        <v>37459.410000000105</v>
      </c>
      <c r="I26" s="103">
        <v>0.6878382499999991</v>
      </c>
      <c r="J26" s="88">
        <v>0</v>
      </c>
      <c r="K26" s="88">
        <v>2751.3529999999964</v>
      </c>
      <c r="L26" s="88">
        <v>77037.883999999904</v>
      </c>
      <c r="M26" s="97">
        <v>0.35801763333333414</v>
      </c>
      <c r="N26" s="103">
        <v>0.64198236666666586</v>
      </c>
    </row>
    <row r="27" spans="1:14" x14ac:dyDescent="0.3">
      <c r="A27" s="90" t="s">
        <v>130</v>
      </c>
      <c r="B27" s="88">
        <v>133072.359999999</v>
      </c>
      <c r="C27" s="88">
        <v>53136.049999999901</v>
      </c>
      <c r="D27" s="105">
        <v>-0.60069807133502173</v>
      </c>
      <c r="E27" s="96">
        <v>6619.77</v>
      </c>
      <c r="F27" s="88">
        <v>600.72</v>
      </c>
      <c r="G27" s="88">
        <v>95000</v>
      </c>
      <c r="H27" s="88">
        <v>41863.950000000099</v>
      </c>
      <c r="I27" s="103">
        <v>0.55932684210526207</v>
      </c>
      <c r="J27" s="88">
        <v>0</v>
      </c>
      <c r="K27" s="88">
        <v>1771.2016666666634</v>
      </c>
      <c r="L27" s="88">
        <v>49593.646666666573</v>
      </c>
      <c r="M27" s="97">
        <v>0.47796161403508869</v>
      </c>
      <c r="N27" s="103">
        <v>0.52203838596491126</v>
      </c>
    </row>
    <row r="28" spans="1:14" x14ac:dyDescent="0.3">
      <c r="A28" s="91" t="s">
        <v>131</v>
      </c>
      <c r="B28" s="94">
        <v>30573.81</v>
      </c>
      <c r="C28" s="94">
        <v>33862.29</v>
      </c>
      <c r="D28" s="100">
        <v>0.10755872428068335</v>
      </c>
      <c r="E28" s="94">
        <v>2434.08</v>
      </c>
      <c r="F28" s="94">
        <v>0</v>
      </c>
      <c r="G28" s="94">
        <v>45000</v>
      </c>
      <c r="H28" s="94">
        <v>11137.71</v>
      </c>
      <c r="I28" s="102">
        <v>0.7524953333333334</v>
      </c>
      <c r="J28" s="94">
        <v>0</v>
      </c>
      <c r="K28" s="94">
        <v>1128.7429999999999</v>
      </c>
      <c r="L28" s="94">
        <v>31604.804</v>
      </c>
      <c r="M28" s="95">
        <v>0.29767102222222225</v>
      </c>
      <c r="N28" s="102">
        <v>0.70232897777777781</v>
      </c>
    </row>
    <row r="29" spans="1:14" x14ac:dyDescent="0.3">
      <c r="A29" s="90" t="s">
        <v>132</v>
      </c>
      <c r="B29" s="88">
        <v>30573.81</v>
      </c>
      <c r="C29" s="88">
        <v>33862.29</v>
      </c>
      <c r="D29" s="105">
        <v>0.10755872428068335</v>
      </c>
      <c r="E29" s="96">
        <v>2434.08</v>
      </c>
      <c r="F29" s="88">
        <v>0</v>
      </c>
      <c r="G29" s="88">
        <v>45000</v>
      </c>
      <c r="H29" s="88">
        <v>11137.71</v>
      </c>
      <c r="I29" s="103">
        <v>0.7524953333333334</v>
      </c>
      <c r="J29" s="88">
        <v>0</v>
      </c>
      <c r="K29" s="88">
        <v>1128.7429999999999</v>
      </c>
      <c r="L29" s="88">
        <v>31604.804</v>
      </c>
      <c r="M29" s="97">
        <v>0.29767102222222225</v>
      </c>
      <c r="N29" s="103">
        <v>0.70232897777777781</v>
      </c>
    </row>
    <row r="30" spans="1:14" x14ac:dyDescent="0.3">
      <c r="A30" s="91" t="s">
        <v>133</v>
      </c>
      <c r="B30" s="94">
        <v>16957.63</v>
      </c>
      <c r="C30" s="94">
        <v>11283.37</v>
      </c>
      <c r="D30" s="100">
        <v>-0.33461397612756028</v>
      </c>
      <c r="E30" s="94">
        <v>0</v>
      </c>
      <c r="F30" s="94">
        <v>0</v>
      </c>
      <c r="G30" s="94">
        <v>20000</v>
      </c>
      <c r="H30" s="94">
        <v>8716.6299999999992</v>
      </c>
      <c r="I30" s="102">
        <v>0.56416850000000007</v>
      </c>
      <c r="J30" s="94">
        <v>0</v>
      </c>
      <c r="K30" s="94">
        <v>376.11233333333337</v>
      </c>
      <c r="L30" s="94">
        <v>10531.145333333334</v>
      </c>
      <c r="M30" s="95">
        <v>0.47344273333333331</v>
      </c>
      <c r="N30" s="102">
        <v>0.52655726666666669</v>
      </c>
    </row>
    <row r="31" spans="1:14" x14ac:dyDescent="0.3">
      <c r="A31" s="90" t="s">
        <v>133</v>
      </c>
      <c r="B31" s="88">
        <v>16957.63</v>
      </c>
      <c r="C31" s="88">
        <v>11283.37</v>
      </c>
      <c r="D31" s="105">
        <v>-0.33461397612756028</v>
      </c>
      <c r="E31" s="96">
        <v>0</v>
      </c>
      <c r="F31" s="88">
        <v>0</v>
      </c>
      <c r="G31" s="88">
        <v>20000</v>
      </c>
      <c r="H31" s="88">
        <v>8716.6299999999992</v>
      </c>
      <c r="I31" s="103">
        <v>0.56416850000000007</v>
      </c>
      <c r="J31" s="88">
        <v>0</v>
      </c>
      <c r="K31" s="88">
        <v>376.11233333333337</v>
      </c>
      <c r="L31" s="88">
        <v>10531.145333333334</v>
      </c>
      <c r="M31" s="97">
        <v>0.47344273333333331</v>
      </c>
      <c r="N31" s="103">
        <v>0.52655726666666669</v>
      </c>
    </row>
    <row r="32" spans="1:14" x14ac:dyDescent="0.3">
      <c r="A32" s="91" t="s">
        <v>103</v>
      </c>
      <c r="B32" s="94">
        <v>8090.8499999999985</v>
      </c>
      <c r="C32" s="94">
        <v>11112.069999999998</v>
      </c>
      <c r="D32" s="100">
        <v>0.37341194064900474</v>
      </c>
      <c r="E32" s="94">
        <v>0</v>
      </c>
      <c r="F32" s="94">
        <v>0</v>
      </c>
      <c r="G32" s="94">
        <v>30000</v>
      </c>
      <c r="H32" s="94">
        <v>18887.93</v>
      </c>
      <c r="I32" s="102">
        <v>0.37040233333333328</v>
      </c>
      <c r="J32" s="94">
        <v>0</v>
      </c>
      <c r="K32" s="94">
        <v>370.40233333333327</v>
      </c>
      <c r="L32" s="94">
        <v>10371.265333333331</v>
      </c>
      <c r="M32" s="95">
        <v>0.65429115555555573</v>
      </c>
      <c r="N32" s="102">
        <v>0.34570884444444439</v>
      </c>
    </row>
    <row r="33" spans="1:14" x14ac:dyDescent="0.3">
      <c r="A33" s="90" t="s">
        <v>103</v>
      </c>
      <c r="B33" s="88">
        <v>8090.8499999999985</v>
      </c>
      <c r="C33" s="88">
        <v>11112.069999999998</v>
      </c>
      <c r="D33" s="105">
        <v>0.37341194064900474</v>
      </c>
      <c r="E33" s="96">
        <v>0</v>
      </c>
      <c r="F33" s="88">
        <v>0</v>
      </c>
      <c r="G33" s="88">
        <v>30000</v>
      </c>
      <c r="H33" s="88">
        <v>18887.93</v>
      </c>
      <c r="I33" s="103">
        <v>0.37040233333333328</v>
      </c>
      <c r="J33" s="88">
        <v>0</v>
      </c>
      <c r="K33" s="88">
        <v>370.40233333333327</v>
      </c>
      <c r="L33" s="88">
        <v>10371.265333333331</v>
      </c>
      <c r="M33" s="97">
        <v>0.65429115555555573</v>
      </c>
      <c r="N33" s="103">
        <v>0.34570884444444439</v>
      </c>
    </row>
    <row r="34" spans="1:14" x14ac:dyDescent="0.3">
      <c r="A34" s="92" t="s">
        <v>43</v>
      </c>
      <c r="B34" s="98">
        <v>3670062.5900000017</v>
      </c>
      <c r="C34" s="98">
        <v>2749910.9100000011</v>
      </c>
      <c r="D34" s="101">
        <v>-0.25071825273693771</v>
      </c>
      <c r="E34" s="98">
        <v>228007.03999999998</v>
      </c>
      <c r="F34" s="98">
        <v>32699.97</v>
      </c>
      <c r="G34" s="98">
        <v>3425000</v>
      </c>
      <c r="H34" s="98">
        <v>675089.08999999892</v>
      </c>
      <c r="I34" s="104">
        <v>0.80289369635036523</v>
      </c>
      <c r="J34" s="98" t="e">
        <v>#DIV/0!</v>
      </c>
      <c r="K34" s="98">
        <v>94617.588629629652</v>
      </c>
      <c r="L34" s="98">
        <v>2619753.5653333343</v>
      </c>
      <c r="M34" s="99">
        <v>0.23510844807785861</v>
      </c>
      <c r="N34" s="104">
        <v>0.76489155192214142</v>
      </c>
    </row>
    <row r="35" spans="1:14" x14ac:dyDescent="0.3">
      <c r="A35" s="87"/>
      <c r="B35" s="87"/>
      <c r="C35" s="88"/>
      <c r="D35" s="88"/>
      <c r="E35" s="88"/>
      <c r="F35" s="87"/>
      <c r="G35" s="87"/>
      <c r="H35" s="88"/>
      <c r="I35" s="87"/>
      <c r="J35" s="88"/>
      <c r="K35" s="87"/>
      <c r="L35" s="88"/>
      <c r="M35" s="87"/>
      <c r="N35" s="87"/>
    </row>
  </sheetData>
  <mergeCells count="1">
    <mergeCell ref="A1:N2"/>
  </mergeCells>
  <conditionalFormatting sqref="I4:I1048576">
    <cfRule type="cellIs" dxfId="2" priority="1" operator="greaterThanOrEqual">
      <formula>1</formula>
    </cfRule>
  </conditionalFormatting>
  <pageMargins left="0.25" right="0.25" top="0.75" bottom="0.75" header="0.3" footer="0.3"/>
  <pageSetup paperSize="9" scale="82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B309-C64B-437D-820A-9886A8D8FB1E}">
  <sheetPr>
    <tabColor rgb="FFFFC000"/>
  </sheetPr>
  <dimension ref="B1:M27"/>
  <sheetViews>
    <sheetView showGridLines="0" topLeftCell="B1" zoomScale="90" zoomScaleNormal="90" workbookViewId="0">
      <selection activeCell="L15" sqref="L15"/>
    </sheetView>
  </sheetViews>
  <sheetFormatPr defaultColWidth="9.109375" defaultRowHeight="15.6" x14ac:dyDescent="0.25"/>
  <cols>
    <col min="1" max="1" width="0" style="85" hidden="1" customWidth="1"/>
    <col min="2" max="2" width="5.5546875" style="85" customWidth="1"/>
    <col min="3" max="3" width="20.6640625" style="85" bestFit="1" customWidth="1"/>
    <col min="4" max="4" width="15.5546875" style="85" bestFit="1" customWidth="1"/>
    <col min="5" max="5" width="17.33203125" style="151" bestFit="1" customWidth="1"/>
    <col min="6" max="6" width="14.88671875" style="85" bestFit="1" customWidth="1"/>
    <col min="7" max="7" width="6.6640625" style="85" customWidth="1"/>
    <col min="8" max="8" width="4.109375" style="85" customWidth="1"/>
    <col min="9" max="9" width="15.5546875" style="85" bestFit="1" customWidth="1"/>
    <col min="10" max="10" width="17.33203125" style="151" bestFit="1" customWidth="1"/>
    <col min="11" max="11" width="14.88671875" style="151" bestFit="1" customWidth="1"/>
    <col min="12" max="12" width="6.44140625" style="85" customWidth="1"/>
    <col min="13" max="16384" width="9.109375" style="85"/>
  </cols>
  <sheetData>
    <row r="1" spans="2:13" ht="11.25" customHeight="1" x14ac:dyDescent="0.25"/>
    <row r="2" spans="2:13" s="106" customFormat="1" ht="25.2" x14ac:dyDescent="0.25">
      <c r="B2" s="152" t="s">
        <v>209</v>
      </c>
      <c r="E2" s="153"/>
      <c r="J2" s="153"/>
      <c r="K2" s="153"/>
    </row>
    <row r="3" spans="2:13" ht="7.5" customHeight="1" x14ac:dyDescent="0.25"/>
    <row r="4" spans="2:13" x14ac:dyDescent="0.25">
      <c r="B4" s="108" t="s">
        <v>144</v>
      </c>
      <c r="C4" s="109" t="s">
        <v>144</v>
      </c>
      <c r="D4" s="109" t="s">
        <v>145</v>
      </c>
      <c r="E4" s="154" t="s">
        <v>146</v>
      </c>
      <c r="F4" s="109" t="s">
        <v>147</v>
      </c>
      <c r="G4" s="109" t="s">
        <v>148</v>
      </c>
      <c r="H4" s="111"/>
      <c r="I4" s="109" t="s">
        <v>145</v>
      </c>
      <c r="J4" s="155" t="s">
        <v>146</v>
      </c>
      <c r="K4" s="154" t="s">
        <v>147</v>
      </c>
      <c r="L4" s="113" t="s">
        <v>148</v>
      </c>
      <c r="M4" s="113" t="s">
        <v>149</v>
      </c>
    </row>
    <row r="5" spans="2:13" x14ac:dyDescent="0.25">
      <c r="B5" s="85" t="s">
        <v>150</v>
      </c>
      <c r="C5" s="85" t="s">
        <v>151</v>
      </c>
      <c r="D5" s="85" t="s">
        <v>17</v>
      </c>
      <c r="E5" s="151">
        <f t="shared" ref="E5:E25" si="0">VLOOKUP(B5,VLINK05,3)</f>
        <v>128301.12000000001</v>
      </c>
      <c r="F5" s="151">
        <f t="shared" ref="F5:F25" si="1">VLOOKUP(B5,VLINK0521,2,FALSE)</f>
        <v>11039.85</v>
      </c>
      <c r="G5" s="114">
        <f>F5/E5</f>
        <v>8.6046403959684839E-2</v>
      </c>
      <c r="H5" s="115"/>
      <c r="I5" s="85" t="s">
        <v>17</v>
      </c>
      <c r="J5" s="156">
        <f>SUMIF($D$5:$D$25,I5,$E$5:$E$25)</f>
        <v>3180537.7100000004</v>
      </c>
      <c r="K5" s="156">
        <f>SUMIF($D$5:$D$25,I5,$F$5:$F$25)</f>
        <v>267627.56000000006</v>
      </c>
      <c r="L5" s="123">
        <f>K5/J5</f>
        <v>8.4145381819730108E-2</v>
      </c>
      <c r="M5" s="123">
        <v>0.12</v>
      </c>
    </row>
    <row r="6" spans="2:13" x14ac:dyDescent="0.25">
      <c r="B6" s="85" t="s">
        <v>152</v>
      </c>
      <c r="C6" s="85" t="s">
        <v>153</v>
      </c>
      <c r="D6" s="85" t="s">
        <v>17</v>
      </c>
      <c r="E6" s="151">
        <f t="shared" si="0"/>
        <v>289400.74</v>
      </c>
      <c r="F6" s="151">
        <f t="shared" si="1"/>
        <v>24301.840000000004</v>
      </c>
      <c r="G6" s="114">
        <f t="shared" ref="G6:G25" si="2">F6/E6</f>
        <v>8.3972971181759948E-2</v>
      </c>
      <c r="H6" s="115"/>
      <c r="I6" s="117" t="s">
        <v>11</v>
      </c>
      <c r="J6" s="158">
        <f t="shared" ref="J6:J10" si="3">SUMIF($D$5:$D$25,I6,$E$5:$E$25)</f>
        <v>1198560.79</v>
      </c>
      <c r="K6" s="158">
        <f t="shared" ref="K6:K10" si="4">SUMIF($D$5:$D$25,I6,$F$5:$F$25)</f>
        <v>240564.51000000004</v>
      </c>
      <c r="L6" s="120">
        <f t="shared" ref="L6:L11" si="5">K6/J6</f>
        <v>0.20071114624065087</v>
      </c>
      <c r="M6" s="120">
        <v>0.12</v>
      </c>
    </row>
    <row r="7" spans="2:13" x14ac:dyDescent="0.25">
      <c r="B7" s="85" t="s">
        <v>154</v>
      </c>
      <c r="C7" s="85" t="s">
        <v>155</v>
      </c>
      <c r="D7" s="85" t="s">
        <v>17</v>
      </c>
      <c r="E7" s="151">
        <f t="shared" si="0"/>
        <v>518091.31</v>
      </c>
      <c r="F7" s="151">
        <f t="shared" si="1"/>
        <v>30385.370000000006</v>
      </c>
      <c r="G7" s="114">
        <f t="shared" si="2"/>
        <v>5.8648677199391756E-2</v>
      </c>
      <c r="H7" s="115"/>
      <c r="I7" s="117" t="s">
        <v>27</v>
      </c>
      <c r="J7" s="158">
        <f t="shared" si="3"/>
        <v>616205.15</v>
      </c>
      <c r="K7" s="158">
        <f t="shared" si="4"/>
        <v>145458.87</v>
      </c>
      <c r="L7" s="120">
        <f t="shared" si="5"/>
        <v>0.23605591417079197</v>
      </c>
      <c r="M7" s="120">
        <v>0.2</v>
      </c>
    </row>
    <row r="8" spans="2:13" x14ac:dyDescent="0.25">
      <c r="B8" s="85" t="s">
        <v>156</v>
      </c>
      <c r="C8" s="85" t="s">
        <v>157</v>
      </c>
      <c r="D8" s="85" t="s">
        <v>17</v>
      </c>
      <c r="E8" s="151">
        <f t="shared" si="0"/>
        <v>717633.16</v>
      </c>
      <c r="F8" s="151">
        <f t="shared" si="1"/>
        <v>76389.320000000036</v>
      </c>
      <c r="G8" s="114">
        <f t="shared" si="2"/>
        <v>0.10644619599239259</v>
      </c>
      <c r="H8" s="115"/>
      <c r="I8" s="117" t="s">
        <v>32</v>
      </c>
      <c r="J8" s="158">
        <f t="shared" si="3"/>
        <v>401282.88</v>
      </c>
      <c r="K8" s="158">
        <f t="shared" si="4"/>
        <v>52968.179999999978</v>
      </c>
      <c r="L8" s="120">
        <f t="shared" si="5"/>
        <v>0.1319971088724243</v>
      </c>
      <c r="M8" s="120">
        <v>0.08</v>
      </c>
    </row>
    <row r="9" spans="2:13" x14ac:dyDescent="0.25">
      <c r="B9" s="85" t="s">
        <v>158</v>
      </c>
      <c r="C9" s="85" t="s">
        <v>159</v>
      </c>
      <c r="D9" s="85" t="s">
        <v>17</v>
      </c>
      <c r="E9" s="151">
        <f t="shared" si="0"/>
        <v>539120.62</v>
      </c>
      <c r="F9" s="151">
        <f t="shared" si="1"/>
        <v>29202.530000000021</v>
      </c>
      <c r="G9" s="114">
        <f t="shared" si="2"/>
        <v>5.4166969165453216E-2</v>
      </c>
      <c r="H9" s="115"/>
      <c r="I9" s="85" t="s">
        <v>38</v>
      </c>
      <c r="J9" s="151">
        <f t="shared" si="3"/>
        <v>112366.48</v>
      </c>
      <c r="K9" s="151">
        <f t="shared" si="4"/>
        <v>1031.71</v>
      </c>
      <c r="L9" s="114">
        <f t="shared" si="5"/>
        <v>9.1816527491116566E-3</v>
      </c>
      <c r="M9" s="114"/>
    </row>
    <row r="10" spans="2:13" x14ac:dyDescent="0.25">
      <c r="B10" s="85" t="s">
        <v>160</v>
      </c>
      <c r="C10" s="85" t="s">
        <v>161</v>
      </c>
      <c r="D10" s="85" t="s">
        <v>17</v>
      </c>
      <c r="E10" s="151">
        <f t="shared" si="0"/>
        <v>550724.32000000007</v>
      </c>
      <c r="F10" s="151">
        <f t="shared" si="1"/>
        <v>38103.510000000009</v>
      </c>
      <c r="G10" s="114">
        <f t="shared" si="2"/>
        <v>6.9187992278968186E-2</v>
      </c>
      <c r="H10" s="115"/>
      <c r="I10" s="85" t="s">
        <v>103</v>
      </c>
      <c r="J10" s="151">
        <f t="shared" si="3"/>
        <v>49043</v>
      </c>
      <c r="K10" s="151">
        <f t="shared" si="4"/>
        <v>4660</v>
      </c>
      <c r="L10" s="114">
        <f t="shared" si="5"/>
        <v>9.5018657096833395E-2</v>
      </c>
      <c r="M10" s="114"/>
    </row>
    <row r="11" spans="2:13" x14ac:dyDescent="0.25">
      <c r="B11" s="85" t="s">
        <v>162</v>
      </c>
      <c r="C11" s="85" t="s">
        <v>163</v>
      </c>
      <c r="D11" s="85" t="s">
        <v>17</v>
      </c>
      <c r="E11" s="151">
        <f t="shared" si="0"/>
        <v>300014.66000000003</v>
      </c>
      <c r="F11" s="151">
        <f t="shared" si="1"/>
        <v>50866.979999999989</v>
      </c>
      <c r="G11" s="114">
        <f t="shared" si="2"/>
        <v>0.16954831473901968</v>
      </c>
      <c r="H11" s="115"/>
      <c r="I11" s="124" t="s">
        <v>167</v>
      </c>
      <c r="J11" s="155">
        <f>SUM(J5:J10)</f>
        <v>5557996.0100000007</v>
      </c>
      <c r="K11" s="155">
        <f>SUM(K5:K10)</f>
        <v>712310.83</v>
      </c>
      <c r="L11" s="126">
        <f t="shared" si="5"/>
        <v>0.12815965119773445</v>
      </c>
    </row>
    <row r="12" spans="2:13" x14ac:dyDescent="0.25">
      <c r="B12" s="85" t="s">
        <v>165</v>
      </c>
      <c r="C12" s="85" t="s">
        <v>166</v>
      </c>
      <c r="D12" s="85" t="s">
        <v>17</v>
      </c>
      <c r="E12" s="151">
        <f t="shared" si="0"/>
        <v>137251.78</v>
      </c>
      <c r="F12" s="151">
        <f t="shared" si="1"/>
        <v>7338.159999999998</v>
      </c>
      <c r="G12" s="114">
        <f t="shared" si="2"/>
        <v>5.3464953241407855E-2</v>
      </c>
      <c r="H12" s="115"/>
      <c r="I12" s="115"/>
    </row>
    <row r="13" spans="2:13" x14ac:dyDescent="0.25">
      <c r="B13" s="85" t="s">
        <v>168</v>
      </c>
      <c r="C13" s="85" t="s">
        <v>169</v>
      </c>
      <c r="D13" s="85" t="s">
        <v>11</v>
      </c>
      <c r="E13" s="151">
        <f t="shared" si="0"/>
        <v>612410.66</v>
      </c>
      <c r="F13" s="151">
        <f t="shared" si="1"/>
        <v>99062.519999999975</v>
      </c>
      <c r="G13" s="114">
        <f t="shared" si="2"/>
        <v>0.16175832079735511</v>
      </c>
      <c r="H13" s="115"/>
      <c r="I13" s="115"/>
    </row>
    <row r="14" spans="2:13" x14ac:dyDescent="0.25">
      <c r="B14" s="85" t="s">
        <v>170</v>
      </c>
      <c r="C14" s="85" t="s">
        <v>171</v>
      </c>
      <c r="D14" s="85" t="s">
        <v>11</v>
      </c>
      <c r="E14" s="151">
        <f t="shared" si="0"/>
        <v>237735.59</v>
      </c>
      <c r="F14" s="151">
        <f t="shared" si="1"/>
        <v>44738.180000000022</v>
      </c>
      <c r="G14" s="114">
        <f t="shared" si="2"/>
        <v>0.18818461299799505</v>
      </c>
      <c r="H14" s="115"/>
    </row>
    <row r="15" spans="2:13" x14ac:dyDescent="0.25">
      <c r="B15" s="85" t="s">
        <v>172</v>
      </c>
      <c r="C15" s="85" t="s">
        <v>173</v>
      </c>
      <c r="D15" s="85" t="s">
        <v>11</v>
      </c>
      <c r="E15" s="151">
        <f t="shared" si="0"/>
        <v>92309.99</v>
      </c>
      <c r="F15" s="151">
        <f t="shared" si="1"/>
        <v>34067.270000000019</v>
      </c>
      <c r="G15" s="114">
        <f t="shared" si="2"/>
        <v>0.36905290532476515</v>
      </c>
      <c r="H15" s="115"/>
    </row>
    <row r="16" spans="2:13" x14ac:dyDescent="0.25">
      <c r="B16" s="85" t="s">
        <v>174</v>
      </c>
      <c r="C16" s="85" t="s">
        <v>175</v>
      </c>
      <c r="D16" s="85" t="s">
        <v>11</v>
      </c>
      <c r="E16" s="151">
        <f t="shared" si="0"/>
        <v>256104.55000000002</v>
      </c>
      <c r="F16" s="151">
        <f t="shared" si="1"/>
        <v>62696.540000000015</v>
      </c>
      <c r="G16" s="114">
        <f t="shared" si="2"/>
        <v>0.24480838001511496</v>
      </c>
      <c r="H16" s="115"/>
    </row>
    <row r="17" spans="2:9" x14ac:dyDescent="0.25">
      <c r="B17" s="85" t="s">
        <v>176</v>
      </c>
      <c r="C17" s="85" t="s">
        <v>38</v>
      </c>
      <c r="D17" s="85" t="s">
        <v>38</v>
      </c>
      <c r="E17" s="151">
        <f t="shared" si="0"/>
        <v>112366.48</v>
      </c>
      <c r="F17" s="151">
        <f t="shared" si="1"/>
        <v>1031.71</v>
      </c>
      <c r="G17" s="114">
        <f t="shared" si="2"/>
        <v>9.1816527491116566E-3</v>
      </c>
      <c r="H17" s="115"/>
    </row>
    <row r="18" spans="2:9" s="156" customFormat="1" x14ac:dyDescent="0.25">
      <c r="B18" s="85" t="s">
        <v>177</v>
      </c>
      <c r="C18" s="85" t="s">
        <v>178</v>
      </c>
      <c r="D18" s="85" t="s">
        <v>32</v>
      </c>
      <c r="E18" s="151">
        <f t="shared" si="0"/>
        <v>98067.87</v>
      </c>
      <c r="F18" s="151">
        <f t="shared" si="1"/>
        <v>15498.839999999989</v>
      </c>
      <c r="G18" s="123">
        <f t="shared" si="2"/>
        <v>0.15804197643937806</v>
      </c>
      <c r="H18" s="115"/>
      <c r="I18" s="85"/>
    </row>
    <row r="19" spans="2:9" s="156" customFormat="1" x14ac:dyDescent="0.25">
      <c r="B19" s="85" t="s">
        <v>179</v>
      </c>
      <c r="C19" s="85" t="s">
        <v>180</v>
      </c>
      <c r="D19" s="85" t="s">
        <v>32</v>
      </c>
      <c r="E19" s="151">
        <f t="shared" si="0"/>
        <v>41497.89</v>
      </c>
      <c r="F19" s="151">
        <f t="shared" si="1"/>
        <v>6200.6299999999992</v>
      </c>
      <c r="G19" s="123">
        <f t="shared" si="2"/>
        <v>0.14942036811992127</v>
      </c>
      <c r="H19" s="115"/>
      <c r="I19" s="115"/>
    </row>
    <row r="20" spans="2:9" s="156" customFormat="1" x14ac:dyDescent="0.25">
      <c r="B20" s="85" t="s">
        <v>181</v>
      </c>
      <c r="C20" s="85" t="s">
        <v>182</v>
      </c>
      <c r="D20" s="85" t="s">
        <v>32</v>
      </c>
      <c r="E20" s="151">
        <f t="shared" si="0"/>
        <v>140178.07</v>
      </c>
      <c r="F20" s="151">
        <f t="shared" si="1"/>
        <v>12635.929999999997</v>
      </c>
      <c r="G20" s="123">
        <f t="shared" si="2"/>
        <v>9.0141988686247398E-2</v>
      </c>
      <c r="H20" s="115"/>
      <c r="I20" s="115"/>
    </row>
    <row r="21" spans="2:9" s="156" customFormat="1" x14ac:dyDescent="0.25">
      <c r="B21" s="85" t="s">
        <v>183</v>
      </c>
      <c r="C21" s="85" t="s">
        <v>184</v>
      </c>
      <c r="D21" s="85" t="s">
        <v>32</v>
      </c>
      <c r="E21" s="151">
        <f t="shared" si="0"/>
        <v>121539.05</v>
      </c>
      <c r="F21" s="151">
        <f t="shared" si="1"/>
        <v>18632.78</v>
      </c>
      <c r="G21" s="123">
        <f t="shared" si="2"/>
        <v>0.15330694126702488</v>
      </c>
      <c r="H21" s="115"/>
      <c r="I21" s="115"/>
    </row>
    <row r="22" spans="2:9" x14ac:dyDescent="0.25">
      <c r="B22" s="85" t="s">
        <v>185</v>
      </c>
      <c r="C22" s="85" t="s">
        <v>186</v>
      </c>
      <c r="D22" s="85" t="s">
        <v>27</v>
      </c>
      <c r="E22" s="151">
        <f t="shared" si="0"/>
        <v>105406.83</v>
      </c>
      <c r="F22" s="151">
        <f t="shared" si="1"/>
        <v>30225.64</v>
      </c>
      <c r="G22" s="114">
        <f t="shared" si="2"/>
        <v>0.28675219622865045</v>
      </c>
      <c r="H22" s="115"/>
      <c r="I22" s="115"/>
    </row>
    <row r="23" spans="2:9" x14ac:dyDescent="0.25">
      <c r="B23" s="85" t="s">
        <v>187</v>
      </c>
      <c r="C23" s="85" t="s">
        <v>188</v>
      </c>
      <c r="D23" s="85" t="s">
        <v>27</v>
      </c>
      <c r="E23" s="151">
        <f t="shared" si="0"/>
        <v>184009.56</v>
      </c>
      <c r="F23" s="151">
        <f t="shared" si="1"/>
        <v>34998.480000000003</v>
      </c>
      <c r="G23" s="114">
        <f t="shared" si="2"/>
        <v>0.19019924834340129</v>
      </c>
      <c r="H23" s="115"/>
      <c r="I23" s="115"/>
    </row>
    <row r="24" spans="2:9" x14ac:dyDescent="0.25">
      <c r="B24" s="85" t="s">
        <v>189</v>
      </c>
      <c r="C24" s="85" t="s">
        <v>190</v>
      </c>
      <c r="D24" s="85" t="s">
        <v>27</v>
      </c>
      <c r="E24" s="151">
        <f t="shared" si="0"/>
        <v>326788.76</v>
      </c>
      <c r="F24" s="151">
        <f t="shared" si="1"/>
        <v>80234.75</v>
      </c>
      <c r="G24" s="114">
        <f t="shared" si="2"/>
        <v>0.2455248154801897</v>
      </c>
      <c r="H24" s="115"/>
      <c r="I24" s="115"/>
    </row>
    <row r="25" spans="2:9" x14ac:dyDescent="0.25">
      <c r="B25" s="85" t="s">
        <v>191</v>
      </c>
      <c r="C25" s="85" t="s">
        <v>103</v>
      </c>
      <c r="D25" s="85" t="s">
        <v>103</v>
      </c>
      <c r="E25" s="151">
        <f t="shared" si="0"/>
        <v>49043</v>
      </c>
      <c r="F25" s="151">
        <f t="shared" si="1"/>
        <v>4660</v>
      </c>
      <c r="G25" s="114">
        <f t="shared" si="2"/>
        <v>9.5018657096833395E-2</v>
      </c>
      <c r="H25" s="115"/>
      <c r="I25" s="115"/>
    </row>
    <row r="26" spans="2:9" x14ac:dyDescent="0.25">
      <c r="B26" s="297" t="s">
        <v>167</v>
      </c>
      <c r="C26" s="297"/>
      <c r="D26" s="113"/>
      <c r="E26" s="157">
        <f>SUM(E5:E25)</f>
        <v>5557996.0100000007</v>
      </c>
      <c r="F26" s="157">
        <f>SUM(F5:F25)</f>
        <v>712310.83000000019</v>
      </c>
      <c r="G26" s="126">
        <f>F26/E26</f>
        <v>0.12815965119773451</v>
      </c>
      <c r="H26" s="115"/>
      <c r="I26" s="115"/>
    </row>
    <row r="27" spans="2:9" x14ac:dyDescent="0.25">
      <c r="I27" s="115"/>
    </row>
  </sheetData>
  <mergeCells count="1">
    <mergeCell ref="B26:C26"/>
  </mergeCells>
  <pageMargins left="0.511811024" right="0.511811024" top="0.78740157499999996" bottom="0.78740157499999996" header="0.31496062000000002" footer="0.31496062000000002"/>
  <pageSetup paperSize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9117-03B6-4CAC-B936-EC9FCA8BD3D8}">
  <sheetPr>
    <pageSetUpPr fitToPage="1"/>
  </sheetPr>
  <dimension ref="A1:T46"/>
  <sheetViews>
    <sheetView showGridLines="0" zoomScale="85" zoomScaleNormal="85" zoomScaleSheetLayoutView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:E12"/>
    </sheetView>
  </sheetViews>
  <sheetFormatPr defaultColWidth="9.109375" defaultRowHeight="14.4" x14ac:dyDescent="0.3"/>
  <cols>
    <col min="1" max="1" width="21.88671875" style="128" bestFit="1" customWidth="1"/>
    <col min="2" max="2" width="19.44140625" style="128" customWidth="1"/>
    <col min="3" max="3" width="19.44140625" style="128" hidden="1" customWidth="1"/>
    <col min="4" max="5" width="19.44140625" style="128" customWidth="1"/>
    <col min="6" max="6" width="18.44140625" style="128" customWidth="1"/>
    <col min="7" max="7" width="18.44140625" style="129" hidden="1" customWidth="1"/>
    <col min="8" max="10" width="18.44140625" style="128" customWidth="1"/>
    <col min="11" max="14" width="18.44140625" style="128" hidden="1" customWidth="1"/>
    <col min="15" max="15" width="18.44140625" style="128" customWidth="1"/>
    <col min="16" max="16" width="16.33203125" style="128" customWidth="1"/>
    <col min="17" max="17" width="14.88671875" style="128" customWidth="1"/>
    <col min="18" max="19" width="9.109375" style="129"/>
    <col min="20" max="16384" width="9.109375" style="128"/>
  </cols>
  <sheetData>
    <row r="1" spans="1:20" ht="15" customHeight="1" x14ac:dyDescent="0.3">
      <c r="A1" s="299" t="str">
        <f ca="1">CONCATENATE(O1,TEXT(O2,"dd/mm/aa"))</f>
        <v>Painel de Metas - Até dia 31/01/24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128" t="s">
        <v>104</v>
      </c>
    </row>
    <row r="2" spans="1:20" x14ac:dyDescent="0.3">
      <c r="A2" s="299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130">
        <f ca="1">TODAY()-1</f>
        <v>45322</v>
      </c>
    </row>
    <row r="3" spans="1:20" s="134" customFormat="1" ht="28.8" x14ac:dyDescent="0.3">
      <c r="A3" s="131" t="s">
        <v>105</v>
      </c>
      <c r="B3" s="132" t="s">
        <v>192</v>
      </c>
      <c r="C3" s="133" t="s">
        <v>193</v>
      </c>
      <c r="D3" s="132" t="s">
        <v>194</v>
      </c>
      <c r="E3" s="132" t="s">
        <v>195</v>
      </c>
      <c r="F3" s="132" t="s">
        <v>196</v>
      </c>
      <c r="G3" s="133" t="s">
        <v>197</v>
      </c>
      <c r="H3" s="132" t="s">
        <v>106</v>
      </c>
      <c r="I3" s="132" t="s">
        <v>107</v>
      </c>
      <c r="J3" s="132" t="s">
        <v>138</v>
      </c>
      <c r="K3" s="133" t="s">
        <v>198</v>
      </c>
      <c r="L3" s="132" t="s">
        <v>111</v>
      </c>
      <c r="M3" s="133" t="s">
        <v>112</v>
      </c>
      <c r="N3" s="133" t="s">
        <v>113</v>
      </c>
      <c r="R3" s="135"/>
      <c r="S3" s="135"/>
    </row>
    <row r="4" spans="1:20" x14ac:dyDescent="0.3">
      <c r="A4" s="136" t="s">
        <v>17</v>
      </c>
      <c r="B4" s="137" t="e">
        <f t="shared" ref="B4:G4" si="0">SUM(B5:B13)</f>
        <v>#VALUE!</v>
      </c>
      <c r="C4" s="137" t="e">
        <f t="shared" si="0"/>
        <v>#VALUE!</v>
      </c>
      <c r="D4" s="137" t="e">
        <f t="shared" si="0"/>
        <v>#VALUE!</v>
      </c>
      <c r="E4" s="137">
        <f t="shared" si="0"/>
        <v>2835000</v>
      </c>
      <c r="F4" s="137" t="e">
        <f t="shared" si="0"/>
        <v>#VALUE!</v>
      </c>
      <c r="G4" s="137">
        <f t="shared" si="0"/>
        <v>4075.1300000000006</v>
      </c>
      <c r="H4" s="138">
        <f>IFERROR((D4-B4)/B4,0)</f>
        <v>0</v>
      </c>
      <c r="I4" s="137" t="e">
        <f t="shared" ref="I4:N4" si="1">SUM(I5:I13)</f>
        <v>#VALUE!</v>
      </c>
      <c r="J4" s="137" t="e">
        <f t="shared" si="1"/>
        <v>#VALUE!</v>
      </c>
      <c r="K4" s="137" t="e">
        <f t="shared" si="1"/>
        <v>#VALUE!</v>
      </c>
      <c r="L4" s="137" t="e">
        <f t="shared" si="1"/>
        <v>#VALUE!</v>
      </c>
      <c r="M4" s="137" t="e">
        <f t="shared" ca="1" si="1"/>
        <v>#VALUE!</v>
      </c>
      <c r="N4" s="137" t="e">
        <f t="shared" ca="1" si="1"/>
        <v>#VALUE!</v>
      </c>
      <c r="Q4" s="130">
        <v>44287</v>
      </c>
      <c r="T4" s="128" t="s">
        <v>199</v>
      </c>
    </row>
    <row r="5" spans="1:20" x14ac:dyDescent="0.3">
      <c r="A5" s="139" t="s">
        <v>19</v>
      </c>
      <c r="B5" s="140" t="e">
        <v>#VALUE!</v>
      </c>
      <c r="C5" s="140" t="e">
        <v>#VALUE!</v>
      </c>
      <c r="D5" s="140" t="e">
        <f>C5+F5-G5</f>
        <v>#VALUE!</v>
      </c>
      <c r="E5" s="140">
        <v>640000</v>
      </c>
      <c r="F5" s="140" t="e">
        <v>#VALUE!</v>
      </c>
      <c r="G5" s="141">
        <v>279.89999999999998</v>
      </c>
      <c r="H5" s="142">
        <f t="shared" ref="H5:H40" si="2">IFERROR((D5-B5)/B5,0)</f>
        <v>0</v>
      </c>
      <c r="I5" s="143" t="e">
        <v>#VALUE!</v>
      </c>
      <c r="J5" s="140" t="e">
        <v>#VALUE!</v>
      </c>
      <c r="K5" s="140" t="e">
        <v>#VALUE!</v>
      </c>
      <c r="L5" s="140">
        <v>0</v>
      </c>
      <c r="M5" s="140" t="e">
        <f ca="1">C5/$R$5</f>
        <v>#VALUE!</v>
      </c>
      <c r="N5" s="140" t="e">
        <f ca="1">M5*$R$6+C5</f>
        <v>#VALUE!</v>
      </c>
      <c r="O5" s="144"/>
      <c r="Q5" s="130">
        <f ca="1">TODAY()</f>
        <v>45323</v>
      </c>
      <c r="R5" s="129">
        <f ca="1">Q5-Q4-3</f>
        <v>1033</v>
      </c>
      <c r="S5" s="129">
        <f ca="1">Q5-Q4-3</f>
        <v>1033</v>
      </c>
      <c r="T5" s="128" t="s">
        <v>200</v>
      </c>
    </row>
    <row r="6" spans="1:20" x14ac:dyDescent="0.3">
      <c r="A6" s="139" t="s">
        <v>18</v>
      </c>
      <c r="B6" s="140" t="e">
        <v>#VALUE!</v>
      </c>
      <c r="C6" s="140" t="e">
        <v>#VALUE!</v>
      </c>
      <c r="D6" s="140" t="e">
        <f t="shared" ref="D6:D12" si="3">C6+F6-G6</f>
        <v>#VALUE!</v>
      </c>
      <c r="E6" s="140">
        <v>400000</v>
      </c>
      <c r="F6" s="140" t="e">
        <v>#VALUE!</v>
      </c>
      <c r="G6" s="141">
        <v>0</v>
      </c>
      <c r="H6" s="142">
        <f t="shared" si="2"/>
        <v>0</v>
      </c>
      <c r="I6" s="143" t="e">
        <v>#VALUE!</v>
      </c>
      <c r="J6" s="140" t="e">
        <v>#VALUE!</v>
      </c>
      <c r="K6" s="140" t="e">
        <v>#VALUE!</v>
      </c>
      <c r="L6" s="140">
        <v>0</v>
      </c>
      <c r="M6" s="140" t="e">
        <f ca="1">C6/$R$5</f>
        <v>#VALUE!</v>
      </c>
      <c r="N6" s="140" t="e">
        <f ca="1">M6*$R$6+C6</f>
        <v>#VALUE!</v>
      </c>
      <c r="Q6" s="130">
        <v>44316</v>
      </c>
      <c r="R6" s="129">
        <v>13</v>
      </c>
      <c r="S6" s="129">
        <v>13</v>
      </c>
    </row>
    <row r="7" spans="1:20" x14ac:dyDescent="0.3">
      <c r="A7" s="139" t="s">
        <v>116</v>
      </c>
      <c r="B7" s="140" t="e">
        <v>#VALUE!</v>
      </c>
      <c r="C7" s="140" t="e">
        <v>#VALUE!</v>
      </c>
      <c r="D7" s="140" t="e">
        <f t="shared" si="3"/>
        <v>#VALUE!</v>
      </c>
      <c r="E7" s="140">
        <v>300000</v>
      </c>
      <c r="F7" s="140" t="e">
        <v>#VALUE!</v>
      </c>
      <c r="G7" s="141">
        <v>0</v>
      </c>
      <c r="H7" s="142">
        <f t="shared" si="2"/>
        <v>0</v>
      </c>
      <c r="I7" s="143" t="e">
        <v>#VALUE!</v>
      </c>
      <c r="J7" s="140" t="e">
        <v>#VALUE!</v>
      </c>
      <c r="K7" s="140" t="e">
        <v>#VALUE!</v>
      </c>
      <c r="L7" s="140">
        <v>0</v>
      </c>
      <c r="M7" s="140" t="e">
        <f ca="1">C7/$R$5</f>
        <v>#VALUE!</v>
      </c>
      <c r="N7" s="140" t="e">
        <f ca="1">M7*$R$6+C7</f>
        <v>#VALUE!</v>
      </c>
      <c r="R7" s="129" t="s">
        <v>140</v>
      </c>
      <c r="S7" s="129" t="s">
        <v>141</v>
      </c>
    </row>
    <row r="8" spans="1:20" x14ac:dyDescent="0.3">
      <c r="A8" s="139" t="s">
        <v>117</v>
      </c>
      <c r="B8" s="140" t="e">
        <v>#VALUE!</v>
      </c>
      <c r="C8" s="140" t="e">
        <v>#VALUE!</v>
      </c>
      <c r="D8" s="140" t="e">
        <f t="shared" si="3"/>
        <v>#VALUE!</v>
      </c>
      <c r="E8" s="140">
        <v>120000</v>
      </c>
      <c r="F8" s="140" t="e">
        <v>#VALUE!</v>
      </c>
      <c r="G8" s="141">
        <v>0</v>
      </c>
      <c r="H8" s="142">
        <f t="shared" si="2"/>
        <v>0</v>
      </c>
      <c r="I8" s="143" t="e">
        <v>#VALUE!</v>
      </c>
      <c r="J8" s="140" t="e">
        <v>#VALUE!</v>
      </c>
      <c r="K8" s="140" t="e">
        <v>#VALUE!</v>
      </c>
      <c r="L8" s="140">
        <v>0</v>
      </c>
      <c r="M8" s="140" t="e">
        <f ca="1">C8/$S$5</f>
        <v>#VALUE!</v>
      </c>
      <c r="N8" s="140" t="e">
        <f ca="1">M8*$S$6+C8</f>
        <v>#VALUE!</v>
      </c>
    </row>
    <row r="9" spans="1:20" x14ac:dyDescent="0.3">
      <c r="A9" s="139" t="s">
        <v>118</v>
      </c>
      <c r="B9" s="140" t="e">
        <v>#VALUE!</v>
      </c>
      <c r="C9" s="140" t="e">
        <v>#VALUE!</v>
      </c>
      <c r="D9" s="140" t="e">
        <f t="shared" si="3"/>
        <v>#VALUE!</v>
      </c>
      <c r="E9" s="140">
        <v>475000</v>
      </c>
      <c r="F9" s="140" t="e">
        <v>#VALUE!</v>
      </c>
      <c r="G9" s="141">
        <v>3795.2300000000005</v>
      </c>
      <c r="H9" s="142">
        <f t="shared" si="2"/>
        <v>0</v>
      </c>
      <c r="I9" s="143" t="e">
        <v>#VALUE!</v>
      </c>
      <c r="J9" s="140" t="e">
        <v>#VALUE!</v>
      </c>
      <c r="K9" s="140" t="e">
        <v>#VALUE!</v>
      </c>
      <c r="L9" s="140">
        <v>0</v>
      </c>
      <c r="M9" s="140" t="e">
        <f ca="1">C9/$S$5</f>
        <v>#VALUE!</v>
      </c>
      <c r="N9" s="140" t="e">
        <f ca="1">M9*$S$6+C9</f>
        <v>#VALUE!</v>
      </c>
    </row>
    <row r="10" spans="1:20" x14ac:dyDescent="0.3">
      <c r="A10" s="139" t="s">
        <v>119</v>
      </c>
      <c r="B10" s="140" t="e">
        <v>#VALUE!</v>
      </c>
      <c r="C10" s="140" t="e">
        <v>#VALUE!</v>
      </c>
      <c r="D10" s="140" t="e">
        <f t="shared" si="3"/>
        <v>#VALUE!</v>
      </c>
      <c r="E10" s="140">
        <v>270000</v>
      </c>
      <c r="F10" s="140" t="e">
        <v>#VALUE!</v>
      </c>
      <c r="G10" s="141">
        <v>0</v>
      </c>
      <c r="H10" s="142">
        <f t="shared" si="2"/>
        <v>0</v>
      </c>
      <c r="I10" s="143" t="e">
        <v>#VALUE!</v>
      </c>
      <c r="J10" s="140" t="e">
        <v>#VALUE!</v>
      </c>
      <c r="K10" s="140" t="e">
        <v>#VALUE!</v>
      </c>
      <c r="L10" s="140">
        <v>0</v>
      </c>
      <c r="M10" s="140" t="e">
        <f ca="1">C10/$R$5</f>
        <v>#VALUE!</v>
      </c>
      <c r="N10" s="140" t="e">
        <f ca="1">M10*$R$6+C10</f>
        <v>#VALUE!</v>
      </c>
      <c r="R10" s="129" t="s">
        <v>201</v>
      </c>
      <c r="S10" s="129" t="s">
        <v>202</v>
      </c>
    </row>
    <row r="11" spans="1:20" x14ac:dyDescent="0.3">
      <c r="A11" s="139" t="s">
        <v>120</v>
      </c>
      <c r="B11" s="140" t="e">
        <v>#VALUE!</v>
      </c>
      <c r="C11" s="140" t="e">
        <v>#VALUE!</v>
      </c>
      <c r="D11" s="140" t="e">
        <f t="shared" si="3"/>
        <v>#VALUE!</v>
      </c>
      <c r="E11" s="140">
        <v>460000</v>
      </c>
      <c r="F11" s="140" t="e">
        <v>#VALUE!</v>
      </c>
      <c r="G11" s="141">
        <v>0</v>
      </c>
      <c r="H11" s="142">
        <f t="shared" si="2"/>
        <v>0</v>
      </c>
      <c r="I11" s="143" t="e">
        <v>#VALUE!</v>
      </c>
      <c r="J11" s="140" t="e">
        <v>#VALUE!</v>
      </c>
      <c r="K11" s="140" t="e">
        <v>#VALUE!</v>
      </c>
      <c r="L11" s="140">
        <v>0</v>
      </c>
      <c r="M11" s="140" t="e">
        <f ca="1">C11/$R$5</f>
        <v>#VALUE!</v>
      </c>
      <c r="N11" s="140" t="e">
        <f ca="1">M11*$R$6+C11</f>
        <v>#VALUE!</v>
      </c>
      <c r="Q11" s="128" t="s">
        <v>140</v>
      </c>
      <c r="R11" s="129">
        <v>22</v>
      </c>
      <c r="S11" s="129">
        <v>7</v>
      </c>
    </row>
    <row r="12" spans="1:20" x14ac:dyDescent="0.3">
      <c r="A12" s="139" t="s">
        <v>121</v>
      </c>
      <c r="B12" s="140" t="e">
        <v>#VALUE!</v>
      </c>
      <c r="C12" s="140" t="e">
        <v>#VALUE!</v>
      </c>
      <c r="D12" s="140" t="e">
        <f t="shared" si="3"/>
        <v>#VALUE!</v>
      </c>
      <c r="E12" s="140">
        <v>170000</v>
      </c>
      <c r="F12" s="140" t="e">
        <v>#VALUE!</v>
      </c>
      <c r="G12" s="141">
        <v>0</v>
      </c>
      <c r="H12" s="142">
        <f t="shared" si="2"/>
        <v>0</v>
      </c>
      <c r="I12" s="143" t="e">
        <v>#VALUE!</v>
      </c>
      <c r="J12" s="140" t="e">
        <v>#VALUE!</v>
      </c>
      <c r="K12" s="140" t="e">
        <v>#VALUE!</v>
      </c>
      <c r="L12" s="140" t="e">
        <f>(E12-D12)/1</f>
        <v>#VALUE!</v>
      </c>
      <c r="M12" s="140" t="e">
        <f ca="1">C12/$R$5</f>
        <v>#VALUE!</v>
      </c>
      <c r="N12" s="140" t="e">
        <f ca="1">M12*$R$6+C12</f>
        <v>#VALUE!</v>
      </c>
      <c r="Q12" s="128" t="s">
        <v>141</v>
      </c>
      <c r="R12" s="129">
        <v>19</v>
      </c>
      <c r="S12" s="129">
        <v>6</v>
      </c>
    </row>
    <row r="13" spans="1:20" hidden="1" x14ac:dyDescent="0.3">
      <c r="A13" s="139" t="s">
        <v>134</v>
      </c>
      <c r="B13" s="140" t="e">
        <v>#VALUE!</v>
      </c>
      <c r="C13" s="140" t="e">
        <v>#VALUE!</v>
      </c>
      <c r="D13" s="140" t="e">
        <f>C13</f>
        <v>#VALUE!</v>
      </c>
      <c r="E13" s="140">
        <v>0</v>
      </c>
      <c r="F13" s="140" t="e">
        <v>#VALUE!</v>
      </c>
      <c r="G13" s="141">
        <v>0</v>
      </c>
      <c r="H13" s="142">
        <f t="shared" si="2"/>
        <v>0</v>
      </c>
      <c r="I13" s="143" t="e">
        <v>#VALUE!</v>
      </c>
      <c r="J13" s="140" t="e">
        <v>#VALUE!</v>
      </c>
      <c r="K13" s="140" t="e">
        <v>#VALUE!</v>
      </c>
      <c r="L13" s="140" t="e">
        <f t="shared" ref="L13" si="4">(E13-D13)/22</f>
        <v>#VALUE!</v>
      </c>
      <c r="M13" s="140" t="e">
        <f ca="1">C13/$R$5</f>
        <v>#VALUE!</v>
      </c>
      <c r="N13" s="140" t="e">
        <f ca="1">M13*$R$6+C13</f>
        <v>#VALUE!</v>
      </c>
    </row>
    <row r="14" spans="1:20" x14ac:dyDescent="0.3">
      <c r="A14" s="136" t="s">
        <v>11</v>
      </c>
      <c r="B14" s="137" t="e">
        <f t="shared" ref="B14:G14" si="5">SUM(B15:B18)</f>
        <v>#VALUE!</v>
      </c>
      <c r="C14" s="137" t="e">
        <f t="shared" si="5"/>
        <v>#VALUE!</v>
      </c>
      <c r="D14" s="137" t="e">
        <f t="shared" si="5"/>
        <v>#VALUE!</v>
      </c>
      <c r="E14" s="137">
        <f t="shared" si="5"/>
        <v>1085000</v>
      </c>
      <c r="F14" s="137" t="e">
        <f t="shared" si="5"/>
        <v>#VALUE!</v>
      </c>
      <c r="G14" s="137">
        <f t="shared" si="5"/>
        <v>9094.11</v>
      </c>
      <c r="H14" s="138">
        <f t="shared" si="2"/>
        <v>0</v>
      </c>
      <c r="I14" s="137" t="e">
        <f t="shared" ref="I14:N14" si="6">SUM(I15:I18)</f>
        <v>#VALUE!</v>
      </c>
      <c r="J14" s="137" t="e">
        <f t="shared" si="6"/>
        <v>#VALUE!</v>
      </c>
      <c r="K14" s="137" t="e">
        <f t="shared" si="6"/>
        <v>#VALUE!</v>
      </c>
      <c r="L14" s="137" t="e">
        <f t="shared" si="6"/>
        <v>#VALUE!</v>
      </c>
      <c r="M14" s="137" t="e">
        <f t="shared" ca="1" si="6"/>
        <v>#VALUE!</v>
      </c>
      <c r="N14" s="137" t="e">
        <f t="shared" ca="1" si="6"/>
        <v>#VALUE!</v>
      </c>
    </row>
    <row r="15" spans="1:20" x14ac:dyDescent="0.3">
      <c r="A15" s="139" t="s">
        <v>122</v>
      </c>
      <c r="B15" s="140" t="e">
        <v>#VALUE!</v>
      </c>
      <c r="C15" s="140" t="e">
        <v>#VALUE!</v>
      </c>
      <c r="D15" s="140" t="e">
        <f t="shared" ref="D15:D18" si="7">C15+F15-G15</f>
        <v>#VALUE!</v>
      </c>
      <c r="E15" s="140">
        <v>105000</v>
      </c>
      <c r="F15" s="140" t="e">
        <v>#VALUE!</v>
      </c>
      <c r="G15" s="141">
        <v>0</v>
      </c>
      <c r="H15" s="142">
        <f t="shared" si="2"/>
        <v>0</v>
      </c>
      <c r="I15" s="143" t="e">
        <v>#VALUE!</v>
      </c>
      <c r="J15" s="140" t="e">
        <v>#VALUE!</v>
      </c>
      <c r="K15" s="140" t="e">
        <v>#VALUE!</v>
      </c>
      <c r="L15" s="140" t="e">
        <f>(E15-D15)/1</f>
        <v>#VALUE!</v>
      </c>
      <c r="M15" s="140" t="e">
        <f ca="1">C15/$R$5</f>
        <v>#VALUE!</v>
      </c>
      <c r="N15" s="140" t="e">
        <f ca="1">M15*$R$6+C15</f>
        <v>#VALUE!</v>
      </c>
    </row>
    <row r="16" spans="1:20" x14ac:dyDescent="0.3">
      <c r="A16" s="139" t="s">
        <v>123</v>
      </c>
      <c r="B16" s="140" t="e">
        <v>#VALUE!</v>
      </c>
      <c r="C16" s="140" t="e">
        <v>#VALUE!</v>
      </c>
      <c r="D16" s="140" t="e">
        <f t="shared" si="7"/>
        <v>#VALUE!</v>
      </c>
      <c r="E16" s="140">
        <v>210000</v>
      </c>
      <c r="F16" s="140" t="e">
        <v>#VALUE!</v>
      </c>
      <c r="G16" s="141">
        <v>0</v>
      </c>
      <c r="H16" s="142">
        <f t="shared" si="2"/>
        <v>0</v>
      </c>
      <c r="I16" s="143" t="e">
        <v>#VALUE!</v>
      </c>
      <c r="J16" s="140" t="e">
        <v>#VALUE!</v>
      </c>
      <c r="K16" s="140" t="e">
        <v>#VALUE!</v>
      </c>
      <c r="L16" s="140">
        <v>0</v>
      </c>
      <c r="M16" s="140" t="e">
        <f ca="1">C16/$R$5</f>
        <v>#VALUE!</v>
      </c>
      <c r="N16" s="140" t="e">
        <f ca="1">M16*$R$6+C16</f>
        <v>#VALUE!</v>
      </c>
    </row>
    <row r="17" spans="1:15" x14ac:dyDescent="0.3">
      <c r="A17" s="139" t="s">
        <v>58</v>
      </c>
      <c r="B17" s="140" t="e">
        <v>#VALUE!</v>
      </c>
      <c r="C17" s="140" t="e">
        <v>#VALUE!</v>
      </c>
      <c r="D17" s="140" t="e">
        <f t="shared" si="7"/>
        <v>#VALUE!</v>
      </c>
      <c r="E17" s="140">
        <v>600000</v>
      </c>
      <c r="F17" s="140" t="e">
        <v>#VALUE!</v>
      </c>
      <c r="G17" s="141">
        <v>7925.1100000000006</v>
      </c>
      <c r="H17" s="142">
        <f t="shared" si="2"/>
        <v>0</v>
      </c>
      <c r="I17" s="143" t="e">
        <v>#VALUE!</v>
      </c>
      <c r="J17" s="140" t="e">
        <v>#VALUE!</v>
      </c>
      <c r="K17" s="140" t="e">
        <v>#VALUE!</v>
      </c>
      <c r="L17" s="140">
        <v>0</v>
      </c>
      <c r="M17" s="140" t="e">
        <f ca="1">C17/$S$5</f>
        <v>#VALUE!</v>
      </c>
      <c r="N17" s="140" t="e">
        <f ca="1">M17*$S$6+C17</f>
        <v>#VALUE!</v>
      </c>
    </row>
    <row r="18" spans="1:15" x14ac:dyDescent="0.3">
      <c r="A18" s="139" t="s">
        <v>124</v>
      </c>
      <c r="B18" s="140" t="e">
        <v>#VALUE!</v>
      </c>
      <c r="C18" s="140" t="e">
        <v>#VALUE!</v>
      </c>
      <c r="D18" s="140" t="e">
        <f t="shared" si="7"/>
        <v>#VALUE!</v>
      </c>
      <c r="E18" s="140">
        <v>170000</v>
      </c>
      <c r="F18" s="140" t="e">
        <v>#VALUE!</v>
      </c>
      <c r="G18" s="141">
        <v>1169</v>
      </c>
      <c r="H18" s="142">
        <f t="shared" si="2"/>
        <v>0</v>
      </c>
      <c r="I18" s="143" t="e">
        <v>#VALUE!</v>
      </c>
      <c r="J18" s="140" t="e">
        <v>#VALUE!</v>
      </c>
      <c r="K18" s="140" t="e">
        <v>#VALUE!</v>
      </c>
      <c r="L18" s="140">
        <v>0</v>
      </c>
      <c r="M18" s="140" t="e">
        <f ca="1">C18/$R$5</f>
        <v>#VALUE!</v>
      </c>
      <c r="N18" s="140" t="e">
        <f ca="1">M18*$R$6+C18</f>
        <v>#VALUE!</v>
      </c>
    </row>
    <row r="19" spans="1:15" x14ac:dyDescent="0.3">
      <c r="A19" s="136" t="s">
        <v>27</v>
      </c>
      <c r="B19" s="137" t="e">
        <f t="shared" ref="B19:G19" si="8">SUM(B20:B22)</f>
        <v>#VALUE!</v>
      </c>
      <c r="C19" s="137" t="e">
        <f t="shared" si="8"/>
        <v>#VALUE!</v>
      </c>
      <c r="D19" s="137" t="e">
        <f t="shared" si="8"/>
        <v>#VALUE!</v>
      </c>
      <c r="E19" s="137">
        <f t="shared" si="8"/>
        <v>660000</v>
      </c>
      <c r="F19" s="137" t="e">
        <f t="shared" si="8"/>
        <v>#VALUE!</v>
      </c>
      <c r="G19" s="137">
        <f t="shared" si="8"/>
        <v>1901.9</v>
      </c>
      <c r="H19" s="138">
        <f t="shared" si="2"/>
        <v>0</v>
      </c>
      <c r="I19" s="137" t="e">
        <f t="shared" ref="I19:N19" si="9">SUM(I20:I22)</f>
        <v>#VALUE!</v>
      </c>
      <c r="J19" s="137" t="e">
        <f t="shared" si="9"/>
        <v>#VALUE!</v>
      </c>
      <c r="K19" s="137" t="e">
        <f t="shared" si="9"/>
        <v>#VALUE!</v>
      </c>
      <c r="L19" s="137" t="e">
        <f t="shared" si="9"/>
        <v>#VALUE!</v>
      </c>
      <c r="M19" s="137" t="e">
        <f t="shared" ca="1" si="9"/>
        <v>#VALUE!</v>
      </c>
      <c r="N19" s="137" t="e">
        <f t="shared" ca="1" si="9"/>
        <v>#VALUE!</v>
      </c>
    </row>
    <row r="20" spans="1:15" x14ac:dyDescent="0.3">
      <c r="A20" s="139" t="s">
        <v>125</v>
      </c>
      <c r="B20" s="140" t="e">
        <v>#VALUE!</v>
      </c>
      <c r="C20" s="140" t="e">
        <v>#VALUE!</v>
      </c>
      <c r="D20" s="140" t="e">
        <f t="shared" ref="D20:D22" si="10">C20+F20-G20</f>
        <v>#VALUE!</v>
      </c>
      <c r="E20" s="140">
        <v>190000</v>
      </c>
      <c r="F20" s="140" t="e">
        <v>#VALUE!</v>
      </c>
      <c r="G20" s="141">
        <v>1901.9</v>
      </c>
      <c r="H20" s="142">
        <f t="shared" si="2"/>
        <v>0</v>
      </c>
      <c r="I20" s="143" t="e">
        <v>#VALUE!</v>
      </c>
      <c r="J20" s="140" t="e">
        <v>#VALUE!</v>
      </c>
      <c r="K20" s="140" t="e">
        <v>#VALUE!</v>
      </c>
      <c r="L20" s="140" t="e">
        <f>(E20-D20)/1</f>
        <v>#VALUE!</v>
      </c>
      <c r="M20" s="140" t="e">
        <f ca="1">C20/$S$5</f>
        <v>#VALUE!</v>
      </c>
      <c r="N20" s="140" t="e">
        <f ca="1">M20*$S$6+C20</f>
        <v>#VALUE!</v>
      </c>
    </row>
    <row r="21" spans="1:15" x14ac:dyDescent="0.3">
      <c r="A21" s="139" t="s">
        <v>126</v>
      </c>
      <c r="B21" s="140" t="e">
        <v>#VALUE!</v>
      </c>
      <c r="C21" s="140" t="e">
        <v>#VALUE!</v>
      </c>
      <c r="D21" s="140" t="e">
        <f t="shared" si="10"/>
        <v>#VALUE!</v>
      </c>
      <c r="E21" s="140">
        <v>260000</v>
      </c>
      <c r="F21" s="140" t="e">
        <v>#VALUE!</v>
      </c>
      <c r="G21" s="141">
        <v>0</v>
      </c>
      <c r="H21" s="142">
        <f t="shared" si="2"/>
        <v>0</v>
      </c>
      <c r="I21" s="143" t="e">
        <v>#VALUE!</v>
      </c>
      <c r="J21" s="140" t="e">
        <v>#VALUE!</v>
      </c>
      <c r="K21" s="140" t="e">
        <v>#VALUE!</v>
      </c>
      <c r="L21" s="140">
        <v>0</v>
      </c>
      <c r="M21" s="140" t="e">
        <f ca="1">C21/$R$5</f>
        <v>#VALUE!</v>
      </c>
      <c r="N21" s="140" t="e">
        <f ca="1">M21*$R$6+C21</f>
        <v>#VALUE!</v>
      </c>
    </row>
    <row r="22" spans="1:15" x14ac:dyDescent="0.3">
      <c r="A22" s="139" t="s">
        <v>127</v>
      </c>
      <c r="B22" s="140" t="e">
        <v>#VALUE!</v>
      </c>
      <c r="C22" s="140" t="e">
        <v>#VALUE!</v>
      </c>
      <c r="D22" s="140" t="e">
        <f t="shared" si="10"/>
        <v>#VALUE!</v>
      </c>
      <c r="E22" s="140">
        <v>210000</v>
      </c>
      <c r="F22" s="140" t="e">
        <v>#VALUE!</v>
      </c>
      <c r="G22" s="141">
        <v>0</v>
      </c>
      <c r="H22" s="142">
        <f t="shared" si="2"/>
        <v>0</v>
      </c>
      <c r="I22" s="143" t="e">
        <v>#VALUE!</v>
      </c>
      <c r="J22" s="140" t="e">
        <v>#VALUE!</v>
      </c>
      <c r="K22" s="140" t="e">
        <v>#VALUE!</v>
      </c>
      <c r="L22" s="140" t="e">
        <f>(E22-D22)/1</f>
        <v>#VALUE!</v>
      </c>
      <c r="M22" s="140" t="e">
        <f ca="1">C22/$R$5</f>
        <v>#VALUE!</v>
      </c>
      <c r="N22" s="140" t="e">
        <f ca="1">M22*$R$6+C22</f>
        <v>#VALUE!</v>
      </c>
    </row>
    <row r="23" spans="1:15" x14ac:dyDescent="0.3">
      <c r="A23" s="136" t="s">
        <v>32</v>
      </c>
      <c r="B23" s="137" t="e">
        <f t="shared" ref="B23:G23" si="11">SUM(B24:B27)</f>
        <v>#VALUE!</v>
      </c>
      <c r="C23" s="137" t="e">
        <f t="shared" si="11"/>
        <v>#VALUE!</v>
      </c>
      <c r="D23" s="137" t="e">
        <f t="shared" si="11"/>
        <v>#VALUE!</v>
      </c>
      <c r="E23" s="137">
        <f t="shared" si="11"/>
        <v>460000</v>
      </c>
      <c r="F23" s="137" t="e">
        <f t="shared" si="11"/>
        <v>#VALUE!</v>
      </c>
      <c r="G23" s="137">
        <f t="shared" si="11"/>
        <v>229.85</v>
      </c>
      <c r="H23" s="138">
        <f t="shared" si="2"/>
        <v>0</v>
      </c>
      <c r="I23" s="137" t="e">
        <f t="shared" ref="I23:N23" si="12">SUM(I24:I27)</f>
        <v>#VALUE!</v>
      </c>
      <c r="J23" s="137" t="e">
        <f t="shared" si="12"/>
        <v>#VALUE!</v>
      </c>
      <c r="K23" s="137" t="e">
        <f t="shared" si="12"/>
        <v>#VALUE!</v>
      </c>
      <c r="L23" s="137" t="e">
        <f t="shared" si="12"/>
        <v>#VALUE!</v>
      </c>
      <c r="M23" s="137" t="e">
        <f t="shared" ca="1" si="12"/>
        <v>#VALUE!</v>
      </c>
      <c r="N23" s="137" t="e">
        <f t="shared" ca="1" si="12"/>
        <v>#VALUE!</v>
      </c>
    </row>
    <row r="24" spans="1:15" x14ac:dyDescent="0.3">
      <c r="A24" s="139" t="s">
        <v>56</v>
      </c>
      <c r="B24" s="140" t="e">
        <v>#VALUE!</v>
      </c>
      <c r="C24" s="140" t="e">
        <v>#VALUE!</v>
      </c>
      <c r="D24" s="140" t="e">
        <f t="shared" ref="D24:D27" si="13">C24+F24-G24</f>
        <v>#VALUE!</v>
      </c>
      <c r="E24" s="140">
        <v>120000</v>
      </c>
      <c r="F24" s="140" t="e">
        <v>#VALUE!</v>
      </c>
      <c r="G24" s="141">
        <v>229.85</v>
      </c>
      <c r="H24" s="142">
        <f t="shared" si="2"/>
        <v>0</v>
      </c>
      <c r="I24" s="143" t="e">
        <v>#VALUE!</v>
      </c>
      <c r="J24" s="140" t="e">
        <v>#VALUE!</v>
      </c>
      <c r="K24" s="140" t="e">
        <v>#VALUE!</v>
      </c>
      <c r="L24" s="140" t="e">
        <f>(E24-D24)/1</f>
        <v>#VALUE!</v>
      </c>
      <c r="M24" s="140" t="e">
        <f ca="1">C24/$S$5</f>
        <v>#VALUE!</v>
      </c>
      <c r="N24" s="140" t="e">
        <f ca="1">M24*$S$6+C24</f>
        <v>#VALUE!</v>
      </c>
    </row>
    <row r="25" spans="1:15" x14ac:dyDescent="0.3">
      <c r="A25" s="139" t="s">
        <v>128</v>
      </c>
      <c r="B25" s="140" t="e">
        <v>#VALUE!</v>
      </c>
      <c r="C25" s="140" t="e">
        <v>#VALUE!</v>
      </c>
      <c r="D25" s="140" t="e">
        <f t="shared" si="13"/>
        <v>#VALUE!</v>
      </c>
      <c r="E25" s="140">
        <v>60000</v>
      </c>
      <c r="F25" s="140" t="e">
        <v>#VALUE!</v>
      </c>
      <c r="G25" s="141">
        <v>0</v>
      </c>
      <c r="H25" s="142">
        <f t="shared" si="2"/>
        <v>0</v>
      </c>
      <c r="I25" s="143" t="e">
        <v>#VALUE!</v>
      </c>
      <c r="J25" s="140" t="e">
        <v>#VALUE!</v>
      </c>
      <c r="K25" s="140" t="e">
        <v>#VALUE!</v>
      </c>
      <c r="L25" s="140" t="e">
        <f>(E25-D25)/1</f>
        <v>#VALUE!</v>
      </c>
      <c r="M25" s="140" t="e">
        <f ca="1">C25/$R$5</f>
        <v>#VALUE!</v>
      </c>
      <c r="N25" s="140" t="e">
        <f ca="1">M25*$R$6+C25</f>
        <v>#VALUE!</v>
      </c>
    </row>
    <row r="26" spans="1:15" x14ac:dyDescent="0.3">
      <c r="A26" s="139" t="s">
        <v>129</v>
      </c>
      <c r="B26" s="140" t="e">
        <v>#VALUE!</v>
      </c>
      <c r="C26" s="140" t="e">
        <v>#VALUE!</v>
      </c>
      <c r="D26" s="140" t="e">
        <f t="shared" si="13"/>
        <v>#VALUE!</v>
      </c>
      <c r="E26" s="140">
        <v>140000</v>
      </c>
      <c r="F26" s="140" t="e">
        <v>#VALUE!</v>
      </c>
      <c r="G26" s="141">
        <v>0</v>
      </c>
      <c r="H26" s="142">
        <f t="shared" si="2"/>
        <v>0</v>
      </c>
      <c r="I26" s="143" t="e">
        <v>#VALUE!</v>
      </c>
      <c r="J26" s="140" t="e">
        <v>#VALUE!</v>
      </c>
      <c r="K26" s="140" t="e">
        <v>#VALUE!</v>
      </c>
      <c r="L26" s="140">
        <v>0</v>
      </c>
      <c r="M26" s="140" t="e">
        <f ca="1">C26/$R$5</f>
        <v>#VALUE!</v>
      </c>
      <c r="N26" s="140" t="e">
        <f ca="1">M26*$R$6+C26</f>
        <v>#VALUE!</v>
      </c>
    </row>
    <row r="27" spans="1:15" ht="15" customHeight="1" x14ac:dyDescent="0.3">
      <c r="A27" s="139" t="s">
        <v>130</v>
      </c>
      <c r="B27" s="140" t="e">
        <v>#VALUE!</v>
      </c>
      <c r="C27" s="140" t="e">
        <v>#VALUE!</v>
      </c>
      <c r="D27" s="140" t="e">
        <f t="shared" si="13"/>
        <v>#VALUE!</v>
      </c>
      <c r="E27" s="140">
        <v>140000</v>
      </c>
      <c r="F27" s="140" t="e">
        <v>#VALUE!</v>
      </c>
      <c r="G27" s="141">
        <v>0</v>
      </c>
      <c r="H27" s="142">
        <f t="shared" si="2"/>
        <v>0</v>
      </c>
      <c r="I27" s="143" t="e">
        <v>#VALUE!</v>
      </c>
      <c r="J27" s="140" t="e">
        <v>#VALUE!</v>
      </c>
      <c r="K27" s="140" t="e">
        <v>#VALUE!</v>
      </c>
      <c r="L27" s="140" t="e">
        <f>(E27-D27)/1</f>
        <v>#VALUE!</v>
      </c>
      <c r="M27" s="140" t="e">
        <f ca="1">C27/$R$5</f>
        <v>#VALUE!</v>
      </c>
      <c r="N27" s="140" t="e">
        <f ca="1">M27*$R$6+C27</f>
        <v>#VALUE!</v>
      </c>
    </row>
    <row r="28" spans="1:15" ht="15" customHeight="1" x14ac:dyDescent="0.3">
      <c r="A28" s="136" t="s">
        <v>131</v>
      </c>
      <c r="B28" s="137" t="e">
        <f t="shared" ref="B28:G28" si="14">SUM(B29)</f>
        <v>#VALUE!</v>
      </c>
      <c r="C28" s="137" t="e">
        <f t="shared" si="14"/>
        <v>#VALUE!</v>
      </c>
      <c r="D28" s="137" t="e">
        <f t="shared" si="14"/>
        <v>#VALUE!</v>
      </c>
      <c r="E28" s="137">
        <f t="shared" si="14"/>
        <v>50000</v>
      </c>
      <c r="F28" s="137" t="e">
        <f t="shared" si="14"/>
        <v>#VALUE!</v>
      </c>
      <c r="G28" s="137">
        <f t="shared" si="14"/>
        <v>0</v>
      </c>
      <c r="H28" s="138">
        <f t="shared" si="2"/>
        <v>0</v>
      </c>
      <c r="I28" s="137" t="e">
        <f t="shared" ref="I28:N28" si="15">SUM(I29)</f>
        <v>#VALUE!</v>
      </c>
      <c r="J28" s="137" t="e">
        <f t="shared" si="15"/>
        <v>#VALUE!</v>
      </c>
      <c r="K28" s="137" t="e">
        <f t="shared" si="15"/>
        <v>#VALUE!</v>
      </c>
      <c r="L28" s="137">
        <f t="shared" si="15"/>
        <v>0</v>
      </c>
      <c r="M28" s="137" t="e">
        <f t="shared" ca="1" si="15"/>
        <v>#VALUE!</v>
      </c>
      <c r="N28" s="137" t="e">
        <f t="shared" ca="1" si="15"/>
        <v>#VALUE!</v>
      </c>
    </row>
    <row r="29" spans="1:15" ht="15" customHeight="1" x14ac:dyDescent="0.3">
      <c r="A29" s="139" t="s">
        <v>132</v>
      </c>
      <c r="B29" s="140" t="e">
        <v>#VALUE!</v>
      </c>
      <c r="C29" s="140" t="e">
        <v>#VALUE!</v>
      </c>
      <c r="D29" s="140" t="e">
        <f t="shared" ref="D29" si="16">C29+F29-G29</f>
        <v>#VALUE!</v>
      </c>
      <c r="E29" s="140">
        <v>50000</v>
      </c>
      <c r="F29" s="140" t="e">
        <v>#VALUE!</v>
      </c>
      <c r="G29" s="141">
        <v>0</v>
      </c>
      <c r="H29" s="142">
        <f t="shared" si="2"/>
        <v>0</v>
      </c>
      <c r="I29" s="143" t="e">
        <v>#VALUE!</v>
      </c>
      <c r="J29" s="140" t="e">
        <v>#VALUE!</v>
      </c>
      <c r="K29" s="140" t="e">
        <v>#VALUE!</v>
      </c>
      <c r="L29" s="140">
        <v>0</v>
      </c>
      <c r="M29" s="140" t="e">
        <f ca="1">C29/$R$5</f>
        <v>#VALUE!</v>
      </c>
      <c r="N29" s="140" t="e">
        <f ca="1">M29*$R$6+C29</f>
        <v>#VALUE!</v>
      </c>
    </row>
    <row r="30" spans="1:15" ht="15" customHeight="1" x14ac:dyDescent="0.3">
      <c r="A30" s="136" t="s">
        <v>133</v>
      </c>
      <c r="B30" s="137">
        <f>SUM(B31)</f>
        <v>0</v>
      </c>
      <c r="C30" s="137">
        <f>SUM(C31)</f>
        <v>15300.990000000002</v>
      </c>
      <c r="D30" s="137" t="e">
        <f>SUM(D31:D32)</f>
        <v>#VALUE!</v>
      </c>
      <c r="E30" s="137"/>
      <c r="F30" s="137" t="e">
        <f>SUM(F31)</f>
        <v>#VALUE!</v>
      </c>
      <c r="G30" s="137">
        <f>SUM(G31)</f>
        <v>0</v>
      </c>
      <c r="H30" s="138">
        <f t="shared" si="2"/>
        <v>0</v>
      </c>
      <c r="I30" s="137">
        <f>SUM(I31)</f>
        <v>0</v>
      </c>
      <c r="J30" s="137">
        <f>SUM(J31)</f>
        <v>0</v>
      </c>
      <c r="K30" s="137"/>
      <c r="L30" s="137"/>
      <c r="M30" s="137">
        <f ca="1">SUM(M31)</f>
        <v>14.812187802516943</v>
      </c>
      <c r="N30" s="137">
        <f ca="1">SUM(N31)</f>
        <v>15493.548441432722</v>
      </c>
      <c r="O30" s="145"/>
    </row>
    <row r="31" spans="1:15" ht="15" customHeight="1" x14ac:dyDescent="0.3">
      <c r="A31" s="139" t="s">
        <v>133</v>
      </c>
      <c r="B31" s="143">
        <v>0</v>
      </c>
      <c r="C31" s="140">
        <f>G40</f>
        <v>15300.990000000002</v>
      </c>
      <c r="D31" s="140" t="e">
        <f>C31+F31</f>
        <v>#VALUE!</v>
      </c>
      <c r="E31" s="140"/>
      <c r="F31" s="140" t="e">
        <v>#VALUE!</v>
      </c>
      <c r="G31" s="141">
        <v>0</v>
      </c>
      <c r="H31" s="142">
        <f t="shared" si="2"/>
        <v>0</v>
      </c>
      <c r="I31" s="143">
        <v>0</v>
      </c>
      <c r="J31" s="140">
        <v>0</v>
      </c>
      <c r="K31" s="140"/>
      <c r="L31" s="140"/>
      <c r="M31" s="140">
        <f ca="1">C31/$R$5</f>
        <v>14.812187802516943</v>
      </c>
      <c r="N31" s="140">
        <f ca="1">M31*$R$6+C31</f>
        <v>15493.548441432722</v>
      </c>
    </row>
    <row r="32" spans="1:15" ht="15" hidden="1" customHeight="1" x14ac:dyDescent="0.3">
      <c r="A32" s="139" t="s">
        <v>203</v>
      </c>
      <c r="B32" s="143"/>
      <c r="C32" s="140"/>
      <c r="D32" s="140">
        <v>0</v>
      </c>
      <c r="E32" s="140"/>
      <c r="F32" s="140"/>
      <c r="G32" s="141"/>
      <c r="H32" s="142"/>
      <c r="I32" s="143"/>
      <c r="J32" s="140"/>
      <c r="K32" s="140"/>
      <c r="L32" s="140"/>
      <c r="M32" s="140"/>
      <c r="N32" s="140"/>
    </row>
    <row r="33" spans="1:14" ht="15" customHeight="1" x14ac:dyDescent="0.3">
      <c r="A33" s="136" t="s">
        <v>103</v>
      </c>
      <c r="B33" s="137" t="e">
        <f>SUM(B34)</f>
        <v>#VALUE!</v>
      </c>
      <c r="C33" s="137" t="e">
        <f>C34</f>
        <v>#VALUE!</v>
      </c>
      <c r="D33" s="146" t="e">
        <f>C34+F13</f>
        <v>#VALUE!</v>
      </c>
      <c r="E33" s="146"/>
      <c r="F33" s="137">
        <v>0</v>
      </c>
      <c r="G33" s="137"/>
      <c r="H33" s="138">
        <f t="shared" si="2"/>
        <v>0</v>
      </c>
      <c r="I33" s="137" t="e">
        <f>SUM(I34)</f>
        <v>#VALUE!</v>
      </c>
      <c r="J33" s="137">
        <f>SUM(J34:J39)</f>
        <v>2209.9499999999998</v>
      </c>
      <c r="K33" s="137"/>
      <c r="L33" s="137"/>
      <c r="M33" s="137" t="e">
        <f ca="1">SUM(M34)</f>
        <v>#VALUE!</v>
      </c>
      <c r="N33" s="137" t="e">
        <f ca="1">SUM(N34)</f>
        <v>#VALUE!</v>
      </c>
    </row>
    <row r="34" spans="1:14" ht="15" customHeight="1" x14ac:dyDescent="0.3">
      <c r="A34" s="139" t="s">
        <v>103</v>
      </c>
      <c r="B34" s="140" t="e">
        <v>#VALUE!</v>
      </c>
      <c r="C34" s="140" t="e">
        <v>#VALUE!</v>
      </c>
      <c r="D34" s="147" t="e">
        <f>D33-D35-D36-D37-D38-D39</f>
        <v>#VALUE!</v>
      </c>
      <c r="E34" s="147"/>
      <c r="F34" s="140">
        <v>0</v>
      </c>
      <c r="G34" s="141">
        <v>1382</v>
      </c>
      <c r="H34" s="142">
        <f t="shared" si="2"/>
        <v>0</v>
      </c>
      <c r="I34" s="143" t="e">
        <v>#VALUE!</v>
      </c>
      <c r="J34" s="140">
        <v>2209.9499999999998</v>
      </c>
      <c r="K34" s="140"/>
      <c r="L34" s="140"/>
      <c r="M34" s="140" t="e">
        <f ca="1">C34/$R$5</f>
        <v>#VALUE!</v>
      </c>
      <c r="N34" s="140" t="e">
        <f ca="1">M34*$R$6+C34</f>
        <v>#VALUE!</v>
      </c>
    </row>
    <row r="35" spans="1:14" ht="15" customHeight="1" x14ac:dyDescent="0.3">
      <c r="A35" s="139" t="s">
        <v>204</v>
      </c>
      <c r="B35" s="140"/>
      <c r="C35" s="140"/>
      <c r="D35" s="147" t="e">
        <f>SUM(F4,F14,F19,F23,F28,F30)</f>
        <v>#VALUE!</v>
      </c>
      <c r="E35" s="147"/>
      <c r="F35" s="140" t="e">
        <v>#VALUE!</v>
      </c>
      <c r="G35" s="141">
        <v>0</v>
      </c>
      <c r="H35" s="142">
        <f>IFERROR((D35-B35)/B35,0)</f>
        <v>0</v>
      </c>
      <c r="I35" s="143">
        <v>0</v>
      </c>
      <c r="J35" s="140">
        <v>0</v>
      </c>
      <c r="K35" s="140"/>
      <c r="L35" s="140"/>
      <c r="M35" s="140"/>
      <c r="N35" s="140"/>
    </row>
    <row r="36" spans="1:14" ht="15" hidden="1" customHeight="1" x14ac:dyDescent="0.3">
      <c r="A36" s="139" t="s">
        <v>205</v>
      </c>
      <c r="B36" s="140"/>
      <c r="C36" s="140"/>
      <c r="D36" s="147">
        <v>0</v>
      </c>
      <c r="E36" s="147"/>
      <c r="F36" s="140"/>
      <c r="G36" s="141"/>
      <c r="H36" s="142"/>
      <c r="I36" s="143"/>
      <c r="J36" s="140"/>
      <c r="K36" s="140"/>
      <c r="L36" s="140"/>
      <c r="M36" s="140"/>
      <c r="N36" s="140"/>
    </row>
    <row r="37" spans="1:14" ht="15" hidden="1" customHeight="1" x14ac:dyDescent="0.3">
      <c r="A37" s="139" t="s">
        <v>206</v>
      </c>
      <c r="B37" s="140"/>
      <c r="C37" s="140"/>
      <c r="D37" s="147">
        <v>0</v>
      </c>
      <c r="E37" s="147"/>
      <c r="F37" s="140"/>
      <c r="G37" s="141"/>
      <c r="H37" s="142"/>
      <c r="I37" s="143"/>
      <c r="J37" s="140"/>
      <c r="K37" s="140"/>
      <c r="L37" s="140"/>
      <c r="M37" s="140"/>
      <c r="N37" s="140"/>
    </row>
    <row r="38" spans="1:14" ht="15" hidden="1" customHeight="1" x14ac:dyDescent="0.3">
      <c r="A38" s="139" t="s">
        <v>207</v>
      </c>
      <c r="B38" s="140"/>
      <c r="C38" s="140"/>
      <c r="D38" s="147">
        <v>0</v>
      </c>
      <c r="E38" s="147"/>
      <c r="F38" s="140"/>
      <c r="G38" s="141"/>
      <c r="H38" s="142"/>
      <c r="I38" s="143"/>
      <c r="J38" s="140"/>
      <c r="K38" s="140"/>
      <c r="L38" s="140"/>
      <c r="M38" s="140"/>
      <c r="N38" s="140"/>
    </row>
    <row r="39" spans="1:14" ht="15" customHeight="1" x14ac:dyDescent="0.3">
      <c r="A39" s="139" t="s">
        <v>208</v>
      </c>
      <c r="B39" s="140"/>
      <c r="C39" s="140"/>
      <c r="D39" s="147">
        <v>7000</v>
      </c>
      <c r="E39" s="147"/>
      <c r="F39" s="140"/>
      <c r="G39" s="141"/>
      <c r="H39" s="142"/>
      <c r="I39" s="143"/>
      <c r="J39" s="140">
        <v>0</v>
      </c>
      <c r="K39" s="140"/>
      <c r="L39" s="140"/>
      <c r="M39" s="140"/>
      <c r="N39" s="140"/>
    </row>
    <row r="40" spans="1:14" ht="15" customHeight="1" x14ac:dyDescent="0.3">
      <c r="A40" s="148" t="s">
        <v>43</v>
      </c>
      <c r="B40" s="149" t="e">
        <f>SUM(B4,B14,B19,B23,B28,B30,B33)</f>
        <v>#VALUE!</v>
      </c>
      <c r="C40" s="149" t="e">
        <f>SUM(C4,C14,C19,C23,C28,C30,C33)</f>
        <v>#VALUE!</v>
      </c>
      <c r="D40" s="149" t="e">
        <f>SUM(D4,D14,D19,D23,D28,D30,D33)-D35</f>
        <v>#VALUE!</v>
      </c>
      <c r="E40" s="149">
        <f>SUM(E28,E23,E19,E14,E4)</f>
        <v>5090000</v>
      </c>
      <c r="F40" s="149" t="e">
        <f>SUM(F4,F14,F19,F23,F28,F30)</f>
        <v>#VALUE!</v>
      </c>
      <c r="G40" s="149">
        <f>SUM(G4,G14,G19,G23,G28,G30)</f>
        <v>15300.990000000002</v>
      </c>
      <c r="H40" s="150">
        <f t="shared" si="2"/>
        <v>0</v>
      </c>
      <c r="I40" s="149" t="e">
        <f t="shared" ref="I40:N40" si="17">SUM(I4,I14,I19,I23,I28,I30,I33)</f>
        <v>#VALUE!</v>
      </c>
      <c r="J40" s="149" t="e">
        <f t="shared" si="17"/>
        <v>#VALUE!</v>
      </c>
      <c r="K40" s="149" t="e">
        <f t="shared" si="17"/>
        <v>#VALUE!</v>
      </c>
      <c r="L40" s="149" t="e">
        <f t="shared" si="17"/>
        <v>#VALUE!</v>
      </c>
      <c r="M40" s="149" t="e">
        <f t="shared" ca="1" si="17"/>
        <v>#VALUE!</v>
      </c>
      <c r="N40" s="149" t="e">
        <f t="shared" ca="1" si="17"/>
        <v>#VALUE!</v>
      </c>
    </row>
    <row r="41" spans="1:14" ht="15" customHeight="1" x14ac:dyDescent="0.3">
      <c r="C41" s="140"/>
      <c r="D41" s="140"/>
      <c r="E41" s="140"/>
      <c r="F41" s="140"/>
      <c r="G41" s="140"/>
      <c r="H41" s="140"/>
      <c r="I41" s="140"/>
      <c r="N41" s="140"/>
    </row>
    <row r="42" spans="1:14" ht="15" customHeight="1" x14ac:dyDescent="0.3">
      <c r="D42" s="145"/>
      <c r="E42" s="145"/>
    </row>
    <row r="43" spans="1:14" ht="15" customHeight="1" x14ac:dyDescent="0.3">
      <c r="D43" s="145"/>
      <c r="E43" s="145"/>
    </row>
    <row r="44" spans="1:14" ht="15" customHeight="1" x14ac:dyDescent="0.3">
      <c r="D44" s="145"/>
      <c r="E44" s="145"/>
    </row>
    <row r="45" spans="1:14" ht="15" customHeight="1" x14ac:dyDescent="0.3"/>
    <row r="46" spans="1:14" ht="15" customHeight="1" x14ac:dyDescent="0.3"/>
  </sheetData>
  <mergeCells count="1">
    <mergeCell ref="A1:N2"/>
  </mergeCells>
  <pageMargins left="0.25" right="0.25" top="0.75" bottom="0.75" header="0.3" footer="0.3"/>
  <pageSetup paperSize="9" scale="9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0760-87F8-44B7-9F52-39A6F4B68000}">
  <sheetPr>
    <pageSetUpPr fitToPage="1"/>
  </sheetPr>
  <dimension ref="A1:S41"/>
  <sheetViews>
    <sheetView showGridLines="0" zoomScale="85" zoomScaleNormal="85" zoomScaleSheetLayoutView="90" workbookViewId="0">
      <pane xSplit="1" ySplit="3" topLeftCell="B14" activePane="bottomRight" state="frozen"/>
      <selection pane="topRight" activeCell="B1" sqref="B1"/>
      <selection pane="bottomLeft" activeCell="A4" sqref="A4"/>
      <selection pane="bottomRight" activeCell="F5" sqref="F5:F12"/>
    </sheetView>
  </sheetViews>
  <sheetFormatPr defaultColWidth="9.109375" defaultRowHeight="14.4" x14ac:dyDescent="0.3"/>
  <cols>
    <col min="1" max="1" width="21.88671875" style="159" bestFit="1" customWidth="1"/>
    <col min="2" max="2" width="20.5546875" style="159" customWidth="1"/>
    <col min="3" max="3" width="20.5546875" style="159" hidden="1" customWidth="1"/>
    <col min="4" max="6" width="20.5546875" style="159" customWidth="1"/>
    <col min="7" max="7" width="20.5546875" style="166" hidden="1" customWidth="1"/>
    <col min="8" max="10" width="20.5546875" style="159" customWidth="1"/>
    <col min="11" max="11" width="20.5546875" style="159" hidden="1" customWidth="1"/>
    <col min="12" max="12" width="20.5546875" style="159" customWidth="1"/>
    <col min="13" max="13" width="20.5546875" style="159" hidden="1" customWidth="1"/>
    <col min="14" max="14" width="20.5546875" style="159" customWidth="1"/>
    <col min="15" max="15" width="16.33203125" style="159" customWidth="1"/>
    <col min="16" max="16" width="14.88671875" style="159" customWidth="1"/>
    <col min="17" max="18" width="9.109375" style="166"/>
    <col min="19" max="16384" width="9.109375" style="159"/>
  </cols>
  <sheetData>
    <row r="1" spans="1:19" ht="15" customHeight="1" x14ac:dyDescent="0.3">
      <c r="A1" s="300" t="s">
        <v>210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159" t="s">
        <v>104</v>
      </c>
    </row>
    <row r="2" spans="1:19" x14ac:dyDescent="0.3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165">
        <f ca="1">TODAY()-1</f>
        <v>45322</v>
      </c>
    </row>
    <row r="3" spans="1:19" s="173" customFormat="1" x14ac:dyDescent="0.3">
      <c r="A3" s="170" t="s">
        <v>105</v>
      </c>
      <c r="B3" s="171" t="s">
        <v>211</v>
      </c>
      <c r="C3" s="172" t="s">
        <v>193</v>
      </c>
      <c r="D3" s="171" t="s">
        <v>212</v>
      </c>
      <c r="E3" s="171" t="s">
        <v>213</v>
      </c>
      <c r="F3" s="171" t="s">
        <v>196</v>
      </c>
      <c r="G3" s="172" t="s">
        <v>197</v>
      </c>
      <c r="H3" s="171" t="s">
        <v>106</v>
      </c>
      <c r="I3" s="171" t="s">
        <v>107</v>
      </c>
      <c r="J3" s="171" t="s">
        <v>138</v>
      </c>
      <c r="K3" s="171" t="s">
        <v>111</v>
      </c>
      <c r="L3" s="171" t="s">
        <v>214</v>
      </c>
      <c r="M3" s="172" t="s">
        <v>113</v>
      </c>
      <c r="Q3" s="174"/>
      <c r="R3" s="174"/>
    </row>
    <row r="4" spans="1:19" x14ac:dyDescent="0.3">
      <c r="A4" s="161" t="s">
        <v>17</v>
      </c>
      <c r="B4" s="177">
        <v>3130910.0800000122</v>
      </c>
      <c r="C4" s="177">
        <v>2314439.6099999989</v>
      </c>
      <c r="D4" s="177">
        <v>2318961.2499999995</v>
      </c>
      <c r="E4" s="177">
        <v>2965000</v>
      </c>
      <c r="F4" s="177">
        <v>6805.62</v>
      </c>
      <c r="G4" s="177">
        <v>2283.98</v>
      </c>
      <c r="H4" s="163">
        <v>-0.25933316807361312</v>
      </c>
      <c r="I4" s="177">
        <v>98565.6</v>
      </c>
      <c r="J4" s="177">
        <v>93612</v>
      </c>
      <c r="K4" s="177">
        <v>646038.75000000105</v>
      </c>
      <c r="L4" s="163">
        <v>0.78211172006745344</v>
      </c>
      <c r="M4" s="177" t="e">
        <v>#DIV/0!</v>
      </c>
      <c r="P4" s="165">
        <v>44287</v>
      </c>
      <c r="S4" s="159" t="s">
        <v>199</v>
      </c>
    </row>
    <row r="5" spans="1:19" x14ac:dyDescent="0.3">
      <c r="A5" s="160" t="s">
        <v>19</v>
      </c>
      <c r="B5" s="178">
        <v>716190.59999998298</v>
      </c>
      <c r="C5" s="178">
        <v>513209.46999999898</v>
      </c>
      <c r="D5" s="178">
        <v>513930.26999999903</v>
      </c>
      <c r="E5" s="178">
        <v>660000</v>
      </c>
      <c r="F5" s="178">
        <v>1120.6500000000001</v>
      </c>
      <c r="G5" s="179">
        <v>399.85</v>
      </c>
      <c r="H5" s="175">
        <v>-0.28241131620547483</v>
      </c>
      <c r="I5" s="176">
        <v>24047.96</v>
      </c>
      <c r="J5" s="178">
        <v>25144.6</v>
      </c>
      <c r="K5" s="178">
        <v>146069.73000000097</v>
      </c>
      <c r="L5" s="175">
        <v>0.77868222727272585</v>
      </c>
      <c r="M5" s="178">
        <v>513219.59286895354</v>
      </c>
      <c r="N5" s="180"/>
      <c r="P5" s="165">
        <v>44412</v>
      </c>
      <c r="Q5" s="166">
        <v>122</v>
      </c>
      <c r="R5" s="166">
        <v>122</v>
      </c>
      <c r="S5" s="159" t="s">
        <v>200</v>
      </c>
    </row>
    <row r="6" spans="1:19" x14ac:dyDescent="0.3">
      <c r="A6" s="160" t="s">
        <v>18</v>
      </c>
      <c r="B6" s="178">
        <v>489944.21000000602</v>
      </c>
      <c r="C6" s="178">
        <v>336747.04</v>
      </c>
      <c r="D6" s="178">
        <v>337406.17</v>
      </c>
      <c r="E6" s="178">
        <v>450000</v>
      </c>
      <c r="F6" s="178">
        <v>659.13</v>
      </c>
      <c r="G6" s="179">
        <v>0</v>
      </c>
      <c r="H6" s="175">
        <v>-0.3113375704552242</v>
      </c>
      <c r="I6" s="176">
        <v>13695.11</v>
      </c>
      <c r="J6" s="178">
        <v>12754.01</v>
      </c>
      <c r="K6" s="178">
        <v>112593.83000000002</v>
      </c>
      <c r="L6" s="175">
        <v>0.7497914888888888</v>
      </c>
      <c r="M6" s="178">
        <v>336756.78728935553</v>
      </c>
      <c r="P6" s="165">
        <v>44316</v>
      </c>
      <c r="Q6" s="166">
        <v>13</v>
      </c>
      <c r="R6" s="166">
        <v>13</v>
      </c>
    </row>
    <row r="7" spans="1:19" x14ac:dyDescent="0.3">
      <c r="A7" s="160" t="s">
        <v>116</v>
      </c>
      <c r="B7" s="178">
        <v>337124.910000003</v>
      </c>
      <c r="C7" s="178">
        <v>249002.14</v>
      </c>
      <c r="D7" s="178">
        <v>249923.64</v>
      </c>
      <c r="E7" s="178">
        <v>280000</v>
      </c>
      <c r="F7" s="178">
        <v>921.5</v>
      </c>
      <c r="G7" s="179">
        <v>0</v>
      </c>
      <c r="H7" s="175">
        <v>-0.25866160409209221</v>
      </c>
      <c r="I7" s="176">
        <v>13199.22</v>
      </c>
      <c r="J7" s="178">
        <v>9517.83</v>
      </c>
      <c r="K7" s="178">
        <v>30076.359999999986</v>
      </c>
      <c r="L7" s="175">
        <v>0.89258442857142861</v>
      </c>
      <c r="M7" s="178">
        <v>249013.74359757145</v>
      </c>
      <c r="Q7" s="166" t="s">
        <v>140</v>
      </c>
      <c r="R7" s="166" t="s">
        <v>141</v>
      </c>
    </row>
    <row r="8" spans="1:19" ht="15" customHeight="1" x14ac:dyDescent="0.3">
      <c r="A8" s="160" t="s">
        <v>117</v>
      </c>
      <c r="B8" s="178">
        <v>166637.68000000101</v>
      </c>
      <c r="C8" s="178">
        <v>92850.14</v>
      </c>
      <c r="D8" s="178">
        <v>93561.49</v>
      </c>
      <c r="E8" s="178">
        <v>150000</v>
      </c>
      <c r="F8" s="178">
        <v>711.35</v>
      </c>
      <c r="G8" s="179">
        <v>0</v>
      </c>
      <c r="H8" s="175">
        <v>-0.43853340973062371</v>
      </c>
      <c r="I8" s="176">
        <v>6293.24</v>
      </c>
      <c r="J8" s="178">
        <v>871.48</v>
      </c>
      <c r="K8" s="178">
        <v>56438.509999999995</v>
      </c>
      <c r="L8" s="175">
        <v>0.62374326666666668</v>
      </c>
      <c r="M8" s="178">
        <v>92858.248662466664</v>
      </c>
    </row>
    <row r="9" spans="1:19" ht="15" customHeight="1" x14ac:dyDescent="0.3">
      <c r="A9" s="160" t="s">
        <v>118</v>
      </c>
      <c r="B9" s="178">
        <v>466356.00000000501</v>
      </c>
      <c r="C9" s="178">
        <v>379216.15</v>
      </c>
      <c r="D9" s="178">
        <v>378009.84</v>
      </c>
      <c r="E9" s="178">
        <v>500000</v>
      </c>
      <c r="F9" s="178">
        <v>677.82</v>
      </c>
      <c r="G9" s="179">
        <v>1884.13</v>
      </c>
      <c r="H9" s="175">
        <v>-0.18943931245658688</v>
      </c>
      <c r="I9" s="176">
        <v>13063.57</v>
      </c>
      <c r="J9" s="178">
        <v>16273.39</v>
      </c>
      <c r="K9" s="178">
        <v>121990.15999999997</v>
      </c>
      <c r="L9" s="175">
        <v>0.75601968000000008</v>
      </c>
      <c r="M9" s="178">
        <v>379225.97825584002</v>
      </c>
    </row>
    <row r="10" spans="1:19" ht="15" customHeight="1" x14ac:dyDescent="0.3">
      <c r="A10" s="160" t="s">
        <v>119</v>
      </c>
      <c r="B10" s="178">
        <v>269567.930000005</v>
      </c>
      <c r="C10" s="178">
        <v>236015.25</v>
      </c>
      <c r="D10" s="178">
        <v>238072.77</v>
      </c>
      <c r="E10" s="178">
        <v>265000</v>
      </c>
      <c r="F10" s="178">
        <v>2057.52</v>
      </c>
      <c r="G10" s="179">
        <v>0</v>
      </c>
      <c r="H10" s="175">
        <v>-0.11683570816455958</v>
      </c>
      <c r="I10" s="176">
        <v>8968.52</v>
      </c>
      <c r="J10" s="178">
        <v>12051.22</v>
      </c>
      <c r="K10" s="178">
        <v>26927.23000000001</v>
      </c>
      <c r="L10" s="175">
        <v>0.89838781132075463</v>
      </c>
      <c r="M10" s="178">
        <v>236026.92904154718</v>
      </c>
      <c r="Q10" s="166" t="s">
        <v>201</v>
      </c>
      <c r="R10" s="166" t="s">
        <v>202</v>
      </c>
    </row>
    <row r="11" spans="1:19" ht="15" customHeight="1" x14ac:dyDescent="0.3">
      <c r="A11" s="160" t="s">
        <v>120</v>
      </c>
      <c r="B11" s="178">
        <v>507319.30000000802</v>
      </c>
      <c r="C11" s="178">
        <v>370419.6</v>
      </c>
      <c r="D11" s="178">
        <v>370906.35</v>
      </c>
      <c r="E11" s="178">
        <v>500000</v>
      </c>
      <c r="F11" s="178">
        <v>486.75</v>
      </c>
      <c r="G11" s="179">
        <v>0</v>
      </c>
      <c r="H11" s="175">
        <v>-0.26888973078691447</v>
      </c>
      <c r="I11" s="176">
        <v>15147.66</v>
      </c>
      <c r="J11" s="178">
        <v>13853.78</v>
      </c>
      <c r="K11" s="178">
        <v>129093.65000000002</v>
      </c>
      <c r="L11" s="175">
        <v>0.74181269999999999</v>
      </c>
      <c r="M11" s="178">
        <v>370429.24356509995</v>
      </c>
      <c r="P11" s="159" t="s">
        <v>140</v>
      </c>
      <c r="Q11" s="166">
        <v>22</v>
      </c>
      <c r="R11" s="166">
        <v>7</v>
      </c>
    </row>
    <row r="12" spans="1:19" ht="15" customHeight="1" x14ac:dyDescent="0.3">
      <c r="A12" s="160" t="s">
        <v>121</v>
      </c>
      <c r="B12" s="178">
        <v>177769.450000001</v>
      </c>
      <c r="C12" s="178">
        <v>136979.82</v>
      </c>
      <c r="D12" s="178">
        <v>137150.72</v>
      </c>
      <c r="E12" s="178">
        <v>160000</v>
      </c>
      <c r="F12" s="178">
        <v>170.9</v>
      </c>
      <c r="G12" s="179">
        <v>0</v>
      </c>
      <c r="H12" s="175">
        <v>-0.22849105962807878</v>
      </c>
      <c r="I12" s="176">
        <v>4150.32</v>
      </c>
      <c r="J12" s="178">
        <v>3145.69</v>
      </c>
      <c r="K12" s="178">
        <v>22849.279999999999</v>
      </c>
      <c r="L12" s="175">
        <v>0.85719199999999995</v>
      </c>
      <c r="M12" s="178">
        <v>136990.96349600001</v>
      </c>
      <c r="P12" s="159" t="s">
        <v>141</v>
      </c>
      <c r="Q12" s="166">
        <v>19</v>
      </c>
      <c r="R12" s="166">
        <v>6</v>
      </c>
    </row>
    <row r="13" spans="1:19" ht="15" hidden="1" customHeight="1" x14ac:dyDescent="0.3">
      <c r="A13" s="160" t="s">
        <v>134</v>
      </c>
      <c r="B13" s="178">
        <v>0</v>
      </c>
      <c r="C13" s="178">
        <v>0</v>
      </c>
      <c r="D13" s="178">
        <v>0</v>
      </c>
      <c r="E13" s="178">
        <v>0</v>
      </c>
      <c r="F13" s="178">
        <v>0</v>
      </c>
      <c r="G13" s="179">
        <v>0</v>
      </c>
      <c r="H13" s="175">
        <v>0</v>
      </c>
      <c r="I13" s="176">
        <v>0</v>
      </c>
      <c r="J13" s="178">
        <v>0</v>
      </c>
      <c r="K13" s="178">
        <v>0</v>
      </c>
      <c r="L13" s="175" t="e">
        <v>#DIV/0!</v>
      </c>
      <c r="M13" s="178" t="e">
        <v>#DIV/0!</v>
      </c>
    </row>
    <row r="14" spans="1:19" ht="15" customHeight="1" x14ac:dyDescent="0.3">
      <c r="A14" s="161" t="s">
        <v>11</v>
      </c>
      <c r="B14" s="177">
        <v>1312706.3800000011</v>
      </c>
      <c r="C14" s="177">
        <v>1322793.2299999988</v>
      </c>
      <c r="D14" s="177">
        <v>1320881.4899999991</v>
      </c>
      <c r="E14" s="177">
        <v>1180000</v>
      </c>
      <c r="F14" s="177">
        <v>8647.66</v>
      </c>
      <c r="G14" s="177">
        <v>10559.4</v>
      </c>
      <c r="H14" s="163">
        <v>6.2276759864593641E-3</v>
      </c>
      <c r="I14" s="177">
        <v>51579.78</v>
      </c>
      <c r="J14" s="177">
        <v>62905.279999999999</v>
      </c>
      <c r="K14" s="177">
        <v>28430.58</v>
      </c>
      <c r="L14" s="163">
        <v>1.1193910932203381</v>
      </c>
      <c r="M14" s="177">
        <v>1322848.1227011478</v>
      </c>
    </row>
    <row r="15" spans="1:19" ht="15" customHeight="1" x14ac:dyDescent="0.3">
      <c r="A15" s="160" t="s">
        <v>122</v>
      </c>
      <c r="B15" s="178">
        <v>123008.14</v>
      </c>
      <c r="C15" s="178">
        <v>70772.47</v>
      </c>
      <c r="D15" s="178">
        <v>71569.42</v>
      </c>
      <c r="E15" s="178">
        <v>100000</v>
      </c>
      <c r="F15" s="178">
        <v>796.94999999999993</v>
      </c>
      <c r="G15" s="179">
        <v>0</v>
      </c>
      <c r="H15" s="175">
        <v>-0.4181733013766406</v>
      </c>
      <c r="I15" s="176">
        <v>10013.02</v>
      </c>
      <c r="J15" s="178">
        <v>3015.97</v>
      </c>
      <c r="K15" s="178">
        <v>28430.58</v>
      </c>
      <c r="L15" s="175">
        <v>0.71569419999999995</v>
      </c>
      <c r="M15" s="178">
        <v>70781.774024600003</v>
      </c>
    </row>
    <row r="16" spans="1:19" ht="15" customHeight="1" x14ac:dyDescent="0.3">
      <c r="A16" s="160" t="s">
        <v>123</v>
      </c>
      <c r="B16" s="178">
        <v>291260.489999999</v>
      </c>
      <c r="C16" s="178">
        <v>359088.99</v>
      </c>
      <c r="D16" s="178">
        <v>358391.77</v>
      </c>
      <c r="E16" s="178">
        <v>300000</v>
      </c>
      <c r="F16" s="178">
        <v>260.77999999999997</v>
      </c>
      <c r="G16" s="179">
        <v>958</v>
      </c>
      <c r="H16" s="175">
        <v>0.2304853638061285</v>
      </c>
      <c r="I16" s="176">
        <v>10288.540000000001</v>
      </c>
      <c r="J16" s="178">
        <v>22846.3</v>
      </c>
      <c r="K16" s="178">
        <v>0</v>
      </c>
      <c r="L16" s="175">
        <v>1.1946392333333333</v>
      </c>
      <c r="M16" s="178">
        <v>359104.52031003335</v>
      </c>
    </row>
    <row r="17" spans="1:14" ht="15" customHeight="1" x14ac:dyDescent="0.3">
      <c r="A17" s="160" t="s">
        <v>58</v>
      </c>
      <c r="B17" s="178">
        <v>721819.850000003</v>
      </c>
      <c r="C17" s="178">
        <v>656923.049999999</v>
      </c>
      <c r="D17" s="178">
        <v>654001.72999999893</v>
      </c>
      <c r="E17" s="178">
        <v>580000</v>
      </c>
      <c r="F17" s="178">
        <v>6351.08</v>
      </c>
      <c r="G17" s="179">
        <v>9272.4</v>
      </c>
      <c r="H17" s="175">
        <v>-9.3954357170980801E-2</v>
      </c>
      <c r="I17" s="176">
        <v>25440.16</v>
      </c>
      <c r="J17" s="178">
        <v>25593.759999999998</v>
      </c>
      <c r="K17" s="178">
        <v>0</v>
      </c>
      <c r="L17" s="175">
        <v>1.1275891896551706</v>
      </c>
      <c r="M17" s="178">
        <v>656937.70865946449</v>
      </c>
    </row>
    <row r="18" spans="1:14" ht="15" customHeight="1" x14ac:dyDescent="0.3">
      <c r="A18" s="160" t="s">
        <v>124</v>
      </c>
      <c r="B18" s="178">
        <v>176617.899999999</v>
      </c>
      <c r="C18" s="178">
        <v>236008.72</v>
      </c>
      <c r="D18" s="178">
        <v>236918.57</v>
      </c>
      <c r="E18" s="178">
        <v>200000</v>
      </c>
      <c r="F18" s="178">
        <v>1238.8499999999999</v>
      </c>
      <c r="G18" s="179">
        <v>329</v>
      </c>
      <c r="H18" s="175">
        <v>0.34141879164003958</v>
      </c>
      <c r="I18" s="176">
        <v>5838.06</v>
      </c>
      <c r="J18" s="178">
        <v>11449.25</v>
      </c>
      <c r="K18" s="178">
        <v>0</v>
      </c>
      <c r="L18" s="175">
        <v>1.18459285</v>
      </c>
      <c r="M18" s="178">
        <v>236024.11970705001</v>
      </c>
    </row>
    <row r="19" spans="1:14" ht="15" customHeight="1" x14ac:dyDescent="0.3">
      <c r="A19" s="161" t="s">
        <v>27</v>
      </c>
      <c r="B19" s="177">
        <v>758039.71</v>
      </c>
      <c r="C19" s="177">
        <v>723058.9800000001</v>
      </c>
      <c r="D19" s="177">
        <v>734503.83000000007</v>
      </c>
      <c r="E19" s="177">
        <v>790000</v>
      </c>
      <c r="F19" s="177">
        <v>11444.85</v>
      </c>
      <c r="G19" s="177">
        <v>0</v>
      </c>
      <c r="H19" s="163">
        <v>-3.1048347058229824E-2</v>
      </c>
      <c r="I19" s="177">
        <v>23665</v>
      </c>
      <c r="J19" s="177">
        <v>36414.879999999997</v>
      </c>
      <c r="K19" s="177">
        <v>57019.129999999946</v>
      </c>
      <c r="L19" s="163">
        <v>0.92975168354430393</v>
      </c>
      <c r="M19" s="177">
        <v>723096.0601621907</v>
      </c>
    </row>
    <row r="20" spans="1:14" ht="15" customHeight="1" x14ac:dyDescent="0.3">
      <c r="A20" s="160" t="s">
        <v>125</v>
      </c>
      <c r="B20" s="178">
        <v>171197.91</v>
      </c>
      <c r="C20" s="178">
        <v>180092.26</v>
      </c>
      <c r="D20" s="178">
        <v>186522.96000000002</v>
      </c>
      <c r="E20" s="178">
        <v>185000</v>
      </c>
      <c r="F20" s="178">
        <v>6430.7</v>
      </c>
      <c r="G20" s="179">
        <v>0</v>
      </c>
      <c r="H20" s="175">
        <v>8.951657178525145E-2</v>
      </c>
      <c r="I20" s="176">
        <v>1760</v>
      </c>
      <c r="J20" s="178">
        <v>6758.94</v>
      </c>
      <c r="K20" s="178">
        <v>0</v>
      </c>
      <c r="L20" s="175">
        <v>1.0082322162162163</v>
      </c>
      <c r="M20" s="178">
        <v>180105.36701881082</v>
      </c>
    </row>
    <row r="21" spans="1:14" ht="15" customHeight="1" x14ac:dyDescent="0.3">
      <c r="A21" s="160" t="s">
        <v>126</v>
      </c>
      <c r="B21" s="178">
        <v>383530.8</v>
      </c>
      <c r="C21" s="178">
        <v>332808.69000000006</v>
      </c>
      <c r="D21" s="178">
        <v>337632.94000000006</v>
      </c>
      <c r="E21" s="178">
        <v>390000</v>
      </c>
      <c r="F21" s="178">
        <v>4824.25</v>
      </c>
      <c r="G21" s="179">
        <v>0</v>
      </c>
      <c r="H21" s="175">
        <v>-0.11967190118759674</v>
      </c>
      <c r="I21" s="176">
        <v>13295</v>
      </c>
      <c r="J21" s="178">
        <v>19265.62</v>
      </c>
      <c r="K21" s="178">
        <v>52367.059999999939</v>
      </c>
      <c r="L21" s="175">
        <v>0.86572548717948739</v>
      </c>
      <c r="M21" s="178">
        <v>332819.9444313334</v>
      </c>
    </row>
    <row r="22" spans="1:14" ht="15" customHeight="1" x14ac:dyDescent="0.3">
      <c r="A22" s="160" t="s">
        <v>127</v>
      </c>
      <c r="B22" s="178">
        <v>203311</v>
      </c>
      <c r="C22" s="178">
        <v>210158.03</v>
      </c>
      <c r="D22" s="178">
        <v>210347.93</v>
      </c>
      <c r="E22" s="178">
        <v>215000</v>
      </c>
      <c r="F22" s="178">
        <v>189.9</v>
      </c>
      <c r="G22" s="179">
        <v>0</v>
      </c>
      <c r="H22" s="175">
        <v>3.4611654066922071E-2</v>
      </c>
      <c r="I22" s="176">
        <v>8610</v>
      </c>
      <c r="J22" s="178">
        <v>10390.32</v>
      </c>
      <c r="K22" s="178">
        <v>4652.070000000007</v>
      </c>
      <c r="L22" s="175">
        <v>0.978362465116279</v>
      </c>
      <c r="M22" s="178">
        <v>210170.74871204651</v>
      </c>
    </row>
    <row r="23" spans="1:14" ht="15" customHeight="1" x14ac:dyDescent="0.3">
      <c r="A23" s="161" t="s">
        <v>32</v>
      </c>
      <c r="B23" s="177">
        <v>413255.06999999972</v>
      </c>
      <c r="C23" s="177">
        <v>429267.24</v>
      </c>
      <c r="D23" s="177">
        <v>430690.19</v>
      </c>
      <c r="E23" s="177">
        <v>480000</v>
      </c>
      <c r="F23" s="177">
        <v>1488.8899999999999</v>
      </c>
      <c r="G23" s="177">
        <v>65.94</v>
      </c>
      <c r="H23" s="163">
        <v>4.2189730424844633E-2</v>
      </c>
      <c r="I23" s="177">
        <v>13736.82</v>
      </c>
      <c r="J23" s="177">
        <v>20243.739999999991</v>
      </c>
      <c r="K23" s="177">
        <v>49309.810000000034</v>
      </c>
      <c r="L23" s="163">
        <v>0.89727122916666668</v>
      </c>
      <c r="M23" s="177">
        <v>429313.3253685002</v>
      </c>
    </row>
    <row r="24" spans="1:14" ht="15" customHeight="1" x14ac:dyDescent="0.3">
      <c r="A24" s="160" t="s">
        <v>56</v>
      </c>
      <c r="B24" s="178">
        <v>133975.53999999899</v>
      </c>
      <c r="C24" s="178">
        <v>92492.160000000003</v>
      </c>
      <c r="D24" s="178">
        <v>92692.02</v>
      </c>
      <c r="E24" s="178">
        <v>115000</v>
      </c>
      <c r="F24" s="178">
        <v>265.8</v>
      </c>
      <c r="G24" s="179">
        <v>65.94</v>
      </c>
      <c r="H24" s="175">
        <v>-0.30814221760180477</v>
      </c>
      <c r="I24" s="176">
        <v>3123.82</v>
      </c>
      <c r="J24" s="178">
        <v>4105.1899999999996</v>
      </c>
      <c r="K24" s="178">
        <v>22307.979999999996</v>
      </c>
      <c r="L24" s="175">
        <v>0.80601756521739132</v>
      </c>
      <c r="M24" s="178">
        <v>92502.638228347831</v>
      </c>
    </row>
    <row r="25" spans="1:14" ht="15" customHeight="1" x14ac:dyDescent="0.3">
      <c r="A25" s="160" t="s">
        <v>128</v>
      </c>
      <c r="B25" s="178">
        <v>80278.289999999703</v>
      </c>
      <c r="C25" s="178">
        <v>63501.63</v>
      </c>
      <c r="D25" s="178">
        <v>63501.63</v>
      </c>
      <c r="E25" s="178">
        <v>75000</v>
      </c>
      <c r="F25" s="178">
        <v>0</v>
      </c>
      <c r="G25" s="179">
        <v>0</v>
      </c>
      <c r="H25" s="175">
        <v>-0.20898128248620851</v>
      </c>
      <c r="I25" s="176">
        <v>1768.7</v>
      </c>
      <c r="J25" s="178">
        <v>3997.88</v>
      </c>
      <c r="K25" s="178">
        <v>11498.370000000003</v>
      </c>
      <c r="L25" s="175">
        <v>0.84668840000000001</v>
      </c>
      <c r="M25" s="178">
        <v>63512.636949199994</v>
      </c>
    </row>
    <row r="26" spans="1:14" ht="15" customHeight="1" x14ac:dyDescent="0.3">
      <c r="A26" s="160" t="s">
        <v>129</v>
      </c>
      <c r="B26" s="178">
        <v>0</v>
      </c>
      <c r="C26" s="178">
        <v>143272.04999999999</v>
      </c>
      <c r="D26" s="178">
        <v>143571.09999999998</v>
      </c>
      <c r="E26" s="178">
        <v>150000</v>
      </c>
      <c r="F26" s="178">
        <v>299.05</v>
      </c>
      <c r="G26" s="179">
        <v>0</v>
      </c>
      <c r="H26" s="175">
        <v>0</v>
      </c>
      <c r="I26" s="176">
        <v>0</v>
      </c>
      <c r="J26" s="178">
        <v>5547.48</v>
      </c>
      <c r="K26" s="178">
        <v>6428.9000000000233</v>
      </c>
      <c r="L26" s="175">
        <v>0.95714066666666653</v>
      </c>
      <c r="M26" s="178">
        <v>143284.49282866667</v>
      </c>
    </row>
    <row r="27" spans="1:14" ht="15" customHeight="1" x14ac:dyDescent="0.3">
      <c r="A27" s="160" t="s">
        <v>130</v>
      </c>
      <c r="B27" s="178">
        <v>199001.24000000101</v>
      </c>
      <c r="C27" s="178">
        <v>130001.4</v>
      </c>
      <c r="D27" s="178">
        <v>130925.43999999999</v>
      </c>
      <c r="E27" s="178">
        <v>140000</v>
      </c>
      <c r="F27" s="178">
        <v>924.04</v>
      </c>
      <c r="G27" s="179">
        <v>0</v>
      </c>
      <c r="H27" s="175">
        <v>-0.34208731563683059</v>
      </c>
      <c r="I27" s="176">
        <v>8844.2999999999993</v>
      </c>
      <c r="J27" s="178">
        <v>6593.1899999999896</v>
      </c>
      <c r="K27" s="178">
        <v>9074.5600000000122</v>
      </c>
      <c r="L27" s="175">
        <v>0.93518171428571417</v>
      </c>
      <c r="M27" s="178">
        <v>130013.5573622857</v>
      </c>
    </row>
    <row r="28" spans="1:14" ht="15" customHeight="1" x14ac:dyDescent="0.3">
      <c r="A28" s="161" t="s">
        <v>131</v>
      </c>
      <c r="B28" s="177">
        <v>57514.59</v>
      </c>
      <c r="C28" s="177">
        <v>114038.76</v>
      </c>
      <c r="D28" s="177">
        <v>114038.76</v>
      </c>
      <c r="E28" s="177">
        <v>105000</v>
      </c>
      <c r="F28" s="177">
        <v>0</v>
      </c>
      <c r="G28" s="177">
        <v>0</v>
      </c>
      <c r="H28" s="163">
        <v>0.98277967381841724</v>
      </c>
      <c r="I28" s="177">
        <v>635.46</v>
      </c>
      <c r="J28" s="177">
        <v>7396.3099999999904</v>
      </c>
      <c r="K28" s="177">
        <v>0</v>
      </c>
      <c r="L28" s="163">
        <v>1.0860834285714285</v>
      </c>
      <c r="M28" s="177">
        <v>114052.87908457142</v>
      </c>
    </row>
    <row r="29" spans="1:14" ht="15" customHeight="1" x14ac:dyDescent="0.3">
      <c r="A29" s="160" t="s">
        <v>132</v>
      </c>
      <c r="B29" s="178">
        <v>57514.59</v>
      </c>
      <c r="C29" s="178">
        <v>114038.76</v>
      </c>
      <c r="D29" s="178">
        <v>114038.76</v>
      </c>
      <c r="E29" s="178">
        <v>105000</v>
      </c>
      <c r="F29" s="178">
        <v>0</v>
      </c>
      <c r="G29" s="179">
        <v>0</v>
      </c>
      <c r="H29" s="175">
        <v>0.98277967381841724</v>
      </c>
      <c r="I29" s="176">
        <v>635.46</v>
      </c>
      <c r="J29" s="178">
        <v>7396.3099999999904</v>
      </c>
      <c r="K29" s="178">
        <v>0</v>
      </c>
      <c r="L29" s="175">
        <v>1.0860834285714285</v>
      </c>
      <c r="M29" s="178">
        <v>114052.87908457142</v>
      </c>
    </row>
    <row r="30" spans="1:14" ht="15" customHeight="1" x14ac:dyDescent="0.3">
      <c r="A30" s="161" t="s">
        <v>133</v>
      </c>
      <c r="B30" s="177">
        <v>0</v>
      </c>
      <c r="C30" s="177">
        <v>12909.32</v>
      </c>
      <c r="D30" s="177">
        <v>12909.32</v>
      </c>
      <c r="E30" s="177">
        <v>10000</v>
      </c>
      <c r="F30" s="177">
        <v>0</v>
      </c>
      <c r="G30" s="177">
        <v>0</v>
      </c>
      <c r="H30" s="163">
        <v>0</v>
      </c>
      <c r="I30" s="177">
        <v>0</v>
      </c>
      <c r="J30" s="177">
        <v>0</v>
      </c>
      <c r="K30" s="177">
        <v>0</v>
      </c>
      <c r="L30" s="163">
        <v>1.290932</v>
      </c>
      <c r="M30" s="177">
        <v>12926.102116</v>
      </c>
      <c r="N30" s="167"/>
    </row>
    <row r="31" spans="1:14" ht="15" customHeight="1" x14ac:dyDescent="0.3">
      <c r="A31" s="160" t="s">
        <v>133</v>
      </c>
      <c r="B31" s="176">
        <v>0</v>
      </c>
      <c r="C31" s="178">
        <v>12909.32</v>
      </c>
      <c r="D31" s="178">
        <v>12909.32</v>
      </c>
      <c r="E31" s="178">
        <v>10000</v>
      </c>
      <c r="F31" s="178">
        <v>0</v>
      </c>
      <c r="G31" s="179">
        <v>0</v>
      </c>
      <c r="H31" s="175">
        <v>0</v>
      </c>
      <c r="I31" s="176">
        <v>0</v>
      </c>
      <c r="J31" s="178">
        <v>0</v>
      </c>
      <c r="K31" s="178">
        <v>0</v>
      </c>
      <c r="L31" s="175">
        <v>1.290932</v>
      </c>
      <c r="M31" s="178">
        <v>12926.102116</v>
      </c>
    </row>
    <row r="32" spans="1:14" ht="15" customHeight="1" x14ac:dyDescent="0.3">
      <c r="A32" s="161" t="s">
        <v>103</v>
      </c>
      <c r="B32" s="177">
        <v>0</v>
      </c>
      <c r="C32" s="177">
        <v>53974.34000000004</v>
      </c>
      <c r="D32" s="169">
        <v>53974.34000000004</v>
      </c>
      <c r="E32" s="169">
        <v>80000</v>
      </c>
      <c r="F32" s="177">
        <v>0</v>
      </c>
      <c r="G32" s="177"/>
      <c r="H32" s="163">
        <v>0</v>
      </c>
      <c r="I32" s="177">
        <v>0</v>
      </c>
      <c r="J32" s="177">
        <v>0</v>
      </c>
      <c r="K32" s="177">
        <v>26025.65999999996</v>
      </c>
      <c r="L32" s="163">
        <v>0.67467925000000051</v>
      </c>
      <c r="M32" s="177">
        <v>53974.34000000004</v>
      </c>
    </row>
    <row r="33" spans="1:13" ht="15" customHeight="1" x14ac:dyDescent="0.3">
      <c r="A33" s="160" t="s">
        <v>103</v>
      </c>
      <c r="B33" s="178">
        <v>0</v>
      </c>
      <c r="C33" s="178">
        <v>53974.34000000004</v>
      </c>
      <c r="D33" s="168">
        <v>25587.320000000043</v>
      </c>
      <c r="E33" s="168"/>
      <c r="F33" s="178">
        <v>0</v>
      </c>
      <c r="G33" s="179">
        <v>1383.48</v>
      </c>
      <c r="H33" s="175">
        <v>0</v>
      </c>
      <c r="I33" s="176">
        <v>0</v>
      </c>
      <c r="J33" s="178">
        <v>0</v>
      </c>
      <c r="K33" s="178"/>
      <c r="L33" s="175"/>
      <c r="M33" s="178">
        <v>53974.34000000004</v>
      </c>
    </row>
    <row r="34" spans="1:13" ht="15" customHeight="1" x14ac:dyDescent="0.3">
      <c r="A34" s="160" t="s">
        <v>204</v>
      </c>
      <c r="B34" s="178"/>
      <c r="C34" s="178"/>
      <c r="D34" s="168">
        <v>28387.019999999997</v>
      </c>
      <c r="E34" s="168"/>
      <c r="F34" s="178">
        <v>0</v>
      </c>
      <c r="G34" s="179">
        <v>0</v>
      </c>
      <c r="H34" s="175">
        <v>0</v>
      </c>
      <c r="I34" s="176">
        <v>0</v>
      </c>
      <c r="J34" s="178">
        <v>0</v>
      </c>
      <c r="K34" s="178"/>
      <c r="L34" s="178"/>
      <c r="M34" s="178"/>
    </row>
    <row r="35" spans="1:13" ht="15" customHeight="1" x14ac:dyDescent="0.3">
      <c r="A35" s="162" t="s">
        <v>43</v>
      </c>
      <c r="B35" s="181">
        <v>5672425.8300000122</v>
      </c>
      <c r="C35" s="181">
        <v>4970481.4799999986</v>
      </c>
      <c r="D35" s="181">
        <v>4957572.1599999992</v>
      </c>
      <c r="E35" s="181">
        <v>5600000</v>
      </c>
      <c r="F35" s="181">
        <v>28387.019999999997</v>
      </c>
      <c r="G35" s="181">
        <v>12909.32</v>
      </c>
      <c r="H35" s="164">
        <v>-0.12602256802007605</v>
      </c>
      <c r="I35" s="181">
        <v>188182.66</v>
      </c>
      <c r="J35" s="181">
        <v>220572.21</v>
      </c>
      <c r="K35" s="181">
        <v>806823.93000000087</v>
      </c>
      <c r="L35" s="164">
        <v>0.88528074285714276</v>
      </c>
      <c r="M35" s="181" t="e">
        <v>#DIV/0!</v>
      </c>
    </row>
    <row r="36" spans="1:13" ht="15" customHeight="1" x14ac:dyDescent="0.3">
      <c r="C36" s="178"/>
      <c r="D36" s="178"/>
      <c r="E36" s="178"/>
      <c r="F36" s="178"/>
      <c r="G36" s="178"/>
      <c r="H36" s="178"/>
      <c r="I36" s="178"/>
      <c r="M36" s="178"/>
    </row>
    <row r="37" spans="1:13" ht="15" customHeight="1" x14ac:dyDescent="0.3">
      <c r="D37" s="167"/>
      <c r="E37" s="167"/>
    </row>
    <row r="38" spans="1:13" ht="15" customHeight="1" x14ac:dyDescent="0.3">
      <c r="D38" s="167"/>
      <c r="E38" s="167"/>
    </row>
    <row r="39" spans="1:13" ht="15" customHeight="1" x14ac:dyDescent="0.3">
      <c r="D39" s="167"/>
      <c r="E39" s="167"/>
    </row>
    <row r="40" spans="1:13" ht="15" customHeight="1" x14ac:dyDescent="0.3"/>
    <row r="41" spans="1:13" ht="15" customHeight="1" x14ac:dyDescent="0.3"/>
  </sheetData>
  <mergeCells count="1">
    <mergeCell ref="A1:M2"/>
  </mergeCells>
  <pageMargins left="0.25" right="0.25" top="0.75" bottom="0.75" header="0.3" footer="0.3"/>
  <pageSetup paperSize="9" scale="7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8575-4D05-42EF-A64E-B10D26F80A73}">
  <sheetPr>
    <pageSetUpPr fitToPage="1"/>
  </sheetPr>
  <dimension ref="A1:L43"/>
  <sheetViews>
    <sheetView showGridLines="0" zoomScale="85" zoomScaleNormal="85" zoomScaleSheetLayoutView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ColWidth="9.109375" defaultRowHeight="14.4" x14ac:dyDescent="0.3"/>
  <cols>
    <col min="1" max="1" width="21.88671875" style="207" bestFit="1" customWidth="1"/>
    <col min="2" max="2" width="20.6640625" style="207" customWidth="1"/>
    <col min="3" max="3" width="20.6640625" style="207" hidden="1" customWidth="1"/>
    <col min="4" max="4" width="20.6640625" style="207" customWidth="1"/>
    <col min="5" max="6" width="19.88671875" style="207" customWidth="1"/>
    <col min="7" max="7" width="19.88671875" style="211" hidden="1" customWidth="1"/>
    <col min="8" max="9" width="19.88671875" style="207" customWidth="1"/>
    <col min="10" max="12" width="20.44140625" style="207" customWidth="1"/>
    <col min="13" max="16384" width="9.109375" style="207"/>
  </cols>
  <sheetData>
    <row r="1" spans="1:12" ht="15" customHeight="1" x14ac:dyDescent="0.3">
      <c r="A1" s="301" t="s">
        <v>237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</row>
    <row r="2" spans="1:12" ht="15" customHeight="1" x14ac:dyDescent="0.3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</row>
    <row r="3" spans="1:12" s="208" customFormat="1" x14ac:dyDescent="0.3">
      <c r="A3" s="250" t="s">
        <v>105</v>
      </c>
      <c r="B3" s="251" t="s">
        <v>136</v>
      </c>
      <c r="C3" s="252" t="s">
        <v>234</v>
      </c>
      <c r="D3" s="251" t="s">
        <v>234</v>
      </c>
      <c r="E3" s="251" t="s">
        <v>235</v>
      </c>
      <c r="F3" s="251" t="s">
        <v>196</v>
      </c>
      <c r="G3" s="252" t="s">
        <v>197</v>
      </c>
      <c r="H3" s="251" t="s">
        <v>106</v>
      </c>
      <c r="I3" s="251" t="s">
        <v>108</v>
      </c>
      <c r="J3" s="251" t="s">
        <v>236</v>
      </c>
      <c r="K3" s="251" t="s">
        <v>111</v>
      </c>
      <c r="L3" s="251" t="s">
        <v>214</v>
      </c>
    </row>
    <row r="4" spans="1:12" x14ac:dyDescent="0.3">
      <c r="A4" s="253" t="s">
        <v>17</v>
      </c>
      <c r="B4" s="254">
        <v>1777449.1200000071</v>
      </c>
      <c r="C4" s="254">
        <v>2563241.8699999964</v>
      </c>
      <c r="D4" s="254">
        <v>2561152.2799999965</v>
      </c>
      <c r="E4" s="254">
        <v>1940000</v>
      </c>
      <c r="F4" s="254">
        <v>987.83999999999992</v>
      </c>
      <c r="G4" s="254">
        <v>3077.4300000000003</v>
      </c>
      <c r="H4" s="255">
        <v>0.44091453937088582</v>
      </c>
      <c r="I4" s="254">
        <v>67783.369999999981</v>
      </c>
      <c r="J4" s="254">
        <v>58091.87000000001</v>
      </c>
      <c r="K4" s="254">
        <v>0</v>
      </c>
      <c r="L4" s="256">
        <v>1.3201815876288643</v>
      </c>
    </row>
    <row r="5" spans="1:12" x14ac:dyDescent="0.3">
      <c r="A5" s="257" t="s">
        <v>19</v>
      </c>
      <c r="B5" s="258">
        <v>448967.16000000405</v>
      </c>
      <c r="C5" s="258">
        <v>592842.07999998948</v>
      </c>
      <c r="D5" s="258">
        <v>591642.27999998943</v>
      </c>
      <c r="E5" s="268">
        <v>420000</v>
      </c>
      <c r="F5" s="258">
        <v>0</v>
      </c>
      <c r="G5" s="259">
        <v>1199.8</v>
      </c>
      <c r="H5" s="260">
        <v>0.31778520281969863</v>
      </c>
      <c r="I5" s="261">
        <v>19611.749999999996</v>
      </c>
      <c r="J5" s="258">
        <v>19669.099999999999</v>
      </c>
      <c r="K5" s="258">
        <v>0</v>
      </c>
      <c r="L5" s="262">
        <v>1.40867209523807</v>
      </c>
    </row>
    <row r="6" spans="1:12" x14ac:dyDescent="0.3">
      <c r="A6" s="257" t="s">
        <v>18</v>
      </c>
      <c r="B6" s="258">
        <v>213190.90000000101</v>
      </c>
      <c r="C6" s="258">
        <v>371352.34000000241</v>
      </c>
      <c r="D6" s="258">
        <v>371352.34000000241</v>
      </c>
      <c r="E6" s="268">
        <v>260000</v>
      </c>
      <c r="F6" s="258">
        <v>0</v>
      </c>
      <c r="G6" s="259">
        <v>0</v>
      </c>
      <c r="H6" s="260">
        <v>0.7418770688617603</v>
      </c>
      <c r="I6" s="261">
        <v>9552.8399999999983</v>
      </c>
      <c r="J6" s="258">
        <v>11779.760000000007</v>
      </c>
      <c r="K6" s="258">
        <v>0</v>
      </c>
      <c r="L6" s="262">
        <v>1.4282782307692401</v>
      </c>
    </row>
    <row r="7" spans="1:12" x14ac:dyDescent="0.3">
      <c r="A7" s="257" t="s">
        <v>116</v>
      </c>
      <c r="B7" s="258">
        <v>192140.99000000142</v>
      </c>
      <c r="C7" s="258">
        <v>223169.82000000126</v>
      </c>
      <c r="D7" s="258">
        <v>224157.66000000125</v>
      </c>
      <c r="E7" s="268">
        <v>200000</v>
      </c>
      <c r="F7" s="258">
        <v>987.83999999999992</v>
      </c>
      <c r="G7" s="259">
        <v>0</v>
      </c>
      <c r="H7" s="260">
        <v>0.16663112852702383</v>
      </c>
      <c r="I7" s="261">
        <v>6122.8499999999995</v>
      </c>
      <c r="J7" s="258">
        <v>0</v>
      </c>
      <c r="K7" s="258">
        <v>0</v>
      </c>
      <c r="L7" s="262">
        <v>1.1207883000000063</v>
      </c>
    </row>
    <row r="8" spans="1:12" x14ac:dyDescent="0.3">
      <c r="A8" s="257" t="s">
        <v>117</v>
      </c>
      <c r="B8" s="258">
        <v>63467.979999999792</v>
      </c>
      <c r="C8" s="258">
        <v>95335.399999999558</v>
      </c>
      <c r="D8" s="258">
        <v>95335.399999999558</v>
      </c>
      <c r="E8" s="268">
        <v>70000</v>
      </c>
      <c r="F8" s="258">
        <v>0</v>
      </c>
      <c r="G8" s="259">
        <v>0</v>
      </c>
      <c r="H8" s="260">
        <v>0.50210231994148657</v>
      </c>
      <c r="I8" s="261">
        <v>2918.5000000000005</v>
      </c>
      <c r="J8" s="258">
        <v>0</v>
      </c>
      <c r="K8" s="258">
        <v>0</v>
      </c>
      <c r="L8" s="262">
        <v>1.3619342857142793</v>
      </c>
    </row>
    <row r="9" spans="1:12" x14ac:dyDescent="0.3">
      <c r="A9" s="257" t="s">
        <v>118</v>
      </c>
      <c r="B9" s="258">
        <v>303589.15000000049</v>
      </c>
      <c r="C9" s="258">
        <v>443152.95000000158</v>
      </c>
      <c r="D9" s="258">
        <v>441275.32000000158</v>
      </c>
      <c r="E9" s="268">
        <v>350000</v>
      </c>
      <c r="F9" s="258">
        <v>0</v>
      </c>
      <c r="G9" s="259">
        <v>1877.63</v>
      </c>
      <c r="H9" s="260">
        <v>0.45352796699091807</v>
      </c>
      <c r="I9" s="261">
        <v>14010.679999999995</v>
      </c>
      <c r="J9" s="258">
        <v>5678.9800000000005</v>
      </c>
      <c r="K9" s="258">
        <v>0</v>
      </c>
      <c r="L9" s="262">
        <v>1.2607866285714331</v>
      </c>
    </row>
    <row r="10" spans="1:12" x14ac:dyDescent="0.3">
      <c r="A10" s="257" t="s">
        <v>119</v>
      </c>
      <c r="B10" s="258">
        <v>132026.63999999946</v>
      </c>
      <c r="C10" s="258">
        <v>254352.15000000154</v>
      </c>
      <c r="D10" s="258">
        <v>254352.15000000154</v>
      </c>
      <c r="E10" s="268">
        <v>220000</v>
      </c>
      <c r="F10" s="258">
        <v>0</v>
      </c>
      <c r="G10" s="259">
        <v>0</v>
      </c>
      <c r="H10" s="260">
        <v>0.92652142022248374</v>
      </c>
      <c r="I10" s="261">
        <v>4467.8</v>
      </c>
      <c r="J10" s="258">
        <v>6874.7</v>
      </c>
      <c r="K10" s="258">
        <v>0</v>
      </c>
      <c r="L10" s="262">
        <v>1.1561461363636434</v>
      </c>
    </row>
    <row r="11" spans="1:12" x14ac:dyDescent="0.3">
      <c r="A11" s="257" t="s">
        <v>120</v>
      </c>
      <c r="B11" s="258">
        <v>312462.11000000144</v>
      </c>
      <c r="C11" s="258">
        <v>475031.7200000016</v>
      </c>
      <c r="D11" s="258">
        <v>475031.7200000016</v>
      </c>
      <c r="E11" s="268">
        <v>330000</v>
      </c>
      <c r="F11" s="258">
        <v>0</v>
      </c>
      <c r="G11" s="259">
        <v>0</v>
      </c>
      <c r="H11" s="260">
        <v>0.52028583561699504</v>
      </c>
      <c r="I11" s="261">
        <v>8125.199999999998</v>
      </c>
      <c r="J11" s="258">
        <v>12645.109999999999</v>
      </c>
      <c r="K11" s="258">
        <v>0</v>
      </c>
      <c r="L11" s="262">
        <v>1.4394900606060654</v>
      </c>
    </row>
    <row r="12" spans="1:12" x14ac:dyDescent="0.3">
      <c r="A12" s="257" t="s">
        <v>121</v>
      </c>
      <c r="B12" s="258">
        <v>111604.18999999959</v>
      </c>
      <c r="C12" s="258">
        <v>108005.40999999945</v>
      </c>
      <c r="D12" s="258">
        <v>108005.40999999945</v>
      </c>
      <c r="E12" s="268">
        <v>90000</v>
      </c>
      <c r="F12" s="258">
        <v>0</v>
      </c>
      <c r="G12" s="259">
        <v>0</v>
      </c>
      <c r="H12" s="260">
        <v>-3.2245921949705984E-2</v>
      </c>
      <c r="I12" s="261">
        <v>2973.7499999999995</v>
      </c>
      <c r="J12" s="258">
        <v>1444.2200000000003</v>
      </c>
      <c r="K12" s="258">
        <v>0</v>
      </c>
      <c r="L12" s="262">
        <v>1.2000601111111051</v>
      </c>
    </row>
    <row r="13" spans="1:12" hidden="1" x14ac:dyDescent="0.3">
      <c r="A13" s="257" t="s">
        <v>134</v>
      </c>
      <c r="B13" s="258">
        <v>0</v>
      </c>
      <c r="C13" s="258">
        <v>0</v>
      </c>
      <c r="D13" s="258">
        <v>0</v>
      </c>
      <c r="E13" s="258">
        <v>0</v>
      </c>
      <c r="F13" s="258">
        <v>0</v>
      </c>
      <c r="G13" s="259">
        <v>0</v>
      </c>
      <c r="H13" s="260">
        <v>0</v>
      </c>
      <c r="I13" s="261">
        <v>0</v>
      </c>
      <c r="J13" s="258">
        <v>0</v>
      </c>
      <c r="K13" s="258">
        <v>0</v>
      </c>
      <c r="L13" s="262" t="e">
        <v>#DIV/0!</v>
      </c>
    </row>
    <row r="14" spans="1:12" x14ac:dyDescent="0.3">
      <c r="A14" s="253" t="s">
        <v>11</v>
      </c>
      <c r="B14" s="254">
        <v>689868.06000000041</v>
      </c>
      <c r="C14" s="254">
        <v>1110280.6000000008</v>
      </c>
      <c r="D14" s="254">
        <v>1109414.0700000008</v>
      </c>
      <c r="E14" s="254">
        <v>780000</v>
      </c>
      <c r="F14" s="254">
        <v>2335.4699999999998</v>
      </c>
      <c r="G14" s="254">
        <v>3202</v>
      </c>
      <c r="H14" s="255">
        <v>0.60815398527074893</v>
      </c>
      <c r="I14" s="254">
        <v>40384.299999999988</v>
      </c>
      <c r="J14" s="254">
        <v>26133.35</v>
      </c>
      <c r="K14" s="254">
        <v>0</v>
      </c>
      <c r="L14" s="256">
        <v>1.4223257307692319</v>
      </c>
    </row>
    <row r="15" spans="1:12" x14ac:dyDescent="0.3">
      <c r="A15" s="257" t="s">
        <v>123</v>
      </c>
      <c r="B15" s="258">
        <v>170757.35000000012</v>
      </c>
      <c r="C15" s="258">
        <v>350051.73000000144</v>
      </c>
      <c r="D15" s="258">
        <v>350858.56000000145</v>
      </c>
      <c r="E15" s="268">
        <v>220000</v>
      </c>
      <c r="F15" s="258">
        <v>806.82999999999993</v>
      </c>
      <c r="G15" s="259">
        <v>0</v>
      </c>
      <c r="H15" s="260">
        <v>1.0547201042883436</v>
      </c>
      <c r="I15" s="261">
        <v>10937.739999999996</v>
      </c>
      <c r="J15" s="258">
        <v>8245</v>
      </c>
      <c r="K15" s="258">
        <v>0</v>
      </c>
      <c r="L15" s="262">
        <v>1.5948116363636429</v>
      </c>
    </row>
    <row r="16" spans="1:12" x14ac:dyDescent="0.3">
      <c r="A16" s="257" t="s">
        <v>58</v>
      </c>
      <c r="B16" s="258">
        <v>385926.49000000028</v>
      </c>
      <c r="C16" s="258">
        <v>523451.67999999953</v>
      </c>
      <c r="D16" s="258">
        <v>520249.67999999953</v>
      </c>
      <c r="E16" s="268">
        <v>420000</v>
      </c>
      <c r="F16" s="258">
        <v>0</v>
      </c>
      <c r="G16" s="259">
        <v>3202</v>
      </c>
      <c r="H16" s="260">
        <v>0.34805382237430538</v>
      </c>
      <c r="I16" s="261">
        <v>24011.359999999997</v>
      </c>
      <c r="J16" s="258">
        <v>13801.399999999998</v>
      </c>
      <c r="K16" s="258">
        <v>0</v>
      </c>
      <c r="L16" s="262">
        <v>1.2386897142857132</v>
      </c>
    </row>
    <row r="17" spans="1:12" x14ac:dyDescent="0.3">
      <c r="A17" s="257" t="s">
        <v>124</v>
      </c>
      <c r="B17" s="258">
        <v>133184.21999999997</v>
      </c>
      <c r="C17" s="258">
        <v>236777.18999999983</v>
      </c>
      <c r="D17" s="258">
        <v>238305.82999999984</v>
      </c>
      <c r="E17" s="268">
        <v>140000</v>
      </c>
      <c r="F17" s="258">
        <v>1528.6399999999999</v>
      </c>
      <c r="G17" s="259">
        <v>0</v>
      </c>
      <c r="H17" s="260">
        <v>0.78929478282036636</v>
      </c>
      <c r="I17" s="261">
        <v>5435.2000000000007</v>
      </c>
      <c r="J17" s="258">
        <v>4086.9500000000003</v>
      </c>
      <c r="K17" s="258">
        <v>0</v>
      </c>
      <c r="L17" s="262">
        <v>1.7021844999999989</v>
      </c>
    </row>
    <row r="18" spans="1:12" x14ac:dyDescent="0.3">
      <c r="A18" s="253" t="s">
        <v>27</v>
      </c>
      <c r="B18" s="254">
        <v>446941.91999999993</v>
      </c>
      <c r="C18" s="254">
        <v>721131.71000000008</v>
      </c>
      <c r="D18" s="254">
        <v>721581.71000000008</v>
      </c>
      <c r="E18" s="254">
        <v>510000</v>
      </c>
      <c r="F18" s="254">
        <v>900</v>
      </c>
      <c r="G18" s="254">
        <v>450</v>
      </c>
      <c r="H18" s="255">
        <v>0.61448653104636097</v>
      </c>
      <c r="I18" s="254">
        <v>20090</v>
      </c>
      <c r="J18" s="254">
        <v>27497.89</v>
      </c>
      <c r="K18" s="254">
        <v>0</v>
      </c>
      <c r="L18" s="256">
        <v>1.4148660980392158</v>
      </c>
    </row>
    <row r="19" spans="1:12" x14ac:dyDescent="0.3">
      <c r="A19" s="257" t="s">
        <v>125</v>
      </c>
      <c r="B19" s="258">
        <v>80638.78</v>
      </c>
      <c r="C19" s="258">
        <v>163826.05000000002</v>
      </c>
      <c r="D19" s="258">
        <v>163376.05000000002</v>
      </c>
      <c r="E19" s="268">
        <v>120000</v>
      </c>
      <c r="F19" s="258">
        <v>0</v>
      </c>
      <c r="G19" s="259">
        <v>450</v>
      </c>
      <c r="H19" s="260">
        <v>1.0260233351744659</v>
      </c>
      <c r="I19" s="261">
        <v>4044</v>
      </c>
      <c r="J19" s="258">
        <v>0</v>
      </c>
      <c r="K19" s="258">
        <v>0</v>
      </c>
      <c r="L19" s="262">
        <v>1.3614670833333335</v>
      </c>
    </row>
    <row r="20" spans="1:12" x14ac:dyDescent="0.3">
      <c r="A20" s="257" t="s">
        <v>126</v>
      </c>
      <c r="B20" s="258">
        <v>206508.09999999995</v>
      </c>
      <c r="C20" s="258">
        <v>337117.87</v>
      </c>
      <c r="D20" s="258">
        <v>338017.87</v>
      </c>
      <c r="E20" s="268">
        <v>240000</v>
      </c>
      <c r="F20" s="258">
        <v>900</v>
      </c>
      <c r="G20" s="259">
        <v>0</v>
      </c>
      <c r="H20" s="260">
        <v>0.63682620681706958</v>
      </c>
      <c r="I20" s="261">
        <v>11160</v>
      </c>
      <c r="J20" s="258">
        <v>17485.09</v>
      </c>
      <c r="K20" s="258">
        <v>0</v>
      </c>
      <c r="L20" s="262">
        <v>1.4084077916666666</v>
      </c>
    </row>
    <row r="21" spans="1:12" x14ac:dyDescent="0.3">
      <c r="A21" s="257" t="s">
        <v>127</v>
      </c>
      <c r="B21" s="258">
        <v>159795.04</v>
      </c>
      <c r="C21" s="258">
        <v>220187.79</v>
      </c>
      <c r="D21" s="258">
        <v>220187.79</v>
      </c>
      <c r="E21" s="268">
        <v>150000</v>
      </c>
      <c r="F21" s="258">
        <v>0</v>
      </c>
      <c r="G21" s="259">
        <v>0</v>
      </c>
      <c r="H21" s="260">
        <v>0.37793882713756322</v>
      </c>
      <c r="I21" s="261">
        <v>4886</v>
      </c>
      <c r="J21" s="258">
        <v>10012.800000000001</v>
      </c>
      <c r="K21" s="258">
        <v>0</v>
      </c>
      <c r="L21" s="262">
        <v>1.4679186</v>
      </c>
    </row>
    <row r="22" spans="1:12" x14ac:dyDescent="0.3">
      <c r="A22" s="253" t="s">
        <v>32</v>
      </c>
      <c r="B22" s="254">
        <v>409022.28999999963</v>
      </c>
      <c r="C22" s="254">
        <v>319143.82999999856</v>
      </c>
      <c r="D22" s="254">
        <v>319314.72999999853</v>
      </c>
      <c r="E22" s="254">
        <v>315000</v>
      </c>
      <c r="F22" s="254">
        <v>170.9</v>
      </c>
      <c r="G22" s="254">
        <v>0</v>
      </c>
      <c r="H22" s="255">
        <v>-0.21932193475324091</v>
      </c>
      <c r="I22" s="254">
        <v>17005.93</v>
      </c>
      <c r="J22" s="254">
        <v>7355.7900000000009</v>
      </c>
      <c r="K22" s="254">
        <v>4310.7325000000219</v>
      </c>
      <c r="L22" s="256">
        <v>1.013697555555551</v>
      </c>
    </row>
    <row r="23" spans="1:12" x14ac:dyDescent="0.3">
      <c r="A23" s="257" t="s">
        <v>56</v>
      </c>
      <c r="B23" s="258">
        <v>85278.529999999955</v>
      </c>
      <c r="C23" s="258">
        <v>76007.119999999646</v>
      </c>
      <c r="D23" s="258">
        <v>76007.119999999646</v>
      </c>
      <c r="E23" s="268">
        <v>75000</v>
      </c>
      <c r="F23" s="258">
        <v>0</v>
      </c>
      <c r="G23" s="259">
        <v>0</v>
      </c>
      <c r="H23" s="260">
        <v>-0.10871915826879654</v>
      </c>
      <c r="I23" s="261">
        <v>3250.2499999999995</v>
      </c>
      <c r="J23" s="258">
        <v>726.62000000000035</v>
      </c>
      <c r="K23" s="258">
        <v>0</v>
      </c>
      <c r="L23" s="262">
        <v>1.0134282666666619</v>
      </c>
    </row>
    <row r="24" spans="1:12" x14ac:dyDescent="0.3">
      <c r="A24" s="257" t="s">
        <v>128</v>
      </c>
      <c r="B24" s="258">
        <v>59651.860000000102</v>
      </c>
      <c r="C24" s="258">
        <v>37757.069999999912</v>
      </c>
      <c r="D24" s="258">
        <v>37757.069999999912</v>
      </c>
      <c r="E24" s="268">
        <v>55000</v>
      </c>
      <c r="F24" s="258">
        <v>0</v>
      </c>
      <c r="G24" s="259">
        <v>0</v>
      </c>
      <c r="H24" s="260">
        <v>-0.36704287175622274</v>
      </c>
      <c r="I24" s="261">
        <v>2679.1500000000005</v>
      </c>
      <c r="J24" s="258">
        <v>0</v>
      </c>
      <c r="K24" s="258">
        <v>4310.7325000000219</v>
      </c>
      <c r="L24" s="269">
        <v>0.68649218181818028</v>
      </c>
    </row>
    <row r="25" spans="1:12" x14ac:dyDescent="0.3">
      <c r="A25" s="257" t="s">
        <v>129</v>
      </c>
      <c r="B25" s="258">
        <v>137639.30999999968</v>
      </c>
      <c r="C25" s="258">
        <v>106462.79999999954</v>
      </c>
      <c r="D25" s="258">
        <v>106633.69999999953</v>
      </c>
      <c r="E25" s="268">
        <v>95000</v>
      </c>
      <c r="F25" s="258">
        <v>170.9</v>
      </c>
      <c r="G25" s="259">
        <v>0</v>
      </c>
      <c r="H25" s="260">
        <v>-0.22526711300717955</v>
      </c>
      <c r="I25" s="261">
        <v>4966.8</v>
      </c>
      <c r="J25" s="258">
        <v>4287.6499999999996</v>
      </c>
      <c r="K25" s="258">
        <v>0</v>
      </c>
      <c r="L25" s="262">
        <v>1.1224599999999951</v>
      </c>
    </row>
    <row r="26" spans="1:12" ht="15" customHeight="1" x14ac:dyDescent="0.3">
      <c r="A26" s="257" t="s">
        <v>130</v>
      </c>
      <c r="B26" s="258">
        <v>126452.58999999992</v>
      </c>
      <c r="C26" s="258">
        <v>98916.839999999444</v>
      </c>
      <c r="D26" s="258">
        <v>98916.839999999444</v>
      </c>
      <c r="E26" s="268">
        <v>90000</v>
      </c>
      <c r="F26" s="258">
        <v>0</v>
      </c>
      <c r="G26" s="259">
        <v>0</v>
      </c>
      <c r="H26" s="260">
        <v>-0.21775552402683485</v>
      </c>
      <c r="I26" s="261">
        <v>6109.73</v>
      </c>
      <c r="J26" s="258">
        <v>2341.5200000000004</v>
      </c>
      <c r="K26" s="258">
        <v>0</v>
      </c>
      <c r="L26" s="262">
        <v>1.0990759999999937</v>
      </c>
    </row>
    <row r="27" spans="1:12" ht="15" customHeight="1" x14ac:dyDescent="0.3">
      <c r="A27" s="253" t="s">
        <v>131</v>
      </c>
      <c r="B27" s="254">
        <v>93725.679999999906</v>
      </c>
      <c r="C27" s="254">
        <v>95598.499999999738</v>
      </c>
      <c r="D27" s="254">
        <v>96918.899999999732</v>
      </c>
      <c r="E27" s="254">
        <v>110000</v>
      </c>
      <c r="F27" s="254">
        <v>1320.4</v>
      </c>
      <c r="G27" s="254">
        <v>0</v>
      </c>
      <c r="H27" s="255">
        <v>3.4069851507077142E-2</v>
      </c>
      <c r="I27" s="254">
        <v>3320.5</v>
      </c>
      <c r="J27" s="254">
        <v>0</v>
      </c>
      <c r="K27" s="254">
        <v>3880.5650000000387</v>
      </c>
      <c r="L27" s="256">
        <v>0.88108090909090664</v>
      </c>
    </row>
    <row r="28" spans="1:12" ht="15" customHeight="1" x14ac:dyDescent="0.3">
      <c r="A28" s="257" t="s">
        <v>132</v>
      </c>
      <c r="B28" s="258">
        <v>28139.72999999996</v>
      </c>
      <c r="C28" s="258">
        <v>54477.739999999845</v>
      </c>
      <c r="D28" s="258">
        <v>54477.739999999845</v>
      </c>
      <c r="E28" s="268">
        <v>70000</v>
      </c>
      <c r="F28" s="258">
        <v>0</v>
      </c>
      <c r="G28" s="259">
        <v>0</v>
      </c>
      <c r="H28" s="260">
        <v>0.93597237784441867</v>
      </c>
      <c r="I28" s="261">
        <v>588.76</v>
      </c>
      <c r="J28" s="258">
        <v>0</v>
      </c>
      <c r="K28" s="258">
        <v>3880.5650000000387</v>
      </c>
      <c r="L28" s="269">
        <v>0.77825342857142632</v>
      </c>
    </row>
    <row r="29" spans="1:12" x14ac:dyDescent="0.3">
      <c r="A29" s="257" t="s">
        <v>219</v>
      </c>
      <c r="B29" s="258">
        <v>65585.949999999939</v>
      </c>
      <c r="C29" s="258">
        <v>41120.759999999886</v>
      </c>
      <c r="D29" s="258">
        <v>42441.159999999887</v>
      </c>
      <c r="E29" s="268">
        <v>40000</v>
      </c>
      <c r="F29" s="258">
        <v>1320.4</v>
      </c>
      <c r="G29" s="259">
        <v>0</v>
      </c>
      <c r="H29" s="260">
        <v>-0.35289250212888695</v>
      </c>
      <c r="I29" s="261">
        <v>2731.74</v>
      </c>
      <c r="J29" s="258">
        <v>0</v>
      </c>
      <c r="K29" s="258">
        <v>0</v>
      </c>
      <c r="L29" s="262">
        <v>1.0610289999999971</v>
      </c>
    </row>
    <row r="30" spans="1:12" ht="15" customHeight="1" x14ac:dyDescent="0.3">
      <c r="A30" s="253" t="s">
        <v>133</v>
      </c>
      <c r="B30" s="254">
        <v>16957.63</v>
      </c>
      <c r="C30" s="254">
        <v>6729.43</v>
      </c>
      <c r="D30" s="254">
        <v>7280.2300000000005</v>
      </c>
      <c r="E30" s="254">
        <v>15000</v>
      </c>
      <c r="F30" s="254">
        <v>550.79999999999995</v>
      </c>
      <c r="G30" s="254">
        <v>0</v>
      </c>
      <c r="H30" s="255">
        <v>-0.57068116240300093</v>
      </c>
      <c r="I30" s="254">
        <v>3508.62</v>
      </c>
      <c r="J30" s="254">
        <v>0</v>
      </c>
      <c r="K30" s="254">
        <v>1929.9424999999999</v>
      </c>
      <c r="L30" s="256">
        <v>0.48534866666666671</v>
      </c>
    </row>
    <row r="31" spans="1:12" ht="15" customHeight="1" x14ac:dyDescent="0.3">
      <c r="A31" s="257" t="s">
        <v>133</v>
      </c>
      <c r="B31" s="261">
        <v>16957.63</v>
      </c>
      <c r="C31" s="258">
        <v>6729.43</v>
      </c>
      <c r="D31" s="258">
        <v>7280.2300000000005</v>
      </c>
      <c r="E31" s="258">
        <v>15000</v>
      </c>
      <c r="F31" s="258">
        <v>550.79999999999995</v>
      </c>
      <c r="G31" s="259">
        <v>0</v>
      </c>
      <c r="H31" s="260">
        <v>-0.57068116240300093</v>
      </c>
      <c r="I31" s="261">
        <v>3508.62</v>
      </c>
      <c r="J31" s="258">
        <v>0</v>
      </c>
      <c r="K31" s="258">
        <v>1929.9424999999999</v>
      </c>
      <c r="L31" s="262">
        <v>0.48534866666666671</v>
      </c>
    </row>
    <row r="32" spans="1:12" ht="15" customHeight="1" x14ac:dyDescent="0.3">
      <c r="A32" s="253" t="s">
        <v>103</v>
      </c>
      <c r="B32" s="254">
        <v>8090.8500000000022</v>
      </c>
      <c r="C32" s="254">
        <v>45042.67</v>
      </c>
      <c r="D32" s="263">
        <v>45042.67</v>
      </c>
      <c r="E32" s="263">
        <v>60000</v>
      </c>
      <c r="F32" s="254">
        <v>0</v>
      </c>
      <c r="G32" s="254"/>
      <c r="H32" s="255">
        <v>4.5671122317185437</v>
      </c>
      <c r="I32" s="254">
        <v>-23.960000000000036</v>
      </c>
      <c r="J32" s="254">
        <v>2997.5000000000005</v>
      </c>
      <c r="K32" s="254">
        <v>7478.6650000000009</v>
      </c>
      <c r="L32" s="256">
        <v>0.7507111666666666</v>
      </c>
    </row>
    <row r="33" spans="1:12" ht="15" customHeight="1" x14ac:dyDescent="0.3">
      <c r="A33" s="257" t="s">
        <v>103</v>
      </c>
      <c r="B33" s="258">
        <v>8090.8500000000022</v>
      </c>
      <c r="C33" s="258">
        <v>45042.67</v>
      </c>
      <c r="D33" s="264">
        <v>38777.26</v>
      </c>
      <c r="E33" s="258"/>
      <c r="F33" s="258">
        <v>0</v>
      </c>
      <c r="G33" s="259">
        <v>0</v>
      </c>
      <c r="H33" s="260">
        <v>0</v>
      </c>
      <c r="I33" s="261">
        <v>-23.960000000000036</v>
      </c>
      <c r="J33" s="258">
        <v>2997.5000000000005</v>
      </c>
      <c r="K33" s="258"/>
      <c r="L33" s="260"/>
    </row>
    <row r="34" spans="1:12" ht="15" customHeight="1" x14ac:dyDescent="0.3">
      <c r="A34" s="257" t="s">
        <v>204</v>
      </c>
      <c r="B34" s="258"/>
      <c r="C34" s="258"/>
      <c r="D34" s="264">
        <v>6265.4099999999989</v>
      </c>
      <c r="E34" s="264"/>
      <c r="F34" s="258">
        <v>0</v>
      </c>
      <c r="G34" s="259">
        <v>0</v>
      </c>
      <c r="H34" s="260">
        <v>0</v>
      </c>
      <c r="I34" s="261">
        <v>0</v>
      </c>
      <c r="J34" s="258">
        <v>0</v>
      </c>
      <c r="K34" s="258"/>
      <c r="L34" s="258"/>
    </row>
    <row r="35" spans="1:12" ht="15" customHeight="1" x14ac:dyDescent="0.3">
      <c r="A35" s="265" t="s">
        <v>43</v>
      </c>
      <c r="B35" s="266">
        <v>3442055.5500000068</v>
      </c>
      <c r="C35" s="266">
        <v>4861168.6099999947</v>
      </c>
      <c r="D35" s="266">
        <v>4854439.179999996</v>
      </c>
      <c r="E35" s="266">
        <v>3730000</v>
      </c>
      <c r="F35" s="266">
        <v>6265.4099999999989</v>
      </c>
      <c r="G35" s="266">
        <v>6729.43</v>
      </c>
      <c r="H35" s="267">
        <v>0.41033144569673968</v>
      </c>
      <c r="I35" s="266">
        <v>152068.75999999998</v>
      </c>
      <c r="J35" s="266">
        <v>122076.4</v>
      </c>
      <c r="K35" s="266">
        <v>0</v>
      </c>
      <c r="L35" s="267">
        <v>1.3014582252010714</v>
      </c>
    </row>
    <row r="36" spans="1:12" ht="15" customHeight="1" x14ac:dyDescent="0.3">
      <c r="C36" s="209"/>
      <c r="D36" s="209"/>
      <c r="E36" s="209"/>
      <c r="F36" s="209"/>
      <c r="G36" s="209"/>
      <c r="H36" s="209"/>
      <c r="I36" s="209"/>
    </row>
    <row r="37" spans="1:12" ht="15" customHeight="1" x14ac:dyDescent="0.3">
      <c r="D37" s="210"/>
      <c r="E37" s="209"/>
      <c r="F37" s="209"/>
    </row>
    <row r="38" spans="1:12" ht="15" customHeight="1" x14ac:dyDescent="0.3">
      <c r="D38" s="210"/>
      <c r="E38" s="210"/>
    </row>
    <row r="39" spans="1:12" ht="15" customHeight="1" x14ac:dyDescent="0.3">
      <c r="D39" s="210"/>
      <c r="E39" s="210"/>
    </row>
    <row r="40" spans="1:12" ht="15" customHeight="1" x14ac:dyDescent="0.3"/>
    <row r="41" spans="1:12" ht="15" customHeight="1" x14ac:dyDescent="0.3"/>
    <row r="42" spans="1:12" x14ac:dyDescent="0.3">
      <c r="D42" s="210"/>
    </row>
    <row r="43" spans="1:12" x14ac:dyDescent="0.3">
      <c r="D43" s="210"/>
    </row>
  </sheetData>
  <mergeCells count="1">
    <mergeCell ref="A1:L2"/>
  </mergeCells>
  <pageMargins left="0.25" right="0.25" top="0.75" bottom="0.75" header="0.3" footer="0.3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VISTA_ADRIANA</vt:lpstr>
      <vt:lpstr>faturam março</vt:lpstr>
      <vt:lpstr>JOE</vt:lpstr>
      <vt:lpstr>LINK</vt:lpstr>
      <vt:lpstr>FEV</vt:lpstr>
      <vt:lpstr>Venda Digital_</vt:lpstr>
      <vt:lpstr>Painel_Faturamento</vt:lpstr>
      <vt:lpstr>Painel_Faturamento (2)</vt:lpstr>
      <vt:lpstr>Fev22</vt:lpstr>
      <vt:lpstr>Triunfo</vt:lpstr>
      <vt:lpstr>ADRIANA_ECOM</vt:lpstr>
      <vt:lpstr>NADIELE_ECOM</vt:lpstr>
      <vt:lpstr>AGO</vt:lpstr>
      <vt:lpstr>Jan24</vt:lpstr>
      <vt:lpstr>Supervisão</vt:lpstr>
      <vt:lpstr>GERAL</vt:lpstr>
      <vt:lpstr>AGO!Area_de_impressao</vt:lpstr>
      <vt:lpstr>FEV!Area_de_impressao</vt:lpstr>
      <vt:lpstr>'Fev22'!Area_de_impressao</vt:lpstr>
      <vt:lpstr>GERAL!Area_de_impressao</vt:lpstr>
      <vt:lpstr>'Jan24'!Area_de_impressao</vt:lpstr>
      <vt:lpstr>Painel_Faturamento!Area_de_impressao</vt:lpstr>
      <vt:lpstr>'Painel_Faturamento (2)'!Area_de_impressao</vt:lpstr>
      <vt:lpstr>Supervisão!Area_de_impressao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Francisco Chirlanio</cp:lastModifiedBy>
  <dcterms:created xsi:type="dcterms:W3CDTF">2020-03-04T17:42:01Z</dcterms:created>
  <dcterms:modified xsi:type="dcterms:W3CDTF">2024-02-01T18:05:41Z</dcterms:modified>
</cp:coreProperties>
</file>