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hitralekha\Downloads\"/>
    </mc:Choice>
  </mc:AlternateContent>
  <xr:revisionPtr revIDLastSave="0" documentId="13_ncr:1_{476B2651-3BC8-4BDD-A86B-B983D7848004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Introduction" sheetId="1" r:id="rId1"/>
    <sheet name="bs" sheetId="2" r:id="rId2"/>
    <sheet name="cf" sheetId="3" r:id="rId3"/>
    <sheet name="WACC" sheetId="4" r:id="rId4"/>
    <sheet name="5 year monthly stock price data" sheetId="5" r:id="rId5"/>
    <sheet name="daily 1 yr stockprices" sheetId="6" r:id="rId6"/>
    <sheet name="DCF APV" sheetId="7" r:id="rId7"/>
    <sheet name="DCF WACC" sheetId="8" r:id="rId8"/>
    <sheet name="DCF CCF" sheetId="9" r:id="rId9"/>
    <sheet name="pl" sheetId="10" r:id="rId10"/>
    <sheet name="Residual income model" sheetId="11" r:id="rId11"/>
    <sheet name="DDM" sheetId="12" r:id="rId12"/>
    <sheet name="CFROI" sheetId="13" r:id="rId13"/>
    <sheet name="EVA" sheetId="14" r:id="rId14"/>
    <sheet name="Relative Valuation" sheetId="15" r:id="rId15"/>
    <sheet name="Data for Relative Valuation" sheetId="16" r:id="rId16"/>
  </sheets>
  <calcPr calcId="191029"/>
</workbook>
</file>

<file path=xl/calcChain.xml><?xml version="1.0" encoding="utf-8"?>
<calcChain xmlns="http://schemas.openxmlformats.org/spreadsheetml/2006/main">
  <c r="B50" i="8" l="1"/>
  <c r="B49" i="8"/>
  <c r="B51" i="8"/>
  <c r="B12" i="8"/>
  <c r="B41" i="8" s="1"/>
  <c r="B13" i="8"/>
  <c r="M9" i="15"/>
  <c r="L9" i="15"/>
  <c r="K9" i="15"/>
  <c r="G9" i="15"/>
  <c r="F9" i="15"/>
  <c r="H9" i="15" s="1"/>
  <c r="D9" i="15"/>
  <c r="E9" i="15" s="1"/>
  <c r="C9" i="15"/>
  <c r="B9" i="15"/>
  <c r="M8" i="15"/>
  <c r="L8" i="15"/>
  <c r="K8" i="15"/>
  <c r="H8" i="15"/>
  <c r="G8" i="15"/>
  <c r="F8" i="15"/>
  <c r="D8" i="15"/>
  <c r="C8" i="15"/>
  <c r="E8" i="15" s="1"/>
  <c r="Q8" i="15" s="1"/>
  <c r="B8" i="15"/>
  <c r="M7" i="15"/>
  <c r="L7" i="15"/>
  <c r="K7" i="15"/>
  <c r="G7" i="15"/>
  <c r="H7" i="15" s="1"/>
  <c r="I7" i="15" s="1"/>
  <c r="F7" i="15"/>
  <c r="E7" i="15"/>
  <c r="Q7" i="15" s="1"/>
  <c r="D7" i="15"/>
  <c r="C7" i="15"/>
  <c r="B7" i="15"/>
  <c r="M6" i="15"/>
  <c r="L6" i="15"/>
  <c r="K6" i="15"/>
  <c r="G6" i="15"/>
  <c r="F6" i="15"/>
  <c r="H6" i="15" s="1"/>
  <c r="D6" i="15"/>
  <c r="E6" i="15" s="1"/>
  <c r="C6" i="15"/>
  <c r="B6" i="15"/>
  <c r="M5" i="15"/>
  <c r="L5" i="15"/>
  <c r="K5" i="15"/>
  <c r="G5" i="15"/>
  <c r="F5" i="15"/>
  <c r="H5" i="15" s="1"/>
  <c r="D5" i="15"/>
  <c r="C5" i="15"/>
  <c r="E5" i="15" s="1"/>
  <c r="K18" i="14"/>
  <c r="B13" i="14"/>
  <c r="K9" i="14"/>
  <c r="J9" i="14"/>
  <c r="I9" i="14"/>
  <c r="H9" i="14"/>
  <c r="G9" i="14"/>
  <c r="F9" i="14"/>
  <c r="E9" i="14"/>
  <c r="D9" i="14"/>
  <c r="C9" i="14"/>
  <c r="B9" i="14"/>
  <c r="K6" i="14"/>
  <c r="J6" i="14"/>
  <c r="I6" i="14"/>
  <c r="H6" i="14"/>
  <c r="G6" i="14"/>
  <c r="F6" i="14"/>
  <c r="E6" i="14"/>
  <c r="D6" i="14"/>
  <c r="C6" i="14"/>
  <c r="B6" i="14"/>
  <c r="C18" i="13"/>
  <c r="I7" i="12"/>
  <c r="C20" i="13" s="1"/>
  <c r="I3" i="12"/>
  <c r="I4" i="12" s="1"/>
  <c r="J36" i="11"/>
  <c r="O24" i="11"/>
  <c r="N24" i="11"/>
  <c r="K24" i="11"/>
  <c r="J24" i="11"/>
  <c r="O23" i="11"/>
  <c r="O26" i="11" s="1"/>
  <c r="B14" i="11" s="1"/>
  <c r="N23" i="11"/>
  <c r="N26" i="11" s="1"/>
  <c r="K23" i="11"/>
  <c r="K26" i="11" s="1"/>
  <c r="J23" i="11"/>
  <c r="J26" i="11" s="1"/>
  <c r="B22" i="11"/>
  <c r="K16" i="11"/>
  <c r="J16" i="11"/>
  <c r="K15" i="11"/>
  <c r="J15" i="11"/>
  <c r="K14" i="11"/>
  <c r="J14" i="11"/>
  <c r="K13" i="11"/>
  <c r="J13" i="11"/>
  <c r="K12" i="11"/>
  <c r="J12" i="11"/>
  <c r="K11" i="11"/>
  <c r="J11" i="11"/>
  <c r="K10" i="11"/>
  <c r="J10" i="11"/>
  <c r="K9" i="11"/>
  <c r="K18" i="11" s="1"/>
  <c r="B13" i="11" s="1"/>
  <c r="J9" i="11"/>
  <c r="B9" i="11"/>
  <c r="K8" i="11"/>
  <c r="J8" i="11"/>
  <c r="B8" i="11"/>
  <c r="O7" i="11"/>
  <c r="N7" i="11"/>
  <c r="K7" i="11"/>
  <c r="J7" i="11"/>
  <c r="B7" i="11"/>
  <c r="O6" i="11"/>
  <c r="N6" i="11"/>
  <c r="N18" i="11" s="1"/>
  <c r="K6" i="11"/>
  <c r="J6" i="11"/>
  <c r="O5" i="11"/>
  <c r="O18" i="11" s="1"/>
  <c r="N5" i="11"/>
  <c r="K5" i="11"/>
  <c r="J5" i="11"/>
  <c r="J18" i="11" s="1"/>
  <c r="N43" i="10"/>
  <c r="O43" i="10" s="1"/>
  <c r="P43" i="10" s="1"/>
  <c r="M43" i="10"/>
  <c r="L43" i="10"/>
  <c r="K43" i="10"/>
  <c r="L39" i="10"/>
  <c r="L7" i="10" s="1"/>
  <c r="K39" i="10"/>
  <c r="J39" i="10"/>
  <c r="I39" i="10"/>
  <c r="H39" i="10"/>
  <c r="G39" i="10"/>
  <c r="K38" i="10"/>
  <c r="J38" i="10"/>
  <c r="I38" i="10"/>
  <c r="H38" i="10"/>
  <c r="G38" i="10"/>
  <c r="F38" i="10"/>
  <c r="E38" i="10"/>
  <c r="D38" i="10"/>
  <c r="L38" i="10" s="1"/>
  <c r="C38" i="10"/>
  <c r="B38" i="10"/>
  <c r="M37" i="10"/>
  <c r="N37" i="10" s="1"/>
  <c r="O37" i="10" s="1"/>
  <c r="P37" i="10" s="1"/>
  <c r="L37" i="10"/>
  <c r="P27" i="10"/>
  <c r="O27" i="10"/>
  <c r="N27" i="10"/>
  <c r="M27" i="10"/>
  <c r="L27" i="10"/>
  <c r="B26" i="10"/>
  <c r="K24" i="10"/>
  <c r="J24" i="10"/>
  <c r="I24" i="10"/>
  <c r="H24" i="10"/>
  <c r="G24" i="10"/>
  <c r="F24" i="10"/>
  <c r="E24" i="10"/>
  <c r="D24" i="10"/>
  <c r="C24" i="10"/>
  <c r="B24" i="10"/>
  <c r="K19" i="10"/>
  <c r="J19" i="10"/>
  <c r="I19" i="10"/>
  <c r="H19" i="10"/>
  <c r="G19" i="10"/>
  <c r="F19" i="10"/>
  <c r="E19" i="10"/>
  <c r="D19" i="10"/>
  <c r="C19" i="10"/>
  <c r="B19" i="10"/>
  <c r="K17" i="10"/>
  <c r="J17" i="10"/>
  <c r="I17" i="10"/>
  <c r="H17" i="10"/>
  <c r="G17" i="10"/>
  <c r="F17" i="10"/>
  <c r="E17" i="10"/>
  <c r="D17" i="10"/>
  <c r="C17" i="10"/>
  <c r="B17" i="10"/>
  <c r="B18" i="10" s="1"/>
  <c r="L4" i="10"/>
  <c r="C7" i="11" s="1"/>
  <c r="B38" i="9"/>
  <c r="B36" i="9"/>
  <c r="I9" i="12" s="1"/>
  <c r="D27" i="9"/>
  <c r="D26" i="9"/>
  <c r="D25" i="9"/>
  <c r="D24" i="9"/>
  <c r="D23" i="9"/>
  <c r="B13" i="9"/>
  <c r="B34" i="8"/>
  <c r="B32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5" i="8"/>
  <c r="B4" i="8"/>
  <c r="B49" i="7"/>
  <c r="K20" i="14" s="1"/>
  <c r="B47" i="7"/>
  <c r="C38" i="7"/>
  <c r="C30" i="7"/>
  <c r="C29" i="7"/>
  <c r="C28" i="7"/>
  <c r="C27" i="7"/>
  <c r="C26" i="7"/>
  <c r="B13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5" i="7"/>
  <c r="B4" i="7"/>
  <c r="Q246" i="6"/>
  <c r="H246" i="6"/>
  <c r="Q245" i="6"/>
  <c r="H245" i="6"/>
  <c r="Q244" i="6"/>
  <c r="H244" i="6"/>
  <c r="Q243" i="6"/>
  <c r="H243" i="6"/>
  <c r="Q242" i="6"/>
  <c r="H242" i="6"/>
  <c r="Q241" i="6"/>
  <c r="H241" i="6"/>
  <c r="Q240" i="6"/>
  <c r="H240" i="6"/>
  <c r="Q239" i="6"/>
  <c r="H239" i="6"/>
  <c r="Q238" i="6"/>
  <c r="H238" i="6"/>
  <c r="Q237" i="6"/>
  <c r="H237" i="6"/>
  <c r="Q236" i="6"/>
  <c r="H236" i="6"/>
  <c r="Q235" i="6"/>
  <c r="H235" i="6"/>
  <c r="Q234" i="6"/>
  <c r="H234" i="6"/>
  <c r="Q233" i="6"/>
  <c r="H233" i="6"/>
  <c r="Q232" i="6"/>
  <c r="H232" i="6"/>
  <c r="Q231" i="6"/>
  <c r="H231" i="6"/>
  <c r="Q230" i="6"/>
  <c r="H230" i="6"/>
  <c r="Q229" i="6"/>
  <c r="H229" i="6"/>
  <c r="Q228" i="6"/>
  <c r="H228" i="6"/>
  <c r="Q227" i="6"/>
  <c r="H227" i="6"/>
  <c r="Q226" i="6"/>
  <c r="H226" i="6"/>
  <c r="Q225" i="6"/>
  <c r="H225" i="6"/>
  <c r="Q224" i="6"/>
  <c r="H224" i="6"/>
  <c r="Q223" i="6"/>
  <c r="H223" i="6"/>
  <c r="Q222" i="6"/>
  <c r="H222" i="6"/>
  <c r="Q221" i="6"/>
  <c r="H221" i="6"/>
  <c r="Q220" i="6"/>
  <c r="H220" i="6"/>
  <c r="Q219" i="6"/>
  <c r="H219" i="6"/>
  <c r="Q218" i="6"/>
  <c r="H218" i="6"/>
  <c r="Q217" i="6"/>
  <c r="H217" i="6"/>
  <c r="Q216" i="6"/>
  <c r="H216" i="6"/>
  <c r="Q215" i="6"/>
  <c r="H215" i="6"/>
  <c r="Q214" i="6"/>
  <c r="H214" i="6"/>
  <c r="Q213" i="6"/>
  <c r="H213" i="6"/>
  <c r="Q212" i="6"/>
  <c r="H212" i="6"/>
  <c r="Q211" i="6"/>
  <c r="H211" i="6"/>
  <c r="Q210" i="6"/>
  <c r="H210" i="6"/>
  <c r="Q209" i="6"/>
  <c r="H209" i="6"/>
  <c r="Q208" i="6"/>
  <c r="H208" i="6"/>
  <c r="Q207" i="6"/>
  <c r="H207" i="6"/>
  <c r="Q206" i="6"/>
  <c r="H206" i="6"/>
  <c r="Q205" i="6"/>
  <c r="H205" i="6"/>
  <c r="Q204" i="6"/>
  <c r="H204" i="6"/>
  <c r="Q203" i="6"/>
  <c r="H203" i="6"/>
  <c r="Q202" i="6"/>
  <c r="H202" i="6"/>
  <c r="Q201" i="6"/>
  <c r="H201" i="6"/>
  <c r="Q200" i="6"/>
  <c r="H200" i="6"/>
  <c r="Q199" i="6"/>
  <c r="H199" i="6"/>
  <c r="Q198" i="6"/>
  <c r="H198" i="6"/>
  <c r="Q197" i="6"/>
  <c r="H197" i="6"/>
  <c r="Q196" i="6"/>
  <c r="H196" i="6"/>
  <c r="Q195" i="6"/>
  <c r="H195" i="6"/>
  <c r="Q194" i="6"/>
  <c r="H194" i="6"/>
  <c r="Q193" i="6"/>
  <c r="H193" i="6"/>
  <c r="Q192" i="6"/>
  <c r="H192" i="6"/>
  <c r="Q191" i="6"/>
  <c r="H191" i="6"/>
  <c r="Q190" i="6"/>
  <c r="H190" i="6"/>
  <c r="Q189" i="6"/>
  <c r="H189" i="6"/>
  <c r="Q188" i="6"/>
  <c r="H188" i="6"/>
  <c r="Q187" i="6"/>
  <c r="H187" i="6"/>
  <c r="Q186" i="6"/>
  <c r="H186" i="6"/>
  <c r="Q185" i="6"/>
  <c r="H185" i="6"/>
  <c r="Q184" i="6"/>
  <c r="H184" i="6"/>
  <c r="Q183" i="6"/>
  <c r="H183" i="6"/>
  <c r="Q182" i="6"/>
  <c r="H182" i="6"/>
  <c r="Q181" i="6"/>
  <c r="H181" i="6"/>
  <c r="Q180" i="6"/>
  <c r="H180" i="6"/>
  <c r="Q179" i="6"/>
  <c r="H179" i="6"/>
  <c r="Q178" i="6"/>
  <c r="H178" i="6"/>
  <c r="Q177" i="6"/>
  <c r="H177" i="6"/>
  <c r="Q176" i="6"/>
  <c r="H176" i="6"/>
  <c r="Q175" i="6"/>
  <c r="H175" i="6"/>
  <c r="Q174" i="6"/>
  <c r="H174" i="6"/>
  <c r="Q173" i="6"/>
  <c r="H173" i="6"/>
  <c r="Q172" i="6"/>
  <c r="H172" i="6"/>
  <c r="Q171" i="6"/>
  <c r="H171" i="6"/>
  <c r="Q170" i="6"/>
  <c r="H170" i="6"/>
  <c r="Q169" i="6"/>
  <c r="H169" i="6"/>
  <c r="Q168" i="6"/>
  <c r="H168" i="6"/>
  <c r="Q167" i="6"/>
  <c r="H167" i="6"/>
  <c r="Q166" i="6"/>
  <c r="H166" i="6"/>
  <c r="Q165" i="6"/>
  <c r="H165" i="6"/>
  <c r="Q164" i="6"/>
  <c r="H164" i="6"/>
  <c r="Q163" i="6"/>
  <c r="H163" i="6"/>
  <c r="Q162" i="6"/>
  <c r="H162" i="6"/>
  <c r="Q161" i="6"/>
  <c r="H161" i="6"/>
  <c r="Q160" i="6"/>
  <c r="H160" i="6"/>
  <c r="Q159" i="6"/>
  <c r="H159" i="6"/>
  <c r="Q158" i="6"/>
  <c r="H158" i="6"/>
  <c r="Q157" i="6"/>
  <c r="H157" i="6"/>
  <c r="Q156" i="6"/>
  <c r="H156" i="6"/>
  <c r="Q155" i="6"/>
  <c r="H155" i="6"/>
  <c r="Q154" i="6"/>
  <c r="H154" i="6"/>
  <c r="Q153" i="6"/>
  <c r="H153" i="6"/>
  <c r="Q152" i="6"/>
  <c r="H152" i="6"/>
  <c r="Q151" i="6"/>
  <c r="H151" i="6"/>
  <c r="Q150" i="6"/>
  <c r="H150" i="6"/>
  <c r="Q149" i="6"/>
  <c r="H149" i="6"/>
  <c r="Q148" i="6"/>
  <c r="H148" i="6"/>
  <c r="Q147" i="6"/>
  <c r="H147" i="6"/>
  <c r="Q146" i="6"/>
  <c r="H146" i="6"/>
  <c r="Q145" i="6"/>
  <c r="H145" i="6"/>
  <c r="Q144" i="6"/>
  <c r="H144" i="6"/>
  <c r="Q143" i="6"/>
  <c r="H143" i="6"/>
  <c r="Q142" i="6"/>
  <c r="H142" i="6"/>
  <c r="Q141" i="6"/>
  <c r="H141" i="6"/>
  <c r="Q140" i="6"/>
  <c r="H140" i="6"/>
  <c r="Q139" i="6"/>
  <c r="H139" i="6"/>
  <c r="Q138" i="6"/>
  <c r="H138" i="6"/>
  <c r="Q137" i="6"/>
  <c r="H137" i="6"/>
  <c r="Q136" i="6"/>
  <c r="H136" i="6"/>
  <c r="Q135" i="6"/>
  <c r="H135" i="6"/>
  <c r="Q134" i="6"/>
  <c r="H134" i="6"/>
  <c r="Q133" i="6"/>
  <c r="H133" i="6"/>
  <c r="Q132" i="6"/>
  <c r="H132" i="6"/>
  <c r="Q131" i="6"/>
  <c r="H131" i="6"/>
  <c r="Q130" i="6"/>
  <c r="H130" i="6"/>
  <c r="Q129" i="6"/>
  <c r="H129" i="6"/>
  <c r="Q128" i="6"/>
  <c r="H128" i="6"/>
  <c r="Q127" i="6"/>
  <c r="H127" i="6"/>
  <c r="Q126" i="6"/>
  <c r="H126" i="6"/>
  <c r="Q125" i="6"/>
  <c r="H125" i="6"/>
  <c r="Q124" i="6"/>
  <c r="H124" i="6"/>
  <c r="Q123" i="6"/>
  <c r="H123" i="6"/>
  <c r="Q122" i="6"/>
  <c r="H122" i="6"/>
  <c r="Q121" i="6"/>
  <c r="H121" i="6"/>
  <c r="Q120" i="6"/>
  <c r="H120" i="6"/>
  <c r="Q119" i="6"/>
  <c r="H119" i="6"/>
  <c r="Q118" i="6"/>
  <c r="H118" i="6"/>
  <c r="Q117" i="6"/>
  <c r="H117" i="6"/>
  <c r="Q116" i="6"/>
  <c r="H116" i="6"/>
  <c r="Q115" i="6"/>
  <c r="H115" i="6"/>
  <c r="Q114" i="6"/>
  <c r="H114" i="6"/>
  <c r="Q113" i="6"/>
  <c r="H113" i="6"/>
  <c r="Q112" i="6"/>
  <c r="H112" i="6"/>
  <c r="Q111" i="6"/>
  <c r="H111" i="6"/>
  <c r="Q110" i="6"/>
  <c r="H110" i="6"/>
  <c r="Q109" i="6"/>
  <c r="H109" i="6"/>
  <c r="Q108" i="6"/>
  <c r="H108" i="6"/>
  <c r="Q107" i="6"/>
  <c r="H107" i="6"/>
  <c r="Q106" i="6"/>
  <c r="H106" i="6"/>
  <c r="Q105" i="6"/>
  <c r="H105" i="6"/>
  <c r="Q104" i="6"/>
  <c r="H104" i="6"/>
  <c r="Q103" i="6"/>
  <c r="H103" i="6"/>
  <c r="Q102" i="6"/>
  <c r="H102" i="6"/>
  <c r="Q101" i="6"/>
  <c r="H101" i="6"/>
  <c r="Q100" i="6"/>
  <c r="H100" i="6"/>
  <c r="Q99" i="6"/>
  <c r="H99" i="6"/>
  <c r="Q98" i="6"/>
  <c r="H98" i="6"/>
  <c r="Q97" i="6"/>
  <c r="H97" i="6"/>
  <c r="Q96" i="6"/>
  <c r="H96" i="6"/>
  <c r="Q95" i="6"/>
  <c r="H95" i="6"/>
  <c r="Q94" i="6"/>
  <c r="H94" i="6"/>
  <c r="Q93" i="6"/>
  <c r="H93" i="6"/>
  <c r="Q92" i="6"/>
  <c r="H92" i="6"/>
  <c r="Q91" i="6"/>
  <c r="H91" i="6"/>
  <c r="Q90" i="6"/>
  <c r="H90" i="6"/>
  <c r="Q89" i="6"/>
  <c r="H89" i="6"/>
  <c r="Q88" i="6"/>
  <c r="H88" i="6"/>
  <c r="Q87" i="6"/>
  <c r="H87" i="6"/>
  <c r="Q86" i="6"/>
  <c r="H86" i="6"/>
  <c r="Q85" i="6"/>
  <c r="H85" i="6"/>
  <c r="Q84" i="6"/>
  <c r="H84" i="6"/>
  <c r="Q83" i="6"/>
  <c r="H83" i="6"/>
  <c r="Q82" i="6"/>
  <c r="H82" i="6"/>
  <c r="Q81" i="6"/>
  <c r="H81" i="6"/>
  <c r="Q80" i="6"/>
  <c r="H80" i="6"/>
  <c r="Q79" i="6"/>
  <c r="H79" i="6"/>
  <c r="Q78" i="6"/>
  <c r="H78" i="6"/>
  <c r="Q77" i="6"/>
  <c r="H77" i="6"/>
  <c r="Q76" i="6"/>
  <c r="H76" i="6"/>
  <c r="Q75" i="6"/>
  <c r="H75" i="6"/>
  <c r="Q74" i="6"/>
  <c r="H74" i="6"/>
  <c r="Q73" i="6"/>
  <c r="H73" i="6"/>
  <c r="Q72" i="6"/>
  <c r="H72" i="6"/>
  <c r="Q71" i="6"/>
  <c r="H71" i="6"/>
  <c r="Q70" i="6"/>
  <c r="H70" i="6"/>
  <c r="Q69" i="6"/>
  <c r="H69" i="6"/>
  <c r="Q68" i="6"/>
  <c r="H68" i="6"/>
  <c r="Q67" i="6"/>
  <c r="H67" i="6"/>
  <c r="Q66" i="6"/>
  <c r="H66" i="6"/>
  <c r="Q65" i="6"/>
  <c r="H65" i="6"/>
  <c r="Q64" i="6"/>
  <c r="H64" i="6"/>
  <c r="Q63" i="6"/>
  <c r="H63" i="6"/>
  <c r="Q62" i="6"/>
  <c r="H62" i="6"/>
  <c r="Q61" i="6"/>
  <c r="H61" i="6"/>
  <c r="Q60" i="6"/>
  <c r="H60" i="6"/>
  <c r="Q59" i="6"/>
  <c r="H59" i="6"/>
  <c r="Q58" i="6"/>
  <c r="H58" i="6"/>
  <c r="Q57" i="6"/>
  <c r="H57" i="6"/>
  <c r="Q56" i="6"/>
  <c r="H56" i="6"/>
  <c r="Q55" i="6"/>
  <c r="H55" i="6"/>
  <c r="Q54" i="6"/>
  <c r="H54" i="6"/>
  <c r="Q53" i="6"/>
  <c r="H53" i="6"/>
  <c r="Q52" i="6"/>
  <c r="H52" i="6"/>
  <c r="Q51" i="6"/>
  <c r="H51" i="6"/>
  <c r="Q50" i="6"/>
  <c r="H50" i="6"/>
  <c r="Q49" i="6"/>
  <c r="H49" i="6"/>
  <c r="Q48" i="6"/>
  <c r="H48" i="6"/>
  <c r="Q47" i="6"/>
  <c r="H47" i="6"/>
  <c r="Q46" i="6"/>
  <c r="H46" i="6"/>
  <c r="Q45" i="6"/>
  <c r="H45" i="6"/>
  <c r="Q44" i="6"/>
  <c r="H44" i="6"/>
  <c r="Q43" i="6"/>
  <c r="H43" i="6"/>
  <c r="Q42" i="6"/>
  <c r="H42" i="6"/>
  <c r="Q41" i="6"/>
  <c r="H41" i="6"/>
  <c r="Q40" i="6"/>
  <c r="H40" i="6"/>
  <c r="Q39" i="6"/>
  <c r="H39" i="6"/>
  <c r="Q38" i="6"/>
  <c r="H38" i="6"/>
  <c r="Q37" i="6"/>
  <c r="H37" i="6"/>
  <c r="Q36" i="6"/>
  <c r="H36" i="6"/>
  <c r="Q35" i="6"/>
  <c r="H35" i="6"/>
  <c r="Q34" i="6"/>
  <c r="H34" i="6"/>
  <c r="Q33" i="6"/>
  <c r="H33" i="6"/>
  <c r="Q32" i="6"/>
  <c r="H32" i="6"/>
  <c r="Q31" i="6"/>
  <c r="H31" i="6"/>
  <c r="Q30" i="6"/>
  <c r="H30" i="6"/>
  <c r="Q29" i="6"/>
  <c r="H29" i="6"/>
  <c r="Q28" i="6"/>
  <c r="H28" i="6"/>
  <c r="Q27" i="6"/>
  <c r="H27" i="6"/>
  <c r="Q26" i="6"/>
  <c r="H26" i="6"/>
  <c r="Q25" i="6"/>
  <c r="H25" i="6"/>
  <c r="Q24" i="6"/>
  <c r="H24" i="6"/>
  <c r="Q23" i="6"/>
  <c r="H23" i="6"/>
  <c r="Q22" i="6"/>
  <c r="H22" i="6"/>
  <c r="Q21" i="6"/>
  <c r="H21" i="6"/>
  <c r="Q20" i="6"/>
  <c r="H20" i="6"/>
  <c r="Q19" i="6"/>
  <c r="H19" i="6"/>
  <c r="Q18" i="6"/>
  <c r="H18" i="6"/>
  <c r="Q17" i="6"/>
  <c r="H17" i="6"/>
  <c r="Q16" i="6"/>
  <c r="H16" i="6"/>
  <c r="Q15" i="6"/>
  <c r="H15" i="6"/>
  <c r="Q14" i="6"/>
  <c r="H14" i="6"/>
  <c r="Q13" i="6"/>
  <c r="H13" i="6"/>
  <c r="Q12" i="6"/>
  <c r="H12" i="6"/>
  <c r="Q11" i="6"/>
  <c r="H11" i="6"/>
  <c r="Q10" i="6"/>
  <c r="H10" i="6"/>
  <c r="Q9" i="6"/>
  <c r="H9" i="6"/>
  <c r="Q8" i="6"/>
  <c r="H8" i="6"/>
  <c r="Q7" i="6"/>
  <c r="H7" i="6"/>
  <c r="Q6" i="6"/>
  <c r="Q247" i="6" s="1"/>
  <c r="Q248" i="6" s="1"/>
  <c r="C17" i="4" s="1"/>
  <c r="H6" i="6"/>
  <c r="Q5" i="6"/>
  <c r="H5" i="6"/>
  <c r="H247" i="6" s="1"/>
  <c r="H248" i="6" s="1"/>
  <c r="P65" i="5"/>
  <c r="L17" i="4" s="1"/>
  <c r="P64" i="5"/>
  <c r="H64" i="5"/>
  <c r="H65" i="5" s="1"/>
  <c r="M19" i="4"/>
  <c r="M16" i="4"/>
  <c r="C40" i="7" s="1"/>
  <c r="M10" i="4"/>
  <c r="M9" i="4"/>
  <c r="C8" i="4"/>
  <c r="M7" i="4"/>
  <c r="C6" i="4"/>
  <c r="L6" i="4" s="1"/>
  <c r="M5" i="4"/>
  <c r="L5" i="4"/>
  <c r="C5" i="4"/>
  <c r="K76" i="2"/>
  <c r="J76" i="2"/>
  <c r="I76" i="2"/>
  <c r="H76" i="2"/>
  <c r="G76" i="2"/>
  <c r="F76" i="2"/>
  <c r="E76" i="2"/>
  <c r="D76" i="2"/>
  <c r="L76" i="2" s="1"/>
  <c r="C76" i="2"/>
  <c r="B76" i="2"/>
  <c r="K75" i="2"/>
  <c r="J75" i="2"/>
  <c r="I75" i="2"/>
  <c r="H75" i="2"/>
  <c r="G75" i="2"/>
  <c r="F75" i="2"/>
  <c r="E75" i="2"/>
  <c r="D75" i="2"/>
  <c r="C75" i="2"/>
  <c r="B75" i="2"/>
  <c r="L75" i="2" s="1"/>
  <c r="K74" i="2"/>
  <c r="J74" i="2"/>
  <c r="I74" i="2"/>
  <c r="H74" i="2"/>
  <c r="G74" i="2"/>
  <c r="F74" i="2"/>
  <c r="E74" i="2"/>
  <c r="D74" i="2"/>
  <c r="C74" i="2"/>
  <c r="B74" i="2"/>
  <c r="L74" i="2" s="1"/>
  <c r="K73" i="2"/>
  <c r="J73" i="2"/>
  <c r="I73" i="2"/>
  <c r="H73" i="2"/>
  <c r="G73" i="2"/>
  <c r="F73" i="2"/>
  <c r="E73" i="2"/>
  <c r="D73" i="2"/>
  <c r="C73" i="2"/>
  <c r="B73" i="2"/>
  <c r="L73" i="2" s="1"/>
  <c r="K72" i="2"/>
  <c r="J72" i="2"/>
  <c r="I72" i="2"/>
  <c r="H72" i="2"/>
  <c r="G72" i="2"/>
  <c r="F72" i="2"/>
  <c r="E72" i="2"/>
  <c r="D72" i="2"/>
  <c r="C72" i="2"/>
  <c r="B72" i="2"/>
  <c r="L72" i="2" s="1"/>
  <c r="J68" i="2"/>
  <c r="J41" i="10" s="1"/>
  <c r="E68" i="2"/>
  <c r="E41" i="10" s="1"/>
  <c r="K67" i="2"/>
  <c r="K68" i="2" s="1"/>
  <c r="K41" i="10" s="1"/>
  <c r="J67" i="2"/>
  <c r="I67" i="2"/>
  <c r="H67" i="2"/>
  <c r="I68" i="2" s="1"/>
  <c r="I41" i="10" s="1"/>
  <c r="G67" i="2"/>
  <c r="H68" i="2" s="1"/>
  <c r="H41" i="10" s="1"/>
  <c r="F67" i="2"/>
  <c r="G68" i="2" s="1"/>
  <c r="G41" i="10" s="1"/>
  <c r="E67" i="2"/>
  <c r="F68" i="2" s="1"/>
  <c r="F41" i="10" s="1"/>
  <c r="D67" i="2"/>
  <c r="C67" i="2"/>
  <c r="D68" i="2" s="1"/>
  <c r="D41" i="10" s="1"/>
  <c r="B67" i="2"/>
  <c r="K65" i="2"/>
  <c r="J65" i="2"/>
  <c r="L66" i="2" s="1"/>
  <c r="I65" i="2"/>
  <c r="H65" i="2"/>
  <c r="G65" i="2"/>
  <c r="F65" i="2"/>
  <c r="E65" i="2"/>
  <c r="D65" i="2"/>
  <c r="C65" i="2"/>
  <c r="L64" i="2"/>
  <c r="K64" i="2"/>
  <c r="J64" i="2"/>
  <c r="I64" i="2"/>
  <c r="H64" i="2"/>
  <c r="G64" i="2"/>
  <c r="F64" i="2"/>
  <c r="E64" i="2"/>
  <c r="D64" i="2"/>
  <c r="C64" i="2"/>
  <c r="B64" i="2"/>
  <c r="G61" i="2"/>
  <c r="D61" i="2"/>
  <c r="D62" i="2" s="1"/>
  <c r="D27" i="10" s="1"/>
  <c r="K60" i="2"/>
  <c r="J60" i="2"/>
  <c r="I60" i="2"/>
  <c r="H60" i="2"/>
  <c r="G60" i="2"/>
  <c r="F60" i="2"/>
  <c r="F61" i="2" s="1"/>
  <c r="F62" i="2" s="1"/>
  <c r="F27" i="10" s="1"/>
  <c r="E60" i="2"/>
  <c r="D60" i="2"/>
  <c r="C60" i="2"/>
  <c r="B60" i="2"/>
  <c r="K59" i="2"/>
  <c r="K61" i="2" s="1"/>
  <c r="J59" i="2"/>
  <c r="J61" i="2" s="1"/>
  <c r="J62" i="2" s="1"/>
  <c r="J27" i="10" s="1"/>
  <c r="I59" i="2"/>
  <c r="I61" i="2" s="1"/>
  <c r="H59" i="2"/>
  <c r="H61" i="2" s="1"/>
  <c r="H62" i="2" s="1"/>
  <c r="H27" i="10" s="1"/>
  <c r="G59" i="2"/>
  <c r="F59" i="2"/>
  <c r="E59" i="2"/>
  <c r="E61" i="2" s="1"/>
  <c r="E62" i="2" s="1"/>
  <c r="E27" i="10" s="1"/>
  <c r="D59" i="2"/>
  <c r="C59" i="2"/>
  <c r="C61" i="2" s="1"/>
  <c r="B59" i="2"/>
  <c r="B61" i="2" s="1"/>
  <c r="J57" i="2"/>
  <c r="J26" i="10" s="1"/>
  <c r="G57" i="2"/>
  <c r="G26" i="10" s="1"/>
  <c r="K56" i="2"/>
  <c r="K57" i="2" s="1"/>
  <c r="K26" i="10" s="1"/>
  <c r="J56" i="2"/>
  <c r="I56" i="2"/>
  <c r="H56" i="2"/>
  <c r="I57" i="2" s="1"/>
  <c r="I26" i="10" s="1"/>
  <c r="G56" i="2"/>
  <c r="F56" i="2"/>
  <c r="F57" i="2" s="1"/>
  <c r="F26" i="10" s="1"/>
  <c r="E56" i="2"/>
  <c r="E57" i="2" s="1"/>
  <c r="E26" i="10" s="1"/>
  <c r="D56" i="2"/>
  <c r="C56" i="2"/>
  <c r="D57" i="2" s="1"/>
  <c r="D26" i="10" s="1"/>
  <c r="B56" i="2"/>
  <c r="L10" i="2"/>
  <c r="L65" i="2" s="1"/>
  <c r="P4" i="2"/>
  <c r="O4" i="2"/>
  <c r="N4" i="2"/>
  <c r="M4" i="2"/>
  <c r="L4" i="2"/>
  <c r="G62" i="2" l="1"/>
  <c r="G27" i="10" s="1"/>
  <c r="L11" i="2"/>
  <c r="M17" i="4"/>
  <c r="I62" i="2"/>
  <c r="I27" i="10" s="1"/>
  <c r="L12" i="2"/>
  <c r="C62" i="2"/>
  <c r="C27" i="10" s="1"/>
  <c r="K62" i="2"/>
  <c r="K27" i="10" s="1"/>
  <c r="L13" i="2"/>
  <c r="M6" i="4"/>
  <c r="L8" i="4"/>
  <c r="I6" i="15"/>
  <c r="Q6" i="15"/>
  <c r="C18" i="10"/>
  <c r="B14" i="9"/>
  <c r="B20" i="10"/>
  <c r="F25" i="9"/>
  <c r="F26" i="9"/>
  <c r="F23" i="9"/>
  <c r="B25" i="10"/>
  <c r="F27" i="9"/>
  <c r="F24" i="9"/>
  <c r="M38" i="10"/>
  <c r="N38" i="10" s="1"/>
  <c r="O38" i="10" s="1"/>
  <c r="P38" i="10" s="1"/>
  <c r="L6" i="10"/>
  <c r="H57" i="2"/>
  <c r="H26" i="10" s="1"/>
  <c r="C68" i="2"/>
  <c r="C41" i="10" s="1"/>
  <c r="L42" i="10" s="1"/>
  <c r="Q9" i="15"/>
  <c r="I9" i="15"/>
  <c r="B21" i="10"/>
  <c r="P7" i="15"/>
  <c r="O7" i="15"/>
  <c r="L8" i="10"/>
  <c r="L40" i="10"/>
  <c r="B15" i="11"/>
  <c r="C57" i="2"/>
  <c r="C26" i="10" s="1"/>
  <c r="M10" i="2"/>
  <c r="C11" i="4"/>
  <c r="C13" i="4" s="1"/>
  <c r="C14" i="4" s="1"/>
  <c r="C18" i="4" s="1"/>
  <c r="C20" i="4" s="1"/>
  <c r="C23" i="4" s="1"/>
  <c r="C39" i="7"/>
  <c r="C41" i="7" s="1"/>
  <c r="C43" i="7" s="1"/>
  <c r="Q5" i="15"/>
  <c r="I5" i="15"/>
  <c r="Q26" i="15"/>
  <c r="P26" i="15"/>
  <c r="O26" i="15"/>
  <c r="I8" i="15"/>
  <c r="M4" i="10"/>
  <c r="M12" i="2" s="1"/>
  <c r="O28" i="15"/>
  <c r="Q28" i="15"/>
  <c r="P28" i="15"/>
  <c r="L24" i="10" l="1"/>
  <c r="C6" i="13"/>
  <c r="L11" i="4"/>
  <c r="M8" i="4"/>
  <c r="P6" i="15"/>
  <c r="O6" i="15"/>
  <c r="N10" i="2"/>
  <c r="P9" i="15"/>
  <c r="O9" i="15"/>
  <c r="M8" i="10"/>
  <c r="P5" i="15"/>
  <c r="O5" i="15"/>
  <c r="C13" i="11"/>
  <c r="L14" i="2"/>
  <c r="L8" i="2" s="1"/>
  <c r="Q19" i="15"/>
  <c r="Q27" i="15" s="1"/>
  <c r="Q21" i="15"/>
  <c r="Q18" i="15"/>
  <c r="Q20" i="15"/>
  <c r="Q17" i="15"/>
  <c r="Q16" i="15"/>
  <c r="M6" i="10"/>
  <c r="L5" i="10"/>
  <c r="C8" i="11"/>
  <c r="B23" i="10"/>
  <c r="C20" i="10"/>
  <c r="B22" i="10"/>
  <c r="B7" i="14"/>
  <c r="B8" i="14" s="1"/>
  <c r="L56" i="2"/>
  <c r="L57" i="2" s="1"/>
  <c r="C25" i="10"/>
  <c r="D18" i="10"/>
  <c r="M7" i="10"/>
  <c r="M5" i="10"/>
  <c r="D7" i="11"/>
  <c r="N4" i="10"/>
  <c r="P8" i="15"/>
  <c r="O8" i="15"/>
  <c r="M13" i="2"/>
  <c r="M11" i="2"/>
  <c r="M14" i="2" s="1"/>
  <c r="M8" i="2" s="1"/>
  <c r="M6" i="2" l="1"/>
  <c r="M5" i="2" s="1"/>
  <c r="M7" i="2"/>
  <c r="C23" i="10"/>
  <c r="C30" i="10" s="1"/>
  <c r="D20" i="10"/>
  <c r="C22" i="10"/>
  <c r="C32" i="10" s="1"/>
  <c r="C7" i="14"/>
  <c r="C8" i="14" s="1"/>
  <c r="C21" i="10"/>
  <c r="C31" i="10" s="1"/>
  <c r="M24" i="10"/>
  <c r="D6" i="13"/>
  <c r="Q30" i="15"/>
  <c r="Q32" i="15" s="1"/>
  <c r="Q25" i="15"/>
  <c r="M11" i="4"/>
  <c r="M13" i="4" s="1"/>
  <c r="M14" i="4" s="1"/>
  <c r="M18" i="4" s="1"/>
  <c r="M20" i="4" s="1"/>
  <c r="I5" i="12" s="1"/>
  <c r="I6" i="12" s="1"/>
  <c r="I8" i="12" s="1"/>
  <c r="I10" i="12" s="1"/>
  <c r="I11" i="12" s="1"/>
  <c r="L13" i="4"/>
  <c r="L14" i="4" s="1"/>
  <c r="L18" i="4" s="1"/>
  <c r="L20" i="4" s="1"/>
  <c r="L23" i="4" s="1"/>
  <c r="P19" i="15"/>
  <c r="P25" i="15" s="1"/>
  <c r="P27" i="15" s="1"/>
  <c r="P30" i="15" s="1"/>
  <c r="P32" i="15" s="1"/>
  <c r="P21" i="15"/>
  <c r="P18" i="15"/>
  <c r="P20" i="15"/>
  <c r="P17" i="15"/>
  <c r="P16" i="15"/>
  <c r="M23" i="4"/>
  <c r="B12" i="9" s="1"/>
  <c r="D13" i="11"/>
  <c r="C7" i="13"/>
  <c r="C8" i="13" s="1"/>
  <c r="L26" i="10"/>
  <c r="N56" i="2"/>
  <c r="N57" i="2" s="1"/>
  <c r="O10" i="2"/>
  <c r="N11" i="2"/>
  <c r="N8" i="10"/>
  <c r="D25" i="10"/>
  <c r="E18" i="10"/>
  <c r="N6" i="10"/>
  <c r="N5" i="10" s="1"/>
  <c r="D8" i="11"/>
  <c r="L6" i="2"/>
  <c r="L7" i="2"/>
  <c r="L5" i="2" s="1"/>
  <c r="M56" i="2"/>
  <c r="M57" i="2" s="1"/>
  <c r="O4" i="10"/>
  <c r="N7" i="10"/>
  <c r="E7" i="11"/>
  <c r="N12" i="2"/>
  <c r="N13" i="2"/>
  <c r="O19" i="15"/>
  <c r="O25" i="15" s="1"/>
  <c r="O27" i="15" s="1"/>
  <c r="O30" i="15" s="1"/>
  <c r="O32" i="15" s="1"/>
  <c r="O16" i="15"/>
  <c r="O21" i="15"/>
  <c r="O20" i="15"/>
  <c r="O18" i="15"/>
  <c r="O17" i="15"/>
  <c r="F18" i="10" l="1"/>
  <c r="E25" i="10"/>
  <c r="C6" i="9"/>
  <c r="C6" i="7"/>
  <c r="C6" i="8"/>
  <c r="D22" i="10"/>
  <c r="D32" i="10" s="1"/>
  <c r="D7" i="14"/>
  <c r="D8" i="14" s="1"/>
  <c r="D23" i="10"/>
  <c r="D30" i="10" s="1"/>
  <c r="E20" i="10"/>
  <c r="D21" i="10"/>
  <c r="D31" i="10" s="1"/>
  <c r="C5" i="9"/>
  <c r="C5" i="8"/>
  <c r="C5" i="7"/>
  <c r="N24" i="10"/>
  <c r="E6" i="13"/>
  <c r="E13" i="11"/>
  <c r="C4" i="9"/>
  <c r="C34" i="10"/>
  <c r="C4" i="8"/>
  <c r="C4" i="7"/>
  <c r="L9" i="14"/>
  <c r="L9" i="10"/>
  <c r="P10" i="2"/>
  <c r="O8" i="10"/>
  <c r="O11" i="2"/>
  <c r="F13" i="11" s="1"/>
  <c r="P4" i="10"/>
  <c r="F7" i="11"/>
  <c r="O7" i="10"/>
  <c r="O12" i="2"/>
  <c r="O13" i="2"/>
  <c r="E8" i="11"/>
  <c r="O6" i="10"/>
  <c r="O5" i="10" s="1"/>
  <c r="E7" i="13"/>
  <c r="N26" i="10"/>
  <c r="D7" i="13"/>
  <c r="D8" i="13" s="1"/>
  <c r="M26" i="10"/>
  <c r="N14" i="2"/>
  <c r="N8" i="2" s="1"/>
  <c r="M9" i="14"/>
  <c r="M9" i="10"/>
  <c r="G7" i="11" l="1"/>
  <c r="P7" i="10"/>
  <c r="P13" i="2"/>
  <c r="P12" i="2"/>
  <c r="O14" i="2"/>
  <c r="O8" i="2" s="1"/>
  <c r="D5" i="9"/>
  <c r="D5" i="8"/>
  <c r="D5" i="7"/>
  <c r="N6" i="2"/>
  <c r="N7" i="2"/>
  <c r="F6" i="13"/>
  <c r="O24" i="10"/>
  <c r="C8" i="8"/>
  <c r="C8" i="7"/>
  <c r="C8" i="9"/>
  <c r="P8" i="10"/>
  <c r="P11" i="2"/>
  <c r="G13" i="11" s="1"/>
  <c r="O56" i="2"/>
  <c r="O57" i="2" s="1"/>
  <c r="E7" i="14"/>
  <c r="E8" i="14" s="1"/>
  <c r="F20" i="10"/>
  <c r="E22" i="10"/>
  <c r="E32" i="10" s="1"/>
  <c r="E21" i="10"/>
  <c r="E31" i="10" s="1"/>
  <c r="E23" i="10"/>
  <c r="E30" i="10" s="1"/>
  <c r="D6" i="9"/>
  <c r="D6" i="8"/>
  <c r="D6" i="7"/>
  <c r="E8" i="13"/>
  <c r="D34" i="10"/>
  <c r="D4" i="8"/>
  <c r="D4" i="7"/>
  <c r="D4" i="9"/>
  <c r="F25" i="10"/>
  <c r="G18" i="10"/>
  <c r="F8" i="11"/>
  <c r="P6" i="10"/>
  <c r="P5" i="10" s="1"/>
  <c r="M10" i="10"/>
  <c r="L10" i="10"/>
  <c r="O6" i="2" l="1"/>
  <c r="O7" i="2"/>
  <c r="O5" i="2" s="1"/>
  <c r="G25" i="10"/>
  <c r="H18" i="10"/>
  <c r="F8" i="13"/>
  <c r="G6" i="13"/>
  <c r="P24" i="10"/>
  <c r="P56" i="2"/>
  <c r="P57" i="2" s="1"/>
  <c r="N9" i="14"/>
  <c r="N9" i="10"/>
  <c r="O26" i="10"/>
  <c r="F7" i="13"/>
  <c r="E5" i="9"/>
  <c r="E5" i="8"/>
  <c r="E5" i="7"/>
  <c r="P14" i="2"/>
  <c r="P8" i="2" s="1"/>
  <c r="N5" i="2"/>
  <c r="M6" i="14"/>
  <c r="M19" i="10"/>
  <c r="D45" i="10"/>
  <c r="D8" i="8"/>
  <c r="D8" i="9"/>
  <c r="D8" i="7"/>
  <c r="E6" i="8"/>
  <c r="E6" i="9"/>
  <c r="E6" i="7"/>
  <c r="L6" i="14"/>
  <c r="L19" i="10"/>
  <c r="E34" i="10"/>
  <c r="E4" i="8"/>
  <c r="E4" i="9"/>
  <c r="E4" i="7"/>
  <c r="G8" i="11"/>
  <c r="F7" i="14"/>
  <c r="F8" i="14" s="1"/>
  <c r="G20" i="10"/>
  <c r="F22" i="10"/>
  <c r="F32" i="10" s="1"/>
  <c r="F21" i="10"/>
  <c r="F31" i="10" s="1"/>
  <c r="F23" i="10"/>
  <c r="F30" i="10" s="1"/>
  <c r="G8" i="13" l="1"/>
  <c r="D3" i="13"/>
  <c r="H25" i="10"/>
  <c r="I18" i="10"/>
  <c r="F34" i="10"/>
  <c r="F4" i="8"/>
  <c r="F4" i="7"/>
  <c r="F4" i="9"/>
  <c r="F5" i="9"/>
  <c r="F5" i="8"/>
  <c r="F5" i="7"/>
  <c r="F6" i="9"/>
  <c r="F6" i="8"/>
  <c r="F6" i="7"/>
  <c r="G7" i="14"/>
  <c r="G8" i="14" s="1"/>
  <c r="G23" i="10"/>
  <c r="G30" i="10" s="1"/>
  <c r="H20" i="10"/>
  <c r="G22" i="10"/>
  <c r="G32" i="10" s="1"/>
  <c r="G21" i="10"/>
  <c r="G31" i="10" s="1"/>
  <c r="N10" i="10"/>
  <c r="C3" i="13"/>
  <c r="E8" i="8"/>
  <c r="E8" i="7"/>
  <c r="E8" i="9"/>
  <c r="E45" i="10"/>
  <c r="P6" i="2"/>
  <c r="P7" i="2"/>
  <c r="P26" i="10"/>
  <c r="G7" i="13"/>
  <c r="O9" i="14"/>
  <c r="O9" i="10"/>
  <c r="I25" i="10" l="1"/>
  <c r="J18" i="10"/>
  <c r="G6" i="9"/>
  <c r="G6" i="8"/>
  <c r="G6" i="7"/>
  <c r="G34" i="10"/>
  <c r="G4" i="8"/>
  <c r="G4" i="9"/>
  <c r="G4" i="7"/>
  <c r="G5" i="9"/>
  <c r="G5" i="8"/>
  <c r="G5" i="7"/>
  <c r="P9" i="14"/>
  <c r="P9" i="10"/>
  <c r="O10" i="10"/>
  <c r="F45" i="10"/>
  <c r="F8" i="8"/>
  <c r="F8" i="9"/>
  <c r="F8" i="7"/>
  <c r="H22" i="10"/>
  <c r="H32" i="10" s="1"/>
  <c r="H7" i="14"/>
  <c r="H8" i="14" s="1"/>
  <c r="H23" i="10"/>
  <c r="H30" i="10" s="1"/>
  <c r="I20" i="10"/>
  <c r="H21" i="10"/>
  <c r="H31" i="10" s="1"/>
  <c r="P5" i="2"/>
  <c r="N19" i="10"/>
  <c r="N6" i="14"/>
  <c r="G45" i="10" l="1"/>
  <c r="G8" i="8"/>
  <c r="G8" i="7"/>
  <c r="G8" i="9"/>
  <c r="E3" i="13"/>
  <c r="H6" i="8"/>
  <c r="H6" i="9"/>
  <c r="H6" i="7"/>
  <c r="I22" i="10"/>
  <c r="I32" i="10" s="1"/>
  <c r="I23" i="10"/>
  <c r="I30" i="10" s="1"/>
  <c r="I7" i="14"/>
  <c r="I8" i="14" s="1"/>
  <c r="J20" i="10"/>
  <c r="I21" i="10"/>
  <c r="I31" i="10" s="1"/>
  <c r="H34" i="10"/>
  <c r="H4" i="7"/>
  <c r="H4" i="9"/>
  <c r="H4" i="8"/>
  <c r="P10" i="10"/>
  <c r="H5" i="9"/>
  <c r="H5" i="8"/>
  <c r="H5" i="7"/>
  <c r="O6" i="14"/>
  <c r="O19" i="10"/>
  <c r="K18" i="10"/>
  <c r="J25" i="10"/>
  <c r="I5" i="7" l="1"/>
  <c r="I5" i="9"/>
  <c r="I5" i="8"/>
  <c r="M11" i="10"/>
  <c r="K25" i="10"/>
  <c r="L18" i="10"/>
  <c r="L11" i="10"/>
  <c r="P11" i="10"/>
  <c r="P17" i="10" s="1"/>
  <c r="G4" i="13" s="1"/>
  <c r="O11" i="10"/>
  <c r="N11" i="10"/>
  <c r="C21" i="4"/>
  <c r="C22" i="4" s="1"/>
  <c r="I6" i="8"/>
  <c r="I6" i="7"/>
  <c r="I6" i="9"/>
  <c r="I4" i="9"/>
  <c r="I34" i="10"/>
  <c r="I4" i="8"/>
  <c r="I4" i="7"/>
  <c r="J23" i="10"/>
  <c r="J30" i="10" s="1"/>
  <c r="J7" i="14"/>
  <c r="J8" i="14" s="1"/>
  <c r="J21" i="10"/>
  <c r="J31" i="10" s="1"/>
  <c r="K20" i="10"/>
  <c r="J22" i="10"/>
  <c r="J32" i="10" s="1"/>
  <c r="P12" i="10"/>
  <c r="P6" i="14"/>
  <c r="P19" i="10"/>
  <c r="F3" i="13"/>
  <c r="H8" i="9"/>
  <c r="H45" i="10"/>
  <c r="H8" i="8"/>
  <c r="H8" i="7"/>
  <c r="J5" i="9" l="1"/>
  <c r="J5" i="8"/>
  <c r="J5" i="7"/>
  <c r="M17" i="10"/>
  <c r="D4" i="13" s="1"/>
  <c r="D5" i="13" s="1"/>
  <c r="M12" i="10"/>
  <c r="F5" i="13"/>
  <c r="N17" i="10"/>
  <c r="E4" i="13" s="1"/>
  <c r="E5" i="13" s="1"/>
  <c r="N12" i="10"/>
  <c r="J4" i="9"/>
  <c r="J34" i="10"/>
  <c r="J4" i="8"/>
  <c r="J4" i="7"/>
  <c r="P13" i="10"/>
  <c r="G9" i="11"/>
  <c r="O17" i="10"/>
  <c r="F4" i="13" s="1"/>
  <c r="O12" i="10"/>
  <c r="J6" i="8"/>
  <c r="J6" i="9"/>
  <c r="J6" i="7"/>
  <c r="L25" i="10"/>
  <c r="M18" i="10"/>
  <c r="G3" i="13"/>
  <c r="G5" i="13" s="1"/>
  <c r="I8" i="9"/>
  <c r="I45" i="10"/>
  <c r="I8" i="8"/>
  <c r="I8" i="7"/>
  <c r="K7" i="14"/>
  <c r="K8" i="14" s="1"/>
  <c r="K21" i="10"/>
  <c r="K23" i="10"/>
  <c r="K30" i="10" s="1"/>
  <c r="L20" i="10"/>
  <c r="K22" i="10"/>
  <c r="K32" i="10" s="1"/>
  <c r="L17" i="10"/>
  <c r="C4" i="13" s="1"/>
  <c r="C5" i="13" s="1"/>
  <c r="L12" i="10"/>
  <c r="N18" i="10" l="1"/>
  <c r="M25" i="10"/>
  <c r="L13" i="10"/>
  <c r="C9" i="11"/>
  <c r="D9" i="11"/>
  <c r="M13" i="10"/>
  <c r="J8" i="9"/>
  <c r="J45" i="10"/>
  <c r="J8" i="8"/>
  <c r="J8" i="7"/>
  <c r="K6" i="7"/>
  <c r="K6" i="9"/>
  <c r="K6" i="8"/>
  <c r="M20" i="10"/>
  <c r="L7" i="14"/>
  <c r="L8" i="14" s="1"/>
  <c r="L22" i="10"/>
  <c r="L32" i="10" s="1"/>
  <c r="L23" i="10"/>
  <c r="L30" i="10" s="1"/>
  <c r="L21" i="10"/>
  <c r="K4" i="9"/>
  <c r="K34" i="10"/>
  <c r="K4" i="8"/>
  <c r="K4" i="7"/>
  <c r="O13" i="10"/>
  <c r="F9" i="11"/>
  <c r="K31" i="10"/>
  <c r="B10" i="11"/>
  <c r="E9" i="11"/>
  <c r="N13" i="10"/>
  <c r="L4" i="9" l="1"/>
  <c r="L34" i="10"/>
  <c r="L4" i="8"/>
  <c r="L4" i="7"/>
  <c r="K5" i="9"/>
  <c r="K5" i="8"/>
  <c r="K5" i="7"/>
  <c r="C10" i="11"/>
  <c r="L31" i="10"/>
  <c r="K8" i="9"/>
  <c r="K45" i="10"/>
  <c r="K8" i="8"/>
  <c r="K8" i="7"/>
  <c r="L6" i="9"/>
  <c r="L6" i="8"/>
  <c r="L6" i="7"/>
  <c r="M7" i="14"/>
  <c r="M8" i="14" s="1"/>
  <c r="N20" i="10"/>
  <c r="M22" i="10"/>
  <c r="M32" i="10" s="1"/>
  <c r="M23" i="10"/>
  <c r="M30" i="10" s="1"/>
  <c r="M21" i="10"/>
  <c r="O18" i="10"/>
  <c r="N25" i="10"/>
  <c r="D10" i="11" l="1"/>
  <c r="M31" i="10"/>
  <c r="M34" i="10" s="1"/>
  <c r="M4" i="8"/>
  <c r="M4" i="9"/>
  <c r="M4" i="7"/>
  <c r="P18" i="10"/>
  <c r="O25" i="10"/>
  <c r="L21" i="4"/>
  <c r="L22" i="4" s="1"/>
  <c r="N7" i="14"/>
  <c r="N8" i="14" s="1"/>
  <c r="O20" i="10"/>
  <c r="N22" i="10"/>
  <c r="N32" i="10" s="1"/>
  <c r="N23" i="10"/>
  <c r="N30" i="10" s="1"/>
  <c r="N21" i="10"/>
  <c r="M6" i="9"/>
  <c r="M6" i="8"/>
  <c r="M6" i="7"/>
  <c r="B18" i="9"/>
  <c r="L8" i="9"/>
  <c r="L45" i="10"/>
  <c r="L8" i="8"/>
  <c r="D18" i="8" s="1"/>
  <c r="D20" i="8" s="1"/>
  <c r="B23" i="8" s="1"/>
  <c r="L8" i="7"/>
  <c r="D19" i="7" s="1"/>
  <c r="D21" i="7" s="1"/>
  <c r="B26" i="7" s="1"/>
  <c r="D26" i="7" s="1"/>
  <c r="L5" i="9"/>
  <c r="L5" i="8"/>
  <c r="L5" i="7"/>
  <c r="M45" i="10" l="1"/>
  <c r="M8" i="8"/>
  <c r="E18" i="8" s="1"/>
  <c r="E20" i="8" s="1"/>
  <c r="B24" i="8" s="1"/>
  <c r="M8" i="7"/>
  <c r="E19" i="7" s="1"/>
  <c r="E21" i="7" s="1"/>
  <c r="B27" i="7" s="1"/>
  <c r="D27" i="7" s="1"/>
  <c r="C18" i="9"/>
  <c r="M8" i="9"/>
  <c r="P25" i="10"/>
  <c r="M21" i="4"/>
  <c r="M22" i="4" s="1"/>
  <c r="I15" i="4" s="1"/>
  <c r="E10" i="11"/>
  <c r="N31" i="10"/>
  <c r="N34" i="10"/>
  <c r="N4" i="8"/>
  <c r="N4" i="7"/>
  <c r="N4" i="9"/>
  <c r="B20" i="9"/>
  <c r="P20" i="10"/>
  <c r="O7" i="14"/>
  <c r="O8" i="14" s="1"/>
  <c r="O22" i="10"/>
  <c r="O32" i="10" s="1"/>
  <c r="O23" i="10"/>
  <c r="O30" i="10" s="1"/>
  <c r="O21" i="10"/>
  <c r="N6" i="9"/>
  <c r="N6" i="8"/>
  <c r="N6" i="7"/>
  <c r="M5" i="9"/>
  <c r="M5" i="8"/>
  <c r="M5" i="7"/>
  <c r="F10" i="11" l="1"/>
  <c r="O31" i="10"/>
  <c r="O34" i="10"/>
  <c r="O4" i="8"/>
  <c r="O4" i="9"/>
  <c r="O4" i="7"/>
  <c r="C20" i="9"/>
  <c r="I10" i="14"/>
  <c r="I11" i="14" s="1"/>
  <c r="P10" i="14"/>
  <c r="H10" i="14"/>
  <c r="H11" i="14" s="1"/>
  <c r="F10" i="14"/>
  <c r="F11" i="14" s="1"/>
  <c r="E9" i="13"/>
  <c r="E10" i="13" s="1"/>
  <c r="J29" i="11"/>
  <c r="O10" i="14"/>
  <c r="O11" i="14" s="1"/>
  <c r="E10" i="14"/>
  <c r="E11" i="14" s="1"/>
  <c r="D9" i="13"/>
  <c r="D10" i="13" s="1"/>
  <c r="N10" i="14"/>
  <c r="N11" i="14" s="1"/>
  <c r="D10" i="14"/>
  <c r="D11" i="14" s="1"/>
  <c r="C9" i="13"/>
  <c r="M10" i="14"/>
  <c r="M11" i="14" s="1"/>
  <c r="C10" i="14"/>
  <c r="C11" i="14" s="1"/>
  <c r="L10" i="14"/>
  <c r="L11" i="14" s="1"/>
  <c r="B10" i="14"/>
  <c r="B11" i="14" s="1"/>
  <c r="B11" i="9"/>
  <c r="K10" i="14"/>
  <c r="J10" i="14"/>
  <c r="J11" i="14" s="1"/>
  <c r="G9" i="13"/>
  <c r="G10" i="13" s="1"/>
  <c r="B11" i="7"/>
  <c r="G10" i="14"/>
  <c r="G11" i="14" s="1"/>
  <c r="F9" i="13"/>
  <c r="F10" i="13" s="1"/>
  <c r="B11" i="8"/>
  <c r="O6" i="9"/>
  <c r="O6" i="8"/>
  <c r="O6" i="7"/>
  <c r="N45" i="10"/>
  <c r="D18" i="9"/>
  <c r="N8" i="8"/>
  <c r="F18" i="8" s="1"/>
  <c r="F20" i="8" s="1"/>
  <c r="B25" i="8" s="1"/>
  <c r="N8" i="9"/>
  <c r="N8" i="7"/>
  <c r="F19" i="7" s="1"/>
  <c r="F21" i="7" s="1"/>
  <c r="B28" i="7" s="1"/>
  <c r="D28" i="7" s="1"/>
  <c r="N5" i="8"/>
  <c r="N5" i="9"/>
  <c r="N5" i="7"/>
  <c r="P7" i="14"/>
  <c r="P8" i="14" s="1"/>
  <c r="P11" i="14" s="1"/>
  <c r="Q11" i="14" s="1"/>
  <c r="P22" i="10"/>
  <c r="P32" i="10" s="1"/>
  <c r="P23" i="10"/>
  <c r="P30" i="10" s="1"/>
  <c r="P21" i="10"/>
  <c r="B40" i="8" l="1"/>
  <c r="C27" i="8"/>
  <c r="C23" i="8"/>
  <c r="D23" i="8" s="1"/>
  <c r="C24" i="8"/>
  <c r="D24" i="8" s="1"/>
  <c r="K14" i="14"/>
  <c r="K16" i="14" s="1"/>
  <c r="C26" i="8"/>
  <c r="C25" i="8"/>
  <c r="D25" i="8" s="1"/>
  <c r="P4" i="7"/>
  <c r="P34" i="10"/>
  <c r="P4" i="9"/>
  <c r="P4" i="8"/>
  <c r="P6" i="9"/>
  <c r="P6" i="8"/>
  <c r="P6" i="7"/>
  <c r="E12" i="13"/>
  <c r="G13" i="13" s="1"/>
  <c r="H10" i="13" s="1"/>
  <c r="G15" i="13" s="1"/>
  <c r="G16" i="13" s="1"/>
  <c r="E16" i="13"/>
  <c r="F16" i="13"/>
  <c r="F12" i="13"/>
  <c r="D20" i="9"/>
  <c r="G12" i="13"/>
  <c r="C10" i="13"/>
  <c r="C16" i="13" s="1"/>
  <c r="B16" i="11"/>
  <c r="C16" i="11"/>
  <c r="N33" i="11" s="1"/>
  <c r="D16" i="11"/>
  <c r="M33" i="11" s="1"/>
  <c r="E16" i="11"/>
  <c r="L33" i="11" s="1"/>
  <c r="F16" i="11"/>
  <c r="K33" i="11" s="1"/>
  <c r="G16" i="11"/>
  <c r="O45" i="10"/>
  <c r="E18" i="9"/>
  <c r="O8" i="8"/>
  <c r="G18" i="8" s="1"/>
  <c r="G20" i="8" s="1"/>
  <c r="B26" i="8" s="1"/>
  <c r="O8" i="7"/>
  <c r="G19" i="7" s="1"/>
  <c r="G21" i="7" s="1"/>
  <c r="B29" i="7" s="1"/>
  <c r="D29" i="7" s="1"/>
  <c r="O8" i="9"/>
  <c r="K15" i="14" a="1"/>
  <c r="K15" i="14" s="1"/>
  <c r="K11" i="14"/>
  <c r="O5" i="8"/>
  <c r="O5" i="9"/>
  <c r="O5" i="7"/>
  <c r="P31" i="10"/>
  <c r="G10" i="11"/>
  <c r="D16" i="13"/>
  <c r="D26" i="8" l="1"/>
  <c r="K17" i="14"/>
  <c r="K19" i="14" s="1"/>
  <c r="K21" i="14" s="1"/>
  <c r="C17" i="13" a="1"/>
  <c r="C17" i="13" s="1"/>
  <c r="C19" i="13" s="1"/>
  <c r="C21" i="13" s="1"/>
  <c r="P8" i="9"/>
  <c r="P45" i="10"/>
  <c r="M46" i="10" s="1"/>
  <c r="P8" i="8"/>
  <c r="F18" i="9"/>
  <c r="P8" i="7"/>
  <c r="H19" i="7" s="1"/>
  <c r="K36" i="11"/>
  <c r="I36" i="11" s="1"/>
  <c r="G18" i="11" s="1"/>
  <c r="J38" i="11" s="1"/>
  <c r="B19" i="11" s="1"/>
  <c r="J33" i="11"/>
  <c r="I33" i="11" s="1"/>
  <c r="B17" i="11" s="1"/>
  <c r="B20" i="11" s="1"/>
  <c r="B21" i="11" s="1"/>
  <c r="B23" i="11" s="1"/>
  <c r="D12" i="13"/>
  <c r="P5" i="8"/>
  <c r="P5" i="9"/>
  <c r="P5" i="7"/>
  <c r="E20" i="9"/>
  <c r="H18" i="8" l="1"/>
  <c r="H19" i="8" s="1"/>
  <c r="H20" i="8" s="1"/>
  <c r="B27" i="8"/>
  <c r="F19" i="9"/>
  <c r="F20" i="9" s="1"/>
  <c r="H20" i="7"/>
  <c r="H21" i="7" s="1"/>
  <c r="B30" i="7" s="1"/>
  <c r="D30" i="7" s="1"/>
  <c r="D31" i="7" s="1"/>
  <c r="B33" i="7" s="1"/>
  <c r="B46" i="7" s="1"/>
  <c r="B48" i="7" s="1"/>
  <c r="B50" i="7" s="1"/>
  <c r="B10" i="9"/>
  <c r="N29" i="11"/>
  <c r="B10" i="8"/>
  <c r="B39" i="8" s="1"/>
  <c r="B42" i="8" s="1"/>
  <c r="B46" i="8" s="1"/>
  <c r="K13" i="14"/>
  <c r="B10" i="7"/>
  <c r="B27" i="9" l="1" a="1"/>
  <c r="B27" i="9" s="1"/>
  <c r="C27" i="9" s="1"/>
  <c r="E27" i="9" s="1"/>
  <c r="G27" i="9" s="1"/>
  <c r="F31" i="9" s="1"/>
  <c r="B26" i="9" a="1"/>
  <c r="B26" i="9" s="1"/>
  <c r="C26" i="9" s="1"/>
  <c r="E26" i="9" s="1"/>
  <c r="G26" i="9" s="1"/>
  <c r="E31" i="9" s="1"/>
  <c r="E33" i="9" s="1"/>
  <c r="B23" i="9" a="1"/>
  <c r="B23" i="9" s="1"/>
  <c r="C23" i="9" s="1"/>
  <c r="E23" i="9" s="1"/>
  <c r="G23" i="9" s="1"/>
  <c r="B31" i="9" s="1"/>
  <c r="B33" i="9" s="1"/>
  <c r="B24" i="9" a="1"/>
  <c r="B24" i="9" s="1"/>
  <c r="C24" i="9" s="1"/>
  <c r="E24" i="9" s="1"/>
  <c r="G24" i="9" s="1"/>
  <c r="C31" i="9" s="1"/>
  <c r="C33" i="9" s="1"/>
  <c r="B25" i="9" a="1"/>
  <c r="B25" i="9" s="1"/>
  <c r="C25" i="9" s="1"/>
  <c r="E25" i="9" s="1"/>
  <c r="G25" i="9" s="1"/>
  <c r="D31" i="9" s="1"/>
  <c r="D33" i="9" s="1"/>
  <c r="D27" i="8" l="1"/>
  <c r="B45" i="8" s="1"/>
  <c r="F32" i="9"/>
  <c r="F33" i="9"/>
  <c r="B35" i="9" s="1" a="1"/>
  <c r="B35" i="9" s="1"/>
  <c r="B37" i="9" s="1"/>
  <c r="B39" i="9" s="1"/>
  <c r="D28" i="8" l="1"/>
  <c r="B31" i="8" s="1"/>
  <c r="B33" i="8" s="1"/>
  <c r="B35" i="8" s="1"/>
  <c r="B47" i="8"/>
  <c r="A54" i="8" s="1"/>
</calcChain>
</file>

<file path=xl/sharedStrings.xml><?xml version="1.0" encoding="utf-8"?>
<sst xmlns="http://schemas.openxmlformats.org/spreadsheetml/2006/main" count="959" uniqueCount="716">
  <si>
    <t>BAJAJ AUTO LIMITED - VALUATION - SECTION A</t>
  </si>
  <si>
    <t>GROUP A10</t>
  </si>
  <si>
    <t>Sheet Name</t>
  </si>
  <si>
    <t>Details</t>
  </si>
  <si>
    <t>p/l</t>
  </si>
  <si>
    <t>P and L statement of past 10 years
forcasted statement for next 5 years
Important ratios and caluculations used for forcasting
FCFF using 3 formule and its average
assumptions used in forcasting</t>
  </si>
  <si>
    <t>https://www.screener.in/company/BAJAJ-AUTO/consolidated/</t>
  </si>
  <si>
    <t>b/s</t>
  </si>
  <si>
    <t>balance sheet of past 10 years
forcasted balance sheet for next 5 years
imp assumptions and caluculation meathods
break up of balance sheet items under header notes to accounts
important ratios used for forcasting</t>
  </si>
  <si>
    <t>c/f</t>
  </si>
  <si>
    <t>past 10 years cash flow statements</t>
  </si>
  <si>
    <t>WACC</t>
  </si>
  <si>
    <t>regression of 5 year monthly stock price and NITFTY 50 data
regression of 1 year daily stock price and NIFTY 50 data
caluculation of 2 betas and average beta
caluculating wacc with all 3 betas</t>
  </si>
  <si>
    <t>5year monthly stock price data</t>
  </si>
  <si>
    <t>https://in.investing.com/indices/s-p-cnx-nifty-historical-data , https://in.investing.com/equities/bajaj-auto-historical-data</t>
  </si>
  <si>
    <t>daily 1 yr stock prices</t>
  </si>
  <si>
    <t>DCF APV</t>
  </si>
  <si>
    <t>DCF WACC</t>
  </si>
  <si>
    <t>DCF CCF</t>
  </si>
  <si>
    <t>Residual Income</t>
  </si>
  <si>
    <t>DDM</t>
  </si>
  <si>
    <t>CFROI</t>
  </si>
  <si>
    <t>EVA</t>
  </si>
  <si>
    <t>Relative Valuation</t>
  </si>
  <si>
    <t>Data for relative valuation</t>
  </si>
  <si>
    <t>BAJAJ AUTO LTD</t>
  </si>
  <si>
    <t>SCREENER.IN</t>
  </si>
  <si>
    <t>BALANCE SHEET</t>
  </si>
  <si>
    <t>FORECASTED VALUES OF BALANCE SHEET</t>
  </si>
  <si>
    <t>Calculations and assumptions</t>
  </si>
  <si>
    <t>Equity and Liabilities</t>
  </si>
  <si>
    <t>Equity Share Capital</t>
  </si>
  <si>
    <t>Asuumed to be constant</t>
  </si>
  <si>
    <t>Reserves</t>
  </si>
  <si>
    <t>retained earnings plus other reserves</t>
  </si>
  <si>
    <t>Borrowings</t>
  </si>
  <si>
    <t>based on constant historical average of Other other D/V(Book)</t>
  </si>
  <si>
    <t>Other Liabilities</t>
  </si>
  <si>
    <t>based on constant historical average of Other other liabilities / total eq+lia</t>
  </si>
  <si>
    <t>Total</t>
  </si>
  <si>
    <t>Taken same as total assets</t>
  </si>
  <si>
    <t>Assets</t>
  </si>
  <si>
    <t>Net Block</t>
  </si>
  <si>
    <t xml:space="preserve">Net block assumed to grow at a constant rate same as avg of change in capes in last 3 years from 2026 and for 2025 800 cr </t>
  </si>
  <si>
    <t>Capital Work in Progress</t>
  </si>
  <si>
    <t>based on constant historical average of Capital Work in Progress/net ppe</t>
  </si>
  <si>
    <t>Investments</t>
  </si>
  <si>
    <t>based on constant historical average of Investments/sales</t>
  </si>
  <si>
    <t>Other Assets</t>
  </si>
  <si>
    <t>based on constant historical average of Other Assets/sales</t>
  </si>
  <si>
    <t>sum total</t>
  </si>
  <si>
    <t>Notes to Accounts</t>
  </si>
  <si>
    <t>https://auto.economictimes.indiatimes.com/news/industry/bajaj-auto-plans-inr-800-cr-capex-in-fy25-upcoming-cng-bike-to-launch-in-phases/109417604#:~:text=New%20Delhi%3A%20Pune%2Dbased%20Bajaj,FY%202023%2D24%20as%20well.</t>
  </si>
  <si>
    <t>800 capex planned for 2025</t>
  </si>
  <si>
    <t>Non-controlling Interest</t>
  </si>
  <si>
    <t>Trade Payables</t>
  </si>
  <si>
    <t>Advance from Customers</t>
  </si>
  <si>
    <t>Other Liability Items</t>
  </si>
  <si>
    <t>Long-term Borrowings</t>
  </si>
  <si>
    <t>Short-term Borrowings</t>
  </si>
  <si>
    <t>Other Borrowings</t>
  </si>
  <si>
    <t>Fixed Assets</t>
  </si>
  <si>
    <t>Land</t>
  </si>
  <si>
    <t>Building</t>
  </si>
  <si>
    <t>Plant Machinery</t>
  </si>
  <si>
    <t>Equipments</t>
  </si>
  <si>
    <t>Computers</t>
  </si>
  <si>
    <t>Furniture and Fittings</t>
  </si>
  <si>
    <t>Vehicles</t>
  </si>
  <si>
    <t>Intangible Assets</t>
  </si>
  <si>
    <t>Other Fixed Assets</t>
  </si>
  <si>
    <t>Inventories</t>
  </si>
  <si>
    <t>Trade Receivables</t>
  </si>
  <si>
    <t>Cash Equivalents</t>
  </si>
  <si>
    <t>Short-term Loans</t>
  </si>
  <si>
    <t>Other Asset Items</t>
  </si>
  <si>
    <t>Working Capital</t>
  </si>
  <si>
    <t>Debtors</t>
  </si>
  <si>
    <t>Inventory</t>
  </si>
  <si>
    <t>Debtor Days</t>
  </si>
  <si>
    <t>Inventory Turnover</t>
  </si>
  <si>
    <t>Return on Equity</t>
  </si>
  <si>
    <t>Return on Capital Emp</t>
  </si>
  <si>
    <t>Capex =Net Block + Capital WIP (Assumption)</t>
  </si>
  <si>
    <t>Change in Capex</t>
  </si>
  <si>
    <t>non cash current assets
 (Inventories,trade recievebles,short term loans given)</t>
  </si>
  <si>
    <t>non  debt current liabilities 
(Trade payables and Advnces from customers)</t>
  </si>
  <si>
    <t>Non Cash Working Capital</t>
  </si>
  <si>
    <t>change in NC WC</t>
  </si>
  <si>
    <t>Average</t>
  </si>
  <si>
    <t>Rate of Depritiation= Depritiation/Net PPE (Assumption)</t>
  </si>
  <si>
    <t>Change in net PPE</t>
  </si>
  <si>
    <t xml:space="preserve">Average change in capex 3 yrs </t>
  </si>
  <si>
    <t>total debt</t>
  </si>
  <si>
    <t>Average total debt</t>
  </si>
  <si>
    <t>Ratios used for Forcasting Balance sheet Items</t>
  </si>
  <si>
    <t>Capital Work in Progress/net ppe</t>
  </si>
  <si>
    <t>Investments/sales</t>
  </si>
  <si>
    <t>Other Assets/sales</t>
  </si>
  <si>
    <t>other liabilities / total eq+lia</t>
  </si>
  <si>
    <t>D/V (Book value)</t>
  </si>
  <si>
    <t>-BAJAJ AUTO LTD</t>
  </si>
  <si>
    <t>Narration</t>
  </si>
  <si>
    <t>Cash from Operating Activity</t>
  </si>
  <si>
    <t>Cash from Investing Activity</t>
  </si>
  <si>
    <t>Cash from Financing Activity</t>
  </si>
  <si>
    <t>Net Cash Flow</t>
  </si>
  <si>
    <t>Equity Beta of the firm 
(Based of 1 year daily data of Bajaj Auto
 stock prices and 1 year daily data of NIFTY 50 Index movements)</t>
  </si>
  <si>
    <t>Assumptions and procedure of beta Calculations</t>
  </si>
  <si>
    <t>Equity Beta of the firm 
(Based of 5 year monthly data of Bajaj Auto
 stock prices and 1 year daily data of NIFTY 50 Index movements)</t>
  </si>
  <si>
    <t>Average Beta</t>
  </si>
  <si>
    <t>Eq Beta</t>
  </si>
  <si>
    <t>Equity beta through regression of daily 1 year data</t>
  </si>
  <si>
    <t>Beta =0.537</t>
  </si>
  <si>
    <t>Current Debt (Book Value)</t>
  </si>
  <si>
    <t>Equity beta through regression of monthly 5 year data</t>
  </si>
  <si>
    <t>Beta=1.073</t>
  </si>
  <si>
    <t>market cap as on 06-09-2024</t>
  </si>
  <si>
    <t>Average equity beta = 0.805</t>
  </si>
  <si>
    <t>Current D/V</t>
  </si>
  <si>
    <t>Assuming the Book Value of current debt
(Long term+Short term borrowings)/current market cap) = 
D/V remains constant for next 5 years</t>
  </si>
  <si>
    <t>Assuming this to remain constant over next 5 years</t>
  </si>
  <si>
    <t>Assuming tax rate ramins same as avg of last 10 years (Tax / PAT)</t>
  </si>
  <si>
    <t>hence, target D/V is also 0.63%</t>
  </si>
  <si>
    <t>WACC = (1-Tc)(D/V)(Kd)+(E/V)(Ke)</t>
  </si>
  <si>
    <t>E/V</t>
  </si>
  <si>
    <t>where Kd= same as risk free rate  (assumed)</t>
  </si>
  <si>
    <t>where ke= Rf+(Beta ... Avg of 2 methods) * {E(Rm)-Rf}</t>
  </si>
  <si>
    <t>Asset beta (Assuming beta of debt as 0)</t>
  </si>
  <si>
    <t>Since D/V remains constant relevered beta becomes same as eq beta</t>
  </si>
  <si>
    <t>Relevered beta</t>
  </si>
  <si>
    <t>where E(Rm) is average annual growth rate of market returns based on 
5 year monthly data of NIFTY 50)</t>
  </si>
  <si>
    <t>Final WACC Comes out to be</t>
  </si>
  <si>
    <t xml:space="preserve">Risk Free rate </t>
  </si>
  <si>
    <t>Market risk premium</t>
  </si>
  <si>
    <t>beta * market risk premium</t>
  </si>
  <si>
    <t>CAPM</t>
  </si>
  <si>
    <t>Cost of equity</t>
  </si>
  <si>
    <t>(!-Tc)*Cost of debt</t>
  </si>
  <si>
    <t>(1-Tc)*Cost of debt</t>
  </si>
  <si>
    <t xml:space="preserve">Pre-Tax Wacc </t>
  </si>
  <si>
    <t>Pre-tax Wacc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</si>
  <si>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</si>
  <si>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</si>
  <si>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</si>
  <si>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</si>
  <si>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</si>
  <si>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</si>
  <si>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</si>
  <si>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</si>
  <si>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</si>
  <si>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</si>
  <si>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</si>
  <si>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</si>
  <si>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</si>
  <si>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</si>
  <si>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</si>
  <si>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</si>
  <si>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</si>
  <si>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</si>
  <si>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</si>
  <si>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</si>
  <si>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</si>
  <si>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</si>
  <si>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</si>
  <si>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Beta</t>
  </si>
  <si>
    <t>BAJAJ AUTO MONTHLY STOCK PRICES DATA FOR 5 YEAR</t>
  </si>
  <si>
    <t>NIFTY 50 DAILY MONTHLY INDEX DATA FOR 5 YEAR</t>
  </si>
  <si>
    <t>Date</t>
  </si>
  <si>
    <t>Price</t>
  </si>
  <si>
    <t>Open</t>
  </si>
  <si>
    <t>High</t>
  </si>
  <si>
    <t>Low</t>
  </si>
  <si>
    <t>Vol.</t>
  </si>
  <si>
    <t>Change %</t>
  </si>
  <si>
    <t>1.84M</t>
  </si>
  <si>
    <t>1.22B</t>
  </si>
  <si>
    <t>7.02M</t>
  </si>
  <si>
    <t>6.33B</t>
  </si>
  <si>
    <t>8.40M</t>
  </si>
  <si>
    <t>7.09B</t>
  </si>
  <si>
    <t>7.03M</t>
  </si>
  <si>
    <t>7.75B</t>
  </si>
  <si>
    <t>5.80M</t>
  </si>
  <si>
    <t>6,710.59B</t>
  </si>
  <si>
    <t>9.79M</t>
  </si>
  <si>
    <t>6,277.66B</t>
  </si>
  <si>
    <t>11.92M</t>
  </si>
  <si>
    <t>6,735.78B</t>
  </si>
  <si>
    <t>9.16M</t>
  </si>
  <si>
    <t>6,728.16B</t>
  </si>
  <si>
    <t>10.09M</t>
  </si>
  <si>
    <t>6,824.38B</t>
  </si>
  <si>
    <t>9.38M</t>
  </si>
  <si>
    <t>6,121.37B</t>
  </si>
  <si>
    <t>8.80M</t>
  </si>
  <si>
    <t>4,423.32B</t>
  </si>
  <si>
    <t>11.51M</t>
  </si>
  <si>
    <t>4,248.51B</t>
  </si>
  <si>
    <t>9.14M</t>
  </si>
  <si>
    <t>5,666.41B</t>
  </si>
  <si>
    <t>6.88M</t>
  </si>
  <si>
    <t>6,253.99B</t>
  </si>
  <si>
    <t>9.11M</t>
  </si>
  <si>
    <t>5,802.27B</t>
  </si>
  <si>
    <t>7.60M</t>
  </si>
  <si>
    <t>5,144.19B</t>
  </si>
  <si>
    <t>8.63M</t>
  </si>
  <si>
    <t>5,737.40B</t>
  </si>
  <si>
    <t>8.42M</t>
  </si>
  <si>
    <t>4,459.76B</t>
  </si>
  <si>
    <t>7.11M</t>
  </si>
  <si>
    <t>5,622.28B</t>
  </si>
  <si>
    <t>6.17M</t>
  </si>
  <si>
    <t>5,685.63B</t>
  </si>
  <si>
    <t>7.74M</t>
  </si>
  <si>
    <t>5,632.81B</t>
  </si>
  <si>
    <t>4.92M</t>
  </si>
  <si>
    <t>4,741.44B</t>
  </si>
  <si>
    <t>7.22M</t>
  </si>
  <si>
    <t>5,257.00B</t>
  </si>
  <si>
    <t>7.46M</t>
  </si>
  <si>
    <t>4,539.96B</t>
  </si>
  <si>
    <t>9.36M</t>
  </si>
  <si>
    <t>6,896.51B</t>
  </si>
  <si>
    <t>7.00M</t>
  </si>
  <si>
    <t>5,589.51B</t>
  </si>
  <si>
    <t>9.03M</t>
  </si>
  <si>
    <t>5,475.27B</t>
  </si>
  <si>
    <t>16.68M</t>
  </si>
  <si>
    <t>5,514.20B</t>
  </si>
  <si>
    <t>9.74M</t>
  </si>
  <si>
    <t>6,343.31B</t>
  </si>
  <si>
    <t>7.97M</t>
  </si>
  <si>
    <t>5,658.25B</t>
  </si>
  <si>
    <t>8.83M</t>
  </si>
  <si>
    <t>7,959.71B</t>
  </si>
  <si>
    <t>7.38M</t>
  </si>
  <si>
    <t>5,620.29B</t>
  </si>
  <si>
    <t>10.21M</t>
  </si>
  <si>
    <t>5,435.45B</t>
  </si>
  <si>
    <t>10.17M</t>
  </si>
  <si>
    <t>5,499.27B</t>
  </si>
  <si>
    <t>8.03M</t>
  </si>
  <si>
    <t>5,853.40B</t>
  </si>
  <si>
    <t>7.98M</t>
  </si>
  <si>
    <t>7,651.08B</t>
  </si>
  <si>
    <t>11.35M</t>
  </si>
  <si>
    <t>6,955.53B</t>
  </si>
  <si>
    <t>8.36M</t>
  </si>
  <si>
    <t>6,349.87B</t>
  </si>
  <si>
    <t>11.18M</t>
  </si>
  <si>
    <t>5,996.74B</t>
  </si>
  <si>
    <t>7.70M</t>
  </si>
  <si>
    <t>8,079.09B</t>
  </si>
  <si>
    <t>10.72M</t>
  </si>
  <si>
    <t>10,269.75B</t>
  </si>
  <si>
    <t>13.45M</t>
  </si>
  <si>
    <t>9,640.13B</t>
  </si>
  <si>
    <t>16.03M</t>
  </si>
  <si>
    <t>11,356.83B</t>
  </si>
  <si>
    <t>13.41M</t>
  </si>
  <si>
    <t>14,313.92B</t>
  </si>
  <si>
    <t>25.93M</t>
  </si>
  <si>
    <t>13,019.73B</t>
  </si>
  <si>
    <t>17.70M</t>
  </si>
  <si>
    <t>12,077.48B</t>
  </si>
  <si>
    <t>16.30M</t>
  </si>
  <si>
    <t>13,112.43B</t>
  </si>
  <si>
    <t>25.68M</t>
  </si>
  <si>
    <t>11,602.47B</t>
  </si>
  <si>
    <t>20.85M</t>
  </si>
  <si>
    <t>13,446.18B</t>
  </si>
  <si>
    <t>18.37M</t>
  </si>
  <si>
    <t>14,035.51B</t>
  </si>
  <si>
    <t>20.77M</t>
  </si>
  <si>
    <t>14,640.02B</t>
  </si>
  <si>
    <t>19.89M</t>
  </si>
  <si>
    <t>16,778.74B</t>
  </si>
  <si>
    <t>20.62M</t>
  </si>
  <si>
    <t>13,675.69B</t>
  </si>
  <si>
    <t>15.65M</t>
  </si>
  <si>
    <t>12,736.48B</t>
  </si>
  <si>
    <t>17.48M</t>
  </si>
  <si>
    <t>21,302.93B</t>
  </si>
  <si>
    <t>10.11M</t>
  </si>
  <si>
    <t>11,191.05B</t>
  </si>
  <si>
    <t>10.16M</t>
  </si>
  <si>
    <t>11,934.46B</t>
  </si>
  <si>
    <t>7.68M</t>
  </si>
  <si>
    <t>12,549.77B</t>
  </si>
  <si>
    <t>13,177.76B</t>
  </si>
  <si>
    <t>10.00M</t>
  </si>
  <si>
    <t>15,622.87B</t>
  </si>
  <si>
    <t>Avg daily ret</t>
  </si>
  <si>
    <t>avg annual ret</t>
  </si>
  <si>
    <t>BAJAJ AUTO DAILY STOCK PRICES DATA FOR 1 YEAR</t>
  </si>
  <si>
    <t>NIFTY 50 DAILY STOCK INDEX DATA FOR 1 YEAR</t>
  </si>
  <si>
    <t>Close</t>
  </si>
  <si>
    <t>Adj Close</t>
  </si>
  <si>
    <t>Volume</t>
  </si>
  <si>
    <t>daily returns</t>
  </si>
  <si>
    <t>Shares Traded</t>
  </si>
  <si>
    <t>Turnover (₹ Cr)</t>
  </si>
  <si>
    <t>13-09-2023</t>
  </si>
  <si>
    <t>14-09-2023</t>
  </si>
  <si>
    <t>15-09-2023</t>
  </si>
  <si>
    <t>18-09-2023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</si>
  <si>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</si>
  <si>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</si>
  <si>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</si>
  <si>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</si>
  <si>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</si>
  <si>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</si>
  <si>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</si>
  <si>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</si>
  <si>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</si>
  <si>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</si>
  <si>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</si>
  <si>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</si>
  <si>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</si>
  <si>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</si>
  <si>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</si>
  <si>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25-10-2023</t>
  </si>
  <si>
    <t>26-10-2023</t>
  </si>
  <si>
    <t>27-10-2023</t>
  </si>
  <si>
    <t>30-10-2023</t>
  </si>
  <si>
    <t>31-10-2023</t>
  </si>
  <si>
    <t>13-11-2023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</si>
  <si>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</si>
  <si>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</si>
  <si>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</si>
  <si>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</si>
  <si>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</si>
  <si>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</si>
  <si>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</si>
  <si>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</si>
  <si>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28-11-2023</t>
  </si>
  <si>
    <t>29-11-2023</t>
  </si>
  <si>
    <t>30-11-2023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</si>
  <si>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</si>
  <si>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</si>
  <si>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</si>
  <si>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</si>
  <si>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</si>
  <si>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</si>
  <si>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</si>
  <si>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</si>
  <si>
    <t>26-12-2023</t>
  </si>
  <si>
    <t>27-12-2023</t>
  </si>
  <si>
    <t>28-12-2023</t>
  </si>
  <si>
    <t>29-12-2023</t>
  </si>
  <si>
    <t>15-01-2024</t>
  </si>
  <si>
    <t>16-01-2024</t>
  </si>
  <si>
    <t>17-01-2024</t>
  </si>
  <si>
    <t>18-01-2024</t>
  </si>
  <si>
    <t>19-01-2024</t>
  </si>
  <si>
    <t>23-01-2024</t>
  </si>
  <si>
    <t>24-01-2024</t>
  </si>
  <si>
    <t>25-01-2024</t>
  </si>
  <si>
    <t>29-01-2024</t>
  </si>
  <si>
    <t>30-01-2024</t>
  </si>
  <si>
    <t>31-01-2024</t>
  </si>
  <si>
    <t>13-02-2024</t>
  </si>
  <si>
    <t>14-02-2024</t>
  </si>
  <si>
    <t>15-02-2024</t>
  </si>
  <si>
    <t>16-02-2024</t>
  </si>
  <si>
    <t>19-02-2024</t>
  </si>
  <si>
    <t>20-02-2024</t>
  </si>
  <si>
    <t>21-02-2024</t>
  </si>
  <si>
    <t>22-02-2024</t>
  </si>
  <si>
    <t>23-02-2024</t>
  </si>
  <si>
    <t>26-02-2024</t>
  </si>
  <si>
    <t>27-02-2024</t>
  </si>
  <si>
    <t>28-02-2024</t>
  </si>
  <si>
    <t>29-02-2024</t>
  </si>
  <si>
    <t>13-03-2024</t>
  </si>
  <si>
    <t>14-03-2024</t>
  </si>
  <si>
    <t>15-03-2024</t>
  </si>
  <si>
    <t>18-03-2024</t>
  </si>
  <si>
    <t>19-03-2024</t>
  </si>
  <si>
    <t>20-03-2024</t>
  </si>
  <si>
    <t>21-03-2024</t>
  </si>
  <si>
    <t>22-03-2024</t>
  </si>
  <si>
    <t>26-03-2024</t>
  </si>
  <si>
    <t>27-03-2024</t>
  </si>
  <si>
    <t>28-03-2024</t>
  </si>
  <si>
    <t>15-04-2024</t>
  </si>
  <si>
    <t>16-04-2024</t>
  </si>
  <si>
    <t>18-04-2024</t>
  </si>
  <si>
    <t>19-04-2024</t>
  </si>
  <si>
    <t>22-04-2024</t>
  </si>
  <si>
    <t>23-04-2024</t>
  </si>
  <si>
    <t>24-04-2024</t>
  </si>
  <si>
    <t>25-04-2024</t>
  </si>
  <si>
    <t>26-04-2024</t>
  </si>
  <si>
    <t>29-04-2024</t>
  </si>
  <si>
    <t>30-04-2024</t>
  </si>
  <si>
    <t>13-05-2024</t>
  </si>
  <si>
    <t>14-05-2024</t>
  </si>
  <si>
    <t>15-05-2024</t>
  </si>
  <si>
    <t>16-05-2024</t>
  </si>
  <si>
    <t>17-05-2024</t>
  </si>
  <si>
    <t>21-05-2024</t>
  </si>
  <si>
    <t>22-05-2024</t>
  </si>
  <si>
    <t>23-05-2024</t>
  </si>
  <si>
    <t>24-05-2024</t>
  </si>
  <si>
    <t>27-05-2024</t>
  </si>
  <si>
    <t>28-05-2024</t>
  </si>
  <si>
    <t>29-05-2024</t>
  </si>
  <si>
    <t>30-05-2024</t>
  </si>
  <si>
    <t>31-05-2024</t>
  </si>
  <si>
    <t>13-06-2024</t>
  </si>
  <si>
    <t>14-06-2024</t>
  </si>
  <si>
    <t>18-06-2024</t>
  </si>
  <si>
    <t>19-06-2024</t>
  </si>
  <si>
    <t>20-06-2024</t>
  </si>
  <si>
    <t>21-06-2024</t>
  </si>
  <si>
    <t>24-06-2024</t>
  </si>
  <si>
    <t>25-06-2024</t>
  </si>
  <si>
    <t>26-06-2024</t>
  </si>
  <si>
    <t>27-06-2024</t>
  </si>
  <si>
    <t>28-06-2024</t>
  </si>
  <si>
    <t>15-07-2024</t>
  </si>
  <si>
    <t>16-07-2024</t>
  </si>
  <si>
    <t>18-07-2024</t>
  </si>
  <si>
    <t>19-07-2024</t>
  </si>
  <si>
    <t>22-07-2024</t>
  </si>
  <si>
    <t>23-07-2024</t>
  </si>
  <si>
    <t>24-07-2024</t>
  </si>
  <si>
    <t>25-07-2024</t>
  </si>
  <si>
    <t>26-07-2024</t>
  </si>
  <si>
    <t>29-07-2024</t>
  </si>
  <si>
    <t>30-07-2024</t>
  </si>
  <si>
    <t>31-07-2024</t>
  </si>
  <si>
    <t>13-08-2024</t>
  </si>
  <si>
    <t>14-08-2024</t>
  </si>
  <si>
    <t>16-08-2024</t>
  </si>
  <si>
    <t>19-08-2024</t>
  </si>
  <si>
    <t>20-08-2024</t>
  </si>
  <si>
    <t>21-08-2024</t>
  </si>
  <si>
    <t>22-08-2024</t>
  </si>
  <si>
    <t>23-08-2024</t>
  </si>
  <si>
    <t>26-08-2024</t>
  </si>
  <si>
    <t>27-08-2024</t>
  </si>
  <si>
    <t>28-08-2024</t>
  </si>
  <si>
    <t>29-08-2024</t>
  </si>
  <si>
    <t>30-08-2024</t>
  </si>
  <si>
    <t>Avg daily returns</t>
  </si>
  <si>
    <t>avg daily ret</t>
  </si>
  <si>
    <t>Avg anual returns</t>
  </si>
  <si>
    <t>DCF Valuation - APV Approach</t>
  </si>
  <si>
    <t>FORECASTED VALUES</t>
  </si>
  <si>
    <t>FREE CASH FLOWS</t>
  </si>
  <si>
    <t>FCFF using PAT</t>
  </si>
  <si>
    <t>FCFF using PBIT</t>
  </si>
  <si>
    <t>FCFF using PBITDA</t>
  </si>
  <si>
    <t>Avg FCFF</t>
  </si>
  <si>
    <t>Growth Rate -Single stage</t>
  </si>
  <si>
    <t>Wacc</t>
  </si>
  <si>
    <t>Cost of equity (r)</t>
  </si>
  <si>
    <t>Debt</t>
  </si>
  <si>
    <t>Adjusted Present Value Approach</t>
  </si>
  <si>
    <t>Average Fcff</t>
  </si>
  <si>
    <t>Terminal Value</t>
  </si>
  <si>
    <t xml:space="preserve">Fcff(1+g)/ r - g </t>
  </si>
  <si>
    <t xml:space="preserve">Total Cash Flows </t>
  </si>
  <si>
    <t>Computation of PV of FCFF</t>
  </si>
  <si>
    <t>Total FCF</t>
  </si>
  <si>
    <t>PV of r 16.44%</t>
  </si>
  <si>
    <t>PV</t>
  </si>
  <si>
    <t>NPV</t>
  </si>
  <si>
    <t xml:space="preserve">NPV </t>
  </si>
  <si>
    <t>Tax rate</t>
  </si>
  <si>
    <t>Interest Exp</t>
  </si>
  <si>
    <t>COST OF DEDT</t>
  </si>
  <si>
    <t>tax sheild intersest</t>
  </si>
  <si>
    <t>PV of tax sheild</t>
  </si>
  <si>
    <t>APV [Value of Firm]</t>
  </si>
  <si>
    <t>fig in Rs. (in crores)</t>
  </si>
  <si>
    <t>Value of Debt</t>
  </si>
  <si>
    <t>Value of Equity</t>
  </si>
  <si>
    <t>No. of Outstanding Shares</t>
  </si>
  <si>
    <t>in crores</t>
  </si>
  <si>
    <t>Value of Shares</t>
  </si>
  <si>
    <t>DCF Valuation - WACC Approach</t>
  </si>
  <si>
    <t>WACC Approach</t>
  </si>
  <si>
    <t xml:space="preserve">Fcff(1+g)/ WACC - g </t>
  </si>
  <si>
    <t>Total Cash Flow</t>
  </si>
  <si>
    <t>PV @ 16%</t>
  </si>
  <si>
    <t>NPV [Value of Firm]</t>
  </si>
  <si>
    <t>Calculation of Enterprise value</t>
  </si>
  <si>
    <t>PV of Terminal Value</t>
  </si>
  <si>
    <t>Value of Operating Assets</t>
  </si>
  <si>
    <t>SENSITIVITY ANALYSIS</t>
  </si>
  <si>
    <t>DCF Valuation - CCF Approach</t>
  </si>
  <si>
    <t>Pre-Tax Wacc</t>
  </si>
  <si>
    <t>Cost of Debt</t>
  </si>
  <si>
    <t>Tax Rate</t>
  </si>
  <si>
    <t>Average FCFF</t>
  </si>
  <si>
    <r>
      <rPr>
        <b/>
        <sz val="10"/>
        <color theme="1"/>
        <rFont val="Arial"/>
        <family val="2"/>
      </rPr>
      <t xml:space="preserve">Terminal Value
</t>
    </r>
    <r>
      <rPr>
        <sz val="10"/>
        <color theme="1"/>
        <rFont val="Arial"/>
        <family val="2"/>
      </rPr>
      <t>[Fcff(1+g)/(Wacc-g)]</t>
    </r>
  </si>
  <si>
    <t>Years</t>
  </si>
  <si>
    <t>Firm Value</t>
  </si>
  <si>
    <t xml:space="preserve">Debt Interset </t>
  </si>
  <si>
    <t>Interest Tax Shield</t>
  </si>
  <si>
    <t>Capital Cash Flow Approach</t>
  </si>
  <si>
    <r>
      <rPr>
        <b/>
        <sz val="10"/>
        <color theme="1"/>
        <rFont val="Arial"/>
        <family val="2"/>
      </rPr>
      <t xml:space="preserve">CCF
</t>
    </r>
    <r>
      <rPr>
        <sz val="10"/>
        <color theme="1"/>
        <rFont val="Arial"/>
        <family val="2"/>
      </rPr>
      <t>[Free cash flow+Interest tax shield]</t>
    </r>
  </si>
  <si>
    <r>
      <rPr>
        <b/>
        <sz val="10"/>
        <color theme="1"/>
        <rFont val="Arial"/>
        <family val="2"/>
      </rPr>
      <t xml:space="preserve">Terminal Value
</t>
    </r>
    <r>
      <rPr>
        <sz val="10"/>
        <color theme="1"/>
        <rFont val="Arial"/>
        <family val="2"/>
      </rPr>
      <t>[last year ccf(1+g)/(pre-tax wacc-g)]</t>
    </r>
  </si>
  <si>
    <t xml:space="preserve">Total </t>
  </si>
  <si>
    <t>INCOME STATEMENT</t>
  </si>
  <si>
    <t>FORECASTED VALUES OF PROFIT AND LOSS STATEMENT</t>
  </si>
  <si>
    <t>Calulated as</t>
  </si>
  <si>
    <t>Sales</t>
  </si>
  <si>
    <t>Constant sales growth rate</t>
  </si>
  <si>
    <t>Expenses</t>
  </si>
  <si>
    <t>PBITDA-Sales</t>
  </si>
  <si>
    <t>Operating Profit (PBITDA)</t>
  </si>
  <si>
    <t>constant operating profit margin</t>
  </si>
  <si>
    <t>add: Other Income</t>
  </si>
  <si>
    <t>cosntant growth rate same as avg of past</t>
  </si>
  <si>
    <t>less: Depreciation</t>
  </si>
  <si>
    <t>Average dep rate * Net Block (PPE)</t>
  </si>
  <si>
    <t>less: Interest</t>
  </si>
  <si>
    <t>avg interest rate based on past</t>
  </si>
  <si>
    <t>Profit before tax (PBT)</t>
  </si>
  <si>
    <t>PBITDA+Other Income-Int-Dep</t>
  </si>
  <si>
    <t>Tax</t>
  </si>
  <si>
    <t>Based on avg tax rate caluculated</t>
  </si>
  <si>
    <t>Net profit (PAT)</t>
  </si>
  <si>
    <t>PBT-Tax</t>
  </si>
  <si>
    <t>EPS</t>
  </si>
  <si>
    <t>-Price to earning</t>
  </si>
  <si>
    <t>Other Calulations</t>
  </si>
  <si>
    <t>Tax Rate = Tax/PBT</t>
  </si>
  <si>
    <t>Average Tax Rate (2015 -2024)</t>
  </si>
  <si>
    <t>PBIT = PBT+Interest</t>
  </si>
  <si>
    <t>(1-Tax rate)</t>
  </si>
  <si>
    <t>PBIT(1-T)</t>
  </si>
  <si>
    <t>PBITDA(1-T)</t>
  </si>
  <si>
    <t>Interest*(1-tax rate)</t>
  </si>
  <si>
    <t>Depritiation</t>
  </si>
  <si>
    <t>Depritiation*Tax rate</t>
  </si>
  <si>
    <t>Capex Investment (Row 57 B/s)</t>
  </si>
  <si>
    <t>Net Non Cash WC (Row 62 B/s)</t>
  </si>
  <si>
    <t>RATIOS:</t>
  </si>
  <si>
    <t>Dividend Payout</t>
  </si>
  <si>
    <t>OPM</t>
  </si>
  <si>
    <t>Other Income</t>
  </si>
  <si>
    <t>Rate of Depritiation average</t>
  </si>
  <si>
    <t>Interest rate =Int exp/avg total debt</t>
  </si>
  <si>
    <t>avg interest rate</t>
  </si>
  <si>
    <t>number of outstanding shares</t>
  </si>
  <si>
    <t>Growth Rate of FCFF</t>
  </si>
  <si>
    <t>Avg</t>
  </si>
  <si>
    <t>Assuming it a single stage growing company, g=11.85%</t>
  </si>
  <si>
    <t>TRENDS:</t>
  </si>
  <si>
    <t>10 YEARS</t>
  </si>
  <si>
    <t>7 YEARS</t>
  </si>
  <si>
    <t>5 YEARS</t>
  </si>
  <si>
    <t>3 YEARS</t>
  </si>
  <si>
    <t>RECENT</t>
  </si>
  <si>
    <t>BEST</t>
  </si>
  <si>
    <t>WORST</t>
  </si>
  <si>
    <t>Sales Growth</t>
  </si>
  <si>
    <t>Price to Earning</t>
  </si>
  <si>
    <t>Trailing</t>
  </si>
  <si>
    <t>Best Case</t>
  </si>
  <si>
    <t>Worst Case</t>
  </si>
  <si>
    <t>Operating Profit</t>
  </si>
  <si>
    <t>-</t>
  </si>
  <si>
    <t>Depreciation</t>
  </si>
  <si>
    <t>Interest</t>
  </si>
  <si>
    <t>Profit before tax</t>
  </si>
  <si>
    <t>Net profit</t>
  </si>
  <si>
    <t>Price to earning</t>
  </si>
  <si>
    <t>Share price</t>
  </si>
  <si>
    <t>Operating Assets</t>
  </si>
  <si>
    <t>Operating Liabilities</t>
  </si>
  <si>
    <t>Year</t>
  </si>
  <si>
    <t>WIP</t>
  </si>
  <si>
    <t>Advance from customers</t>
  </si>
  <si>
    <t>Receivables</t>
  </si>
  <si>
    <t>Other liabilities</t>
  </si>
  <si>
    <t>Operating income</t>
  </si>
  <si>
    <t>Net Income</t>
  </si>
  <si>
    <t>NOPAT = EBIT(1-T)</t>
  </si>
  <si>
    <t>Machinery</t>
  </si>
  <si>
    <t>Net Operating Assets</t>
  </si>
  <si>
    <t>Net Financial Obligations</t>
  </si>
  <si>
    <t xml:space="preserve">Equity </t>
  </si>
  <si>
    <t>REOI</t>
  </si>
  <si>
    <t>PV of REOI</t>
  </si>
  <si>
    <t>Terminal value</t>
  </si>
  <si>
    <t>PV of Terminal value</t>
  </si>
  <si>
    <t>Value of the firm</t>
  </si>
  <si>
    <t>Financial Assets</t>
  </si>
  <si>
    <t>Financial Liabilities</t>
  </si>
  <si>
    <t>Number of Equity Shares</t>
  </si>
  <si>
    <t>Value per share (in crores)</t>
  </si>
  <si>
    <t>Long term borrowings</t>
  </si>
  <si>
    <t>Market price per share (in Rs)</t>
  </si>
  <si>
    <t>Short term loans</t>
  </si>
  <si>
    <t>Short term borrowings</t>
  </si>
  <si>
    <t xml:space="preserve">WACC </t>
  </si>
  <si>
    <t>Growth rate for 5 years</t>
  </si>
  <si>
    <t>Value of the firm = (NOA + PV of REOI + PV of CV)</t>
  </si>
  <si>
    <t>Residual Operating Income (ReOI) = Operating income - (Cost of Capital*NOA)</t>
  </si>
  <si>
    <t xml:space="preserve">Net Operating Assets = Operating Assets - Operating Liabilities                        </t>
  </si>
  <si>
    <t>(1+g)*(r-g)</t>
  </si>
  <si>
    <t>ReI in Final year</t>
  </si>
  <si>
    <t>Net Financial Obligations = Financial Liabilities - Financial Assets</t>
  </si>
  <si>
    <t>PV of Residual Income = Residual Income/((1 + Re)^t)</t>
  </si>
  <si>
    <t>Firm Value = Equity Capital + sum_{t=1}^{n} Residual Income/(1 + r)^t</t>
  </si>
  <si>
    <t>Terminal Value = {Residual Income in Final Year} \(1 + g)}{r - g}</t>
  </si>
  <si>
    <t>Dividends Distribution by Bajaj Auto Historical data</t>
  </si>
  <si>
    <t>Ex-Date</t>
  </si>
  <si>
    <t>Dividend Amount</t>
  </si>
  <si>
    <t>Dividend Type</t>
  </si>
  <si>
    <t>Record Date</t>
  </si>
  <si>
    <t>Instrument Type</t>
  </si>
  <si>
    <t>Dividend growth rate (CAGR)</t>
  </si>
  <si>
    <t>FINAL</t>
  </si>
  <si>
    <t>Equity Share</t>
  </si>
  <si>
    <t>Expected Dividend (Per Share) for 2025</t>
  </si>
  <si>
    <t>Rs/Per Share</t>
  </si>
  <si>
    <t>Cost of Equity  (from wacc sheet)</t>
  </si>
  <si>
    <t>Value of the Stock</t>
  </si>
  <si>
    <t>Rs</t>
  </si>
  <si>
    <t>Number Of Outstanding Shares</t>
  </si>
  <si>
    <t>cr</t>
  </si>
  <si>
    <t>INTERIM</t>
  </si>
  <si>
    <t>Value of the Firm (DDM)</t>
  </si>
  <si>
    <t>Value of debt</t>
  </si>
  <si>
    <t>value of equity</t>
  </si>
  <si>
    <t>share price</t>
  </si>
  <si>
    <t>Market price of stock</t>
  </si>
  <si>
    <t>Highly over valued</t>
  </si>
  <si>
    <t>https://trendlyne.com/equity/Dividend/BAJAJ-AUTO/144/bajaj-auto-ltd-dividend/</t>
  </si>
  <si>
    <t>CFROI Approach</t>
  </si>
  <si>
    <t>EBIT</t>
  </si>
  <si>
    <t>(1-Tc)</t>
  </si>
  <si>
    <t>NOPAT = EBIT*(1-Tc)</t>
  </si>
  <si>
    <t>GCF=NOPAT+Depritiation</t>
  </si>
  <si>
    <t>GI (Assumed to be same as Capex)</t>
  </si>
  <si>
    <t>CFROI = GCF/GI</t>
  </si>
  <si>
    <t>EVA = (cfroi-wacc)*gi</t>
  </si>
  <si>
    <t>g (EVA Growth rate)</t>
  </si>
  <si>
    <t>avg EVA Growth rate</t>
  </si>
  <si>
    <t>Total value of eva at tht yr</t>
  </si>
  <si>
    <t>Number of Shares</t>
  </si>
  <si>
    <r>
      <rPr>
        <b/>
        <sz val="9"/>
        <color rgb="FF1F1F1F"/>
        <rFont val="Arial"/>
        <family val="2"/>
        <scheme val="minor"/>
      </rPr>
      <t>EVA = NOPAT-(Invested Capital*WACC)</t>
    </r>
  </si>
  <si>
    <t>E</t>
  </si>
  <si>
    <t>31-03-2015</t>
  </si>
  <si>
    <t>31-03-2016</t>
  </si>
  <si>
    <t>31-03-2017</t>
  </si>
  <si>
    <t>31-03-2018</t>
  </si>
  <si>
    <t>31-03-2019</t>
  </si>
  <si>
    <t>31-03-2020</t>
  </si>
  <si>
    <t>31-03-2021</t>
  </si>
  <si>
    <t>31-03-2022</t>
  </si>
  <si>
    <t>31-03-2023</t>
  </si>
  <si>
    <t>31-03-2024</t>
  </si>
  <si>
    <t>31-03-2025</t>
  </si>
  <si>
    <t>31-03-2026</t>
  </si>
  <si>
    <t>31-03-2027</t>
  </si>
  <si>
    <t>31-03-2028</t>
  </si>
  <si>
    <t>31-03-2029</t>
  </si>
  <si>
    <t>NOPAT</t>
  </si>
  <si>
    <t>Invested Capital
 (DEBT+capita leases+shareholders equity</t>
  </si>
  <si>
    <t>Present value of exsisting eva</t>
  </si>
  <si>
    <t>PV of terminal value</t>
  </si>
  <si>
    <t>firm value</t>
  </si>
  <si>
    <t>Net Debt</t>
  </si>
  <si>
    <t>Value of equity</t>
  </si>
  <si>
    <t>O/S shares</t>
  </si>
  <si>
    <t>Price per share</t>
  </si>
  <si>
    <t>Market Data</t>
  </si>
  <si>
    <t>Financials</t>
  </si>
  <si>
    <t>Valuation</t>
  </si>
  <si>
    <t>Company</t>
  </si>
  <si>
    <t>Share Price</t>
  </si>
  <si>
    <t>Shares Outstanding</t>
  </si>
  <si>
    <t>Equity Value</t>
  </si>
  <si>
    <t>Cash</t>
  </si>
  <si>
    <t>Enterprise Value</t>
  </si>
  <si>
    <t>Revenue</t>
  </si>
  <si>
    <t>EBITDA</t>
  </si>
  <si>
    <t>EV/Revenue</t>
  </si>
  <si>
    <t>EV/EBITDA</t>
  </si>
  <si>
    <t>P/E</t>
  </si>
  <si>
    <t>Bajaj Auto</t>
  </si>
  <si>
    <t>75th Percentile</t>
  </si>
  <si>
    <t>Median</t>
  </si>
  <si>
    <t>25th Percentile</t>
  </si>
  <si>
    <t>Bajaj Auto Comparable Valuation</t>
  </si>
  <si>
    <t>Implied Enterprise Value</t>
  </si>
  <si>
    <t>Implied Market Value</t>
  </si>
  <si>
    <t>Implied Value per Share</t>
  </si>
  <si>
    <t>Figures in Crores</t>
  </si>
  <si>
    <t>S.No.</t>
  </si>
  <si>
    <t>Name</t>
  </si>
  <si>
    <t>Current Market Price</t>
  </si>
  <si>
    <r>
      <rPr>
        <u/>
        <sz val="10"/>
        <color rgb="FF22222F"/>
        <rFont val="Arial"/>
        <family val="2"/>
      </rPr>
      <t>Market Cap</t>
    </r>
    <r>
      <rPr>
        <u/>
        <sz val="10"/>
        <color rgb="FF1155CC"/>
        <rFont val="Arial"/>
        <family val="2"/>
      </rPr>
      <t xml:space="preserve"> </t>
    </r>
  </si>
  <si>
    <t>No. of Equity Shares</t>
  </si>
  <si>
    <t>Cash End</t>
  </si>
  <si>
    <t>EV</t>
  </si>
  <si>
    <r>
      <rPr>
        <u/>
        <sz val="10"/>
        <color rgb="FF22222F"/>
        <rFont val="Arial"/>
        <family val="2"/>
      </rPr>
      <t>N</t>
    </r>
    <r>
      <rPr>
        <sz val="10"/>
        <color rgb="FF000000"/>
        <rFont val="Arial"/>
        <family val="2"/>
      </rPr>
      <t>et Income</t>
    </r>
  </si>
  <si>
    <t>TVS Motor Co.</t>
  </si>
  <si>
    <t>Hero Motocorp</t>
  </si>
  <si>
    <t>Eicher Motors</t>
  </si>
  <si>
    <t>Atul Auto</t>
  </si>
  <si>
    <t>Terminal Growth rate</t>
  </si>
  <si>
    <t>Calculation of Terminal Value</t>
  </si>
  <si>
    <t>FCFF(n+1)</t>
  </si>
  <si>
    <t>Terminal growth rate</t>
  </si>
  <si>
    <t>PV of FCFF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</si>
</sst>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mmm\-d"/>
    <numFmt numFmtId="165" formatCode="mmm\ d"/>
    <numFmt numFmtId="166" formatCode="0.000"/>
    <numFmt numFmtId="167" formatCode="mm\-dd\-yyyy"/>
    <numFmt numFmtId="168" formatCode="dd\-mmm\-yy"/>
    <numFmt numFmtId="169" formatCode="d\-mmm\-yy"/>
    <numFmt numFmtId="170" formatCode="m\-d\-yyyy"/>
    <numFmt numFmtId="171" formatCode="dd\-mmmm\-yy"/>
    <numFmt numFmtId="172" formatCode="d\-mmmm\-yy"/>
    <numFmt numFmtId="173" formatCode="mmm\ \-d"/>
    <numFmt numFmtId="174" formatCode="mmm\ \-\ d"/>
    <numFmt numFmtId="175" formatCode="#,##0.0000"/>
    <numFmt numFmtId="176" formatCode="&quot;$&quot;#,##0.00"/>
    <numFmt numFmtId="177" formatCode="0.00000%"/>
    <numFmt numFmtId="178" formatCode="0.0000%"/>
    <numFmt numFmtId="179" formatCode="d\ mmm\ yyyy"/>
    <numFmt numFmtId="180" formatCode="dd\ mmm\ yyyy"/>
    <numFmt numFmtId="181" formatCode="0.000000"/>
    <numFmt numFmtId="182" formatCode="0.0\x"/>
    <numFmt numFmtId="183" formatCode="0.0"/>
    <numFmt numFmtId="185" formatCode="0.0000"/>
  </numFmts>
  <fonts count="46">
    <font>
      <sz val="10"/>
      <color rgb="FF000000"/>
      <name val="Arial"/>
      <scheme val="minor"/>
    </font>
    <font>
      <b/>
      <sz val="14"/>
      <color rgb="FF351C75"/>
      <name val="Arial"/>
      <family val="2"/>
      <scheme val="minor"/>
    </font>
    <font>
      <b/>
      <sz val="10"/>
      <color rgb="FF351C75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1"/>
      <color rgb="FFFFFFFF"/>
      <name val="Calibri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b/>
      <sz val="13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2"/>
      <color theme="0"/>
      <name val="Calibri"/>
      <family val="2"/>
    </font>
    <font>
      <b/>
      <sz val="12"/>
      <color rgb="FFFFFFFF"/>
      <name val="Calibri"/>
      <family val="2"/>
    </font>
    <font>
      <b/>
      <sz val="10"/>
      <color rgb="FFEFEFEF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color rgb="FFFF0000"/>
      <name val="Calibri"/>
      <family val="2"/>
    </font>
    <font>
      <sz val="12"/>
      <color theme="0"/>
      <name val="Calibri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  <scheme val="minor"/>
    </font>
    <font>
      <b/>
      <sz val="12"/>
      <color rgb="FF373A3C"/>
      <name val="Roboto"/>
    </font>
    <font>
      <sz val="12"/>
      <color rgb="FF373A3C"/>
      <name val="Roboto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Calibri"/>
      <family val="2"/>
    </font>
    <font>
      <u/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0"/>
      <color rgb="FF22222F"/>
      <name val="&quot;Inter var&quot;"/>
    </font>
    <font>
      <u/>
      <sz val="10"/>
      <color rgb="FF22222F"/>
      <name val="Arial"/>
      <family val="2"/>
    </font>
    <font>
      <u/>
      <sz val="10"/>
      <color rgb="FF0000FF"/>
      <name val="&quot;Inter var&quot;"/>
    </font>
    <font>
      <sz val="10"/>
      <color rgb="FF22222F"/>
      <name val="Arial"/>
      <family val="2"/>
    </font>
    <font>
      <sz val="10"/>
      <color rgb="FF22222F"/>
      <name val="&quot;Inter var&quot;"/>
    </font>
    <font>
      <b/>
      <sz val="10"/>
      <color theme="1"/>
      <name val="Arial"/>
      <family val="2"/>
    </font>
    <font>
      <b/>
      <sz val="9"/>
      <color rgb="FF1F1F1F"/>
      <name val="Arial"/>
      <family val="2"/>
      <scheme val="minor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  <font>
      <sz val="10"/>
      <color theme="3"/>
      <name val="Arial"/>
      <family val="2"/>
      <scheme val="minor"/>
    </font>
    <font>
      <b/>
      <sz val="10"/>
      <color theme="0"/>
      <name val="Calibri"/>
      <family val="2"/>
    </font>
    <font>
      <b/>
      <sz val="10"/>
      <color rgb="FFEFEFEF"/>
      <name val="Calibri"/>
      <family val="2"/>
    </font>
    <font>
      <b/>
      <sz val="10"/>
      <color theme="2"/>
      <name val="Arial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275D8"/>
        <bgColor rgb="FF0275D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  <fill>
      <patternFill patternType="solid">
        <fgColor rgb="FF79CBDF"/>
        <bgColor rgb="FF79CBDF"/>
      </patternFill>
    </fill>
    <fill>
      <patternFill patternType="solid">
        <fgColor rgb="FFF2A075"/>
        <bgColor rgb="FFF2A075"/>
      </patternFill>
    </fill>
    <fill>
      <patternFill patternType="solid">
        <fgColor rgb="FFB4A7D6"/>
        <bgColor rgb="FFB4A7D6"/>
      </patternFill>
    </fill>
    <fill>
      <patternFill patternType="solid">
        <fgColor rgb="FFE06666"/>
        <bgColor rgb="FFE06666"/>
      </patternFill>
    </fill>
    <fill>
      <patternFill patternType="solid">
        <fgColor rgb="FF002060"/>
        <bgColor rgb="FF002060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theme="8"/>
        <bgColor rgb="FFFF9900"/>
      </patternFill>
    </fill>
    <fill>
      <patternFill patternType="solid">
        <fgColor theme="8"/>
        <bgColor indexed="64"/>
      </patternFill>
    </fill>
    <fill>
      <patternFill patternType="solid">
        <fgColor theme="0"/>
        <bgColor rgb="FF3C78D8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theme="4"/>
      </patternFill>
    </fill>
    <fill>
      <patternFill patternType="solid">
        <fgColor rgb="FF0070C0"/>
        <bgColor rgb="FF3C78D8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ECEEEF"/>
      </top>
      <bottom style="medium">
        <color rgb="FFECEEEF"/>
      </bottom>
      <diagonal/>
    </border>
    <border>
      <left/>
      <right/>
      <top style="thin">
        <color rgb="FFECEEE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3" borderId="0" xfId="0" applyFont="1" applyFill="1"/>
    <xf numFmtId="164" fontId="9" fillId="3" borderId="0" xfId="0" applyNumberFormat="1" applyFont="1" applyFill="1" applyAlignment="1">
      <alignment horizontal="center"/>
    </xf>
    <xf numFmtId="164" fontId="6" fillId="4" borderId="0" xfId="0" applyNumberFormat="1" applyFont="1" applyFill="1" applyAlignment="1">
      <alignment horizontal="center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4" fontId="7" fillId="2" borderId="0" xfId="0" applyNumberFormat="1" applyFont="1" applyFill="1" applyAlignment="1">
      <alignment horizontal="center"/>
    </xf>
    <xf numFmtId="0" fontId="7" fillId="5" borderId="0" xfId="0" applyFont="1" applyFill="1"/>
    <xf numFmtId="0" fontId="7" fillId="5" borderId="0" xfId="0" applyFont="1" applyFill="1" applyAlignment="1">
      <alignment horizontal="center"/>
    </xf>
    <xf numFmtId="4" fontId="7" fillId="5" borderId="0" xfId="0" applyNumberFormat="1" applyFont="1" applyFill="1" applyAlignment="1">
      <alignment horizontal="center"/>
    </xf>
    <xf numFmtId="0" fontId="6" fillId="6" borderId="0" xfId="0" applyFont="1" applyFill="1"/>
    <xf numFmtId="4" fontId="6" fillId="6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7" borderId="0" xfId="0" applyFont="1" applyFill="1"/>
    <xf numFmtId="4" fontId="7" fillId="7" borderId="0" xfId="0" applyNumberFormat="1" applyFont="1" applyFill="1" applyAlignment="1">
      <alignment horizontal="center"/>
    </xf>
    <xf numFmtId="4" fontId="7" fillId="8" borderId="0" xfId="0" applyNumberFormat="1" applyFont="1" applyFill="1" applyAlignment="1">
      <alignment horizontal="center"/>
    </xf>
    <xf numFmtId="0" fontId="7" fillId="7" borderId="0" xfId="0" applyFont="1" applyFill="1" applyAlignment="1">
      <alignment horizontal="center"/>
    </xf>
    <xf numFmtId="2" fontId="7" fillId="7" borderId="0" xfId="0" applyNumberFormat="1" applyFont="1" applyFill="1" applyAlignment="1">
      <alignment horizontal="center"/>
    </xf>
    <xf numFmtId="0" fontId="6" fillId="7" borderId="0" xfId="0" applyFont="1" applyFill="1"/>
    <xf numFmtId="4" fontId="6" fillId="7" borderId="0" xfId="0" applyNumberFormat="1" applyFont="1" applyFill="1" applyAlignment="1">
      <alignment horizontal="center"/>
    </xf>
    <xf numFmtId="0" fontId="10" fillId="8" borderId="0" xfId="0" applyFont="1" applyFill="1"/>
    <xf numFmtId="0" fontId="7" fillId="8" borderId="0" xfId="0" applyFont="1" applyFill="1"/>
    <xf numFmtId="0" fontId="4" fillId="8" borderId="0" xfId="0" applyFont="1" applyFill="1"/>
    <xf numFmtId="0" fontId="3" fillId="5" borderId="0" xfId="0" applyFont="1" applyFill="1"/>
    <xf numFmtId="3" fontId="3" fillId="5" borderId="0" xfId="0" applyNumberFormat="1" applyFont="1" applyFill="1"/>
    <xf numFmtId="3" fontId="4" fillId="0" borderId="0" xfId="0" applyNumberFormat="1" applyFont="1"/>
    <xf numFmtId="0" fontId="7" fillId="9" borderId="0" xfId="0" applyFont="1" applyFill="1"/>
    <xf numFmtId="0" fontId="6" fillId="9" borderId="0" xfId="0" applyFont="1" applyFill="1"/>
    <xf numFmtId="0" fontId="6" fillId="9" borderId="0" xfId="0" applyFont="1" applyFill="1" applyAlignment="1">
      <alignment horizontal="center"/>
    </xf>
    <xf numFmtId="0" fontId="9" fillId="9" borderId="0" xfId="0" applyFont="1" applyFill="1"/>
    <xf numFmtId="164" fontId="6" fillId="9" borderId="0" xfId="0" applyNumberFormat="1" applyFont="1" applyFill="1" applyAlignment="1">
      <alignment horizontal="center"/>
    </xf>
    <xf numFmtId="0" fontId="7" fillId="9" borderId="0" xfId="0" applyFont="1" applyFill="1" applyAlignment="1">
      <alignment horizontal="center"/>
    </xf>
    <xf numFmtId="4" fontId="7" fillId="9" borderId="0" xfId="0" applyNumberFormat="1" applyFont="1" applyFill="1" applyAlignment="1">
      <alignment horizontal="center"/>
    </xf>
    <xf numFmtId="0" fontId="4" fillId="9" borderId="0" xfId="0" applyFont="1" applyFill="1"/>
    <xf numFmtId="4" fontId="6" fillId="9" borderId="0" xfId="0" applyNumberFormat="1" applyFont="1" applyFill="1" applyAlignment="1">
      <alignment horizontal="center"/>
    </xf>
    <xf numFmtId="2" fontId="7" fillId="9" borderId="0" xfId="0" applyNumberFormat="1" applyFont="1" applyFill="1" applyAlignment="1">
      <alignment horizontal="center"/>
    </xf>
    <xf numFmtId="4" fontId="7" fillId="5" borderId="0" xfId="0" applyNumberFormat="1" applyFont="1" applyFill="1"/>
    <xf numFmtId="4" fontId="7" fillId="0" borderId="0" xfId="0" applyNumberFormat="1" applyFont="1"/>
    <xf numFmtId="9" fontId="6" fillId="0" borderId="0" xfId="0" applyNumberFormat="1" applyFont="1" applyAlignment="1">
      <alignment horizontal="right"/>
    </xf>
    <xf numFmtId="0" fontId="7" fillId="10" borderId="0" xfId="0" applyFont="1" applyFill="1"/>
    <xf numFmtId="0" fontId="6" fillId="10" borderId="0" xfId="0" applyFont="1" applyFill="1"/>
    <xf numFmtId="4" fontId="6" fillId="0" borderId="0" xfId="0" applyNumberFormat="1" applyFont="1"/>
    <xf numFmtId="3" fontId="7" fillId="0" borderId="0" xfId="0" applyNumberFormat="1" applyFont="1"/>
    <xf numFmtId="0" fontId="4" fillId="10" borderId="0" xfId="0" applyFont="1" applyFill="1"/>
    <xf numFmtId="0" fontId="3" fillId="10" borderId="0" xfId="0" applyFont="1" applyFill="1"/>
    <xf numFmtId="0" fontId="3" fillId="0" borderId="0" xfId="0" applyFont="1"/>
    <xf numFmtId="3" fontId="3" fillId="0" borderId="0" xfId="0" applyNumberFormat="1" applyFont="1"/>
    <xf numFmtId="0" fontId="4" fillId="10" borderId="0" xfId="0" applyFont="1" applyFill="1" applyAlignment="1">
      <alignment horizontal="center"/>
    </xf>
    <xf numFmtId="10" fontId="4" fillId="0" borderId="0" xfId="0" applyNumberFormat="1" applyFont="1"/>
    <xf numFmtId="4" fontId="4" fillId="0" borderId="0" xfId="0" applyNumberFormat="1" applyFont="1"/>
    <xf numFmtId="165" fontId="4" fillId="9" borderId="0" xfId="0" applyNumberFormat="1" applyFont="1" applyFill="1"/>
    <xf numFmtId="0" fontId="4" fillId="0" borderId="1" xfId="0" applyFont="1" applyBorder="1"/>
    <xf numFmtId="166" fontId="4" fillId="0" borderId="0" xfId="0" applyNumberFormat="1" applyFont="1"/>
    <xf numFmtId="0" fontId="12" fillId="0" borderId="1" xfId="0" applyFont="1" applyBorder="1"/>
    <xf numFmtId="9" fontId="12" fillId="0" borderId="1" xfId="0" applyNumberFormat="1" applyFont="1" applyBorder="1"/>
    <xf numFmtId="9" fontId="4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3" xfId="0" applyFont="1" applyBorder="1" applyAlignment="1">
      <alignment horizontal="center"/>
    </xf>
    <xf numFmtId="0" fontId="14" fillId="0" borderId="0" xfId="0" applyFont="1" applyAlignment="1">
      <alignment horizontal="right"/>
    </xf>
    <xf numFmtId="10" fontId="13" fillId="0" borderId="0" xfId="0" applyNumberFormat="1" applyFont="1" applyAlignment="1">
      <alignment horizontal="right"/>
    </xf>
    <xf numFmtId="0" fontId="14" fillId="0" borderId="5" xfId="0" applyFont="1" applyBorder="1"/>
    <xf numFmtId="0" fontId="14" fillId="0" borderId="5" xfId="0" applyFont="1" applyBorder="1" applyAlignment="1">
      <alignment horizontal="right"/>
    </xf>
    <xf numFmtId="11" fontId="14" fillId="0" borderId="0" xfId="0" applyNumberFormat="1" applyFont="1" applyAlignment="1">
      <alignment horizontal="right"/>
    </xf>
    <xf numFmtId="0" fontId="13" fillId="0" borderId="5" xfId="0" applyFont="1" applyBorder="1" applyAlignment="1">
      <alignment horizontal="right"/>
    </xf>
    <xf numFmtId="11" fontId="14" fillId="0" borderId="5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167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10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68" fontId="7" fillId="0" borderId="0" xfId="0" applyNumberFormat="1" applyFont="1" applyAlignment="1">
      <alignment horizontal="right"/>
    </xf>
    <xf numFmtId="11" fontId="7" fillId="0" borderId="0" xfId="0" applyNumberFormat="1" applyFont="1" applyAlignment="1">
      <alignment horizontal="right"/>
    </xf>
    <xf numFmtId="169" fontId="7" fillId="0" borderId="0" xfId="0" applyNumberFormat="1" applyFont="1" applyAlignment="1">
      <alignment horizontal="right"/>
    </xf>
    <xf numFmtId="170" fontId="7" fillId="0" borderId="0" xfId="0" applyNumberFormat="1" applyFont="1" applyAlignment="1">
      <alignment horizontal="right"/>
    </xf>
    <xf numFmtId="11" fontId="7" fillId="0" borderId="0" xfId="0" applyNumberFormat="1" applyFont="1"/>
    <xf numFmtId="171" fontId="7" fillId="0" borderId="0" xfId="0" applyNumberFormat="1" applyFont="1" applyAlignment="1">
      <alignment horizontal="right"/>
    </xf>
    <xf numFmtId="172" fontId="7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16" fillId="11" borderId="1" xfId="0" applyFont="1" applyFill="1" applyBorder="1"/>
    <xf numFmtId="164" fontId="9" fillId="5" borderId="0" xfId="0" applyNumberFormat="1" applyFont="1" applyFill="1" applyAlignment="1">
      <alignment horizontal="center"/>
    </xf>
    <xf numFmtId="0" fontId="17" fillId="11" borderId="1" xfId="0" applyFont="1" applyFill="1" applyBorder="1"/>
    <xf numFmtId="4" fontId="3" fillId="0" borderId="0" xfId="0" applyNumberFormat="1" applyFont="1"/>
    <xf numFmtId="10" fontId="3" fillId="0" borderId="0" xfId="0" applyNumberFormat="1" applyFont="1"/>
    <xf numFmtId="9" fontId="3" fillId="0" borderId="0" xfId="0" applyNumberFormat="1" applyFont="1"/>
    <xf numFmtId="0" fontId="4" fillId="12" borderId="0" xfId="0" applyFont="1" applyFill="1"/>
    <xf numFmtId="0" fontId="18" fillId="13" borderId="0" xfId="0" applyFont="1" applyFill="1"/>
    <xf numFmtId="0" fontId="19" fillId="14" borderId="0" xfId="0" applyFont="1" applyFill="1"/>
    <xf numFmtId="173" fontId="4" fillId="0" borderId="0" xfId="0" applyNumberFormat="1" applyFont="1"/>
    <xf numFmtId="0" fontId="19" fillId="11" borderId="0" xfId="0" applyFont="1" applyFill="1" applyAlignment="1">
      <alignment horizontal="center"/>
    </xf>
    <xf numFmtId="0" fontId="20" fillId="11" borderId="0" xfId="0" applyFont="1" applyFill="1" applyAlignment="1">
      <alignment horizontal="center"/>
    </xf>
    <xf numFmtId="174" fontId="4" fillId="0" borderId="0" xfId="0" applyNumberFormat="1" applyFont="1"/>
    <xf numFmtId="2" fontId="3" fillId="0" borderId="0" xfId="0" applyNumberFormat="1" applyFont="1"/>
    <xf numFmtId="0" fontId="3" fillId="4" borderId="0" xfId="0" applyFont="1" applyFill="1"/>
    <xf numFmtId="2" fontId="4" fillId="0" borderId="0" xfId="0" applyNumberFormat="1" applyFont="1"/>
    <xf numFmtId="0" fontId="12" fillId="0" borderId="0" xfId="0" applyFont="1" applyAlignment="1">
      <alignment horizontal="center"/>
    </xf>
    <xf numFmtId="0" fontId="3" fillId="12" borderId="0" xfId="0" applyFont="1" applyFill="1"/>
    <xf numFmtId="175" fontId="4" fillId="0" borderId="0" xfId="0" applyNumberFormat="1" applyFont="1"/>
    <xf numFmtId="164" fontId="9" fillId="12" borderId="0" xfId="0" applyNumberFormat="1" applyFont="1" applyFill="1" applyAlignment="1">
      <alignment horizontal="center"/>
    </xf>
    <xf numFmtId="0" fontId="3" fillId="15" borderId="0" xfId="0" applyFont="1" applyFill="1"/>
    <xf numFmtId="4" fontId="4" fillId="15" borderId="0" xfId="0" applyNumberFormat="1" applyFont="1" applyFill="1"/>
    <xf numFmtId="0" fontId="4" fillId="15" borderId="0" xfId="0" applyFont="1" applyFill="1"/>
    <xf numFmtId="2" fontId="4" fillId="15" borderId="0" xfId="0" applyNumberFormat="1" applyFont="1" applyFill="1"/>
    <xf numFmtId="4" fontId="3" fillId="15" borderId="0" xfId="0" applyNumberFormat="1" applyFont="1" applyFill="1"/>
    <xf numFmtId="0" fontId="19" fillId="3" borderId="1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/>
    </xf>
    <xf numFmtId="176" fontId="0" fillId="15" borderId="0" xfId="0" applyNumberFormat="1" applyFill="1"/>
    <xf numFmtId="10" fontId="0" fillId="15" borderId="0" xfId="0" applyNumberFormat="1" applyFill="1"/>
    <xf numFmtId="0" fontId="0" fillId="15" borderId="0" xfId="0" applyFill="1"/>
    <xf numFmtId="176" fontId="4" fillId="15" borderId="0" xfId="0" applyNumberFormat="1" applyFont="1" applyFill="1"/>
    <xf numFmtId="10" fontId="4" fillId="15" borderId="0" xfId="0" applyNumberFormat="1" applyFont="1" applyFill="1"/>
    <xf numFmtId="0" fontId="3" fillId="15" borderId="0" xfId="0" applyFont="1" applyFill="1" applyAlignment="1">
      <alignment horizontal="center"/>
    </xf>
    <xf numFmtId="177" fontId="4" fillId="0" borderId="0" xfId="0" applyNumberFormat="1" applyFont="1"/>
    <xf numFmtId="3" fontId="4" fillId="15" borderId="0" xfId="0" applyNumberFormat="1" applyFont="1" applyFill="1"/>
    <xf numFmtId="0" fontId="9" fillId="5" borderId="0" xfId="0" applyFont="1" applyFill="1"/>
    <xf numFmtId="0" fontId="22" fillId="0" borderId="0" xfId="0" applyFont="1"/>
    <xf numFmtId="4" fontId="6" fillId="2" borderId="1" xfId="0" applyNumberFormat="1" applyFont="1" applyFill="1" applyBorder="1"/>
    <xf numFmtId="4" fontId="6" fillId="5" borderId="1" xfId="0" applyNumberFormat="1" applyFont="1" applyFill="1" applyBorder="1"/>
    <xf numFmtId="0" fontId="23" fillId="11" borderId="1" xfId="0" applyFont="1" applyFill="1" applyBorder="1"/>
    <xf numFmtId="4" fontId="7" fillId="2" borderId="1" xfId="0" applyNumberFormat="1" applyFont="1" applyFill="1" applyBorder="1"/>
    <xf numFmtId="4" fontId="4" fillId="5" borderId="1" xfId="0" applyNumberFormat="1" applyFont="1" applyFill="1" applyBorder="1"/>
    <xf numFmtId="4" fontId="3" fillId="5" borderId="1" xfId="0" applyNumberFormat="1" applyFont="1" applyFill="1" applyBorder="1"/>
    <xf numFmtId="0" fontId="7" fillId="2" borderId="1" xfId="0" applyFont="1" applyFill="1" applyBorder="1"/>
    <xf numFmtId="0" fontId="7" fillId="0" borderId="1" xfId="0" applyFont="1" applyBorder="1"/>
    <xf numFmtId="4" fontId="4" fillId="0" borderId="1" xfId="0" applyNumberFormat="1" applyFont="1" applyBorder="1"/>
    <xf numFmtId="4" fontId="7" fillId="0" borderId="1" xfId="0" applyNumberFormat="1" applyFont="1" applyBorder="1"/>
    <xf numFmtId="0" fontId="6" fillId="0" borderId="1" xfId="0" applyFont="1" applyBorder="1"/>
    <xf numFmtId="4" fontId="6" fillId="0" borderId="1" xfId="0" applyNumberFormat="1" applyFont="1" applyBorder="1"/>
    <xf numFmtId="3" fontId="4" fillId="0" borderId="1" xfId="0" applyNumberFormat="1" applyFont="1" applyBorder="1"/>
    <xf numFmtId="10" fontId="7" fillId="0" borderId="1" xfId="0" applyNumberFormat="1" applyFont="1" applyBorder="1" applyAlignment="1">
      <alignment horizontal="right"/>
    </xf>
    <xf numFmtId="10" fontId="7" fillId="0" borderId="1" xfId="0" applyNumberFormat="1" applyFont="1" applyBorder="1"/>
    <xf numFmtId="10" fontId="4" fillId="0" borderId="1" xfId="0" applyNumberFormat="1" applyFont="1" applyBorder="1"/>
    <xf numFmtId="10" fontId="4" fillId="16" borderId="1" xfId="0" applyNumberFormat="1" applyFont="1" applyFill="1" applyBorder="1"/>
    <xf numFmtId="164" fontId="9" fillId="9" borderId="0" xfId="0" applyNumberFormat="1" applyFont="1" applyFill="1" applyAlignment="1">
      <alignment horizontal="center"/>
    </xf>
    <xf numFmtId="0" fontId="9" fillId="9" borderId="0" xfId="0" applyFont="1" applyFill="1" applyAlignment="1">
      <alignment horizontal="center"/>
    </xf>
    <xf numFmtId="10" fontId="6" fillId="9" borderId="0" xfId="0" applyNumberFormat="1" applyFont="1" applyFill="1" applyAlignment="1">
      <alignment horizontal="center"/>
    </xf>
    <xf numFmtId="178" fontId="4" fillId="0" borderId="0" xfId="0" applyNumberFormat="1" applyFont="1"/>
    <xf numFmtId="10" fontId="7" fillId="0" borderId="0" xfId="0" applyNumberFormat="1" applyFont="1"/>
    <xf numFmtId="0" fontId="9" fillId="3" borderId="0" xfId="0" applyFont="1" applyFill="1" applyAlignment="1">
      <alignment horizontal="center"/>
    </xf>
    <xf numFmtId="10" fontId="7" fillId="8" borderId="0" xfId="0" applyNumberFormat="1" applyFont="1" applyFill="1" applyAlignment="1">
      <alignment horizontal="right"/>
    </xf>
    <xf numFmtId="10" fontId="6" fillId="0" borderId="0" xfId="0" applyNumberFormat="1" applyFont="1" applyAlignment="1">
      <alignment horizontal="right"/>
    </xf>
    <xf numFmtId="9" fontId="7" fillId="0" borderId="0" xfId="0" applyNumberFormat="1" applyFont="1" applyAlignment="1">
      <alignment horizontal="right"/>
    </xf>
    <xf numFmtId="4" fontId="9" fillId="17" borderId="0" xfId="0" applyNumberFormat="1" applyFont="1" applyFill="1"/>
    <xf numFmtId="4" fontId="9" fillId="18" borderId="0" xfId="0" applyNumberFormat="1" applyFont="1" applyFill="1"/>
    <xf numFmtId="164" fontId="4" fillId="9" borderId="0" xfId="0" applyNumberFormat="1" applyFont="1" applyFill="1"/>
    <xf numFmtId="0" fontId="16" fillId="9" borderId="1" xfId="0" applyFont="1" applyFill="1" applyBorder="1"/>
    <xf numFmtId="4" fontId="4" fillId="9" borderId="0" xfId="0" applyNumberFormat="1" applyFont="1" applyFill="1"/>
    <xf numFmtId="0" fontId="23" fillId="9" borderId="1" xfId="0" applyFont="1" applyFill="1" applyBorder="1"/>
    <xf numFmtId="0" fontId="4" fillId="19" borderId="1" xfId="0" applyFont="1" applyFill="1" applyBorder="1"/>
    <xf numFmtId="0" fontId="4" fillId="19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3" fillId="5" borderId="1" xfId="0" applyFont="1" applyFill="1" applyBorder="1"/>
    <xf numFmtId="0" fontId="3" fillId="2" borderId="1" xfId="0" applyFont="1" applyFill="1" applyBorder="1"/>
    <xf numFmtId="3" fontId="4" fillId="0" borderId="1" xfId="0" applyNumberFormat="1" applyFont="1" applyBorder="1" applyAlignment="1">
      <alignment horizontal="right"/>
    </xf>
    <xf numFmtId="4" fontId="7" fillId="12" borderId="1" xfId="0" applyNumberFormat="1" applyFont="1" applyFill="1" applyBorder="1"/>
    <xf numFmtId="4" fontId="7" fillId="12" borderId="0" xfId="0" applyNumberFormat="1" applyFont="1" applyFill="1"/>
    <xf numFmtId="4" fontId="6" fillId="12" borderId="1" xfId="0" applyNumberFormat="1" applyFont="1" applyFill="1" applyBorder="1"/>
    <xf numFmtId="0" fontId="4" fillId="0" borderId="1" xfId="0" applyFont="1" applyBorder="1" applyAlignment="1">
      <alignment horizontal="center"/>
    </xf>
    <xf numFmtId="0" fontId="24" fillId="0" borderId="1" xfId="0" applyFont="1" applyBorder="1"/>
    <xf numFmtId="3" fontId="24" fillId="0" borderId="1" xfId="0" applyNumberFormat="1" applyFont="1" applyBorder="1" applyAlignment="1">
      <alignment horizontal="right"/>
    </xf>
    <xf numFmtId="2" fontId="24" fillId="0" borderId="1" xfId="0" applyNumberFormat="1" applyFont="1" applyBorder="1" applyAlignment="1">
      <alignment horizontal="center"/>
    </xf>
    <xf numFmtId="2" fontId="4" fillId="0" borderId="1" xfId="0" applyNumberFormat="1" applyFont="1" applyBorder="1"/>
    <xf numFmtId="0" fontId="4" fillId="0" borderId="6" xfId="0" applyFont="1" applyBorder="1"/>
    <xf numFmtId="2" fontId="4" fillId="0" borderId="6" xfId="0" applyNumberFormat="1" applyFont="1" applyBorder="1"/>
    <xf numFmtId="0" fontId="4" fillId="20" borderId="1" xfId="0" applyFont="1" applyFill="1" applyBorder="1"/>
    <xf numFmtId="9" fontId="4" fillId="0" borderId="1" xfId="0" applyNumberFormat="1" applyFont="1" applyBorder="1"/>
    <xf numFmtId="0" fontId="26" fillId="12" borderId="7" xfId="0" applyFont="1" applyFill="1" applyBorder="1" applyAlignment="1">
      <alignment horizontal="right"/>
    </xf>
    <xf numFmtId="0" fontId="26" fillId="12" borderId="7" xfId="0" applyFont="1" applyFill="1" applyBorder="1" applyAlignment="1">
      <alignment horizontal="left"/>
    </xf>
    <xf numFmtId="179" fontId="27" fillId="12" borderId="8" xfId="0" applyNumberFormat="1" applyFont="1" applyFill="1" applyBorder="1" applyAlignment="1">
      <alignment horizontal="right" vertical="top"/>
    </xf>
    <xf numFmtId="0" fontId="27" fillId="12" borderId="8" xfId="0" applyFont="1" applyFill="1" applyBorder="1" applyAlignment="1">
      <alignment horizontal="right" vertical="top"/>
    </xf>
    <xf numFmtId="0" fontId="27" fillId="12" borderId="8" xfId="0" applyFont="1" applyFill="1" applyBorder="1" applyAlignment="1">
      <alignment vertical="top"/>
    </xf>
    <xf numFmtId="180" fontId="27" fillId="12" borderId="8" xfId="0" applyNumberFormat="1" applyFont="1" applyFill="1" applyBorder="1" applyAlignment="1">
      <alignment horizontal="right" vertical="top"/>
    </xf>
    <xf numFmtId="0" fontId="4" fillId="4" borderId="0" xfId="0" applyFont="1" applyFill="1"/>
    <xf numFmtId="0" fontId="4" fillId="0" borderId="0" xfId="0" applyFont="1" applyAlignment="1">
      <alignment horizontal="left"/>
    </xf>
    <xf numFmtId="3" fontId="4" fillId="4" borderId="0" xfId="0" applyNumberFormat="1" applyFont="1" applyFill="1"/>
    <xf numFmtId="0" fontId="28" fillId="0" borderId="0" xfId="0" applyFont="1"/>
    <xf numFmtId="0" fontId="29" fillId="0" borderId="0" xfId="0" applyFont="1" applyAlignment="1">
      <alignment vertical="top"/>
    </xf>
    <xf numFmtId="0" fontId="21" fillId="0" borderId="0" xfId="0" applyFont="1"/>
    <xf numFmtId="0" fontId="3" fillId="10" borderId="0" xfId="0" applyFont="1" applyFill="1" applyAlignment="1">
      <alignment horizontal="center"/>
    </xf>
    <xf numFmtId="0" fontId="13" fillId="7" borderId="0" xfId="0" applyFont="1" applyFill="1"/>
    <xf numFmtId="181" fontId="4" fillId="0" borderId="0" xfId="0" applyNumberFormat="1" applyFont="1"/>
    <xf numFmtId="0" fontId="7" fillId="21" borderId="0" xfId="0" applyFont="1" applyFill="1"/>
    <xf numFmtId="0" fontId="9" fillId="21" borderId="0" xfId="0" applyFont="1" applyFill="1" applyAlignment="1">
      <alignment horizontal="center"/>
    </xf>
    <xf numFmtId="0" fontId="9" fillId="21" borderId="0" xfId="0" applyFont="1" applyFill="1"/>
    <xf numFmtId="0" fontId="9" fillId="21" borderId="0" xfId="0" applyFont="1" applyFill="1" applyAlignment="1">
      <alignment horizontal="right"/>
    </xf>
    <xf numFmtId="0" fontId="7" fillId="22" borderId="0" xfId="0" applyFont="1" applyFill="1"/>
    <xf numFmtId="0" fontId="7" fillId="22" borderId="0" xfId="0" applyFont="1" applyFill="1" applyAlignment="1">
      <alignment horizontal="right"/>
    </xf>
    <xf numFmtId="3" fontId="7" fillId="22" borderId="0" xfId="0" applyNumberFormat="1" applyFont="1" applyFill="1" applyAlignment="1">
      <alignment horizontal="right"/>
    </xf>
    <xf numFmtId="0" fontId="7" fillId="23" borderId="0" xfId="0" applyFont="1" applyFill="1" applyAlignment="1">
      <alignment horizontal="right"/>
    </xf>
    <xf numFmtId="182" fontId="7" fillId="22" borderId="0" xfId="0" applyNumberFormat="1" applyFont="1" applyFill="1" applyAlignment="1">
      <alignment horizontal="right"/>
    </xf>
    <xf numFmtId="0" fontId="31" fillId="0" borderId="0" xfId="0" applyFont="1"/>
    <xf numFmtId="3" fontId="7" fillId="0" borderId="0" xfId="0" applyNumberFormat="1" applyFont="1" applyAlignment="1">
      <alignment horizontal="right"/>
    </xf>
    <xf numFmtId="3" fontId="7" fillId="9" borderId="0" xfId="0" applyNumberFormat="1" applyFont="1" applyFill="1" applyAlignment="1">
      <alignment horizontal="right"/>
    </xf>
    <xf numFmtId="0" fontId="7" fillId="9" borderId="0" xfId="0" applyFont="1" applyFill="1" applyAlignment="1">
      <alignment horizontal="right"/>
    </xf>
    <xf numFmtId="182" fontId="7" fillId="0" borderId="0" xfId="0" applyNumberFormat="1" applyFont="1" applyAlignment="1">
      <alignment horizontal="right"/>
    </xf>
    <xf numFmtId="182" fontId="7" fillId="9" borderId="0" xfId="0" applyNumberFormat="1" applyFont="1" applyFill="1" applyAlignment="1">
      <alignment horizontal="right"/>
    </xf>
    <xf numFmtId="0" fontId="6" fillId="22" borderId="0" xfId="0" applyFont="1" applyFill="1"/>
    <xf numFmtId="182" fontId="6" fillId="22" borderId="0" xfId="0" applyNumberFormat="1" applyFont="1" applyFill="1" applyAlignment="1">
      <alignment horizontal="right"/>
    </xf>
    <xf numFmtId="183" fontId="6" fillId="22" borderId="0" xfId="0" applyNumberFormat="1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7" fillId="4" borderId="0" xfId="0" applyFont="1" applyFill="1"/>
    <xf numFmtId="0" fontId="4" fillId="24" borderId="0" xfId="0" applyFont="1" applyFill="1"/>
    <xf numFmtId="0" fontId="33" fillId="0" borderId="0" xfId="0" applyFont="1" applyAlignment="1">
      <alignment horizontal="left"/>
    </xf>
    <xf numFmtId="0" fontId="34" fillId="0" borderId="0" xfId="0" applyFont="1" applyAlignment="1">
      <alignment horizontal="right"/>
    </xf>
    <xf numFmtId="0" fontId="35" fillId="0" borderId="0" xfId="0" applyFont="1" applyAlignment="1">
      <alignment horizontal="right"/>
    </xf>
    <xf numFmtId="0" fontId="36" fillId="0" borderId="0" xfId="0" applyFont="1" applyAlignment="1">
      <alignment horizontal="left"/>
    </xf>
    <xf numFmtId="0" fontId="37" fillId="1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/>
    <xf numFmtId="0" fontId="6" fillId="2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3" fillId="0" borderId="2" xfId="0" applyFont="1" applyBorder="1" applyAlignment="1">
      <alignment horizontal="center"/>
    </xf>
    <xf numFmtId="0" fontId="11" fillId="0" borderId="3" xfId="0" applyFont="1" applyBorder="1"/>
    <xf numFmtId="0" fontId="11" fillId="0" borderId="4" xfId="0" applyFont="1" applyBorder="1"/>
    <xf numFmtId="0" fontId="4" fillId="0" borderId="2" xfId="0" applyFont="1" applyBorder="1"/>
    <xf numFmtId="0" fontId="13" fillId="0" borderId="0" xfId="0" applyFont="1"/>
    <xf numFmtId="0" fontId="15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30" fillId="21" borderId="5" xfId="0" applyFont="1" applyFill="1" applyBorder="1" applyAlignment="1">
      <alignment horizontal="center"/>
    </xf>
    <xf numFmtId="0" fontId="11" fillId="0" borderId="5" xfId="0" applyFont="1" applyBorder="1"/>
    <xf numFmtId="0" fontId="9" fillId="21" borderId="0" xfId="0" applyFont="1" applyFill="1" applyAlignment="1">
      <alignment horizontal="center"/>
    </xf>
    <xf numFmtId="0" fontId="9" fillId="21" borderId="0" xfId="0" applyFont="1" applyFill="1"/>
    <xf numFmtId="0" fontId="7" fillId="0" borderId="0" xfId="0" applyFont="1"/>
    <xf numFmtId="0" fontId="6" fillId="22" borderId="0" xfId="0" applyFont="1" applyFill="1"/>
    <xf numFmtId="0" fontId="32" fillId="0" borderId="0" xfId="0" applyFont="1"/>
    <xf numFmtId="0" fontId="16" fillId="11" borderId="6" xfId="0" applyFont="1" applyFill="1" applyBorder="1"/>
    <xf numFmtId="0" fontId="18" fillId="13" borderId="9" xfId="0" applyFont="1" applyFill="1" applyBorder="1"/>
    <xf numFmtId="0" fontId="18" fillId="27" borderId="0" xfId="0" applyFont="1" applyFill="1"/>
    <xf numFmtId="0" fontId="18" fillId="27" borderId="9" xfId="0" applyFont="1" applyFill="1" applyBorder="1"/>
    <xf numFmtId="0" fontId="42" fillId="9" borderId="11" xfId="0" applyFont="1" applyFill="1" applyBorder="1"/>
    <xf numFmtId="0" fontId="3" fillId="0" borderId="10" xfId="0" applyFont="1" applyBorder="1"/>
    <xf numFmtId="0" fontId="41" fillId="28" borderId="10" xfId="0" applyFont="1" applyFill="1" applyBorder="1"/>
    <xf numFmtId="4" fontId="3" fillId="0" borderId="10" xfId="0" applyNumberFormat="1" applyFont="1" applyBorder="1"/>
    <xf numFmtId="9" fontId="3" fillId="0" borderId="10" xfId="0" applyNumberFormat="1" applyFont="1" applyBorder="1"/>
    <xf numFmtId="0" fontId="42" fillId="9" borderId="10" xfId="0" applyFont="1" applyFill="1" applyBorder="1"/>
    <xf numFmtId="10" fontId="3" fillId="0" borderId="10" xfId="0" applyNumberFormat="1" applyFont="1" applyBorder="1"/>
    <xf numFmtId="2" fontId="3" fillId="0" borderId="10" xfId="0" applyNumberFormat="1" applyFont="1" applyBorder="1"/>
    <xf numFmtId="0" fontId="4" fillId="0" borderId="10" xfId="0" applyFont="1" applyBorder="1"/>
    <xf numFmtId="0" fontId="43" fillId="30" borderId="1" xfId="0" applyFont="1" applyFill="1" applyBorder="1"/>
    <xf numFmtId="0" fontId="43" fillId="30" borderId="6" xfId="0" applyFont="1" applyFill="1" applyBorder="1"/>
    <xf numFmtId="0" fontId="44" fillId="31" borderId="9" xfId="0" applyFont="1" applyFill="1" applyBorder="1"/>
    <xf numFmtId="0" fontId="45" fillId="29" borderId="10" xfId="0" applyFont="1" applyFill="1" applyBorder="1"/>
    <xf numFmtId="0" fontId="19" fillId="30" borderId="10" xfId="0" applyFont="1" applyFill="1" applyBorder="1"/>
    <xf numFmtId="185" fontId="4" fillId="0" borderId="10" xfId="0" applyNumberFormat="1" applyFont="1" applyBorder="1"/>
    <xf numFmtId="9" fontId="4" fillId="0" borderId="10" xfId="0" applyNumberFormat="1" applyFont="1" applyBorder="1"/>
    <xf numFmtId="2" fontId="0" fillId="0" borderId="10" xfId="0" applyNumberFormat="1" applyBorder="1"/>
    <xf numFmtId="10" fontId="4" fillId="0" borderId="10" xfId="0" applyNumberFormat="1" applyFont="1" applyBorder="1"/>
    <xf numFmtId="0" fontId="0" fillId="26" borderId="10" xfId="0" applyFill="1" applyBorder="1"/>
    <xf numFmtId="0" fontId="21" fillId="25" borderId="10" xfId="0" applyFont="1" applyFill="1" applyBorder="1"/>
    <xf numFmtId="0" fontId="0" fillId="26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62025" cy="6286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reener.in/company/BAJAJ-AUTO/consolidated/" TargetMode="External"/><Relationship Id="rId2" Type="http://schemas.openxmlformats.org/officeDocument/2006/relationships/hyperlink" Target="https://www.screener.in/company/BAJAJ-AUTO/consolidated/" TargetMode="External"/><Relationship Id="rId1" Type="http://schemas.openxmlformats.org/officeDocument/2006/relationships/hyperlink" Target="https://www.screener.in/company/BAJAJ-AUTO/consolidated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uto.economictimes.indiatimes.com/news/industry/bajaj-auto-plans-inr-800-cr-capex-in-fy25-upcoming-cng-bike-to-launch-in-phases/109417604" TargetMode="External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trendlyne.com/equity/Dividend/BAJAJ-AUTO/144/bajaj-auto-ltd-dividend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reener.in/company/compare/00000005/?sort=cash+end+of+last+year&amp;order=desc" TargetMode="External"/><Relationship Id="rId13" Type="http://schemas.openxmlformats.org/officeDocument/2006/relationships/hyperlink" Target="https://www.screener.in/company/HEROMOTOCO/consolidated/" TargetMode="External"/><Relationship Id="rId3" Type="http://schemas.openxmlformats.org/officeDocument/2006/relationships/hyperlink" Target="https://www.screener.in/company/compare/00000005/?sort=current+price&amp;order=desc" TargetMode="External"/><Relationship Id="rId7" Type="http://schemas.openxmlformats.org/officeDocument/2006/relationships/hyperlink" Target="https://www.screener.in/company/compare/00000005/?sort=number+of+equity+shares&amp;order=desc" TargetMode="External"/><Relationship Id="rId12" Type="http://schemas.openxmlformats.org/officeDocument/2006/relationships/hyperlink" Target="https://www.screener.in/company/TVSMOTOR/consolidated/" TargetMode="External"/><Relationship Id="rId2" Type="http://schemas.openxmlformats.org/officeDocument/2006/relationships/hyperlink" Target="https://www.screener.in/company/compare/00000005/?sort=name&amp;order=desc" TargetMode="External"/><Relationship Id="rId1" Type="http://schemas.openxmlformats.org/officeDocument/2006/relationships/hyperlink" Target="https://www.screener.in/company/compare/00000005/?order=asc" TargetMode="External"/><Relationship Id="rId6" Type="http://schemas.openxmlformats.org/officeDocument/2006/relationships/hyperlink" Target="https://www.screener.in/company/compare/00000005/?sort=debt&amp;order=desc" TargetMode="External"/><Relationship Id="rId11" Type="http://schemas.openxmlformats.org/officeDocument/2006/relationships/hyperlink" Target="https://www.screener.in/company/BAJAJ-AUTO/consolidated/" TargetMode="External"/><Relationship Id="rId5" Type="http://schemas.openxmlformats.org/officeDocument/2006/relationships/hyperlink" Target="https://www.screener.in/company/compare/00000005/?sort=sales&amp;order=desc" TargetMode="External"/><Relationship Id="rId15" Type="http://schemas.openxmlformats.org/officeDocument/2006/relationships/hyperlink" Target="https://www.screener.in/company/ATULAUTO/consolidated/" TargetMode="External"/><Relationship Id="rId10" Type="http://schemas.openxmlformats.org/officeDocument/2006/relationships/hyperlink" Target="https://www.screener.in/company/compare/00000005/?sort=net+profit&amp;order=desc" TargetMode="External"/><Relationship Id="rId4" Type="http://schemas.openxmlformats.org/officeDocument/2006/relationships/hyperlink" Target="https://www.screener.in/company/compare/00000005/?sort=market+capitalization&amp;order=desc" TargetMode="External"/><Relationship Id="rId9" Type="http://schemas.openxmlformats.org/officeDocument/2006/relationships/hyperlink" Target="https://www.screener.in/company/compare/00000005/?sort=enterprise+value&amp;order=desc" TargetMode="External"/><Relationship Id="rId14" Type="http://schemas.openxmlformats.org/officeDocument/2006/relationships/hyperlink" Target="https://www.screener.in/company/EICHERMOT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F19"/>
  <sheetViews>
    <sheetView workbookViewId="0"/>
  </sheetViews>
  <sheetFormatPr defaultColWidth="12.6640625" defaultRowHeight="15.75" customHeight="1"/>
  <cols>
    <col min="2" max="2" width="28.6640625" customWidth="1"/>
    <col min="3" max="3" width="76.109375" customWidth="1"/>
  </cols>
  <sheetData>
    <row r="1" spans="2:6" ht="15.75" customHeight="1">
      <c r="B1" s="215" t="s">
        <v>0</v>
      </c>
      <c r="C1" s="216"/>
      <c r="D1" s="216"/>
      <c r="E1" s="216"/>
      <c r="F1" s="216"/>
    </row>
    <row r="2" spans="2:6">
      <c r="C2" s="1" t="s">
        <v>1</v>
      </c>
    </row>
    <row r="4" spans="2:6">
      <c r="B4" s="2" t="s">
        <v>2</v>
      </c>
      <c r="C4" s="2" t="s">
        <v>3</v>
      </c>
    </row>
    <row r="5" spans="2:6">
      <c r="B5" s="3" t="s">
        <v>4</v>
      </c>
      <c r="C5" s="3" t="s">
        <v>5</v>
      </c>
      <c r="D5" s="4" t="s">
        <v>6</v>
      </c>
    </row>
    <row r="6" spans="2:6">
      <c r="B6" s="3" t="s">
        <v>7</v>
      </c>
      <c r="C6" s="3" t="s">
        <v>8</v>
      </c>
      <c r="D6" s="4" t="s">
        <v>6</v>
      </c>
    </row>
    <row r="7" spans="2:6">
      <c r="B7" s="3" t="s">
        <v>9</v>
      </c>
      <c r="C7" s="3" t="s">
        <v>10</v>
      </c>
      <c r="D7" s="4" t="s">
        <v>6</v>
      </c>
    </row>
    <row r="8" spans="2:6">
      <c r="B8" s="3" t="s">
        <v>11</v>
      </c>
      <c r="C8" s="3" t="s">
        <v>12</v>
      </c>
    </row>
    <row r="9" spans="2:6">
      <c r="B9" s="3" t="s">
        <v>13</v>
      </c>
      <c r="C9" s="3" t="s">
        <v>14</v>
      </c>
    </row>
    <row r="10" spans="2:6">
      <c r="B10" s="3" t="s">
        <v>15</v>
      </c>
      <c r="C10" s="3" t="s">
        <v>14</v>
      </c>
    </row>
    <row r="11" spans="2:6">
      <c r="B11" s="3" t="s">
        <v>16</v>
      </c>
    </row>
    <row r="12" spans="2:6">
      <c r="B12" s="3" t="s">
        <v>17</v>
      </c>
    </row>
    <row r="13" spans="2:6">
      <c r="B13" s="3" t="s">
        <v>18</v>
      </c>
    </row>
    <row r="14" spans="2:6">
      <c r="B14" s="3" t="s">
        <v>19</v>
      </c>
    </row>
    <row r="15" spans="2:6">
      <c r="B15" s="3" t="s">
        <v>20</v>
      </c>
    </row>
    <row r="16" spans="2:6">
      <c r="B16" s="3" t="s">
        <v>21</v>
      </c>
    </row>
    <row r="17" spans="2:2">
      <c r="B17" s="3" t="s">
        <v>22</v>
      </c>
    </row>
    <row r="18" spans="2:2">
      <c r="B18" s="3" t="s">
        <v>23</v>
      </c>
    </row>
    <row r="19" spans="2:2">
      <c r="B19" s="3" t="s">
        <v>24</v>
      </c>
    </row>
  </sheetData>
  <mergeCells count="1">
    <mergeCell ref="B1:F1"/>
  </mergeCells>
  <hyperlinks>
    <hyperlink ref="D5" r:id="rId1" xr:uid="{00000000-0004-0000-0000-000000000000}"/>
    <hyperlink ref="D6" r:id="rId2" xr:uid="{00000000-0004-0000-0000-000001000000}"/>
    <hyperlink ref="D7" r:id="rId3" xr:uid="{00000000-0004-0000-0000-000002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"/>
  <sheetViews>
    <sheetView workbookViewId="0"/>
  </sheetViews>
  <sheetFormatPr defaultColWidth="12.6640625" defaultRowHeight="15.75" customHeight="1"/>
  <cols>
    <col min="1" max="1" width="49.33203125" customWidth="1"/>
    <col min="13" max="13" width="20" customWidth="1"/>
  </cols>
  <sheetData>
    <row r="1" spans="1:26" ht="15.75" customHeight="1">
      <c r="A1" s="5" t="s">
        <v>25</v>
      </c>
      <c r="B1" s="6"/>
      <c r="C1" s="6"/>
      <c r="D1" s="6"/>
      <c r="E1" s="7"/>
      <c r="F1" s="6"/>
      <c r="G1" s="7"/>
      <c r="H1" s="6"/>
      <c r="I1" s="6"/>
      <c r="J1" s="8" t="s">
        <v>26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6" ht="15.75" customHeight="1">
      <c r="A2" s="6" t="s">
        <v>27</v>
      </c>
      <c r="B2" s="7"/>
      <c r="C2" s="7"/>
      <c r="D2" s="7"/>
      <c r="E2" s="7"/>
      <c r="F2" s="7"/>
      <c r="G2" s="6"/>
      <c r="H2" s="6"/>
      <c r="I2" s="7"/>
      <c r="J2" s="7"/>
      <c r="K2" s="7"/>
      <c r="L2" s="217" t="s">
        <v>28</v>
      </c>
      <c r="M2" s="216"/>
      <c r="N2" s="216"/>
      <c r="O2" s="216"/>
      <c r="P2" s="216"/>
      <c r="Q2" s="7" t="s">
        <v>29</v>
      </c>
      <c r="R2" s="7"/>
      <c r="S2" s="7"/>
      <c r="T2" s="7"/>
      <c r="U2" s="7"/>
      <c r="V2" s="7"/>
      <c r="W2" s="7"/>
    </row>
    <row r="3" spans="1:26" ht="15.75" customHeight="1">
      <c r="A3" s="9" t="s">
        <v>30</v>
      </c>
      <c r="B3" s="10">
        <v>45366</v>
      </c>
      <c r="C3" s="10">
        <v>45367</v>
      </c>
      <c r="D3" s="10">
        <v>45368</v>
      </c>
      <c r="E3" s="10">
        <v>45369</v>
      </c>
      <c r="F3" s="10">
        <v>45370</v>
      </c>
      <c r="G3" s="10">
        <v>45371</v>
      </c>
      <c r="H3" s="10">
        <v>45372</v>
      </c>
      <c r="I3" s="10">
        <v>45373</v>
      </c>
      <c r="J3" s="10">
        <v>45374</v>
      </c>
      <c r="K3" s="10">
        <v>45375</v>
      </c>
      <c r="L3" s="11">
        <v>45376</v>
      </c>
      <c r="M3" s="11">
        <v>45377</v>
      </c>
      <c r="N3" s="11">
        <v>45378</v>
      </c>
      <c r="O3" s="11">
        <v>45379</v>
      </c>
      <c r="P3" s="11">
        <v>45380</v>
      </c>
      <c r="Q3" s="7"/>
      <c r="R3" s="7"/>
      <c r="S3" s="7"/>
      <c r="T3" s="7"/>
      <c r="U3" s="7"/>
      <c r="V3" s="7"/>
      <c r="W3" s="7"/>
    </row>
    <row r="4" spans="1:26" ht="15.75" customHeight="1">
      <c r="A4" s="12" t="s">
        <v>31</v>
      </c>
      <c r="B4" s="13">
        <v>289.37</v>
      </c>
      <c r="C4" s="13">
        <v>289.37</v>
      </c>
      <c r="D4" s="13">
        <v>289.37</v>
      </c>
      <c r="E4" s="13">
        <v>289.37</v>
      </c>
      <c r="F4" s="13">
        <v>289.37</v>
      </c>
      <c r="G4" s="13">
        <v>289.37</v>
      </c>
      <c r="H4" s="13">
        <v>289.37</v>
      </c>
      <c r="I4" s="13">
        <v>289.37</v>
      </c>
      <c r="J4" s="13">
        <v>282.95999999999998</v>
      </c>
      <c r="K4" s="13">
        <v>279.18</v>
      </c>
      <c r="L4" s="13">
        <f t="shared" ref="L4:P4" si="0">$K$4</f>
        <v>279.18</v>
      </c>
      <c r="M4" s="13">
        <f t="shared" si="0"/>
        <v>279.18</v>
      </c>
      <c r="N4" s="13">
        <f t="shared" si="0"/>
        <v>279.18</v>
      </c>
      <c r="O4" s="13">
        <f t="shared" si="0"/>
        <v>279.18</v>
      </c>
      <c r="P4" s="13">
        <f t="shared" si="0"/>
        <v>279.18</v>
      </c>
      <c r="Q4" s="7" t="s">
        <v>32</v>
      </c>
      <c r="R4" s="7"/>
      <c r="S4" s="7"/>
      <c r="T4" s="7"/>
      <c r="U4" s="7"/>
      <c r="V4" s="7"/>
      <c r="W4" s="7"/>
    </row>
    <row r="5" spans="1:26" ht="15.75" customHeight="1">
      <c r="A5" s="12" t="s">
        <v>33</v>
      </c>
      <c r="B5" s="14">
        <v>10805.95</v>
      </c>
      <c r="C5" s="14">
        <v>13730.94</v>
      </c>
      <c r="D5" s="14">
        <v>17567.2</v>
      </c>
      <c r="E5" s="14">
        <v>20135.87</v>
      </c>
      <c r="F5" s="14">
        <v>22944.44</v>
      </c>
      <c r="G5" s="14">
        <v>21372.71</v>
      </c>
      <c r="H5" s="14">
        <v>26984.06</v>
      </c>
      <c r="I5" s="14">
        <v>29570.28</v>
      </c>
      <c r="J5" s="14">
        <v>29078.58</v>
      </c>
      <c r="K5" s="14">
        <v>28683.23</v>
      </c>
      <c r="L5" s="14">
        <f t="shared" ref="L5:P5" si="1">L8-L4-L6-L7</f>
        <v>36685.801517666994</v>
      </c>
      <c r="M5" s="14">
        <f t="shared" si="1"/>
        <v>40022.33268138126</v>
      </c>
      <c r="N5" s="14">
        <f t="shared" si="1"/>
        <v>43581.226521267447</v>
      </c>
      <c r="O5" s="14">
        <f t="shared" si="1"/>
        <v>47380.561122898325</v>
      </c>
      <c r="P5" s="14">
        <f t="shared" si="1"/>
        <v>51439.884320203731</v>
      </c>
      <c r="Q5" s="7" t="s">
        <v>34</v>
      </c>
      <c r="R5" s="7"/>
      <c r="S5" s="7"/>
      <c r="T5" s="7"/>
      <c r="U5" s="7"/>
      <c r="V5" s="7"/>
      <c r="W5" s="7"/>
    </row>
    <row r="6" spans="1:26" ht="15.75" customHeight="1">
      <c r="A6" s="15" t="s">
        <v>35</v>
      </c>
      <c r="B6" s="16">
        <v>112.35</v>
      </c>
      <c r="C6" s="16">
        <v>117.86</v>
      </c>
      <c r="D6" s="16">
        <v>119.9</v>
      </c>
      <c r="E6" s="16">
        <v>120.77</v>
      </c>
      <c r="F6" s="16">
        <v>124.52</v>
      </c>
      <c r="G6" s="16">
        <v>125.59</v>
      </c>
      <c r="H6" s="16">
        <v>121.46</v>
      </c>
      <c r="I6" s="16">
        <v>122.77</v>
      </c>
      <c r="J6" s="16">
        <v>124.23</v>
      </c>
      <c r="K6" s="17">
        <v>1911.74</v>
      </c>
      <c r="L6" s="17">
        <f>L$8*$L$76</f>
        <v>427.32171211735528</v>
      </c>
      <c r="M6" s="17">
        <f t="shared" ref="M6:P6" si="2">M8*$L$76</f>
        <v>465.89260139887324</v>
      </c>
      <c r="N6" s="17">
        <f t="shared" si="2"/>
        <v>507.03404247269674</v>
      </c>
      <c r="O6" s="17">
        <f t="shared" si="2"/>
        <v>550.95502119954028</v>
      </c>
      <c r="P6" s="17">
        <f t="shared" si="2"/>
        <v>597.88151399059416</v>
      </c>
      <c r="Q6" s="3" t="s">
        <v>36</v>
      </c>
      <c r="R6" s="7"/>
      <c r="S6" s="7"/>
      <c r="T6" s="7"/>
      <c r="U6" s="7"/>
      <c r="V6" s="7"/>
      <c r="W6" s="7"/>
    </row>
    <row r="7" spans="1:26" ht="15.75" customHeight="1">
      <c r="A7" s="15" t="s">
        <v>37</v>
      </c>
      <c r="B7" s="17">
        <v>4757.93</v>
      </c>
      <c r="C7" s="17">
        <v>3102.2</v>
      </c>
      <c r="D7" s="17">
        <v>3661.15</v>
      </c>
      <c r="E7" s="17">
        <v>4594.99</v>
      </c>
      <c r="F7" s="17">
        <v>5476.08</v>
      </c>
      <c r="G7" s="17">
        <v>4722.3500000000004</v>
      </c>
      <c r="H7" s="17">
        <v>6206.82</v>
      </c>
      <c r="I7" s="17">
        <v>5128.79</v>
      </c>
      <c r="J7" s="17">
        <v>5650.68</v>
      </c>
      <c r="K7" s="17">
        <v>8469.5400000000009</v>
      </c>
      <c r="L7" s="17">
        <f t="shared" ref="L7:P7" si="3">$L$75*L8</f>
        <v>8798.7047135037865</v>
      </c>
      <c r="M7" s="17">
        <f t="shared" si="3"/>
        <v>9592.8929227659519</v>
      </c>
      <c r="N7" s="17">
        <f t="shared" si="3"/>
        <v>10440.009699732285</v>
      </c>
      <c r="O7" s="17">
        <f t="shared" si="3"/>
        <v>11344.358136957135</v>
      </c>
      <c r="P7" s="17">
        <f t="shared" si="3"/>
        <v>12310.591168419518</v>
      </c>
      <c r="Q7" s="3" t="s">
        <v>38</v>
      </c>
      <c r="R7" s="7"/>
      <c r="S7" s="7"/>
      <c r="T7" s="7"/>
      <c r="U7" s="7"/>
      <c r="V7" s="7"/>
      <c r="W7" s="7"/>
    </row>
    <row r="8" spans="1:26" ht="15.75" customHeight="1">
      <c r="A8" s="18" t="s">
        <v>39</v>
      </c>
      <c r="B8" s="19">
        <v>15965.6</v>
      </c>
      <c r="C8" s="19">
        <v>17240.37</v>
      </c>
      <c r="D8" s="19">
        <v>21637.62</v>
      </c>
      <c r="E8" s="19">
        <v>25141</v>
      </c>
      <c r="F8" s="19">
        <v>28834.41</v>
      </c>
      <c r="G8" s="19">
        <v>26510.02</v>
      </c>
      <c r="H8" s="19">
        <v>33601.71</v>
      </c>
      <c r="I8" s="19">
        <v>35111.21</v>
      </c>
      <c r="J8" s="19">
        <v>35136.449999999997</v>
      </c>
      <c r="K8" s="19">
        <v>39343.69</v>
      </c>
      <c r="L8" s="19">
        <f t="shared" ref="L8:P8" si="4">L14</f>
        <v>46191.007943288139</v>
      </c>
      <c r="M8" s="19">
        <f t="shared" si="4"/>
        <v>50360.298205546089</v>
      </c>
      <c r="N8" s="19">
        <f t="shared" si="4"/>
        <v>54807.450263472427</v>
      </c>
      <c r="O8" s="19">
        <f t="shared" si="4"/>
        <v>59555.054281054996</v>
      </c>
      <c r="P8" s="19">
        <f t="shared" si="4"/>
        <v>64627.537002613841</v>
      </c>
      <c r="Q8" s="6" t="s">
        <v>40</v>
      </c>
      <c r="R8" s="6"/>
      <c r="S8" s="6"/>
      <c r="T8" s="6"/>
      <c r="U8" s="6"/>
      <c r="V8" s="6"/>
      <c r="W8" s="6"/>
    </row>
    <row r="9" spans="1:26" ht="15.75" customHeight="1">
      <c r="A9" s="6" t="s">
        <v>41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6" ht="15.75" customHeight="1">
      <c r="A10" s="21" t="s">
        <v>42</v>
      </c>
      <c r="B10" s="22">
        <v>2448.0300000000002</v>
      </c>
      <c r="C10" s="22">
        <v>2025.67</v>
      </c>
      <c r="D10" s="22">
        <v>2001.79</v>
      </c>
      <c r="E10" s="22">
        <v>1878.33</v>
      </c>
      <c r="F10" s="22">
        <v>1763.94</v>
      </c>
      <c r="G10" s="22">
        <v>1699.02</v>
      </c>
      <c r="H10" s="22">
        <v>1667.55</v>
      </c>
      <c r="I10" s="22">
        <v>1836.05</v>
      </c>
      <c r="J10" s="22">
        <v>2842.24</v>
      </c>
      <c r="K10" s="22">
        <v>3217.37</v>
      </c>
      <c r="L10" s="23">
        <f>K10+800</f>
        <v>4017.37</v>
      </c>
      <c r="M10" s="22">
        <f t="shared" ref="M10:P10" si="5">L10+$L$66</f>
        <v>4744.4766666666665</v>
      </c>
      <c r="N10" s="22">
        <f t="shared" si="5"/>
        <v>5471.583333333333</v>
      </c>
      <c r="O10" s="22">
        <f t="shared" si="5"/>
        <v>6198.69</v>
      </c>
      <c r="P10" s="22">
        <f t="shared" si="5"/>
        <v>6925.7966666666662</v>
      </c>
      <c r="Q10" s="3" t="s">
        <v>43</v>
      </c>
      <c r="R10" s="7"/>
      <c r="S10" s="7"/>
      <c r="T10" s="7"/>
      <c r="U10" s="7"/>
      <c r="V10" s="7"/>
      <c r="W10" s="7"/>
    </row>
    <row r="11" spans="1:26" ht="15.75" customHeight="1">
      <c r="A11" s="21" t="s">
        <v>44</v>
      </c>
      <c r="B11" s="24">
        <v>254.94</v>
      </c>
      <c r="C11" s="24">
        <v>52.24</v>
      </c>
      <c r="D11" s="24">
        <v>42.17</v>
      </c>
      <c r="E11" s="24">
        <v>56.47</v>
      </c>
      <c r="F11" s="24">
        <v>48.02</v>
      </c>
      <c r="G11" s="24">
        <v>60.19</v>
      </c>
      <c r="H11" s="24">
        <v>15.98</v>
      </c>
      <c r="I11" s="24">
        <v>77.209999999999994</v>
      </c>
      <c r="J11" s="24">
        <v>85.27</v>
      </c>
      <c r="K11" s="24">
        <v>35.1</v>
      </c>
      <c r="L11" s="25">
        <f t="shared" ref="L11:P11" si="6">$L$72*L10</f>
        <v>135.0861097845187</v>
      </c>
      <c r="M11" s="25">
        <f t="shared" si="6"/>
        <v>159.53544131195795</v>
      </c>
      <c r="N11" s="25">
        <f t="shared" si="6"/>
        <v>183.98477283939724</v>
      </c>
      <c r="O11" s="25">
        <f t="shared" si="6"/>
        <v>208.43410436683652</v>
      </c>
      <c r="P11" s="25">
        <f t="shared" si="6"/>
        <v>232.88343589427581</v>
      </c>
      <c r="Q11" s="3" t="s">
        <v>45</v>
      </c>
      <c r="R11" s="7"/>
      <c r="S11" s="7"/>
      <c r="T11" s="7"/>
      <c r="U11" s="7"/>
      <c r="V11" s="7"/>
      <c r="W11" s="7"/>
    </row>
    <row r="12" spans="1:26" ht="15.75" customHeight="1">
      <c r="A12" s="21" t="s">
        <v>46</v>
      </c>
      <c r="B12" s="22">
        <v>8985.25</v>
      </c>
      <c r="C12" s="22">
        <v>11067.23</v>
      </c>
      <c r="D12" s="22">
        <v>15477.04</v>
      </c>
      <c r="E12" s="22">
        <v>18894.57</v>
      </c>
      <c r="F12" s="22">
        <v>20602.849999999999</v>
      </c>
      <c r="G12" s="22">
        <v>19913.580000000002</v>
      </c>
      <c r="H12" s="22">
        <v>24686.65</v>
      </c>
      <c r="I12" s="22">
        <v>26634.12</v>
      </c>
      <c r="J12" s="22">
        <v>26182.91</v>
      </c>
      <c r="K12" s="22">
        <v>28086.68</v>
      </c>
      <c r="L12" s="22">
        <f>$L$73*pl!L4</f>
        <v>32745.853127859027</v>
      </c>
      <c r="M12" s="22">
        <f>$L$73*pl!M4</f>
        <v>35408.090987153962</v>
      </c>
      <c r="N12" s="22">
        <f>$L$73*pl!N4</f>
        <v>38286.768784409578</v>
      </c>
      <c r="O12" s="22">
        <f>$L$73*pl!O4</f>
        <v>41399.483086582077</v>
      </c>
      <c r="P12" s="22">
        <f>$L$73*pl!P4</f>
        <v>44765.261061521196</v>
      </c>
      <c r="Q12" s="3" t="s">
        <v>47</v>
      </c>
      <c r="R12" s="7"/>
      <c r="S12" s="7"/>
      <c r="T12" s="7"/>
      <c r="U12" s="7"/>
      <c r="V12" s="7"/>
      <c r="W12" s="7"/>
    </row>
    <row r="13" spans="1:26" ht="15.75" customHeight="1">
      <c r="A13" s="21" t="s">
        <v>48</v>
      </c>
      <c r="B13" s="22">
        <v>4277.38</v>
      </c>
      <c r="C13" s="22">
        <v>4095.23</v>
      </c>
      <c r="D13" s="22">
        <v>4116.62</v>
      </c>
      <c r="E13" s="22">
        <v>4311.63</v>
      </c>
      <c r="F13" s="22">
        <v>6419.6</v>
      </c>
      <c r="G13" s="22">
        <v>4837.2299999999996</v>
      </c>
      <c r="H13" s="22">
        <v>7231.53</v>
      </c>
      <c r="I13" s="22">
        <v>6563.83</v>
      </c>
      <c r="J13" s="22">
        <v>6026.03</v>
      </c>
      <c r="K13" s="22">
        <v>8004.54</v>
      </c>
      <c r="L13" s="22">
        <f>$L$74*pl!L4</f>
        <v>9292.6987056445942</v>
      </c>
      <c r="M13" s="22">
        <f>$L$74*pl!M4</f>
        <v>10048.195110413499</v>
      </c>
      <c r="N13" s="22">
        <f>$L$74*pl!N4</f>
        <v>10865.113372890117</v>
      </c>
      <c r="O13" s="22">
        <f>$L$74*pl!O4</f>
        <v>11748.447090106081</v>
      </c>
      <c r="P13" s="22">
        <f>$L$74*pl!P4</f>
        <v>12703.595838531706</v>
      </c>
      <c r="Q13" s="3" t="s">
        <v>49</v>
      </c>
      <c r="R13" s="7"/>
      <c r="S13" s="7"/>
      <c r="T13" s="7"/>
      <c r="U13" s="7"/>
      <c r="V13" s="7"/>
      <c r="W13" s="7"/>
    </row>
    <row r="14" spans="1:26" ht="15.75" customHeight="1">
      <c r="A14" s="26" t="s">
        <v>39</v>
      </c>
      <c r="B14" s="27">
        <v>15965.6</v>
      </c>
      <c r="C14" s="27">
        <v>17240.37</v>
      </c>
      <c r="D14" s="27">
        <v>21637.62</v>
      </c>
      <c r="E14" s="27">
        <v>25141</v>
      </c>
      <c r="F14" s="27">
        <v>28834.41</v>
      </c>
      <c r="G14" s="27">
        <v>26510.02</v>
      </c>
      <c r="H14" s="27">
        <v>33601.71</v>
      </c>
      <c r="I14" s="27">
        <v>35111.21</v>
      </c>
      <c r="J14" s="27">
        <v>35136.449999999997</v>
      </c>
      <c r="K14" s="27">
        <v>39343.69</v>
      </c>
      <c r="L14" s="27">
        <f t="shared" ref="L14:P14" si="7">SUM(L10:L13)</f>
        <v>46191.007943288139</v>
      </c>
      <c r="M14" s="27">
        <f t="shared" si="7"/>
        <v>50360.298205546089</v>
      </c>
      <c r="N14" s="27">
        <f t="shared" si="7"/>
        <v>54807.450263472427</v>
      </c>
      <c r="O14" s="27">
        <f t="shared" si="7"/>
        <v>59555.054281054996</v>
      </c>
      <c r="P14" s="27">
        <f t="shared" si="7"/>
        <v>64627.537002613841</v>
      </c>
      <c r="Q14" s="6" t="s">
        <v>50</v>
      </c>
      <c r="R14" s="6"/>
      <c r="S14" s="6"/>
      <c r="T14" s="6"/>
      <c r="U14" s="6"/>
      <c r="V14" s="6"/>
      <c r="W14" s="6"/>
    </row>
    <row r="15" spans="1:26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6" ht="15.75" customHeight="1">
      <c r="A16" s="218" t="s">
        <v>51</v>
      </c>
      <c r="B16" s="216"/>
      <c r="C16" s="216"/>
      <c r="D16" s="216"/>
      <c r="E16" s="216"/>
      <c r="F16" s="216"/>
      <c r="G16" s="216"/>
      <c r="H16" s="216"/>
      <c r="I16" s="216"/>
      <c r="J16" s="216"/>
      <c r="K16" s="216"/>
      <c r="L16" s="7"/>
      <c r="M16" s="28" t="s">
        <v>52</v>
      </c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30"/>
      <c r="Y16" s="30"/>
      <c r="Z16" s="30"/>
    </row>
    <row r="17" spans="1:26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29" t="s">
        <v>53</v>
      </c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30"/>
      <c r="Y17" s="30"/>
      <c r="Z17" s="30"/>
    </row>
    <row r="18" spans="1:26" ht="15.75" customHeight="1">
      <c r="A18" s="31" t="s">
        <v>37</v>
      </c>
      <c r="B18" s="32">
        <v>4758</v>
      </c>
      <c r="C18" s="32">
        <v>3102</v>
      </c>
      <c r="D18" s="32">
        <v>3661</v>
      </c>
      <c r="E18" s="32">
        <v>4595</v>
      </c>
      <c r="F18" s="32">
        <v>5476</v>
      </c>
      <c r="G18" s="32">
        <v>4722</v>
      </c>
      <c r="H18" s="32">
        <v>6207</v>
      </c>
      <c r="I18" s="32">
        <v>5129</v>
      </c>
      <c r="J18" s="32">
        <v>5651</v>
      </c>
      <c r="K18" s="32">
        <v>8470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6" ht="15.75" customHeight="1">
      <c r="A19" s="3" t="s">
        <v>54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6" ht="15.75" customHeight="1">
      <c r="A20" s="3" t="s">
        <v>55</v>
      </c>
      <c r="B20" s="33">
        <v>1761</v>
      </c>
      <c r="C20" s="33">
        <v>2027</v>
      </c>
      <c r="D20" s="33">
        <v>2236</v>
      </c>
      <c r="E20" s="33">
        <v>3244</v>
      </c>
      <c r="F20" s="33">
        <v>3787</v>
      </c>
      <c r="G20" s="33">
        <v>3200</v>
      </c>
      <c r="H20" s="33">
        <v>4574</v>
      </c>
      <c r="I20" s="33">
        <v>3632</v>
      </c>
      <c r="J20" s="33">
        <v>4121</v>
      </c>
      <c r="K20" s="33">
        <v>5597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6" ht="15.75" customHeight="1">
      <c r="A21" s="3" t="s">
        <v>56</v>
      </c>
      <c r="B21" s="3">
        <v>440</v>
      </c>
      <c r="C21" s="3">
        <v>175</v>
      </c>
      <c r="D21" s="3">
        <v>414</v>
      </c>
      <c r="E21" s="3">
        <v>328</v>
      </c>
      <c r="F21" s="3">
        <v>491</v>
      </c>
      <c r="G21" s="3">
        <v>254</v>
      </c>
      <c r="H21" s="3">
        <v>408</v>
      </c>
      <c r="I21" s="3">
        <v>302</v>
      </c>
      <c r="J21" s="3">
        <v>235</v>
      </c>
      <c r="K21" s="3">
        <v>326</v>
      </c>
      <c r="L21" s="7"/>
      <c r="M21" s="34"/>
      <c r="N21" s="34"/>
      <c r="O21" s="34"/>
      <c r="P21" s="34"/>
      <c r="Q21" s="34"/>
      <c r="R21" s="34"/>
      <c r="S21" s="34"/>
      <c r="T21" s="7"/>
      <c r="U21" s="7"/>
      <c r="V21" s="7"/>
      <c r="W21" s="7"/>
    </row>
    <row r="22" spans="1:26" ht="15.75" customHeight="1">
      <c r="A22" s="3" t="s">
        <v>57</v>
      </c>
      <c r="B22" s="33">
        <v>2558</v>
      </c>
      <c r="C22" s="3">
        <v>900</v>
      </c>
      <c r="D22" s="33">
        <v>1012</v>
      </c>
      <c r="E22" s="33">
        <v>1023</v>
      </c>
      <c r="F22" s="33">
        <v>1198</v>
      </c>
      <c r="G22" s="33">
        <v>1268</v>
      </c>
      <c r="H22" s="33">
        <v>1225</v>
      </c>
      <c r="I22" s="33">
        <v>1195</v>
      </c>
      <c r="J22" s="33">
        <v>1294</v>
      </c>
      <c r="K22" s="33">
        <v>2546</v>
      </c>
      <c r="L22" s="7"/>
      <c r="M22" s="35"/>
      <c r="N22" s="219"/>
      <c r="O22" s="216"/>
      <c r="P22" s="216"/>
      <c r="Q22" s="216"/>
      <c r="R22" s="216"/>
      <c r="S22" s="34"/>
      <c r="T22" s="7"/>
      <c r="U22" s="7"/>
      <c r="V22" s="7"/>
      <c r="W22" s="7"/>
    </row>
    <row r="23" spans="1:26" ht="15.75" customHeight="1">
      <c r="L23" s="6"/>
      <c r="M23" s="37"/>
      <c r="N23" s="38"/>
      <c r="O23" s="38"/>
      <c r="P23" s="38"/>
      <c r="Q23" s="38"/>
      <c r="R23" s="38"/>
      <c r="S23" s="34"/>
      <c r="T23" s="6"/>
      <c r="U23" s="6"/>
      <c r="V23" s="6"/>
      <c r="W23" s="6"/>
    </row>
    <row r="24" spans="1:26" ht="15.75" customHeight="1">
      <c r="A24" s="31" t="s">
        <v>35</v>
      </c>
      <c r="B24" s="31">
        <v>112</v>
      </c>
      <c r="C24" s="31">
        <v>118</v>
      </c>
      <c r="D24" s="31">
        <v>120</v>
      </c>
      <c r="E24" s="31">
        <v>121</v>
      </c>
      <c r="F24" s="31">
        <v>125</v>
      </c>
      <c r="G24" s="31">
        <v>126</v>
      </c>
      <c r="H24" s="31">
        <v>121</v>
      </c>
      <c r="I24" s="31">
        <v>123</v>
      </c>
      <c r="J24" s="31">
        <v>124</v>
      </c>
      <c r="K24" s="32">
        <v>1912</v>
      </c>
      <c r="L24" s="6"/>
      <c r="M24" s="34"/>
      <c r="N24" s="39"/>
      <c r="O24" s="39"/>
      <c r="P24" s="39"/>
      <c r="Q24" s="39"/>
      <c r="R24" s="39"/>
      <c r="S24" s="34"/>
      <c r="T24" s="6"/>
      <c r="U24" s="6"/>
      <c r="V24" s="6"/>
      <c r="W24" s="6"/>
    </row>
    <row r="25" spans="1:26" ht="15.75" customHeight="1">
      <c r="A25" s="3" t="s">
        <v>58</v>
      </c>
      <c r="B25" s="3">
        <v>112</v>
      </c>
      <c r="C25" s="3">
        <v>118</v>
      </c>
      <c r="D25" s="3">
        <v>120</v>
      </c>
      <c r="E25" s="3">
        <v>121</v>
      </c>
      <c r="F25" s="3">
        <v>125</v>
      </c>
      <c r="G25" s="3">
        <v>126</v>
      </c>
      <c r="H25" s="3">
        <v>121</v>
      </c>
      <c r="I25" s="3">
        <v>123</v>
      </c>
      <c r="J25" s="3">
        <v>124</v>
      </c>
      <c r="K25" s="3">
        <v>759</v>
      </c>
      <c r="L25" s="7"/>
      <c r="M25" s="34"/>
      <c r="N25" s="40"/>
      <c r="O25" s="40"/>
      <c r="P25" s="40"/>
      <c r="Q25" s="40"/>
      <c r="R25" s="40"/>
      <c r="S25" s="34"/>
      <c r="T25" s="7"/>
      <c r="U25" s="7"/>
      <c r="V25" s="7"/>
      <c r="W25" s="7"/>
    </row>
    <row r="26" spans="1:26" ht="15.75" customHeight="1">
      <c r="A26" s="3" t="s">
        <v>59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3">
        <v>1153</v>
      </c>
      <c r="L26" s="7"/>
      <c r="M26" s="34"/>
      <c r="N26" s="40"/>
      <c r="O26" s="40"/>
      <c r="P26" s="40"/>
      <c r="Q26" s="40"/>
      <c r="R26" s="40"/>
      <c r="S26" s="41"/>
      <c r="T26" s="7"/>
      <c r="U26" s="7"/>
      <c r="V26" s="7"/>
      <c r="W26" s="7"/>
    </row>
    <row r="27" spans="1:26" ht="15.75" customHeight="1">
      <c r="A27" s="3" t="s">
        <v>60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7"/>
      <c r="M27" s="34"/>
      <c r="N27" s="40"/>
      <c r="O27" s="40"/>
      <c r="P27" s="40"/>
      <c r="Q27" s="40"/>
      <c r="R27" s="40"/>
      <c r="S27" s="41"/>
      <c r="T27" s="7"/>
      <c r="U27" s="7"/>
      <c r="V27" s="7"/>
      <c r="W27" s="7"/>
    </row>
    <row r="28" spans="1:26" ht="14.4">
      <c r="L28" s="7"/>
      <c r="M28" s="35"/>
      <c r="N28" s="42"/>
      <c r="O28" s="42"/>
      <c r="P28" s="42"/>
      <c r="Q28" s="42"/>
      <c r="R28" s="42"/>
      <c r="S28" s="35"/>
      <c r="T28" s="7"/>
      <c r="U28" s="7"/>
      <c r="V28" s="7"/>
      <c r="W28" s="7"/>
    </row>
    <row r="29" spans="1:26" ht="14.4">
      <c r="A29" s="31" t="s">
        <v>61</v>
      </c>
      <c r="B29" s="32">
        <v>2448</v>
      </c>
      <c r="C29" s="32">
        <v>2026</v>
      </c>
      <c r="D29" s="32">
        <v>2002</v>
      </c>
      <c r="E29" s="32">
        <v>1878</v>
      </c>
      <c r="F29" s="32">
        <v>1764</v>
      </c>
      <c r="G29" s="32">
        <v>1699</v>
      </c>
      <c r="H29" s="32">
        <v>1668</v>
      </c>
      <c r="I29" s="32">
        <v>1836</v>
      </c>
      <c r="J29" s="32">
        <v>2842</v>
      </c>
      <c r="K29" s="32">
        <v>3217</v>
      </c>
      <c r="L29" s="7"/>
      <c r="M29" s="35"/>
      <c r="N29" s="35"/>
      <c r="O29" s="35"/>
      <c r="P29" s="35"/>
      <c r="Q29" s="35"/>
      <c r="R29" s="35"/>
      <c r="S29" s="35"/>
      <c r="T29" s="7"/>
      <c r="U29" s="7"/>
      <c r="V29" s="7"/>
      <c r="W29" s="7"/>
    </row>
    <row r="30" spans="1:26" ht="14.4">
      <c r="A30" s="3" t="s">
        <v>62</v>
      </c>
      <c r="B30" s="3">
        <v>75</v>
      </c>
      <c r="C30" s="3">
        <v>75</v>
      </c>
      <c r="D30" s="3">
        <v>74</v>
      </c>
      <c r="E30" s="3">
        <v>73</v>
      </c>
      <c r="F30" s="3">
        <v>72</v>
      </c>
      <c r="G30" s="3">
        <v>68</v>
      </c>
      <c r="H30" s="3">
        <v>67</v>
      </c>
      <c r="I30" s="3">
        <v>172</v>
      </c>
      <c r="J30" s="3">
        <v>170</v>
      </c>
      <c r="K30" s="3">
        <v>168</v>
      </c>
      <c r="L30" s="7"/>
      <c r="M30" s="34"/>
      <c r="N30" s="40"/>
      <c r="O30" s="40"/>
      <c r="P30" s="40"/>
      <c r="Q30" s="40"/>
      <c r="R30" s="40"/>
      <c r="S30" s="41"/>
      <c r="T30" s="7"/>
      <c r="U30" s="7"/>
      <c r="V30" s="7"/>
      <c r="W30" s="7"/>
    </row>
    <row r="31" spans="1:26" ht="14.4">
      <c r="A31" s="3" t="s">
        <v>63</v>
      </c>
      <c r="B31" s="3">
        <v>766</v>
      </c>
      <c r="C31" s="3">
        <v>839</v>
      </c>
      <c r="D31" s="3">
        <v>895</v>
      </c>
      <c r="E31" s="3">
        <v>947</v>
      </c>
      <c r="F31" s="3">
        <v>949</v>
      </c>
      <c r="G31" s="3">
        <v>958</v>
      </c>
      <c r="H31" s="3">
        <v>994</v>
      </c>
      <c r="I31" s="3">
        <v>998</v>
      </c>
      <c r="J31" s="33">
        <v>1299</v>
      </c>
      <c r="K31" s="33">
        <v>1421</v>
      </c>
      <c r="L31" s="7"/>
      <c r="M31" s="34"/>
      <c r="N31" s="43"/>
      <c r="O31" s="43"/>
      <c r="P31" s="43"/>
      <c r="Q31" s="43"/>
      <c r="R31" s="43"/>
      <c r="S31" s="41"/>
      <c r="T31" s="7"/>
      <c r="U31" s="7"/>
      <c r="V31" s="7"/>
      <c r="W31" s="7"/>
    </row>
    <row r="32" spans="1:26" ht="14.4">
      <c r="A32" s="3" t="s">
        <v>64</v>
      </c>
      <c r="B32" s="33">
        <v>1503</v>
      </c>
      <c r="C32" s="33">
        <v>1485</v>
      </c>
      <c r="D32" s="33">
        <v>1436</v>
      </c>
      <c r="E32" s="33">
        <v>1381</v>
      </c>
      <c r="F32" s="33">
        <v>1364</v>
      </c>
      <c r="G32" s="33">
        <v>1362</v>
      </c>
      <c r="H32" s="33">
        <v>1369</v>
      </c>
      <c r="I32" s="33">
        <v>1296</v>
      </c>
      <c r="J32" s="33">
        <v>1472</v>
      </c>
      <c r="K32" s="33">
        <v>1690</v>
      </c>
      <c r="L32" s="7"/>
      <c r="M32" s="34"/>
      <c r="N32" s="40"/>
      <c r="O32" s="40"/>
      <c r="P32" s="40"/>
      <c r="Q32" s="40"/>
      <c r="R32" s="40"/>
      <c r="S32" s="41"/>
      <c r="T32" s="7"/>
      <c r="U32" s="7"/>
      <c r="V32" s="7"/>
      <c r="W32" s="7"/>
    </row>
    <row r="33" spans="1:23" ht="14.4">
      <c r="A33" s="3" t="s">
        <v>65</v>
      </c>
      <c r="B33" s="3">
        <v>927</v>
      </c>
      <c r="C33" s="33">
        <v>1037</v>
      </c>
      <c r="D33" s="33">
        <v>1113</v>
      </c>
      <c r="E33" s="33">
        <v>1166</v>
      </c>
      <c r="F33" s="33">
        <v>1225</v>
      </c>
      <c r="G33" s="33">
        <v>1034</v>
      </c>
      <c r="H33" s="33">
        <v>1155</v>
      </c>
      <c r="I33" s="33">
        <v>1259</v>
      </c>
      <c r="J33" s="33">
        <v>1483</v>
      </c>
      <c r="K33" s="33">
        <v>1703</v>
      </c>
      <c r="L33" s="7"/>
      <c r="M33" s="34"/>
      <c r="N33" s="40"/>
      <c r="O33" s="40"/>
      <c r="P33" s="40"/>
      <c r="Q33" s="40"/>
      <c r="R33" s="40"/>
      <c r="S33" s="41"/>
      <c r="T33" s="7"/>
      <c r="U33" s="7"/>
      <c r="V33" s="7"/>
      <c r="W33" s="7"/>
    </row>
    <row r="34" spans="1:23" ht="14.4">
      <c r="A34" s="3" t="s">
        <v>66</v>
      </c>
      <c r="B34" s="3">
        <v>68</v>
      </c>
      <c r="C34" s="3">
        <v>83</v>
      </c>
      <c r="D34" s="3">
        <v>87</v>
      </c>
      <c r="E34" s="3">
        <v>78</v>
      </c>
      <c r="F34" s="3">
        <v>78</v>
      </c>
      <c r="G34" s="3">
        <v>82</v>
      </c>
      <c r="H34" s="3">
        <v>84</v>
      </c>
      <c r="I34" s="3">
        <v>84</v>
      </c>
      <c r="J34" s="3">
        <v>84</v>
      </c>
      <c r="K34" s="3">
        <v>94</v>
      </c>
      <c r="L34" s="7"/>
      <c r="M34" s="35"/>
      <c r="N34" s="42"/>
      <c r="O34" s="42"/>
      <c r="P34" s="42"/>
      <c r="Q34" s="42"/>
      <c r="R34" s="42"/>
      <c r="S34" s="35"/>
      <c r="T34" s="7"/>
      <c r="U34" s="7"/>
      <c r="V34" s="7"/>
      <c r="W34" s="7"/>
    </row>
    <row r="35" spans="1:23" ht="14.4">
      <c r="A35" s="3" t="s">
        <v>67</v>
      </c>
      <c r="B35" s="3">
        <v>128</v>
      </c>
      <c r="C35" s="3">
        <v>144</v>
      </c>
      <c r="D35" s="3">
        <v>151</v>
      </c>
      <c r="E35" s="3">
        <v>155</v>
      </c>
      <c r="F35" s="3">
        <v>147</v>
      </c>
      <c r="G35" s="3">
        <v>150</v>
      </c>
      <c r="H35" s="3">
        <v>156</v>
      </c>
      <c r="I35" s="3">
        <v>159</v>
      </c>
      <c r="J35" s="3">
        <v>180</v>
      </c>
      <c r="K35" s="3">
        <v>210</v>
      </c>
      <c r="M35" s="41"/>
      <c r="N35" s="34"/>
      <c r="O35" s="34"/>
      <c r="P35" s="34"/>
      <c r="Q35" s="34"/>
      <c r="R35" s="34"/>
      <c r="S35" s="34"/>
      <c r="T35" s="7"/>
      <c r="U35" s="7"/>
      <c r="V35" s="7"/>
      <c r="W35" s="7"/>
    </row>
    <row r="36" spans="1:23" ht="14.4">
      <c r="A36" s="3" t="s">
        <v>68</v>
      </c>
      <c r="B36" s="3">
        <v>634</v>
      </c>
      <c r="C36" s="3">
        <v>639</v>
      </c>
      <c r="D36" s="3">
        <v>643</v>
      </c>
      <c r="E36" s="3">
        <v>649</v>
      </c>
      <c r="F36" s="3">
        <v>361</v>
      </c>
      <c r="G36" s="3">
        <v>369</v>
      </c>
      <c r="H36" s="3">
        <v>356</v>
      </c>
      <c r="I36" s="3">
        <v>501</v>
      </c>
      <c r="J36" s="3">
        <v>745</v>
      </c>
      <c r="K36" s="3">
        <v>758</v>
      </c>
      <c r="M36" s="41"/>
      <c r="N36" s="34"/>
      <c r="O36" s="34"/>
      <c r="P36" s="34"/>
      <c r="Q36" s="34"/>
      <c r="R36" s="34"/>
      <c r="S36" s="34"/>
      <c r="T36" s="7"/>
      <c r="U36" s="7"/>
      <c r="V36" s="7"/>
      <c r="W36" s="7"/>
    </row>
    <row r="37" spans="1:23" ht="14.4">
      <c r="A37" s="3" t="s">
        <v>69</v>
      </c>
      <c r="B37" s="3">
        <v>531</v>
      </c>
      <c r="C37" s="3">
        <v>134</v>
      </c>
      <c r="D37" s="3">
        <v>134</v>
      </c>
      <c r="E37" s="3">
        <v>0</v>
      </c>
      <c r="F37" s="3">
        <v>30</v>
      </c>
      <c r="G37" s="3">
        <v>66</v>
      </c>
      <c r="H37" s="3">
        <v>96</v>
      </c>
      <c r="I37" s="3">
        <v>96</v>
      </c>
      <c r="J37" s="3">
        <v>131</v>
      </c>
      <c r="K37" s="3">
        <v>141</v>
      </c>
      <c r="M37" s="41"/>
      <c r="N37" s="34"/>
      <c r="O37" s="34"/>
      <c r="P37" s="34"/>
      <c r="Q37" s="34"/>
      <c r="R37" s="34"/>
      <c r="S37" s="34"/>
      <c r="T37" s="7"/>
      <c r="U37" s="7"/>
      <c r="V37" s="7"/>
      <c r="W37" s="7"/>
    </row>
    <row r="38" spans="1:23" ht="14.4">
      <c r="A38" s="3" t="s">
        <v>70</v>
      </c>
      <c r="B38" s="3">
        <v>0</v>
      </c>
      <c r="C38" s="3">
        <v>0</v>
      </c>
      <c r="D38" s="3">
        <v>69</v>
      </c>
      <c r="E38" s="3">
        <v>70</v>
      </c>
      <c r="F38" s="3">
        <v>70</v>
      </c>
      <c r="G38" s="3">
        <v>70</v>
      </c>
      <c r="H38" s="3">
        <v>70</v>
      </c>
      <c r="I38" s="3">
        <v>70</v>
      </c>
      <c r="J38" s="3">
        <v>70</v>
      </c>
      <c r="K38" s="3">
        <v>70</v>
      </c>
      <c r="N38" s="7"/>
      <c r="O38" s="7"/>
      <c r="P38" s="7"/>
      <c r="Q38" s="7"/>
      <c r="R38" s="7"/>
      <c r="S38" s="7"/>
      <c r="T38" s="7"/>
      <c r="U38" s="7"/>
      <c r="V38" s="7"/>
      <c r="W38" s="7"/>
    </row>
    <row r="40" spans="1:23" ht="13.2">
      <c r="A40" s="31" t="s">
        <v>48</v>
      </c>
      <c r="B40" s="32">
        <v>4277</v>
      </c>
      <c r="C40" s="32">
        <v>4095</v>
      </c>
      <c r="D40" s="32">
        <v>4117</v>
      </c>
      <c r="E40" s="32">
        <v>4312</v>
      </c>
      <c r="F40" s="32">
        <v>6420</v>
      </c>
      <c r="G40" s="32">
        <v>4837</v>
      </c>
      <c r="H40" s="32">
        <v>7232</v>
      </c>
      <c r="I40" s="32">
        <v>6564</v>
      </c>
      <c r="J40" s="32">
        <v>6026</v>
      </c>
      <c r="K40" s="32">
        <v>8005</v>
      </c>
    </row>
    <row r="41" spans="1:23" ht="13.2">
      <c r="A41" s="3" t="s">
        <v>71</v>
      </c>
      <c r="B41" s="3">
        <v>814</v>
      </c>
      <c r="C41" s="3">
        <v>719</v>
      </c>
      <c r="D41" s="3">
        <v>728</v>
      </c>
      <c r="E41" s="3">
        <v>743</v>
      </c>
      <c r="F41" s="3">
        <v>962</v>
      </c>
      <c r="G41" s="33">
        <v>1064</v>
      </c>
      <c r="H41" s="33">
        <v>1494</v>
      </c>
      <c r="I41" s="33">
        <v>1231</v>
      </c>
      <c r="J41" s="33">
        <v>1564</v>
      </c>
      <c r="K41" s="33">
        <v>1689</v>
      </c>
    </row>
    <row r="42" spans="1:23" ht="13.2">
      <c r="A42" s="3" t="s">
        <v>72</v>
      </c>
      <c r="B42" s="3">
        <v>717</v>
      </c>
      <c r="C42" s="3">
        <v>718</v>
      </c>
      <c r="D42" s="3">
        <v>953</v>
      </c>
      <c r="E42" s="33">
        <v>1492</v>
      </c>
      <c r="F42" s="33">
        <v>2560</v>
      </c>
      <c r="G42" s="33">
        <v>1725</v>
      </c>
      <c r="H42" s="33">
        <v>2717</v>
      </c>
      <c r="I42" s="33">
        <v>1516</v>
      </c>
      <c r="J42" s="33">
        <v>1752</v>
      </c>
      <c r="K42" s="33">
        <v>2076</v>
      </c>
    </row>
    <row r="43" spans="1:23" ht="13.2">
      <c r="A43" s="3" t="s">
        <v>73</v>
      </c>
      <c r="B43" s="3">
        <v>593</v>
      </c>
      <c r="C43" s="3">
        <v>867</v>
      </c>
      <c r="D43" s="3">
        <v>301</v>
      </c>
      <c r="E43" s="3">
        <v>793</v>
      </c>
      <c r="F43" s="3">
        <v>933</v>
      </c>
      <c r="G43" s="3">
        <v>316</v>
      </c>
      <c r="H43" s="3">
        <v>539</v>
      </c>
      <c r="I43" s="3">
        <v>958</v>
      </c>
      <c r="J43" s="3">
        <v>690</v>
      </c>
      <c r="K43" s="3">
        <v>955</v>
      </c>
    </row>
    <row r="44" spans="1:23" ht="13.2">
      <c r="A44" s="3" t="s">
        <v>74</v>
      </c>
      <c r="B44" s="3">
        <v>0</v>
      </c>
      <c r="C44" s="3">
        <v>14</v>
      </c>
      <c r="D44" s="3">
        <v>79</v>
      </c>
      <c r="E44" s="3">
        <v>10</v>
      </c>
      <c r="F44" s="3">
        <v>11</v>
      </c>
      <c r="G44" s="3">
        <v>15</v>
      </c>
      <c r="H44" s="3">
        <v>15</v>
      </c>
      <c r="I44" s="3">
        <v>15</v>
      </c>
      <c r="J44" s="3">
        <v>19</v>
      </c>
      <c r="K44" s="3">
        <v>209</v>
      </c>
    </row>
    <row r="45" spans="1:23" ht="13.2">
      <c r="A45" s="3" t="s">
        <v>75</v>
      </c>
      <c r="B45" s="33">
        <v>2154</v>
      </c>
      <c r="C45" s="33">
        <v>1777</v>
      </c>
      <c r="D45" s="33">
        <v>2054</v>
      </c>
      <c r="E45" s="33">
        <v>1274</v>
      </c>
      <c r="F45" s="33">
        <v>1954</v>
      </c>
      <c r="G45" s="33">
        <v>1718</v>
      </c>
      <c r="H45" s="33">
        <v>2467</v>
      </c>
      <c r="I45" s="33">
        <v>2843</v>
      </c>
      <c r="J45" s="33">
        <v>2001</v>
      </c>
      <c r="K45" s="33">
        <v>3076</v>
      </c>
    </row>
    <row r="48" spans="1:23" ht="14.4">
      <c r="A48" s="15" t="s">
        <v>76</v>
      </c>
      <c r="B48" s="15">
        <v>-480.55</v>
      </c>
      <c r="C48" s="15">
        <v>993.03</v>
      </c>
      <c r="D48" s="15">
        <v>455.47</v>
      </c>
      <c r="E48" s="15">
        <v>-283.36</v>
      </c>
      <c r="F48" s="15">
        <v>943.52</v>
      </c>
      <c r="G48" s="15">
        <v>114.88</v>
      </c>
      <c r="H48" s="44">
        <v>1024.71</v>
      </c>
      <c r="I48" s="44">
        <v>1435.04</v>
      </c>
      <c r="J48" s="15">
        <v>375.35</v>
      </c>
      <c r="K48" s="15">
        <v>-465</v>
      </c>
    </row>
    <row r="49" spans="1:16" ht="14.4">
      <c r="A49" s="7" t="s">
        <v>77</v>
      </c>
      <c r="B49" s="7">
        <v>716.96</v>
      </c>
      <c r="C49" s="7">
        <v>717.93</v>
      </c>
      <c r="D49" s="7">
        <v>953.29</v>
      </c>
      <c r="E49" s="45">
        <v>1491.87</v>
      </c>
      <c r="F49" s="45">
        <v>2559.69</v>
      </c>
      <c r="G49" s="45">
        <v>1725.1</v>
      </c>
      <c r="H49" s="45">
        <v>2716.85</v>
      </c>
      <c r="I49" s="45">
        <v>1516.38</v>
      </c>
      <c r="J49" s="45">
        <v>1752.43</v>
      </c>
      <c r="K49" s="45">
        <v>2075.5300000000002</v>
      </c>
    </row>
    <row r="50" spans="1:16" ht="14.4">
      <c r="A50" s="7" t="s">
        <v>78</v>
      </c>
      <c r="B50" s="7">
        <v>814.15</v>
      </c>
      <c r="C50" s="7">
        <v>719.07</v>
      </c>
      <c r="D50" s="7">
        <v>728.38</v>
      </c>
      <c r="E50" s="7">
        <v>742.58</v>
      </c>
      <c r="F50" s="7">
        <v>961.51</v>
      </c>
      <c r="G50" s="45">
        <v>1063.5</v>
      </c>
      <c r="H50" s="45">
        <v>1493.89</v>
      </c>
      <c r="I50" s="45">
        <v>1230.51</v>
      </c>
      <c r="J50" s="45">
        <v>1563.55</v>
      </c>
      <c r="K50" s="45">
        <v>1688.75</v>
      </c>
    </row>
    <row r="51" spans="1:16" ht="14.4">
      <c r="A51" s="7" t="s">
        <v>79</v>
      </c>
      <c r="B51" s="7">
        <v>12.12</v>
      </c>
      <c r="C51" s="7">
        <v>11.61</v>
      </c>
      <c r="D51" s="7">
        <v>15.99</v>
      </c>
      <c r="E51" s="7">
        <v>21.6</v>
      </c>
      <c r="F51" s="7">
        <v>30.78</v>
      </c>
      <c r="G51" s="7">
        <v>21.05</v>
      </c>
      <c r="H51" s="7">
        <v>35.75</v>
      </c>
      <c r="I51" s="7">
        <v>16.7</v>
      </c>
      <c r="J51" s="7">
        <v>17.55</v>
      </c>
      <c r="K51" s="7">
        <v>16.88</v>
      </c>
    </row>
    <row r="52" spans="1:16" ht="14.4">
      <c r="A52" s="7" t="s">
        <v>80</v>
      </c>
      <c r="B52" s="7">
        <v>26.53</v>
      </c>
      <c r="C52" s="7">
        <v>31.39</v>
      </c>
      <c r="D52" s="7">
        <v>29.87</v>
      </c>
      <c r="E52" s="7">
        <v>33.950000000000003</v>
      </c>
      <c r="F52" s="7">
        <v>31.57</v>
      </c>
      <c r="G52" s="7">
        <v>28.13</v>
      </c>
      <c r="H52" s="7">
        <v>18.57</v>
      </c>
      <c r="I52" s="7">
        <v>26.94</v>
      </c>
      <c r="J52" s="7">
        <v>23.32</v>
      </c>
      <c r="K52" s="7">
        <v>26.57</v>
      </c>
    </row>
    <row r="53" spans="1:16" ht="14.4">
      <c r="A53" s="6" t="s">
        <v>81</v>
      </c>
      <c r="B53" s="46">
        <v>0.27</v>
      </c>
      <c r="C53" s="46">
        <v>0.28999999999999998</v>
      </c>
      <c r="D53" s="46">
        <v>0.23</v>
      </c>
      <c r="E53" s="46">
        <v>0.21</v>
      </c>
      <c r="F53" s="46">
        <v>0.21</v>
      </c>
      <c r="G53" s="46">
        <v>0.24</v>
      </c>
      <c r="H53" s="46">
        <v>0.18</v>
      </c>
      <c r="I53" s="46">
        <v>0.21</v>
      </c>
      <c r="J53" s="46">
        <v>0.21</v>
      </c>
      <c r="K53" s="46">
        <v>0.27</v>
      </c>
    </row>
    <row r="54" spans="1:16" ht="14.4">
      <c r="A54" s="6" t="s">
        <v>82</v>
      </c>
      <c r="B54" s="6"/>
      <c r="C54" s="46">
        <v>0.45</v>
      </c>
      <c r="D54" s="46">
        <v>0.35</v>
      </c>
      <c r="E54" s="46">
        <v>0.31</v>
      </c>
      <c r="F54" s="46">
        <v>0.32</v>
      </c>
      <c r="G54" s="46">
        <v>0.3</v>
      </c>
      <c r="H54" s="46">
        <v>0.25</v>
      </c>
      <c r="I54" s="46">
        <v>0.27</v>
      </c>
      <c r="J54" s="46">
        <v>0.27</v>
      </c>
      <c r="K54" s="46">
        <v>0.33</v>
      </c>
    </row>
    <row r="55" spans="1:16" ht="14.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6" ht="14.4">
      <c r="A56" s="47" t="s">
        <v>83</v>
      </c>
      <c r="B56" s="45">
        <f t="shared" ref="B56:P56" si="8">B10+B11</f>
        <v>2702.9700000000003</v>
      </c>
      <c r="C56" s="45">
        <f t="shared" si="8"/>
        <v>2077.91</v>
      </c>
      <c r="D56" s="45">
        <f t="shared" si="8"/>
        <v>2043.96</v>
      </c>
      <c r="E56" s="45">
        <f t="shared" si="8"/>
        <v>1934.8</v>
      </c>
      <c r="F56" s="45">
        <f t="shared" si="8"/>
        <v>1811.96</v>
      </c>
      <c r="G56" s="45">
        <f t="shared" si="8"/>
        <v>1759.21</v>
      </c>
      <c r="H56" s="45">
        <f t="shared" si="8"/>
        <v>1683.53</v>
      </c>
      <c r="I56" s="45">
        <f t="shared" si="8"/>
        <v>1913.26</v>
      </c>
      <c r="J56" s="45">
        <f t="shared" si="8"/>
        <v>2927.5099999999998</v>
      </c>
      <c r="K56" s="45">
        <f t="shared" si="8"/>
        <v>3252.47</v>
      </c>
      <c r="L56" s="45">
        <f t="shared" si="8"/>
        <v>4152.456109784519</v>
      </c>
      <c r="M56" s="45">
        <f t="shared" si="8"/>
        <v>4904.012107978624</v>
      </c>
      <c r="N56" s="45">
        <f t="shared" si="8"/>
        <v>5655.56810617273</v>
      </c>
      <c r="O56" s="45">
        <f t="shared" si="8"/>
        <v>6407.124104366836</v>
      </c>
      <c r="P56" s="45">
        <f t="shared" si="8"/>
        <v>7158.680102560942</v>
      </c>
    </row>
    <row r="57" spans="1:16" ht="14.4">
      <c r="A57" s="48" t="s">
        <v>84</v>
      </c>
      <c r="B57" s="6"/>
      <c r="C57" s="49">
        <f t="shared" ref="C57:P57" si="9">C56-B56</f>
        <v>-625.0600000000004</v>
      </c>
      <c r="D57" s="49">
        <f t="shared" si="9"/>
        <v>-33.949999999999818</v>
      </c>
      <c r="E57" s="49">
        <f t="shared" si="9"/>
        <v>-109.16000000000008</v>
      </c>
      <c r="F57" s="49">
        <f t="shared" si="9"/>
        <v>-122.83999999999992</v>
      </c>
      <c r="G57" s="49">
        <f t="shared" si="9"/>
        <v>-52.75</v>
      </c>
      <c r="H57" s="49">
        <f t="shared" si="9"/>
        <v>-75.680000000000064</v>
      </c>
      <c r="I57" s="49">
        <f t="shared" si="9"/>
        <v>229.73000000000002</v>
      </c>
      <c r="J57" s="49">
        <f t="shared" si="9"/>
        <v>1014.2499999999998</v>
      </c>
      <c r="K57" s="49">
        <f t="shared" si="9"/>
        <v>324.96000000000004</v>
      </c>
      <c r="L57" s="49">
        <f t="shared" si="9"/>
        <v>899.98610978451916</v>
      </c>
      <c r="M57" s="49">
        <f t="shared" si="9"/>
        <v>751.55599819410509</v>
      </c>
      <c r="N57" s="49">
        <f t="shared" si="9"/>
        <v>751.555998194106</v>
      </c>
      <c r="O57" s="49">
        <f t="shared" si="9"/>
        <v>751.555998194106</v>
      </c>
      <c r="P57" s="49">
        <f t="shared" si="9"/>
        <v>751.555998194106</v>
      </c>
    </row>
    <row r="58" spans="1:16" ht="14.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6" ht="14.4">
      <c r="A59" s="47" t="s">
        <v>85</v>
      </c>
      <c r="B59" s="7">
        <f t="shared" ref="B59:K59" si="10">B41+B42+B44</f>
        <v>1531</v>
      </c>
      <c r="C59" s="7">
        <f t="shared" si="10"/>
        <v>1451</v>
      </c>
      <c r="D59" s="7">
        <f t="shared" si="10"/>
        <v>1760</v>
      </c>
      <c r="E59" s="50">
        <f t="shared" si="10"/>
        <v>2245</v>
      </c>
      <c r="F59" s="50">
        <f t="shared" si="10"/>
        <v>3533</v>
      </c>
      <c r="G59" s="50">
        <f t="shared" si="10"/>
        <v>2804</v>
      </c>
      <c r="H59" s="50">
        <f t="shared" si="10"/>
        <v>4226</v>
      </c>
      <c r="I59" s="50">
        <f t="shared" si="10"/>
        <v>2762</v>
      </c>
      <c r="J59" s="50">
        <f t="shared" si="10"/>
        <v>3335</v>
      </c>
      <c r="K59" s="50">
        <f t="shared" si="10"/>
        <v>3974</v>
      </c>
    </row>
    <row r="60" spans="1:16" ht="14.4">
      <c r="A60" s="47" t="s">
        <v>86</v>
      </c>
      <c r="B60" s="50">
        <f t="shared" ref="B60:K60" si="11">B20+B21</f>
        <v>2201</v>
      </c>
      <c r="C60" s="50">
        <f t="shared" si="11"/>
        <v>2202</v>
      </c>
      <c r="D60" s="50">
        <f t="shared" si="11"/>
        <v>2650</v>
      </c>
      <c r="E60" s="50">
        <f t="shared" si="11"/>
        <v>3572</v>
      </c>
      <c r="F60" s="50">
        <f t="shared" si="11"/>
        <v>4278</v>
      </c>
      <c r="G60" s="50">
        <f t="shared" si="11"/>
        <v>3454</v>
      </c>
      <c r="H60" s="50">
        <f t="shared" si="11"/>
        <v>4982</v>
      </c>
      <c r="I60" s="50">
        <f t="shared" si="11"/>
        <v>3934</v>
      </c>
      <c r="J60" s="50">
        <f t="shared" si="11"/>
        <v>4356</v>
      </c>
      <c r="K60" s="50">
        <f t="shared" si="11"/>
        <v>5923</v>
      </c>
    </row>
    <row r="61" spans="1:16" ht="13.2">
      <c r="A61" s="51" t="s">
        <v>87</v>
      </c>
      <c r="B61" s="33">
        <f t="shared" ref="B61:K61" si="12">B59-B60</f>
        <v>-670</v>
      </c>
      <c r="C61" s="33">
        <f t="shared" si="12"/>
        <v>-751</v>
      </c>
      <c r="D61" s="33">
        <f t="shared" si="12"/>
        <v>-890</v>
      </c>
      <c r="E61" s="33">
        <f t="shared" si="12"/>
        <v>-1327</v>
      </c>
      <c r="F61" s="33">
        <f t="shared" si="12"/>
        <v>-745</v>
      </c>
      <c r="G61" s="33">
        <f t="shared" si="12"/>
        <v>-650</v>
      </c>
      <c r="H61" s="33">
        <f t="shared" si="12"/>
        <v>-756</v>
      </c>
      <c r="I61" s="33">
        <f t="shared" si="12"/>
        <v>-1172</v>
      </c>
      <c r="J61" s="33">
        <f t="shared" si="12"/>
        <v>-1021</v>
      </c>
      <c r="K61" s="33">
        <f t="shared" si="12"/>
        <v>-1949</v>
      </c>
    </row>
    <row r="62" spans="1:16" ht="13.2">
      <c r="A62" s="52" t="s">
        <v>88</v>
      </c>
      <c r="B62" s="53"/>
      <c r="C62" s="54">
        <f t="shared" ref="C62:K62" si="13">C61-B61</f>
        <v>-81</v>
      </c>
      <c r="D62" s="54">
        <f t="shared" si="13"/>
        <v>-139</v>
      </c>
      <c r="E62" s="54">
        <f t="shared" si="13"/>
        <v>-437</v>
      </c>
      <c r="F62" s="54">
        <f t="shared" si="13"/>
        <v>582</v>
      </c>
      <c r="G62" s="54">
        <f t="shared" si="13"/>
        <v>95</v>
      </c>
      <c r="H62" s="54">
        <f t="shared" si="13"/>
        <v>-106</v>
      </c>
      <c r="I62" s="54">
        <f t="shared" si="13"/>
        <v>-416</v>
      </c>
      <c r="J62" s="54">
        <f t="shared" si="13"/>
        <v>151</v>
      </c>
      <c r="K62" s="54">
        <f t="shared" si="13"/>
        <v>-928</v>
      </c>
    </row>
    <row r="63" spans="1:16" ht="13.2">
      <c r="L63" s="55" t="s">
        <v>89</v>
      </c>
    </row>
    <row r="64" spans="1:16" ht="13.2">
      <c r="A64" s="51" t="s">
        <v>90</v>
      </c>
      <c r="B64" s="56">
        <f>pl!B8/B29</f>
        <v>0.10925653594771241</v>
      </c>
      <c r="C64" s="56">
        <f>pl!C8/C29</f>
        <v>0.15160908193484701</v>
      </c>
      <c r="D64" s="56">
        <f>pl!D8/D29</f>
        <v>0.1534915084915085</v>
      </c>
      <c r="E64" s="56">
        <f>pl!E8/E29</f>
        <v>0.1676251331203408</v>
      </c>
      <c r="F64" s="56">
        <f>pl!F8/F29</f>
        <v>0.15061791383219955</v>
      </c>
      <c r="G64" s="56">
        <f>pl!G8/G29</f>
        <v>0.14504414361389054</v>
      </c>
      <c r="H64" s="56">
        <f>pl!H8/H29</f>
        <v>0.15549760191846523</v>
      </c>
      <c r="I64" s="56">
        <f>pl!I8/I29</f>
        <v>0.14692810457516339</v>
      </c>
      <c r="J64" s="56">
        <f>pl!J8/J29</f>
        <v>0.10058057705840957</v>
      </c>
      <c r="K64" s="56">
        <f>pl!K8/K29</f>
        <v>0.11338824992228784</v>
      </c>
      <c r="L64" s="56">
        <f>AVERAGE(B64:K64)</f>
        <v>0.13940388504148249</v>
      </c>
    </row>
    <row r="65" spans="1:12" ht="13.2">
      <c r="A65" s="3" t="s">
        <v>91</v>
      </c>
      <c r="C65" s="57">
        <f t="shared" ref="C65:L65" si="14">C10-B10</f>
        <v>-422.36000000000013</v>
      </c>
      <c r="D65" s="57">
        <f t="shared" si="14"/>
        <v>-23.880000000000109</v>
      </c>
      <c r="E65" s="57">
        <f t="shared" si="14"/>
        <v>-123.46000000000004</v>
      </c>
      <c r="F65" s="57">
        <f t="shared" si="14"/>
        <v>-114.38999999999987</v>
      </c>
      <c r="G65" s="57">
        <f t="shared" si="14"/>
        <v>-64.920000000000073</v>
      </c>
      <c r="H65" s="57">
        <f t="shared" si="14"/>
        <v>-31.470000000000027</v>
      </c>
      <c r="I65" s="57">
        <f t="shared" si="14"/>
        <v>168.5</v>
      </c>
      <c r="J65" s="57">
        <f t="shared" si="14"/>
        <v>1006.1899999999998</v>
      </c>
      <c r="K65" s="57">
        <f t="shared" si="14"/>
        <v>375.13000000000011</v>
      </c>
      <c r="L65" s="57">
        <f t="shared" si="14"/>
        <v>800</v>
      </c>
    </row>
    <row r="66" spans="1:12" ht="13.2">
      <c r="A66" s="3" t="s">
        <v>92</v>
      </c>
      <c r="L66" s="57">
        <f>AVERAGE(J65:L65)</f>
        <v>727.10666666666657</v>
      </c>
    </row>
    <row r="67" spans="1:12" ht="13.2">
      <c r="A67" s="3" t="s">
        <v>93</v>
      </c>
      <c r="B67" s="3">
        <f t="shared" ref="B67:K67" si="15">B24</f>
        <v>112</v>
      </c>
      <c r="C67" s="3">
        <f t="shared" si="15"/>
        <v>118</v>
      </c>
      <c r="D67" s="3">
        <f t="shared" si="15"/>
        <v>120</v>
      </c>
      <c r="E67" s="3">
        <f t="shared" si="15"/>
        <v>121</v>
      </c>
      <c r="F67" s="3">
        <f t="shared" si="15"/>
        <v>125</v>
      </c>
      <c r="G67" s="3">
        <f t="shared" si="15"/>
        <v>126</v>
      </c>
      <c r="H67" s="3">
        <f t="shared" si="15"/>
        <v>121</v>
      </c>
      <c r="I67" s="3">
        <f t="shared" si="15"/>
        <v>123</v>
      </c>
      <c r="J67" s="3">
        <f t="shared" si="15"/>
        <v>124</v>
      </c>
      <c r="K67" s="33">
        <f t="shared" si="15"/>
        <v>1912</v>
      </c>
    </row>
    <row r="68" spans="1:12" ht="13.2">
      <c r="A68" s="3" t="s">
        <v>94</v>
      </c>
      <c r="C68" s="3">
        <f t="shared" ref="C68:K68" si="16">AVERAGE(B67:C67)</f>
        <v>115</v>
      </c>
      <c r="D68" s="3">
        <f t="shared" si="16"/>
        <v>119</v>
      </c>
      <c r="E68" s="3">
        <f t="shared" si="16"/>
        <v>120.5</v>
      </c>
      <c r="F68" s="3">
        <f t="shared" si="16"/>
        <v>123</v>
      </c>
      <c r="G68" s="3">
        <f t="shared" si="16"/>
        <v>125.5</v>
      </c>
      <c r="H68" s="3">
        <f t="shared" si="16"/>
        <v>123.5</v>
      </c>
      <c r="I68" s="3">
        <f t="shared" si="16"/>
        <v>122</v>
      </c>
      <c r="J68" s="3">
        <f t="shared" si="16"/>
        <v>123.5</v>
      </c>
      <c r="K68" s="3">
        <f t="shared" si="16"/>
        <v>1018</v>
      </c>
    </row>
    <row r="69" spans="1:12" ht="14.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1" spans="1:12" ht="13.2">
      <c r="A71" s="30" t="s">
        <v>95</v>
      </c>
      <c r="L71" s="55" t="s">
        <v>89</v>
      </c>
    </row>
    <row r="72" spans="1:12" ht="14.4">
      <c r="A72" s="7" t="s">
        <v>96</v>
      </c>
      <c r="B72" s="56">
        <f t="shared" ref="B72:K72" si="17">B11/B10</f>
        <v>0.1041408806264629</v>
      </c>
      <c r="C72" s="56">
        <f t="shared" si="17"/>
        <v>2.5788998208000315E-2</v>
      </c>
      <c r="D72" s="56">
        <f t="shared" si="17"/>
        <v>2.1066145799509439E-2</v>
      </c>
      <c r="E72" s="56">
        <f t="shared" si="17"/>
        <v>3.0063939776290641E-2</v>
      </c>
      <c r="F72" s="56">
        <f t="shared" si="17"/>
        <v>2.7223148179643299E-2</v>
      </c>
      <c r="G72" s="56">
        <f t="shared" si="17"/>
        <v>3.5426304575578861E-2</v>
      </c>
      <c r="H72" s="56">
        <f t="shared" si="17"/>
        <v>9.5829210518425245E-3</v>
      </c>
      <c r="I72" s="56">
        <f t="shared" si="17"/>
        <v>4.2052231693036679E-2</v>
      </c>
      <c r="J72" s="56">
        <f t="shared" si="17"/>
        <v>3.0000985138482324E-2</v>
      </c>
      <c r="K72" s="56">
        <f t="shared" si="17"/>
        <v>1.0909531698250435E-2</v>
      </c>
      <c r="L72" s="56">
        <f t="shared" ref="L72:L76" si="18">AVERAGE(B72:K72)</f>
        <v>3.3625508674709745E-2</v>
      </c>
    </row>
    <row r="73" spans="1:12" ht="14.4">
      <c r="A73" s="7" t="s">
        <v>97</v>
      </c>
      <c r="B73" s="56">
        <f>B12/pl!B4</f>
        <v>0.41607163364117611</v>
      </c>
      <c r="C73" s="56">
        <f>C12/pl!C4</f>
        <v>0.49027119624660392</v>
      </c>
      <c r="D73" s="56">
        <f>D12/pl!D4</f>
        <v>0.71143365669611014</v>
      </c>
      <c r="E73" s="56">
        <f>E12/pl!E4</f>
        <v>0.74948918937894704</v>
      </c>
      <c r="F73" s="56">
        <f>F12/pl!F4</f>
        <v>0.67867122696995774</v>
      </c>
      <c r="G73" s="56">
        <f>G12/pl!G4</f>
        <v>0.66559086055019201</v>
      </c>
      <c r="H73" s="56">
        <f>H12/pl!H4</f>
        <v>0.88989505815923531</v>
      </c>
      <c r="I73" s="56">
        <f>I12/pl!I4</f>
        <v>0.80357076589295851</v>
      </c>
      <c r="J73" s="56">
        <f>J12/pl!J4</f>
        <v>0.71821799690470933</v>
      </c>
      <c r="K73" s="56">
        <f>K12/pl!K4</f>
        <v>0.62595076534813687</v>
      </c>
      <c r="L73" s="56">
        <f t="shared" si="18"/>
        <v>0.6749162349788026</v>
      </c>
    </row>
    <row r="74" spans="1:12" ht="14.4">
      <c r="A74" s="7" t="s">
        <v>98</v>
      </c>
      <c r="B74" s="56">
        <f>B13/pl!B4</f>
        <v>0.1980686663480809</v>
      </c>
      <c r="C74" s="56">
        <f>C13/pl!C4</f>
        <v>0.18141606445379554</v>
      </c>
      <c r="D74" s="56">
        <f>D13/pl!D4</f>
        <v>0.18922882022843776</v>
      </c>
      <c r="E74" s="56">
        <f>E13/pl!E4</f>
        <v>0.17102903498740377</v>
      </c>
      <c r="F74" s="56">
        <f>F13/pl!F4</f>
        <v>0.2114657830667282</v>
      </c>
      <c r="G74" s="56">
        <f>G13/pl!G4</f>
        <v>0.16167942069578672</v>
      </c>
      <c r="H74" s="56">
        <f>H13/pl!H4</f>
        <v>0.26067946885990018</v>
      </c>
      <c r="I74" s="56">
        <f>I13/pl!I4</f>
        <v>0.19803552361749432</v>
      </c>
      <c r="J74" s="56">
        <f>J13/pl!J4</f>
        <v>0.16529878443181775</v>
      </c>
      <c r="K74" s="56">
        <f>K13/pl!K4</f>
        <v>0.17839231761318089</v>
      </c>
      <c r="L74" s="56">
        <f t="shared" si="18"/>
        <v>0.19152938843026263</v>
      </c>
    </row>
    <row r="75" spans="1:12" ht="13.2">
      <c r="A75" s="3" t="s">
        <v>99</v>
      </c>
      <c r="B75" s="56">
        <f t="shared" ref="B75:K75" si="19">B7/B8</f>
        <v>0.2980113494012126</v>
      </c>
      <c r="C75" s="56">
        <f t="shared" si="19"/>
        <v>0.17993813357833968</v>
      </c>
      <c r="D75" s="56">
        <f t="shared" si="19"/>
        <v>0.1692029899776408</v>
      </c>
      <c r="E75" s="56">
        <f t="shared" si="19"/>
        <v>0.18276878405791336</v>
      </c>
      <c r="F75" s="56">
        <f t="shared" si="19"/>
        <v>0.18991475809631617</v>
      </c>
      <c r="G75" s="56">
        <f t="shared" si="19"/>
        <v>0.17813453177326913</v>
      </c>
      <c r="H75" s="56">
        <f t="shared" si="19"/>
        <v>0.18471738491880324</v>
      </c>
      <c r="I75" s="56">
        <f t="shared" si="19"/>
        <v>0.14607272150404388</v>
      </c>
      <c r="J75" s="56">
        <f t="shared" si="19"/>
        <v>0.16082102773615436</v>
      </c>
      <c r="K75" s="56">
        <f t="shared" si="19"/>
        <v>0.21527060629036068</v>
      </c>
      <c r="L75" s="56">
        <f t="shared" si="18"/>
        <v>0.1904852287334054</v>
      </c>
    </row>
    <row r="76" spans="1:12" ht="13.2">
      <c r="A76" s="3" t="s">
        <v>100</v>
      </c>
      <c r="B76" s="56">
        <f t="shared" ref="B76:K76" si="20">B6/B8</f>
        <v>7.0370045598035771E-3</v>
      </c>
      <c r="C76" s="56">
        <f t="shared" si="20"/>
        <v>6.8362801958426651E-3</v>
      </c>
      <c r="D76" s="56">
        <f t="shared" si="20"/>
        <v>5.5412748721901956E-3</v>
      </c>
      <c r="E76" s="56">
        <f t="shared" si="20"/>
        <v>4.8037070920011133E-3</v>
      </c>
      <c r="F76" s="56">
        <f t="shared" si="20"/>
        <v>4.3184514612922545E-3</v>
      </c>
      <c r="G76" s="56">
        <f t="shared" si="20"/>
        <v>4.7374539890954435E-3</v>
      </c>
      <c r="H76" s="56">
        <f t="shared" si="20"/>
        <v>3.6146969901234192E-3</v>
      </c>
      <c r="I76" s="56">
        <f t="shared" si="20"/>
        <v>3.4966040760201658E-3</v>
      </c>
      <c r="J76" s="56">
        <f t="shared" si="20"/>
        <v>3.5356446083767714E-3</v>
      </c>
      <c r="K76" s="56">
        <f t="shared" si="20"/>
        <v>4.8590765126504398E-2</v>
      </c>
      <c r="L76" s="56">
        <f t="shared" si="18"/>
        <v>9.2511882971250022E-3</v>
      </c>
    </row>
    <row r="84" spans="1:6" ht="13.2">
      <c r="A84" s="41"/>
      <c r="B84" s="41"/>
      <c r="C84" s="41"/>
      <c r="D84" s="41"/>
      <c r="E84" s="41"/>
      <c r="F84" s="41"/>
    </row>
    <row r="85" spans="1:6" ht="13.2">
      <c r="A85" s="41"/>
      <c r="B85" s="41"/>
      <c r="C85" s="41"/>
      <c r="D85" s="41"/>
      <c r="E85" s="41"/>
      <c r="F85" s="41"/>
    </row>
    <row r="86" spans="1:6" ht="14.4">
      <c r="A86" s="34"/>
      <c r="B86" s="41"/>
      <c r="C86" s="41"/>
      <c r="D86" s="41"/>
      <c r="E86" s="41"/>
      <c r="F86" s="41"/>
    </row>
    <row r="87" spans="1:6" ht="14.4">
      <c r="A87" s="37"/>
      <c r="B87" s="58"/>
      <c r="C87" s="58"/>
      <c r="D87" s="58"/>
      <c r="E87" s="58"/>
      <c r="F87" s="58"/>
    </row>
    <row r="88" spans="1:6" ht="14.4">
      <c r="A88" s="34"/>
      <c r="B88" s="39"/>
      <c r="C88" s="39"/>
      <c r="D88" s="39"/>
      <c r="E88" s="39"/>
      <c r="F88" s="39"/>
    </row>
    <row r="89" spans="1:6" ht="14.4">
      <c r="A89" s="34"/>
      <c r="B89" s="40"/>
      <c r="C89" s="40"/>
      <c r="D89" s="40"/>
      <c r="E89" s="40"/>
      <c r="F89" s="40"/>
    </row>
    <row r="90" spans="1:6" ht="14.4">
      <c r="A90" s="34"/>
      <c r="B90" s="40"/>
      <c r="C90" s="40"/>
      <c r="D90" s="40"/>
      <c r="E90" s="40"/>
      <c r="F90" s="40"/>
    </row>
    <row r="91" spans="1:6" ht="14.4">
      <c r="A91" s="34"/>
      <c r="B91" s="40"/>
      <c r="C91" s="40"/>
      <c r="D91" s="40"/>
      <c r="E91" s="40"/>
      <c r="F91" s="40"/>
    </row>
    <row r="92" spans="1:6" ht="14.4">
      <c r="A92" s="35"/>
      <c r="B92" s="42"/>
      <c r="C92" s="42"/>
      <c r="D92" s="42"/>
      <c r="E92" s="42"/>
      <c r="F92" s="42"/>
    </row>
    <row r="93" spans="1:6" ht="14.4">
      <c r="A93" s="35"/>
      <c r="B93" s="35"/>
      <c r="C93" s="35"/>
      <c r="D93" s="35"/>
      <c r="E93" s="35"/>
      <c r="F93" s="35"/>
    </row>
    <row r="94" spans="1:6" ht="14.4">
      <c r="A94" s="34"/>
      <c r="B94" s="40"/>
      <c r="C94" s="40"/>
      <c r="D94" s="40"/>
      <c r="E94" s="40"/>
      <c r="F94" s="40"/>
    </row>
    <row r="95" spans="1:6" ht="14.4">
      <c r="A95" s="34"/>
      <c r="B95" s="43"/>
      <c r="C95" s="43"/>
      <c r="D95" s="43"/>
      <c r="E95" s="43"/>
      <c r="F95" s="43"/>
    </row>
    <row r="96" spans="1:6" ht="14.4">
      <c r="A96" s="34"/>
      <c r="B96" s="40"/>
      <c r="C96" s="40"/>
      <c r="D96" s="40"/>
      <c r="E96" s="40"/>
      <c r="F96" s="40"/>
    </row>
    <row r="97" spans="1:6" ht="14.4">
      <c r="A97" s="34"/>
      <c r="B97" s="40"/>
      <c r="C97" s="40"/>
      <c r="D97" s="40"/>
      <c r="E97" s="40"/>
      <c r="F97" s="40"/>
    </row>
    <row r="98" spans="1:6" ht="14.4">
      <c r="A98" s="35"/>
      <c r="B98" s="42"/>
      <c r="C98" s="42"/>
      <c r="D98" s="42"/>
      <c r="E98" s="42"/>
      <c r="F98" s="42"/>
    </row>
    <row r="99" spans="1:6" ht="13.2">
      <c r="A99" s="41"/>
      <c r="B99" s="41"/>
      <c r="C99" s="41"/>
      <c r="D99" s="41"/>
      <c r="E99" s="41"/>
      <c r="F99" s="41"/>
    </row>
  </sheetData>
  <mergeCells count="3">
    <mergeCell ref="L2:P2"/>
    <mergeCell ref="A16:K16"/>
    <mergeCell ref="N22:R22"/>
  </mergeCells>
  <hyperlinks>
    <hyperlink ref="J1" r:id="rId1" xr:uid="{00000000-0004-0000-0100-000000000000}"/>
    <hyperlink ref="M16" r:id="rId2" location=":~:text=New%20Delhi%3A%20Pune%2Dbased%20Bajaj,FY%202023%2D24%20as%20well.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7"/>
  <sheetViews>
    <sheetView workbookViewId="0"/>
  </sheetViews>
  <sheetFormatPr defaultColWidth="12.6640625" defaultRowHeight="15.75" customHeight="1"/>
  <cols>
    <col min="1" max="1" width="25.21875" customWidth="1"/>
  </cols>
  <sheetData>
    <row r="1" spans="1:12" ht="15.75" customHeight="1">
      <c r="A1" s="6" t="s">
        <v>101</v>
      </c>
      <c r="B1" s="6"/>
      <c r="C1" s="6"/>
      <c r="D1" s="6"/>
      <c r="E1" s="7"/>
      <c r="F1" s="7"/>
      <c r="G1" s="6"/>
      <c r="H1" s="6"/>
      <c r="I1" s="6"/>
      <c r="J1" s="8" t="s">
        <v>26</v>
      </c>
      <c r="K1" s="6"/>
      <c r="L1" s="6"/>
    </row>
    <row r="2" spans="1:1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15.75" customHeight="1">
      <c r="A3" s="9" t="s">
        <v>102</v>
      </c>
      <c r="B3" s="10">
        <v>45366</v>
      </c>
      <c r="C3" s="10">
        <v>45367</v>
      </c>
      <c r="D3" s="10">
        <v>45368</v>
      </c>
      <c r="E3" s="10">
        <v>45369</v>
      </c>
      <c r="F3" s="10">
        <v>45370</v>
      </c>
      <c r="G3" s="10">
        <v>45371</v>
      </c>
      <c r="H3" s="10">
        <v>45372</v>
      </c>
      <c r="I3" s="10">
        <v>45373</v>
      </c>
      <c r="J3" s="10">
        <v>45374</v>
      </c>
      <c r="K3" s="10">
        <v>45375</v>
      </c>
      <c r="L3" s="6"/>
    </row>
    <row r="4" spans="1:12" ht="15.75" customHeight="1">
      <c r="A4" s="6" t="s">
        <v>103</v>
      </c>
      <c r="B4" s="49">
        <v>2113.8000000000002</v>
      </c>
      <c r="C4" s="49">
        <v>3689.85</v>
      </c>
      <c r="D4" s="49">
        <v>3267.36</v>
      </c>
      <c r="E4" s="49">
        <v>4327.84</v>
      </c>
      <c r="F4" s="49">
        <v>2486.86</v>
      </c>
      <c r="G4" s="49">
        <v>3850.44</v>
      </c>
      <c r="H4" s="49">
        <v>3119.88</v>
      </c>
      <c r="I4" s="49">
        <v>4197.21</v>
      </c>
      <c r="J4" s="49">
        <v>5277.42</v>
      </c>
      <c r="K4" s="49">
        <v>6558.16</v>
      </c>
      <c r="L4" s="6"/>
    </row>
    <row r="5" spans="1:12" ht="15.75" customHeight="1">
      <c r="A5" s="7" t="s">
        <v>104</v>
      </c>
      <c r="B5" s="7">
        <v>-379.66</v>
      </c>
      <c r="C5" s="7">
        <v>-67.52</v>
      </c>
      <c r="D5" s="45">
        <v>-3609.68</v>
      </c>
      <c r="E5" s="45">
        <v>-1954.48</v>
      </c>
      <c r="F5" s="7">
        <v>-272.77</v>
      </c>
      <c r="G5" s="45">
        <v>1765.83</v>
      </c>
      <c r="H5" s="45">
        <v>-2869.15</v>
      </c>
      <c r="I5" s="7">
        <v>276.2</v>
      </c>
      <c r="J5" s="45">
        <v>1211.21</v>
      </c>
      <c r="K5" s="7">
        <v>-71.97</v>
      </c>
      <c r="L5" s="7"/>
    </row>
    <row r="6" spans="1:12" ht="15.75" customHeight="1">
      <c r="A6" s="7" t="s">
        <v>105</v>
      </c>
      <c r="B6" s="45">
        <v>-1644.18</v>
      </c>
      <c r="C6" s="45">
        <v>-3384.08</v>
      </c>
      <c r="D6" s="7">
        <v>-190.09</v>
      </c>
      <c r="E6" s="45">
        <v>-1885.26</v>
      </c>
      <c r="F6" s="45">
        <v>-2074.0500000000002</v>
      </c>
      <c r="G6" s="45">
        <v>-6246.51</v>
      </c>
      <c r="H6" s="7">
        <v>-19.52</v>
      </c>
      <c r="I6" s="45">
        <v>-4056.33</v>
      </c>
      <c r="J6" s="45">
        <v>-7180.7</v>
      </c>
      <c r="K6" s="45">
        <v>-6167.36</v>
      </c>
      <c r="L6" s="7"/>
    </row>
    <row r="7" spans="1:12" ht="15.75" customHeight="1">
      <c r="A7" s="6" t="s">
        <v>106</v>
      </c>
      <c r="B7" s="6">
        <v>89.96</v>
      </c>
      <c r="C7" s="6">
        <v>238.25</v>
      </c>
      <c r="D7" s="6">
        <v>-532.41</v>
      </c>
      <c r="E7" s="6">
        <v>488.1</v>
      </c>
      <c r="F7" s="6">
        <v>140.04</v>
      </c>
      <c r="G7" s="6">
        <v>-630.24</v>
      </c>
      <c r="H7" s="6">
        <v>231.21</v>
      </c>
      <c r="I7" s="6">
        <v>417.08</v>
      </c>
      <c r="J7" s="6">
        <v>-692.07</v>
      </c>
      <c r="K7" s="6">
        <v>318.83</v>
      </c>
      <c r="L7" s="6"/>
    </row>
  </sheetData>
  <hyperlinks>
    <hyperlink ref="J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3:T48"/>
  <sheetViews>
    <sheetView topLeftCell="A18" workbookViewId="0"/>
  </sheetViews>
  <sheetFormatPr defaultColWidth="12.6640625" defaultRowHeight="15.75" customHeight="1"/>
  <cols>
    <col min="2" max="2" width="53.6640625" customWidth="1"/>
    <col min="8" max="8" width="17" customWidth="1"/>
    <col min="11" max="11" width="51.21875" customWidth="1"/>
  </cols>
  <sheetData>
    <row r="3" spans="2:13">
      <c r="B3" s="53" t="s">
        <v>107</v>
      </c>
      <c r="E3" s="220" t="s">
        <v>108</v>
      </c>
      <c r="F3" s="221"/>
      <c r="G3" s="221"/>
      <c r="H3" s="221"/>
      <c r="I3" s="222"/>
      <c r="K3" s="53" t="s">
        <v>109</v>
      </c>
      <c r="M3" s="3" t="s">
        <v>110</v>
      </c>
    </row>
    <row r="4" spans="2:13">
      <c r="C4" s="56"/>
      <c r="E4" s="59"/>
      <c r="F4" s="59"/>
      <c r="G4" s="59"/>
      <c r="H4" s="59"/>
      <c r="I4" s="59"/>
      <c r="L4" s="56"/>
    </row>
    <row r="5" spans="2:13">
      <c r="B5" s="3" t="s">
        <v>111</v>
      </c>
      <c r="C5" s="60">
        <f>C41</f>
        <v>0.53706027199999995</v>
      </c>
      <c r="E5" s="59">
        <v>1</v>
      </c>
      <c r="F5" s="59" t="s">
        <v>112</v>
      </c>
      <c r="G5" s="59"/>
      <c r="H5" s="59"/>
      <c r="I5" s="59" t="s">
        <v>113</v>
      </c>
      <c r="K5" s="3" t="s">
        <v>111</v>
      </c>
      <c r="L5" s="60">
        <f>L41</f>
        <v>1.0729912939999999</v>
      </c>
      <c r="M5" s="60">
        <f>AVERAGE(C5,L5)</f>
        <v>0.80502578299999994</v>
      </c>
    </row>
    <row r="6" spans="2:13">
      <c r="B6" s="3" t="s">
        <v>114</v>
      </c>
      <c r="C6" s="33">
        <f>bs!K25+bs!K26</f>
        <v>1912</v>
      </c>
      <c r="E6" s="59">
        <v>2</v>
      </c>
      <c r="F6" s="59" t="s">
        <v>115</v>
      </c>
      <c r="G6" s="59"/>
      <c r="H6" s="59"/>
      <c r="I6" s="59" t="s">
        <v>116</v>
      </c>
      <c r="K6" s="3" t="s">
        <v>114</v>
      </c>
      <c r="L6" s="33">
        <f>C6</f>
        <v>1912</v>
      </c>
      <c r="M6" s="33">
        <f t="shared" ref="M6:M11" si="0">L6</f>
        <v>1912</v>
      </c>
    </row>
    <row r="7" spans="2:13">
      <c r="B7" s="3" t="s">
        <v>117</v>
      </c>
      <c r="C7" s="33">
        <v>302695</v>
      </c>
      <c r="E7" s="59">
        <v>3</v>
      </c>
      <c r="F7" s="59" t="s">
        <v>118</v>
      </c>
      <c r="G7" s="59"/>
      <c r="H7" s="59"/>
      <c r="I7" s="59"/>
      <c r="K7" s="3" t="s">
        <v>117</v>
      </c>
      <c r="L7" s="33">
        <v>302695</v>
      </c>
      <c r="M7" s="33">
        <f t="shared" si="0"/>
        <v>302695</v>
      </c>
    </row>
    <row r="8" spans="2:13">
      <c r="B8" s="3" t="s">
        <v>119</v>
      </c>
      <c r="C8" s="56">
        <f>C6/C7</f>
        <v>6.316589306067163E-3</v>
      </c>
      <c r="E8" s="59">
        <v>4</v>
      </c>
      <c r="F8" s="223" t="s">
        <v>120</v>
      </c>
      <c r="G8" s="221"/>
      <c r="H8" s="221"/>
      <c r="I8" s="222"/>
      <c r="K8" s="3" t="s">
        <v>119</v>
      </c>
      <c r="L8" s="56">
        <f>L6/L7</f>
        <v>6.316589306067163E-3</v>
      </c>
      <c r="M8" s="56">
        <f t="shared" si="0"/>
        <v>6.316589306067163E-3</v>
      </c>
    </row>
    <row r="9" spans="2:13">
      <c r="B9" s="3" t="s">
        <v>121</v>
      </c>
      <c r="E9" s="59">
        <v>5</v>
      </c>
      <c r="F9" s="59" t="s">
        <v>122</v>
      </c>
      <c r="G9" s="59"/>
      <c r="H9" s="59"/>
      <c r="I9" s="59"/>
      <c r="K9" s="3" t="s">
        <v>121</v>
      </c>
      <c r="M9" s="3">
        <f t="shared" si="0"/>
        <v>0</v>
      </c>
    </row>
    <row r="10" spans="2:13">
      <c r="B10" s="3" t="s">
        <v>123</v>
      </c>
      <c r="E10" s="59">
        <v>6</v>
      </c>
      <c r="F10" s="59" t="s">
        <v>124</v>
      </c>
      <c r="G10" s="59"/>
      <c r="H10" s="59"/>
      <c r="I10" s="59"/>
      <c r="K10" s="3" t="s">
        <v>123</v>
      </c>
      <c r="M10" s="3">
        <f t="shared" si="0"/>
        <v>0</v>
      </c>
    </row>
    <row r="11" spans="2:13">
      <c r="B11" s="3" t="s">
        <v>125</v>
      </c>
      <c r="C11" s="56">
        <f>1-C8</f>
        <v>0.99368341069393284</v>
      </c>
      <c r="E11" s="59">
        <v>7</v>
      </c>
      <c r="F11" s="59" t="s">
        <v>126</v>
      </c>
      <c r="G11" s="59"/>
      <c r="H11" s="59"/>
      <c r="I11" s="59"/>
      <c r="K11" s="3" t="s">
        <v>125</v>
      </c>
      <c r="L11" s="56">
        <f>1-L8</f>
        <v>0.99368341069393284</v>
      </c>
      <c r="M11" s="56">
        <f t="shared" si="0"/>
        <v>0.99368341069393284</v>
      </c>
    </row>
    <row r="12" spans="2:13">
      <c r="B12" s="3"/>
      <c r="C12" s="60"/>
      <c r="E12" s="59">
        <v>8</v>
      </c>
      <c r="F12" s="59" t="s">
        <v>127</v>
      </c>
      <c r="G12" s="59"/>
      <c r="H12" s="59"/>
      <c r="I12" s="59"/>
      <c r="K12" s="3"/>
      <c r="L12" s="60"/>
      <c r="M12" s="60"/>
    </row>
    <row r="13" spans="2:13">
      <c r="B13" s="3" t="s">
        <v>128</v>
      </c>
      <c r="C13" s="60">
        <f>C5*C11</f>
        <v>0.53366788282917121</v>
      </c>
      <c r="E13" s="59">
        <v>9</v>
      </c>
      <c r="F13" s="59" t="s">
        <v>129</v>
      </c>
      <c r="G13" s="59"/>
      <c r="H13" s="59"/>
      <c r="I13" s="59"/>
      <c r="K13" s="3" t="s">
        <v>128</v>
      </c>
      <c r="L13" s="60">
        <f t="shared" ref="L13:M13" si="1">L5*L11</f>
        <v>1.0662136486668163</v>
      </c>
      <c r="M13" s="60">
        <f t="shared" si="1"/>
        <v>0.79994076574799378</v>
      </c>
    </row>
    <row r="14" spans="2:13">
      <c r="B14" s="3" t="s">
        <v>130</v>
      </c>
      <c r="C14" s="60">
        <f>C13/C11</f>
        <v>0.53706027199999995</v>
      </c>
      <c r="E14" s="59">
        <v>10</v>
      </c>
      <c r="F14" s="59" t="s">
        <v>131</v>
      </c>
      <c r="G14" s="59"/>
      <c r="H14" s="59"/>
      <c r="I14" s="59"/>
      <c r="K14" s="3" t="s">
        <v>130</v>
      </c>
      <c r="L14" s="60">
        <f t="shared" ref="L14:M14" si="2">L13/L11</f>
        <v>1.0729912939999999</v>
      </c>
      <c r="M14" s="60">
        <f t="shared" si="2"/>
        <v>0.80502578299999994</v>
      </c>
    </row>
    <row r="15" spans="2:13" ht="15.75" customHeight="1">
      <c r="E15" s="59">
        <v>11</v>
      </c>
      <c r="F15" s="59" t="s">
        <v>132</v>
      </c>
      <c r="G15" s="59"/>
      <c r="H15" s="61" t="s">
        <v>11</v>
      </c>
      <c r="I15" s="62">
        <f>M22</f>
        <v>0.16369847118458966</v>
      </c>
    </row>
    <row r="16" spans="2:13">
      <c r="B16" s="3" t="s">
        <v>133</v>
      </c>
      <c r="C16" s="56">
        <v>6.9680000000000006E-2</v>
      </c>
      <c r="K16" s="3" t="s">
        <v>133</v>
      </c>
      <c r="L16" s="56">
        <v>6.9680000000000006E-2</v>
      </c>
      <c r="M16" s="56">
        <f t="shared" ref="M16:M17" si="3">L16</f>
        <v>6.9680000000000006E-2</v>
      </c>
    </row>
    <row r="17" spans="2:20">
      <c r="B17" s="3" t="s">
        <v>134</v>
      </c>
      <c r="C17" s="56">
        <f>'daily 1 yr stockprices'!Q248-C16</f>
        <v>0.22772050157664675</v>
      </c>
      <c r="K17" s="3" t="s">
        <v>134</v>
      </c>
      <c r="L17" s="56">
        <f>'5 year monthly stock price data'!P65-L16</f>
        <v>0.11767172275260225</v>
      </c>
      <c r="M17" s="56">
        <f t="shared" si="3"/>
        <v>0.11767172275260225</v>
      </c>
    </row>
    <row r="18" spans="2:20">
      <c r="B18" s="3" t="s">
        <v>135</v>
      </c>
      <c r="C18" s="56">
        <f>C17*C14</f>
        <v>0.12229963451673032</v>
      </c>
      <c r="K18" s="3" t="s">
        <v>135</v>
      </c>
      <c r="L18" s="56">
        <f t="shared" ref="L18:M18" si="4">L17*L14</f>
        <v>0.12626073406352392</v>
      </c>
      <c r="M18" s="56">
        <f t="shared" si="4"/>
        <v>9.4728770745872534E-2</v>
      </c>
    </row>
    <row r="19" spans="2:20">
      <c r="B19" s="3" t="s">
        <v>136</v>
      </c>
      <c r="K19" s="3" t="s">
        <v>136</v>
      </c>
      <c r="M19" s="3">
        <f>L19</f>
        <v>0</v>
      </c>
    </row>
    <row r="20" spans="2:20">
      <c r="B20" s="3" t="s">
        <v>137</v>
      </c>
      <c r="C20" s="56">
        <f>C16+C18</f>
        <v>0.19197963451673034</v>
      </c>
      <c r="K20" s="3" t="s">
        <v>137</v>
      </c>
      <c r="L20" s="56">
        <f t="shared" ref="L20:M20" si="5">L16+L18</f>
        <v>0.19594073406352391</v>
      </c>
      <c r="M20" s="56">
        <f t="shared" si="5"/>
        <v>0.16440877074587254</v>
      </c>
    </row>
    <row r="21" spans="2:20">
      <c r="B21" s="3" t="s">
        <v>138</v>
      </c>
      <c r="C21" s="56">
        <f>(1-pl!K18)*C16</f>
        <v>5.1958914206899305E-2</v>
      </c>
      <c r="K21" s="3" t="s">
        <v>139</v>
      </c>
      <c r="L21" s="56">
        <f>(1-pl!O18)*L16</f>
        <v>5.1958914206899305E-2</v>
      </c>
      <c r="M21" s="56">
        <f>(1-pl!P18)*M16</f>
        <v>5.1958914206899305E-2</v>
      </c>
    </row>
    <row r="22" spans="2:20">
      <c r="B22" s="3" t="s">
        <v>11</v>
      </c>
      <c r="C22" s="63">
        <f>(C21*C8)+(C20*C11)</f>
        <v>0.19109518113219343</v>
      </c>
      <c r="K22" s="3" t="s">
        <v>11</v>
      </c>
      <c r="L22" s="63">
        <f t="shared" ref="L22:M22" si="6">(L21*L8)+(L20*L11)</f>
        <v>0.19503126003994947</v>
      </c>
      <c r="M22" s="63">
        <f t="shared" si="6"/>
        <v>0.16369847118458966</v>
      </c>
    </row>
    <row r="23" spans="2:20">
      <c r="B23" s="3" t="s">
        <v>140</v>
      </c>
      <c r="C23" s="63">
        <f>(C16*C8)+(C20*C11)</f>
        <v>0.19120711795320602</v>
      </c>
      <c r="K23" s="3" t="s">
        <v>141</v>
      </c>
      <c r="L23" s="63">
        <f t="shared" ref="L23:M23" si="7">(L16*L8)+(L20*L11)</f>
        <v>0.19514319686096207</v>
      </c>
      <c r="M23" s="63">
        <f t="shared" si="7"/>
        <v>0.16381040800560226</v>
      </c>
    </row>
    <row r="24" spans="2:20">
      <c r="B24" s="64" t="s">
        <v>142</v>
      </c>
      <c r="C24" s="65"/>
      <c r="D24" s="65"/>
      <c r="E24" s="65"/>
      <c r="F24" s="65"/>
      <c r="G24" s="65"/>
      <c r="H24" s="65"/>
      <c r="I24" s="65"/>
      <c r="J24" s="65"/>
      <c r="K24" s="224" t="s">
        <v>142</v>
      </c>
      <c r="L24" s="216"/>
      <c r="M24" s="65"/>
      <c r="N24" s="65"/>
      <c r="O24" s="65"/>
      <c r="P24" s="65"/>
      <c r="Q24" s="65"/>
      <c r="R24" s="65"/>
      <c r="S24" s="65"/>
      <c r="T24" s="65"/>
    </row>
    <row r="25" spans="2:20"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</row>
    <row r="26" spans="2:20">
      <c r="B26" s="225" t="s">
        <v>143</v>
      </c>
      <c r="C26" s="221"/>
      <c r="D26" s="65"/>
      <c r="E26" s="65"/>
      <c r="F26" s="65"/>
      <c r="G26" s="65"/>
      <c r="H26" s="65"/>
      <c r="I26" s="65"/>
      <c r="J26" s="65"/>
      <c r="K26" s="225" t="s">
        <v>143</v>
      </c>
      <c r="L26" s="221"/>
      <c r="M26" s="65"/>
      <c r="N26" s="65"/>
      <c r="O26" s="65"/>
      <c r="P26" s="65"/>
      <c r="Q26" s="65"/>
      <c r="R26" s="65"/>
      <c r="S26" s="65"/>
      <c r="T26" s="65"/>
    </row>
    <row r="27" spans="2:20">
      <c r="B27" s="65" t="s">
        <v>144</v>
      </c>
      <c r="C27" s="67">
        <v>0.29365931299999998</v>
      </c>
      <c r="D27" s="65"/>
      <c r="E27" s="65"/>
      <c r="F27" s="65"/>
      <c r="G27" s="65"/>
      <c r="H27" s="65"/>
      <c r="I27" s="65"/>
      <c r="J27" s="65"/>
      <c r="K27" s="65" t="s">
        <v>144</v>
      </c>
      <c r="L27" s="67">
        <v>0.666747223</v>
      </c>
      <c r="M27" s="65"/>
      <c r="N27" s="65"/>
      <c r="O27" s="65"/>
      <c r="P27" s="65"/>
      <c r="Q27" s="65"/>
      <c r="R27" s="65"/>
      <c r="S27" s="65"/>
      <c r="T27" s="65"/>
    </row>
    <row r="28" spans="2:20" ht="13.2">
      <c r="B28" s="65" t="s">
        <v>145</v>
      </c>
      <c r="C28" s="68">
        <v>8.6235792000000006E-2</v>
      </c>
      <c r="D28" s="65"/>
      <c r="E28" s="65"/>
      <c r="F28" s="65"/>
      <c r="G28" s="65"/>
      <c r="H28" s="65"/>
      <c r="I28" s="65"/>
      <c r="J28" s="65"/>
      <c r="K28" s="65" t="s">
        <v>145</v>
      </c>
      <c r="L28" s="68">
        <v>0.44455185899999999</v>
      </c>
      <c r="M28" s="65"/>
      <c r="N28" s="65"/>
      <c r="O28" s="65"/>
      <c r="P28" s="65"/>
      <c r="Q28" s="65"/>
      <c r="R28" s="65"/>
      <c r="S28" s="65"/>
      <c r="T28" s="65"/>
    </row>
    <row r="29" spans="2:20" ht="13.2">
      <c r="B29" s="65" t="s">
        <v>146</v>
      </c>
      <c r="C29" s="67">
        <v>8.2428441000000005E-2</v>
      </c>
      <c r="D29" s="65"/>
      <c r="E29" s="65"/>
      <c r="F29" s="65"/>
      <c r="G29" s="65"/>
      <c r="H29" s="65"/>
      <c r="I29" s="65"/>
      <c r="J29" s="65"/>
      <c r="K29" s="65" t="s">
        <v>146</v>
      </c>
      <c r="L29" s="67">
        <v>0.434975167</v>
      </c>
      <c r="M29" s="65"/>
      <c r="N29" s="65"/>
      <c r="O29" s="65"/>
      <c r="P29" s="65"/>
      <c r="Q29" s="65"/>
      <c r="R29" s="65"/>
      <c r="S29" s="65"/>
      <c r="T29" s="65"/>
    </row>
    <row r="30" spans="2:20" ht="13.2">
      <c r="B30" s="65" t="s">
        <v>147</v>
      </c>
      <c r="C30" s="67">
        <v>1.4751728E-2</v>
      </c>
      <c r="D30" s="65"/>
      <c r="E30" s="65"/>
      <c r="F30" s="65"/>
      <c r="G30" s="65"/>
      <c r="H30" s="65"/>
      <c r="I30" s="65"/>
      <c r="J30" s="65"/>
      <c r="K30" s="65" t="s">
        <v>147</v>
      </c>
      <c r="L30" s="67">
        <v>6.4523066000000004E-2</v>
      </c>
      <c r="M30" s="65"/>
      <c r="N30" s="65"/>
      <c r="O30" s="65"/>
      <c r="P30" s="65"/>
      <c r="Q30" s="65"/>
      <c r="R30" s="65"/>
      <c r="S30" s="65"/>
      <c r="T30" s="65"/>
    </row>
    <row r="31" spans="2:20" ht="13.2">
      <c r="B31" s="69" t="s">
        <v>148</v>
      </c>
      <c r="C31" s="70">
        <v>242</v>
      </c>
      <c r="D31" s="65"/>
      <c r="E31" s="65"/>
      <c r="F31" s="65"/>
      <c r="G31" s="65"/>
      <c r="H31" s="65"/>
      <c r="I31" s="65"/>
      <c r="J31" s="65"/>
      <c r="K31" s="69" t="s">
        <v>148</v>
      </c>
      <c r="L31" s="70">
        <v>60</v>
      </c>
      <c r="M31" s="65"/>
      <c r="N31" s="65"/>
      <c r="O31" s="65"/>
      <c r="P31" s="65"/>
      <c r="Q31" s="65"/>
      <c r="R31" s="65"/>
      <c r="S31" s="65"/>
      <c r="T31" s="65"/>
    </row>
    <row r="32" spans="2:20" ht="13.2"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</row>
    <row r="33" spans="2:20" ht="13.2">
      <c r="B33" s="65" t="s">
        <v>149</v>
      </c>
      <c r="C33" s="65"/>
      <c r="D33" s="65"/>
      <c r="E33" s="65"/>
      <c r="F33" s="65"/>
      <c r="G33" s="65"/>
      <c r="H33" s="65"/>
      <c r="I33" s="65"/>
      <c r="J33" s="65"/>
      <c r="K33" s="65" t="s">
        <v>149</v>
      </c>
      <c r="L33" s="65"/>
      <c r="M33" s="65"/>
      <c r="N33" s="65"/>
      <c r="O33" s="65"/>
      <c r="P33" s="65"/>
      <c r="Q33" s="65"/>
      <c r="R33" s="65"/>
      <c r="S33" s="65"/>
      <c r="T33" s="65"/>
    </row>
    <row r="34" spans="2:20" ht="13.2">
      <c r="B34" s="66"/>
      <c r="C34" s="66" t="s">
        <v>150</v>
      </c>
      <c r="D34" s="66" t="s">
        <v>151</v>
      </c>
      <c r="E34" s="66" t="s">
        <v>152</v>
      </c>
      <c r="F34" s="66" t="s">
        <v>153</v>
      </c>
      <c r="G34" s="66" t="s">
        <v>154</v>
      </c>
      <c r="H34" s="65"/>
      <c r="I34" s="65"/>
      <c r="J34" s="65"/>
      <c r="K34" s="66"/>
      <c r="L34" s="66" t="s">
        <v>150</v>
      </c>
      <c r="M34" s="66" t="s">
        <v>151</v>
      </c>
      <c r="N34" s="66" t="s">
        <v>152</v>
      </c>
      <c r="O34" s="66" t="s">
        <v>153</v>
      </c>
      <c r="P34" s="66" t="s">
        <v>154</v>
      </c>
      <c r="Q34" s="65"/>
      <c r="R34" s="65"/>
      <c r="S34" s="65"/>
      <c r="T34" s="65"/>
    </row>
    <row r="35" spans="2:20" ht="13.2">
      <c r="B35" s="65" t="s">
        <v>155</v>
      </c>
      <c r="C35" s="67">
        <v>1</v>
      </c>
      <c r="D35" s="67">
        <v>4.9289049999999999E-3</v>
      </c>
      <c r="E35" s="67">
        <v>4.9289049999999999E-3</v>
      </c>
      <c r="F35" s="67">
        <v>22.649814889999998</v>
      </c>
      <c r="G35" s="71">
        <v>3.3600099999999999E-6</v>
      </c>
      <c r="H35" s="65"/>
      <c r="I35" s="65"/>
      <c r="J35" s="65"/>
      <c r="K35" s="65" t="s">
        <v>155</v>
      </c>
      <c r="L35" s="67">
        <v>1</v>
      </c>
      <c r="M35" s="67">
        <v>0.19325774000000001</v>
      </c>
      <c r="N35" s="67">
        <v>0.19325774000000001</v>
      </c>
      <c r="O35" s="67">
        <v>46.420189329999999</v>
      </c>
      <c r="P35" s="71">
        <v>6.0315000000000001E-9</v>
      </c>
      <c r="Q35" s="65"/>
      <c r="R35" s="65"/>
      <c r="S35" s="65"/>
      <c r="T35" s="65"/>
    </row>
    <row r="36" spans="2:20" ht="13.2">
      <c r="B36" s="65" t="s">
        <v>156</v>
      </c>
      <c r="C36" s="67">
        <v>240</v>
      </c>
      <c r="D36" s="67">
        <v>5.2227237000000003E-2</v>
      </c>
      <c r="E36" s="67">
        <v>2.1761299999999999E-4</v>
      </c>
      <c r="F36" s="65"/>
      <c r="G36" s="65"/>
      <c r="H36" s="65"/>
      <c r="I36" s="65"/>
      <c r="J36" s="65"/>
      <c r="K36" s="65" t="s">
        <v>156</v>
      </c>
      <c r="L36" s="67">
        <v>58</v>
      </c>
      <c r="M36" s="67">
        <v>0.24146710900000001</v>
      </c>
      <c r="N36" s="67">
        <v>4.1632259999999999E-3</v>
      </c>
      <c r="O36" s="65"/>
      <c r="P36" s="65"/>
      <c r="Q36" s="65"/>
      <c r="R36" s="65"/>
      <c r="S36" s="65"/>
      <c r="T36" s="65"/>
    </row>
    <row r="37" spans="2:20" ht="13.2">
      <c r="B37" s="69" t="s">
        <v>39</v>
      </c>
      <c r="C37" s="70">
        <v>241</v>
      </c>
      <c r="D37" s="70">
        <v>5.7156142E-2</v>
      </c>
      <c r="E37" s="69"/>
      <c r="F37" s="69"/>
      <c r="G37" s="69"/>
      <c r="H37" s="65"/>
      <c r="I37" s="65"/>
      <c r="J37" s="65"/>
      <c r="K37" s="69" t="s">
        <v>39</v>
      </c>
      <c r="L37" s="70">
        <v>59</v>
      </c>
      <c r="M37" s="70">
        <v>0.43472485</v>
      </c>
      <c r="N37" s="69"/>
      <c r="O37" s="69"/>
      <c r="P37" s="69"/>
      <c r="Q37" s="65"/>
      <c r="R37" s="65"/>
      <c r="S37" s="65"/>
      <c r="T37" s="65"/>
    </row>
    <row r="38" spans="2:20" ht="13.2"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</row>
    <row r="39" spans="2:20" ht="13.2">
      <c r="B39" s="66"/>
      <c r="C39" s="66" t="s">
        <v>157</v>
      </c>
      <c r="D39" s="66" t="s">
        <v>147</v>
      </c>
      <c r="E39" s="66" t="s">
        <v>158</v>
      </c>
      <c r="F39" s="66" t="s">
        <v>159</v>
      </c>
      <c r="G39" s="66" t="s">
        <v>160</v>
      </c>
      <c r="H39" s="66" t="s">
        <v>161</v>
      </c>
      <c r="I39" s="66" t="s">
        <v>162</v>
      </c>
      <c r="J39" s="66" t="s">
        <v>163</v>
      </c>
      <c r="K39" s="66"/>
      <c r="L39" s="66" t="s">
        <v>157</v>
      </c>
      <c r="M39" s="66" t="s">
        <v>147</v>
      </c>
      <c r="N39" s="66" t="s">
        <v>158</v>
      </c>
      <c r="O39" s="66" t="s">
        <v>159</v>
      </c>
      <c r="P39" s="66" t="s">
        <v>160</v>
      </c>
      <c r="Q39" s="66" t="s">
        <v>161</v>
      </c>
      <c r="R39" s="66" t="s">
        <v>162</v>
      </c>
      <c r="S39" s="66" t="s">
        <v>163</v>
      </c>
      <c r="T39" s="65"/>
    </row>
    <row r="40" spans="2:20" ht="13.2">
      <c r="B40" s="65" t="s">
        <v>164</v>
      </c>
      <c r="C40" s="67">
        <v>3.0617299999999999E-3</v>
      </c>
      <c r="D40" s="67">
        <v>9.5596199999999998E-4</v>
      </c>
      <c r="E40" s="67">
        <v>3.2027725579999999</v>
      </c>
      <c r="F40" s="67">
        <v>1.5453349999999999E-3</v>
      </c>
      <c r="G40" s="67">
        <v>1.1785820000000001E-3</v>
      </c>
      <c r="H40" s="67">
        <v>4.9448790000000001E-3</v>
      </c>
      <c r="I40" s="67">
        <v>1.1785820000000001E-3</v>
      </c>
      <c r="J40" s="67">
        <v>4.9448790000000001E-3</v>
      </c>
      <c r="K40" s="65" t="s">
        <v>164</v>
      </c>
      <c r="L40" s="67">
        <v>1.0182952E-2</v>
      </c>
      <c r="M40" s="67">
        <v>8.6336290000000003E-3</v>
      </c>
      <c r="N40" s="67">
        <v>1.1794520749999999</v>
      </c>
      <c r="O40" s="67">
        <v>0.24303364599999999</v>
      </c>
      <c r="P40" s="67">
        <v>-7.0991350000000003E-3</v>
      </c>
      <c r="Q40" s="67">
        <v>2.7465039E-2</v>
      </c>
      <c r="R40" s="67">
        <v>-7.0991350000000003E-3</v>
      </c>
      <c r="S40" s="67">
        <v>2.7465039E-2</v>
      </c>
      <c r="T40" s="65"/>
    </row>
    <row r="41" spans="2:20" ht="13.2">
      <c r="B41" s="69" t="s">
        <v>165</v>
      </c>
      <c r="C41" s="72">
        <v>0.53706027199999995</v>
      </c>
      <c r="D41" s="70">
        <v>0.11284717700000001</v>
      </c>
      <c r="E41" s="70">
        <v>4.7591821660000004</v>
      </c>
      <c r="F41" s="73">
        <v>3.3600099999999999E-6</v>
      </c>
      <c r="G41" s="70">
        <v>0.31476288499999999</v>
      </c>
      <c r="H41" s="70">
        <v>0.75935765899999996</v>
      </c>
      <c r="I41" s="70">
        <v>0.31476288499999999</v>
      </c>
      <c r="J41" s="70">
        <v>0.75935765899999996</v>
      </c>
      <c r="K41" s="69" t="s">
        <v>165</v>
      </c>
      <c r="L41" s="72">
        <v>1.0729912939999999</v>
      </c>
      <c r="M41" s="70">
        <v>0.157486287</v>
      </c>
      <c r="N41" s="70">
        <v>6.8132363329999999</v>
      </c>
      <c r="O41" s="73">
        <v>6.0315000000000001E-9</v>
      </c>
      <c r="P41" s="70">
        <v>0.75774823999999996</v>
      </c>
      <c r="Q41" s="70">
        <v>1.388234349</v>
      </c>
      <c r="R41" s="70">
        <v>0.75774823999999996</v>
      </c>
      <c r="S41" s="70">
        <v>1.388234349</v>
      </c>
      <c r="T41" s="65"/>
    </row>
    <row r="42" spans="2:20" ht="13.2"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</row>
    <row r="43" spans="2:20" ht="13.2"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</row>
    <row r="44" spans="2:20" ht="13.2">
      <c r="B44" s="65"/>
      <c r="C44" s="65"/>
      <c r="D44" s="65"/>
      <c r="E44" s="65"/>
      <c r="F44" s="65"/>
      <c r="G44" s="65"/>
      <c r="H44" s="65"/>
      <c r="I44" s="65"/>
      <c r="J44" s="65"/>
    </row>
    <row r="45" spans="2:20" ht="13.2">
      <c r="B45" s="65"/>
      <c r="C45" s="65"/>
      <c r="D45" s="65"/>
      <c r="E45" s="65"/>
      <c r="F45" s="65"/>
      <c r="G45" s="65"/>
      <c r="H45" s="65"/>
      <c r="I45" s="65"/>
      <c r="J45" s="65"/>
    </row>
    <row r="46" spans="2:20" ht="13.2">
      <c r="B46" s="65"/>
      <c r="C46" s="65"/>
      <c r="D46" s="65"/>
      <c r="E46" s="65"/>
      <c r="F46" s="65"/>
      <c r="G46" s="65"/>
      <c r="H46" s="65"/>
      <c r="I46" s="65"/>
      <c r="J46" s="65"/>
    </row>
    <row r="47" spans="2:20" ht="13.2">
      <c r="B47" s="65"/>
      <c r="C47" s="65"/>
      <c r="D47" s="65"/>
      <c r="E47" s="65"/>
      <c r="F47" s="65"/>
      <c r="G47" s="65"/>
      <c r="H47" s="65"/>
      <c r="I47" s="65"/>
      <c r="J47" s="65"/>
    </row>
    <row r="48" spans="2:20" ht="13.2">
      <c r="B48" s="65"/>
      <c r="C48" s="65"/>
      <c r="D48" s="65"/>
      <c r="E48" s="65"/>
      <c r="F48" s="65"/>
      <c r="G48" s="65"/>
      <c r="H48" s="65"/>
      <c r="I48" s="65"/>
      <c r="J48" s="65"/>
    </row>
  </sheetData>
  <mergeCells count="5">
    <mergeCell ref="E3:I3"/>
    <mergeCell ref="F8:I8"/>
    <mergeCell ref="K24:L24"/>
    <mergeCell ref="B26:C26"/>
    <mergeCell ref="K26:L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P65"/>
  <sheetViews>
    <sheetView workbookViewId="0"/>
  </sheetViews>
  <sheetFormatPr defaultColWidth="12.6640625" defaultRowHeight="15.75" customHeight="1"/>
  <sheetData>
    <row r="2" spans="2:16">
      <c r="B2" s="226" t="s">
        <v>166</v>
      </c>
      <c r="C2" s="216"/>
      <c r="D2" s="216"/>
      <c r="E2" s="216"/>
      <c r="F2" s="216"/>
      <c r="G2" s="216"/>
      <c r="H2" s="216"/>
      <c r="J2" s="226" t="s">
        <v>167</v>
      </c>
      <c r="K2" s="216"/>
      <c r="L2" s="216"/>
      <c r="M2" s="216"/>
      <c r="N2" s="216"/>
      <c r="O2" s="216"/>
      <c r="P2" s="216"/>
    </row>
    <row r="3" spans="2:16" ht="15.75" customHeight="1">
      <c r="B3" s="7" t="s">
        <v>168</v>
      </c>
      <c r="C3" s="7" t="s">
        <v>169</v>
      </c>
      <c r="D3" s="7" t="s">
        <v>170</v>
      </c>
      <c r="E3" s="7" t="s">
        <v>171</v>
      </c>
      <c r="F3" s="7" t="s">
        <v>172</v>
      </c>
      <c r="G3" s="7" t="s">
        <v>173</v>
      </c>
      <c r="H3" s="7" t="s">
        <v>174</v>
      </c>
      <c r="J3" s="7" t="s">
        <v>168</v>
      </c>
      <c r="K3" s="7" t="s">
        <v>169</v>
      </c>
      <c r="L3" s="7" t="s">
        <v>170</v>
      </c>
      <c r="M3" s="7" t="s">
        <v>171</v>
      </c>
      <c r="N3" s="7" t="s">
        <v>172</v>
      </c>
      <c r="O3" s="7" t="s">
        <v>173</v>
      </c>
      <c r="P3" s="7" t="s">
        <v>174</v>
      </c>
    </row>
    <row r="4" spans="2:16" ht="15.75" customHeight="1">
      <c r="B4" s="75">
        <v>45300</v>
      </c>
      <c r="C4" s="76">
        <v>10830.1</v>
      </c>
      <c r="D4" s="76">
        <v>10914.4</v>
      </c>
      <c r="E4" s="76">
        <v>11150.7</v>
      </c>
      <c r="F4" s="76">
        <v>10796.25</v>
      </c>
      <c r="G4" s="7" t="s">
        <v>175</v>
      </c>
      <c r="H4" s="77">
        <v>-5.5999999999999999E-3</v>
      </c>
      <c r="J4" s="75">
        <v>45300</v>
      </c>
      <c r="K4" s="76">
        <v>24852.15</v>
      </c>
      <c r="L4" s="76">
        <v>25333.599999999999</v>
      </c>
      <c r="M4" s="76">
        <v>25333.65</v>
      </c>
      <c r="N4" s="76">
        <v>24801.3</v>
      </c>
      <c r="O4" s="7" t="s">
        <v>176</v>
      </c>
      <c r="P4" s="77">
        <v>-1.52E-2</v>
      </c>
    </row>
    <row r="5" spans="2:16" ht="15.75" customHeight="1">
      <c r="B5" s="75">
        <v>45299</v>
      </c>
      <c r="C5" s="76">
        <v>10891.55</v>
      </c>
      <c r="D5" s="76">
        <v>9844</v>
      </c>
      <c r="E5" s="76">
        <v>10921.35</v>
      </c>
      <c r="F5" s="76">
        <v>9369.2999999999993</v>
      </c>
      <c r="G5" s="7" t="s">
        <v>177</v>
      </c>
      <c r="H5" s="77">
        <v>0.127</v>
      </c>
      <c r="J5" s="75">
        <v>45299</v>
      </c>
      <c r="K5" s="76">
        <v>25235.9</v>
      </c>
      <c r="L5" s="76">
        <v>25030.95</v>
      </c>
      <c r="M5" s="76">
        <v>25268.35</v>
      </c>
      <c r="N5" s="76">
        <v>23893.7</v>
      </c>
      <c r="O5" s="7" t="s">
        <v>178</v>
      </c>
      <c r="P5" s="77">
        <v>1.14E-2</v>
      </c>
    </row>
    <row r="6" spans="2:16" ht="15.75" customHeight="1">
      <c r="B6" s="75">
        <v>45298</v>
      </c>
      <c r="C6" s="76">
        <v>9664.2000000000007</v>
      </c>
      <c r="D6" s="76">
        <v>9505</v>
      </c>
      <c r="E6" s="76">
        <v>9909.9500000000007</v>
      </c>
      <c r="F6" s="76">
        <v>8744.6</v>
      </c>
      <c r="G6" s="7" t="s">
        <v>179</v>
      </c>
      <c r="H6" s="77">
        <v>1.7100000000000001E-2</v>
      </c>
      <c r="J6" s="75">
        <v>45298</v>
      </c>
      <c r="K6" s="76">
        <v>24951.15</v>
      </c>
      <c r="L6" s="76">
        <v>23992.95</v>
      </c>
      <c r="M6" s="76">
        <v>24999.75</v>
      </c>
      <c r="N6" s="76">
        <v>23992.7</v>
      </c>
      <c r="O6" s="7" t="s">
        <v>180</v>
      </c>
      <c r="P6" s="77">
        <v>3.9199999999999999E-2</v>
      </c>
    </row>
    <row r="7" spans="2:16" ht="15.75" customHeight="1">
      <c r="B7" s="75">
        <v>45297</v>
      </c>
      <c r="C7" s="76">
        <v>9501.65</v>
      </c>
      <c r="D7" s="76">
        <v>9180</v>
      </c>
      <c r="E7" s="76">
        <v>10038.799999999999</v>
      </c>
      <c r="F7" s="76">
        <v>8808</v>
      </c>
      <c r="G7" s="7" t="s">
        <v>181</v>
      </c>
      <c r="H7" s="77">
        <v>4.41E-2</v>
      </c>
      <c r="J7" s="75">
        <v>45297</v>
      </c>
      <c r="K7" s="76">
        <v>24010.6</v>
      </c>
      <c r="L7" s="76">
        <v>23337.9</v>
      </c>
      <c r="M7" s="76">
        <v>24174</v>
      </c>
      <c r="N7" s="76">
        <v>21281.45</v>
      </c>
      <c r="O7" s="7" t="s">
        <v>182</v>
      </c>
      <c r="P7" s="77">
        <v>6.5699999999999995E-2</v>
      </c>
    </row>
    <row r="8" spans="2:16" ht="15.75" customHeight="1">
      <c r="B8" s="75">
        <v>45296</v>
      </c>
      <c r="C8" s="76">
        <v>9100</v>
      </c>
      <c r="D8" s="76">
        <v>8944.9500000000007</v>
      </c>
      <c r="E8" s="76">
        <v>9256.9500000000007</v>
      </c>
      <c r="F8" s="76">
        <v>8592.7999999999993</v>
      </c>
      <c r="G8" s="7" t="s">
        <v>183</v>
      </c>
      <c r="H8" s="77">
        <v>2.2100000000000002E-2</v>
      </c>
      <c r="J8" s="75">
        <v>45296</v>
      </c>
      <c r="K8" s="76">
        <v>22530.7</v>
      </c>
      <c r="L8" s="76">
        <v>22567.85</v>
      </c>
      <c r="M8" s="76">
        <v>23110.799999999999</v>
      </c>
      <c r="N8" s="76">
        <v>21821.05</v>
      </c>
      <c r="O8" s="7" t="s">
        <v>184</v>
      </c>
      <c r="P8" s="77">
        <v>-3.3E-3</v>
      </c>
    </row>
    <row r="9" spans="2:16" ht="15.75" customHeight="1">
      <c r="B9" s="75">
        <v>45295</v>
      </c>
      <c r="C9" s="76">
        <v>8903.65</v>
      </c>
      <c r="D9" s="76">
        <v>9194.7999999999993</v>
      </c>
      <c r="E9" s="76">
        <v>9357.9500000000007</v>
      </c>
      <c r="F9" s="76">
        <v>8641.4</v>
      </c>
      <c r="G9" s="7" t="s">
        <v>185</v>
      </c>
      <c r="H9" s="77">
        <v>-2.6700000000000002E-2</v>
      </c>
      <c r="J9" s="75">
        <v>45295</v>
      </c>
      <c r="K9" s="76">
        <v>22604.85</v>
      </c>
      <c r="L9" s="76">
        <v>22455</v>
      </c>
      <c r="M9" s="76">
        <v>22783.35</v>
      </c>
      <c r="N9" s="76">
        <v>21777.65</v>
      </c>
      <c r="O9" s="7" t="s">
        <v>186</v>
      </c>
      <c r="P9" s="77">
        <v>1.24E-2</v>
      </c>
    </row>
    <row r="10" spans="2:16" ht="15.75" customHeight="1">
      <c r="B10" s="75">
        <v>45294</v>
      </c>
      <c r="C10" s="76">
        <v>9148.15</v>
      </c>
      <c r="D10" s="76">
        <v>7955</v>
      </c>
      <c r="E10" s="76">
        <v>9287.7999999999993</v>
      </c>
      <c r="F10" s="76">
        <v>7945.3</v>
      </c>
      <c r="G10" s="7" t="s">
        <v>187</v>
      </c>
      <c r="H10" s="77">
        <v>0.15659999999999999</v>
      </c>
      <c r="J10" s="75">
        <v>45294</v>
      </c>
      <c r="K10" s="76">
        <v>22326.9</v>
      </c>
      <c r="L10" s="76">
        <v>22048.3</v>
      </c>
      <c r="M10" s="76">
        <v>22526.6</v>
      </c>
      <c r="N10" s="76">
        <v>21710.2</v>
      </c>
      <c r="O10" s="7" t="s">
        <v>188</v>
      </c>
      <c r="P10" s="77">
        <v>1.5699999999999999E-2</v>
      </c>
    </row>
    <row r="11" spans="2:16" ht="15.75" customHeight="1">
      <c r="B11" s="75">
        <v>45293</v>
      </c>
      <c r="C11" s="76">
        <v>7909.35</v>
      </c>
      <c r="D11" s="76">
        <v>7680</v>
      </c>
      <c r="E11" s="76">
        <v>8650</v>
      </c>
      <c r="F11" s="76">
        <v>7633.5</v>
      </c>
      <c r="G11" s="7" t="s">
        <v>189</v>
      </c>
      <c r="H11" s="77">
        <v>3.3500000000000002E-2</v>
      </c>
      <c r="J11" s="75">
        <v>45293</v>
      </c>
      <c r="K11" s="76">
        <v>21982.799999999999</v>
      </c>
      <c r="L11" s="76">
        <v>21780.65</v>
      </c>
      <c r="M11" s="76">
        <v>22297.5</v>
      </c>
      <c r="N11" s="76">
        <v>21530.2</v>
      </c>
      <c r="O11" s="7" t="s">
        <v>190</v>
      </c>
      <c r="P11" s="77">
        <v>1.18E-2</v>
      </c>
    </row>
    <row r="12" spans="2:16" ht="15.75" customHeight="1">
      <c r="B12" s="75">
        <v>45292</v>
      </c>
      <c r="C12" s="76">
        <v>7653</v>
      </c>
      <c r="D12" s="76">
        <v>6768.7</v>
      </c>
      <c r="E12" s="76">
        <v>7683.4</v>
      </c>
      <c r="F12" s="76">
        <v>6561</v>
      </c>
      <c r="G12" s="7" t="s">
        <v>191</v>
      </c>
      <c r="H12" s="77">
        <v>0.12590000000000001</v>
      </c>
      <c r="J12" s="75">
        <v>45292</v>
      </c>
      <c r="K12" s="76">
        <v>21725.7</v>
      </c>
      <c r="L12" s="76">
        <v>21727.75</v>
      </c>
      <c r="M12" s="76">
        <v>22124.15</v>
      </c>
      <c r="N12" s="76">
        <v>21137.200000000001</v>
      </c>
      <c r="O12" s="7" t="s">
        <v>192</v>
      </c>
      <c r="P12" s="77">
        <v>-2.9999999999999997E-4</v>
      </c>
    </row>
    <row r="13" spans="2:16" ht="15.75" customHeight="1">
      <c r="B13" s="75">
        <v>44938</v>
      </c>
      <c r="C13" s="76">
        <v>6797.25</v>
      </c>
      <c r="D13" s="76">
        <v>6050</v>
      </c>
      <c r="E13" s="76">
        <v>6833.95</v>
      </c>
      <c r="F13" s="76">
        <v>5987.85</v>
      </c>
      <c r="G13" s="7" t="s">
        <v>193</v>
      </c>
      <c r="H13" s="77">
        <v>0.11600000000000001</v>
      </c>
      <c r="J13" s="75">
        <v>44938</v>
      </c>
      <c r="K13" s="76">
        <v>21731.4</v>
      </c>
      <c r="L13" s="76">
        <v>20194.099999999999</v>
      </c>
      <c r="M13" s="76">
        <v>21801.45</v>
      </c>
      <c r="N13" s="76">
        <v>20183.7</v>
      </c>
      <c r="O13" s="7" t="s">
        <v>194</v>
      </c>
      <c r="P13" s="77">
        <v>7.9399999999999998E-2</v>
      </c>
    </row>
    <row r="14" spans="2:16" ht="15.75" customHeight="1">
      <c r="B14" s="75">
        <v>44937</v>
      </c>
      <c r="C14" s="76">
        <v>6090.55</v>
      </c>
      <c r="D14" s="76">
        <v>5305</v>
      </c>
      <c r="E14" s="76">
        <v>6128.9</v>
      </c>
      <c r="F14" s="76">
        <v>5285</v>
      </c>
      <c r="G14" s="7" t="s">
        <v>195</v>
      </c>
      <c r="H14" s="77">
        <v>0.14610000000000001</v>
      </c>
      <c r="J14" s="75">
        <v>44937</v>
      </c>
      <c r="K14" s="76">
        <v>20133.150000000001</v>
      </c>
      <c r="L14" s="76">
        <v>19064.05</v>
      </c>
      <c r="M14" s="76">
        <v>20158.7</v>
      </c>
      <c r="N14" s="76">
        <v>18973.7</v>
      </c>
      <c r="O14" s="7" t="s">
        <v>196</v>
      </c>
      <c r="P14" s="77">
        <v>5.5199999999999999E-2</v>
      </c>
    </row>
    <row r="15" spans="2:16" ht="15.75" customHeight="1">
      <c r="B15" s="75">
        <v>44936</v>
      </c>
      <c r="C15" s="76">
        <v>5314.05</v>
      </c>
      <c r="D15" s="76">
        <v>5065</v>
      </c>
      <c r="E15" s="76">
        <v>5510</v>
      </c>
      <c r="F15" s="76">
        <v>4903.05</v>
      </c>
      <c r="G15" s="7" t="s">
        <v>197</v>
      </c>
      <c r="H15" s="77">
        <v>4.9399999999999999E-2</v>
      </c>
      <c r="J15" s="75">
        <v>44936</v>
      </c>
      <c r="K15" s="76">
        <v>19079.599999999999</v>
      </c>
      <c r="L15" s="76">
        <v>19622.400000000001</v>
      </c>
      <c r="M15" s="76">
        <v>19849.75</v>
      </c>
      <c r="N15" s="76">
        <v>18837.849999999999</v>
      </c>
      <c r="O15" s="7" t="s">
        <v>198</v>
      </c>
      <c r="P15" s="77">
        <v>-2.8400000000000002E-2</v>
      </c>
    </row>
    <row r="16" spans="2:16" ht="15.75" customHeight="1">
      <c r="B16" s="75">
        <v>44935</v>
      </c>
      <c r="C16" s="76">
        <v>5063.7</v>
      </c>
      <c r="D16" s="76">
        <v>4622.3999999999996</v>
      </c>
      <c r="E16" s="76">
        <v>5274.9</v>
      </c>
      <c r="F16" s="76">
        <v>4619</v>
      </c>
      <c r="G16" s="7" t="s">
        <v>199</v>
      </c>
      <c r="H16" s="77">
        <v>9.7500000000000003E-2</v>
      </c>
      <c r="J16" s="75">
        <v>44935</v>
      </c>
      <c r="K16" s="76">
        <v>19638.3</v>
      </c>
      <c r="L16" s="76">
        <v>19258.150000000001</v>
      </c>
      <c r="M16" s="76">
        <v>20222.45</v>
      </c>
      <c r="N16" s="76">
        <v>19255.7</v>
      </c>
      <c r="O16" s="7" t="s">
        <v>200</v>
      </c>
      <c r="P16" s="77">
        <v>0.02</v>
      </c>
    </row>
    <row r="17" spans="2:16" ht="15.75" customHeight="1">
      <c r="B17" s="75">
        <v>44934</v>
      </c>
      <c r="C17" s="76">
        <v>4613.8</v>
      </c>
      <c r="D17" s="76">
        <v>4941.75</v>
      </c>
      <c r="E17" s="76">
        <v>4978.6499999999996</v>
      </c>
      <c r="F17" s="76">
        <v>4541</v>
      </c>
      <c r="G17" s="7" t="s">
        <v>201</v>
      </c>
      <c r="H17" s="77">
        <v>-6.4399999999999999E-2</v>
      </c>
      <c r="J17" s="75">
        <v>44934</v>
      </c>
      <c r="K17" s="76">
        <v>19253.8</v>
      </c>
      <c r="L17" s="76">
        <v>19784</v>
      </c>
      <c r="M17" s="76">
        <v>19795.599999999999</v>
      </c>
      <c r="N17" s="76">
        <v>19223.650000000001</v>
      </c>
      <c r="O17" s="7" t="s">
        <v>202</v>
      </c>
      <c r="P17" s="77">
        <v>-2.53E-2</v>
      </c>
    </row>
    <row r="18" spans="2:16" ht="15.75" customHeight="1">
      <c r="B18" s="75">
        <v>44933</v>
      </c>
      <c r="C18" s="76">
        <v>4931.3999999999996</v>
      </c>
      <c r="D18" s="76">
        <v>4685.2</v>
      </c>
      <c r="E18" s="76">
        <v>4995.1000000000004</v>
      </c>
      <c r="F18" s="76">
        <v>4588.05</v>
      </c>
      <c r="G18" s="7" t="s">
        <v>203</v>
      </c>
      <c r="H18" s="77">
        <v>5.11E-2</v>
      </c>
      <c r="J18" s="75">
        <v>44933</v>
      </c>
      <c r="K18" s="76">
        <v>19753.8</v>
      </c>
      <c r="L18" s="76">
        <v>19246.5</v>
      </c>
      <c r="M18" s="76">
        <v>19991.849999999999</v>
      </c>
      <c r="N18" s="76">
        <v>19234.400000000001</v>
      </c>
      <c r="O18" s="7" t="s">
        <v>204</v>
      </c>
      <c r="P18" s="77">
        <v>2.9399999999999999E-2</v>
      </c>
    </row>
    <row r="19" spans="2:16" ht="15.75" customHeight="1">
      <c r="B19" s="75">
        <v>44932</v>
      </c>
      <c r="C19" s="76">
        <v>4691.55</v>
      </c>
      <c r="D19" s="76">
        <v>4587</v>
      </c>
      <c r="E19" s="76">
        <v>4829.8999999999996</v>
      </c>
      <c r="F19" s="76">
        <v>4567.25</v>
      </c>
      <c r="G19" s="7" t="s">
        <v>205</v>
      </c>
      <c r="H19" s="77">
        <v>2.7199999999999998E-2</v>
      </c>
      <c r="J19" s="75">
        <v>44932</v>
      </c>
      <c r="K19" s="76">
        <v>19189.05</v>
      </c>
      <c r="L19" s="76">
        <v>18579.400000000001</v>
      </c>
      <c r="M19" s="76">
        <v>19201.7</v>
      </c>
      <c r="N19" s="76">
        <v>18464.55</v>
      </c>
      <c r="O19" s="7" t="s">
        <v>206</v>
      </c>
      <c r="P19" s="77">
        <v>3.5299999999999998E-2</v>
      </c>
    </row>
    <row r="20" spans="2:16" ht="15.75" customHeight="1">
      <c r="B20" s="75">
        <v>44931</v>
      </c>
      <c r="C20" s="76">
        <v>4567.1499999999996</v>
      </c>
      <c r="D20" s="76">
        <v>4439.95</v>
      </c>
      <c r="E20" s="76">
        <v>4664.55</v>
      </c>
      <c r="F20" s="76">
        <v>4424.05</v>
      </c>
      <c r="G20" s="7" t="s">
        <v>207</v>
      </c>
      <c r="H20" s="77">
        <v>3.0499999999999999E-2</v>
      </c>
      <c r="J20" s="75">
        <v>44931</v>
      </c>
      <c r="K20" s="76">
        <v>18534.400000000001</v>
      </c>
      <c r="L20" s="76">
        <v>18124.8</v>
      </c>
      <c r="M20" s="76">
        <v>18662.45</v>
      </c>
      <c r="N20" s="76">
        <v>18042.400000000001</v>
      </c>
      <c r="O20" s="7" t="s">
        <v>208</v>
      </c>
      <c r="P20" s="77">
        <v>2.5999999999999999E-2</v>
      </c>
    </row>
    <row r="21" spans="2:16" ht="15.75" customHeight="1">
      <c r="B21" s="75">
        <v>44930</v>
      </c>
      <c r="C21" s="76">
        <v>4431.95</v>
      </c>
      <c r="D21" s="76">
        <v>3904.8</v>
      </c>
      <c r="E21" s="76">
        <v>4439.7</v>
      </c>
      <c r="F21" s="76">
        <v>3888.2</v>
      </c>
      <c r="G21" s="7" t="s">
        <v>209</v>
      </c>
      <c r="H21" s="77">
        <v>0.1409</v>
      </c>
      <c r="J21" s="75">
        <v>44930</v>
      </c>
      <c r="K21" s="76">
        <v>18065</v>
      </c>
      <c r="L21" s="76">
        <v>17427.95</v>
      </c>
      <c r="M21" s="76">
        <v>18089.150000000001</v>
      </c>
      <c r="N21" s="76">
        <v>17312.75</v>
      </c>
      <c r="O21" s="7" t="s">
        <v>210</v>
      </c>
      <c r="P21" s="77">
        <v>4.0599999999999997E-2</v>
      </c>
    </row>
    <row r="22" spans="2:16" ht="15.75" customHeight="1">
      <c r="B22" s="75">
        <v>44929</v>
      </c>
      <c r="C22" s="76">
        <v>3884.75</v>
      </c>
      <c r="D22" s="76">
        <v>3670</v>
      </c>
      <c r="E22" s="76">
        <v>3945.5</v>
      </c>
      <c r="F22" s="76">
        <v>3636.9</v>
      </c>
      <c r="G22" s="7" t="s">
        <v>211</v>
      </c>
      <c r="H22" s="77">
        <v>6.1100000000000002E-2</v>
      </c>
      <c r="J22" s="75">
        <v>44929</v>
      </c>
      <c r="K22" s="76">
        <v>17359.75</v>
      </c>
      <c r="L22" s="76">
        <v>17360.099999999999</v>
      </c>
      <c r="M22" s="76">
        <v>17799.95</v>
      </c>
      <c r="N22" s="76">
        <v>16828.349999999999</v>
      </c>
      <c r="O22" s="7" t="s">
        <v>212</v>
      </c>
      <c r="P22" s="77">
        <v>3.2000000000000002E-3</v>
      </c>
    </row>
    <row r="23" spans="2:16" ht="15.75" customHeight="1">
      <c r="B23" s="75">
        <v>44928</v>
      </c>
      <c r="C23" s="76">
        <v>3661.2</v>
      </c>
      <c r="D23" s="76">
        <v>3829.45</v>
      </c>
      <c r="E23" s="76">
        <v>3934.95</v>
      </c>
      <c r="F23" s="76">
        <v>3625.6</v>
      </c>
      <c r="G23" s="7" t="s">
        <v>213</v>
      </c>
      <c r="H23" s="77">
        <v>-4.1099999999999998E-2</v>
      </c>
      <c r="J23" s="75">
        <v>44928</v>
      </c>
      <c r="K23" s="76">
        <v>17303.95</v>
      </c>
      <c r="L23" s="76">
        <v>17811.599999999999</v>
      </c>
      <c r="M23" s="76">
        <v>18134.75</v>
      </c>
      <c r="N23" s="76">
        <v>17255.2</v>
      </c>
      <c r="O23" s="7" t="s">
        <v>214</v>
      </c>
      <c r="P23" s="77">
        <v>-2.0299999999999999E-2</v>
      </c>
    </row>
    <row r="24" spans="2:16" ht="15.75" customHeight="1">
      <c r="B24" s="75">
        <v>44927</v>
      </c>
      <c r="C24" s="76">
        <v>3818.25</v>
      </c>
      <c r="D24" s="76">
        <v>3617</v>
      </c>
      <c r="E24" s="76">
        <v>3995</v>
      </c>
      <c r="F24" s="76">
        <v>3520.05</v>
      </c>
      <c r="G24" s="7" t="s">
        <v>215</v>
      </c>
      <c r="H24" s="77">
        <v>5.5899999999999998E-2</v>
      </c>
      <c r="J24" s="75">
        <v>44927</v>
      </c>
      <c r="K24" s="76">
        <v>17662.150000000001</v>
      </c>
      <c r="L24" s="76">
        <v>18131.7</v>
      </c>
      <c r="M24" s="76">
        <v>18251.95</v>
      </c>
      <c r="N24" s="76">
        <v>17405.55</v>
      </c>
      <c r="O24" s="7" t="s">
        <v>216</v>
      </c>
      <c r="P24" s="77">
        <v>-2.4500000000000001E-2</v>
      </c>
    </row>
    <row r="25" spans="2:16" ht="15.75" customHeight="1">
      <c r="B25" s="75">
        <v>44573</v>
      </c>
      <c r="C25" s="76">
        <v>3616.05</v>
      </c>
      <c r="D25" s="76">
        <v>3744.05</v>
      </c>
      <c r="E25" s="76">
        <v>3744.05</v>
      </c>
      <c r="F25" s="76">
        <v>3524.05</v>
      </c>
      <c r="G25" s="7" t="s">
        <v>217</v>
      </c>
      <c r="H25" s="77">
        <v>-3.5900000000000001E-2</v>
      </c>
      <c r="J25" s="75">
        <v>44573</v>
      </c>
      <c r="K25" s="76">
        <v>18105.3</v>
      </c>
      <c r="L25" s="76">
        <v>18871.95</v>
      </c>
      <c r="M25" s="76">
        <v>18887.599999999999</v>
      </c>
      <c r="N25" s="76">
        <v>17774.25</v>
      </c>
      <c r="O25" s="7" t="s">
        <v>218</v>
      </c>
      <c r="P25" s="77">
        <v>-3.4799999999999998E-2</v>
      </c>
    </row>
    <row r="26" spans="2:16" ht="15.75" customHeight="1">
      <c r="B26" s="75">
        <v>44572</v>
      </c>
      <c r="C26" s="76">
        <v>3750.7</v>
      </c>
      <c r="D26" s="76">
        <v>3686.55</v>
      </c>
      <c r="E26" s="76">
        <v>3818.65</v>
      </c>
      <c r="F26" s="76">
        <v>3585</v>
      </c>
      <c r="G26" s="7" t="s">
        <v>219</v>
      </c>
      <c r="H26" s="77">
        <v>2.1499999999999998E-2</v>
      </c>
      <c r="J26" s="75">
        <v>44572</v>
      </c>
      <c r="K26" s="76">
        <v>18758.349999999999</v>
      </c>
      <c r="L26" s="76">
        <v>18130.7</v>
      </c>
      <c r="M26" s="76">
        <v>18816.05</v>
      </c>
      <c r="N26" s="76">
        <v>17959.2</v>
      </c>
      <c r="O26" s="7" t="s">
        <v>220</v>
      </c>
      <c r="P26" s="77">
        <v>4.1399999999999999E-2</v>
      </c>
    </row>
    <row r="27" spans="2:16" ht="15.75" customHeight="1">
      <c r="B27" s="75">
        <v>44571</v>
      </c>
      <c r="C27" s="76">
        <v>3671.85</v>
      </c>
      <c r="D27" s="76">
        <v>3527.75</v>
      </c>
      <c r="E27" s="76">
        <v>3727</v>
      </c>
      <c r="F27" s="76">
        <v>3475</v>
      </c>
      <c r="G27" s="7" t="s">
        <v>221</v>
      </c>
      <c r="H27" s="77">
        <v>4.0800000000000003E-2</v>
      </c>
      <c r="J27" s="75">
        <v>44571</v>
      </c>
      <c r="K27" s="76">
        <v>18012.2</v>
      </c>
      <c r="L27" s="76">
        <v>17102.099999999999</v>
      </c>
      <c r="M27" s="76">
        <v>18022.8</v>
      </c>
      <c r="N27" s="76">
        <v>16855.55</v>
      </c>
      <c r="O27" s="7" t="s">
        <v>222</v>
      </c>
      <c r="P27" s="77">
        <v>5.3699999999999998E-2</v>
      </c>
    </row>
    <row r="28" spans="2:16" ht="14.4">
      <c r="B28" s="75">
        <v>44570</v>
      </c>
      <c r="C28" s="76">
        <v>3527.75</v>
      </c>
      <c r="D28" s="76">
        <v>4010</v>
      </c>
      <c r="E28" s="76">
        <v>4131.75</v>
      </c>
      <c r="F28" s="76">
        <v>3461.25</v>
      </c>
      <c r="G28" s="7" t="s">
        <v>223</v>
      </c>
      <c r="H28" s="77">
        <v>-0.13639999999999999</v>
      </c>
      <c r="J28" s="75">
        <v>44570</v>
      </c>
      <c r="K28" s="76">
        <v>17094.349999999999</v>
      </c>
      <c r="L28" s="76">
        <v>17485.7</v>
      </c>
      <c r="M28" s="76">
        <v>18096.150000000001</v>
      </c>
      <c r="N28" s="76">
        <v>16747.7</v>
      </c>
      <c r="O28" s="7" t="s">
        <v>224</v>
      </c>
      <c r="P28" s="77">
        <v>-3.7400000000000003E-2</v>
      </c>
    </row>
    <row r="29" spans="2:16" ht="14.4">
      <c r="B29" s="75">
        <v>44569</v>
      </c>
      <c r="C29" s="76">
        <v>4084.85</v>
      </c>
      <c r="D29" s="76">
        <v>3919.95</v>
      </c>
      <c r="E29" s="76">
        <v>4128.95</v>
      </c>
      <c r="F29" s="76">
        <v>3915</v>
      </c>
      <c r="G29" s="7" t="s">
        <v>225</v>
      </c>
      <c r="H29" s="77">
        <v>4.3499999999999997E-2</v>
      </c>
      <c r="J29" s="75">
        <v>44569</v>
      </c>
      <c r="K29" s="76">
        <v>17759.3</v>
      </c>
      <c r="L29" s="76">
        <v>17243.2</v>
      </c>
      <c r="M29" s="76">
        <v>17992.2</v>
      </c>
      <c r="N29" s="76">
        <v>17154.8</v>
      </c>
      <c r="O29" s="7" t="s">
        <v>226</v>
      </c>
      <c r="P29" s="77">
        <v>3.5000000000000003E-2</v>
      </c>
    </row>
    <row r="30" spans="2:16" ht="14.4">
      <c r="B30" s="75">
        <v>44568</v>
      </c>
      <c r="C30" s="76">
        <v>3914.45</v>
      </c>
      <c r="D30" s="76">
        <v>3667.95</v>
      </c>
      <c r="E30" s="76">
        <v>4091</v>
      </c>
      <c r="F30" s="76">
        <v>3601.1</v>
      </c>
      <c r="G30" s="7" t="s">
        <v>227</v>
      </c>
      <c r="H30" s="77">
        <v>5.6099999999999997E-2</v>
      </c>
      <c r="J30" s="75">
        <v>44568</v>
      </c>
      <c r="K30" s="76">
        <v>17158.25</v>
      </c>
      <c r="L30" s="76">
        <v>15703.7</v>
      </c>
      <c r="M30" s="76">
        <v>17172.8</v>
      </c>
      <c r="N30" s="76">
        <v>15511.05</v>
      </c>
      <c r="O30" s="7" t="s">
        <v>228</v>
      </c>
      <c r="P30" s="77">
        <v>8.7300000000000003E-2</v>
      </c>
    </row>
    <row r="31" spans="2:16" ht="14.4">
      <c r="B31" s="75">
        <v>44567</v>
      </c>
      <c r="C31" s="76">
        <v>3706.6</v>
      </c>
      <c r="D31" s="76">
        <v>3877.2</v>
      </c>
      <c r="E31" s="76">
        <v>3971</v>
      </c>
      <c r="F31" s="76">
        <v>3574.8</v>
      </c>
      <c r="G31" s="7" t="s">
        <v>229</v>
      </c>
      <c r="H31" s="77">
        <v>-4.0800000000000003E-2</v>
      </c>
      <c r="J31" s="75">
        <v>44567</v>
      </c>
      <c r="K31" s="76">
        <v>15780.25</v>
      </c>
      <c r="L31" s="76">
        <v>16594.400000000001</v>
      </c>
      <c r="M31" s="76">
        <v>16793.849999999999</v>
      </c>
      <c r="N31" s="76">
        <v>15183.4</v>
      </c>
      <c r="O31" s="7" t="s">
        <v>230</v>
      </c>
      <c r="P31" s="77">
        <v>-4.8500000000000001E-2</v>
      </c>
    </row>
    <row r="32" spans="2:16" ht="14.4">
      <c r="B32" s="75">
        <v>44566</v>
      </c>
      <c r="C32" s="76">
        <v>3864.1</v>
      </c>
      <c r="D32" s="76">
        <v>3720</v>
      </c>
      <c r="E32" s="76">
        <v>3958</v>
      </c>
      <c r="F32" s="76">
        <v>3460</v>
      </c>
      <c r="G32" s="7" t="s">
        <v>231</v>
      </c>
      <c r="H32" s="77">
        <v>3.61E-2</v>
      </c>
      <c r="J32" s="75">
        <v>44566</v>
      </c>
      <c r="K32" s="76">
        <v>16584.55</v>
      </c>
      <c r="L32" s="76">
        <v>16924.45</v>
      </c>
      <c r="M32" s="76">
        <v>17132.849999999999</v>
      </c>
      <c r="N32" s="76">
        <v>15735.75</v>
      </c>
      <c r="O32" s="7" t="s">
        <v>232</v>
      </c>
      <c r="P32" s="77">
        <v>-3.0300000000000001E-2</v>
      </c>
    </row>
    <row r="33" spans="2:16" ht="14.4">
      <c r="B33" s="75">
        <v>44565</v>
      </c>
      <c r="C33" s="76">
        <v>3729.55</v>
      </c>
      <c r="D33" s="76">
        <v>3636</v>
      </c>
      <c r="E33" s="76">
        <v>4000</v>
      </c>
      <c r="F33" s="76">
        <v>3600</v>
      </c>
      <c r="G33" s="7" t="s">
        <v>233</v>
      </c>
      <c r="H33" s="77">
        <v>2.1000000000000001E-2</v>
      </c>
      <c r="J33" s="75">
        <v>44565</v>
      </c>
      <c r="K33" s="76">
        <v>17102.55</v>
      </c>
      <c r="L33" s="76">
        <v>17436.900000000001</v>
      </c>
      <c r="M33" s="76">
        <v>18114.650000000001</v>
      </c>
      <c r="N33" s="76">
        <v>16824.7</v>
      </c>
      <c r="O33" s="7" t="s">
        <v>234</v>
      </c>
      <c r="P33" s="77">
        <v>-2.07E-2</v>
      </c>
    </row>
    <row r="34" spans="2:16" ht="14.4">
      <c r="B34" s="75">
        <v>44564</v>
      </c>
      <c r="C34" s="76">
        <v>3653</v>
      </c>
      <c r="D34" s="76">
        <v>3498.3</v>
      </c>
      <c r="E34" s="76">
        <v>3737</v>
      </c>
      <c r="F34" s="76">
        <v>3125</v>
      </c>
      <c r="G34" s="7" t="s">
        <v>235</v>
      </c>
      <c r="H34" s="77">
        <v>3.4700000000000002E-2</v>
      </c>
      <c r="J34" s="75">
        <v>44564</v>
      </c>
      <c r="K34" s="76">
        <v>17464.75</v>
      </c>
      <c r="L34" s="76">
        <v>16593.099999999999</v>
      </c>
      <c r="M34" s="76">
        <v>17559.8</v>
      </c>
      <c r="N34" s="76">
        <v>15671.45</v>
      </c>
      <c r="O34" s="7" t="s">
        <v>236</v>
      </c>
      <c r="P34" s="77">
        <v>3.9899999999999998E-2</v>
      </c>
    </row>
    <row r="35" spans="2:16" ht="14.4">
      <c r="B35" s="75">
        <v>44563</v>
      </c>
      <c r="C35" s="76">
        <v>3530.35</v>
      </c>
      <c r="D35" s="76">
        <v>3577</v>
      </c>
      <c r="E35" s="76">
        <v>3660</v>
      </c>
      <c r="F35" s="76">
        <v>3435</v>
      </c>
      <c r="G35" s="7" t="s">
        <v>237</v>
      </c>
      <c r="H35" s="77">
        <v>-9.5999999999999992E-3</v>
      </c>
      <c r="J35" s="75">
        <v>44563</v>
      </c>
      <c r="K35" s="76">
        <v>16793.900000000001</v>
      </c>
      <c r="L35" s="76">
        <v>17529.45</v>
      </c>
      <c r="M35" s="76">
        <v>17794.599999999999</v>
      </c>
      <c r="N35" s="76">
        <v>16203.25</v>
      </c>
      <c r="O35" s="7" t="s">
        <v>238</v>
      </c>
      <c r="P35" s="77">
        <v>-3.15E-2</v>
      </c>
    </row>
    <row r="36" spans="2:16" ht="14.4">
      <c r="B36" s="75">
        <v>44562</v>
      </c>
      <c r="C36" s="76">
        <v>3564.65</v>
      </c>
      <c r="D36" s="76">
        <v>3258.7</v>
      </c>
      <c r="E36" s="76">
        <v>3585.65</v>
      </c>
      <c r="F36" s="76">
        <v>3251.5</v>
      </c>
      <c r="G36" s="7" t="s">
        <v>239</v>
      </c>
      <c r="H36" s="77">
        <v>9.7100000000000006E-2</v>
      </c>
      <c r="J36" s="75">
        <v>44562</v>
      </c>
      <c r="K36" s="76">
        <v>17339.849999999999</v>
      </c>
      <c r="L36" s="76">
        <v>17387.150000000001</v>
      </c>
      <c r="M36" s="76">
        <v>18350.95</v>
      </c>
      <c r="N36" s="76">
        <v>16836.8</v>
      </c>
      <c r="O36" s="7" t="s">
        <v>240</v>
      </c>
      <c r="P36" s="77">
        <v>-8.0000000000000004E-4</v>
      </c>
    </row>
    <row r="37" spans="2:16" ht="14.4">
      <c r="B37" s="75">
        <v>44208</v>
      </c>
      <c r="C37" s="76">
        <v>3249.25</v>
      </c>
      <c r="D37" s="76">
        <v>3280</v>
      </c>
      <c r="E37" s="76">
        <v>3372.45</v>
      </c>
      <c r="F37" s="76">
        <v>3027.05</v>
      </c>
      <c r="G37" s="7" t="s">
        <v>241</v>
      </c>
      <c r="H37" s="77">
        <v>2.8E-3</v>
      </c>
      <c r="J37" s="75">
        <v>44208</v>
      </c>
      <c r="K37" s="76">
        <v>17354.05</v>
      </c>
      <c r="L37" s="76">
        <v>17104.400000000001</v>
      </c>
      <c r="M37" s="76">
        <v>17639.5</v>
      </c>
      <c r="N37" s="76">
        <v>16410.2</v>
      </c>
      <c r="O37" s="7" t="s">
        <v>242</v>
      </c>
      <c r="P37" s="77">
        <v>2.18E-2</v>
      </c>
    </row>
    <row r="38" spans="2:16" ht="14.4">
      <c r="B38" s="75">
        <v>44207</v>
      </c>
      <c r="C38" s="76">
        <v>3240.3</v>
      </c>
      <c r="D38" s="76">
        <v>3721.8</v>
      </c>
      <c r="E38" s="76">
        <v>3845</v>
      </c>
      <c r="F38" s="76">
        <v>3223.05</v>
      </c>
      <c r="G38" s="7" t="s">
        <v>243</v>
      </c>
      <c r="H38" s="77">
        <v>-0.126</v>
      </c>
      <c r="J38" s="75">
        <v>44207</v>
      </c>
      <c r="K38" s="76">
        <v>16983.2</v>
      </c>
      <c r="L38" s="76">
        <v>17783.150000000001</v>
      </c>
      <c r="M38" s="76">
        <v>18210.150000000001</v>
      </c>
      <c r="N38" s="76">
        <v>16782.400000000001</v>
      </c>
      <c r="O38" s="7" t="s">
        <v>244</v>
      </c>
      <c r="P38" s="77">
        <v>-3.9E-2</v>
      </c>
    </row>
    <row r="39" spans="2:16" ht="14.4">
      <c r="B39" s="75">
        <v>44206</v>
      </c>
      <c r="C39" s="76">
        <v>3707.25</v>
      </c>
      <c r="D39" s="76">
        <v>3820</v>
      </c>
      <c r="E39" s="76">
        <v>4050</v>
      </c>
      <c r="F39" s="76">
        <v>3665</v>
      </c>
      <c r="G39" s="7" t="s">
        <v>245</v>
      </c>
      <c r="H39" s="77">
        <v>-3.27E-2</v>
      </c>
      <c r="J39" s="75">
        <v>44206</v>
      </c>
      <c r="K39" s="76">
        <v>17671.650000000001</v>
      </c>
      <c r="L39" s="76">
        <v>17531.900000000001</v>
      </c>
      <c r="M39" s="76">
        <v>18604.45</v>
      </c>
      <c r="N39" s="76">
        <v>17452.900000000001</v>
      </c>
      <c r="O39" s="7" t="s">
        <v>246</v>
      </c>
      <c r="P39" s="77">
        <v>3.0000000000000001E-3</v>
      </c>
    </row>
    <row r="40" spans="2:16" ht="14.4">
      <c r="B40" s="75">
        <v>44205</v>
      </c>
      <c r="C40" s="76">
        <v>3832.65</v>
      </c>
      <c r="D40" s="76">
        <v>3754</v>
      </c>
      <c r="E40" s="76">
        <v>3944.8</v>
      </c>
      <c r="F40" s="76">
        <v>3680</v>
      </c>
      <c r="G40" s="7" t="s">
        <v>247</v>
      </c>
      <c r="H40" s="77">
        <v>2.81E-2</v>
      </c>
      <c r="J40" s="75">
        <v>44205</v>
      </c>
      <c r="K40" s="76">
        <v>17618.150000000001</v>
      </c>
      <c r="L40" s="76">
        <v>17185.599999999999</v>
      </c>
      <c r="M40" s="76">
        <v>17947.650000000001</v>
      </c>
      <c r="N40" s="76">
        <v>17055.05</v>
      </c>
      <c r="O40" s="7" t="s">
        <v>248</v>
      </c>
      <c r="P40" s="77">
        <v>2.8400000000000002E-2</v>
      </c>
    </row>
    <row r="41" spans="2:16" ht="14.4">
      <c r="B41" s="75">
        <v>44204</v>
      </c>
      <c r="C41" s="76">
        <v>3727.85</v>
      </c>
      <c r="D41" s="76">
        <v>3874</v>
      </c>
      <c r="E41" s="76">
        <v>3898.9</v>
      </c>
      <c r="F41" s="76">
        <v>3647.15</v>
      </c>
      <c r="G41" s="7" t="s">
        <v>249</v>
      </c>
      <c r="H41" s="77">
        <v>-2.6599999999999999E-2</v>
      </c>
      <c r="J41" s="75">
        <v>44204</v>
      </c>
      <c r="K41" s="76">
        <v>17132.2</v>
      </c>
      <c r="L41" s="76">
        <v>15874.9</v>
      </c>
      <c r="M41" s="76">
        <v>17153.5</v>
      </c>
      <c r="N41" s="76">
        <v>15834.65</v>
      </c>
      <c r="O41" s="7" t="s">
        <v>250</v>
      </c>
      <c r="P41" s="77">
        <v>8.6900000000000005E-2</v>
      </c>
    </row>
    <row r="42" spans="2:16" ht="14.4">
      <c r="B42" s="75">
        <v>44203</v>
      </c>
      <c r="C42" s="76">
        <v>3829.6</v>
      </c>
      <c r="D42" s="76">
        <v>4141</v>
      </c>
      <c r="E42" s="76">
        <v>4250</v>
      </c>
      <c r="F42" s="76">
        <v>3750</v>
      </c>
      <c r="G42" s="7" t="s">
        <v>251</v>
      </c>
      <c r="H42" s="77">
        <v>-7.3599999999999999E-2</v>
      </c>
      <c r="J42" s="75">
        <v>44203</v>
      </c>
      <c r="K42" s="76">
        <v>15763.05</v>
      </c>
      <c r="L42" s="76">
        <v>15755.05</v>
      </c>
      <c r="M42" s="76">
        <v>15962.25</v>
      </c>
      <c r="N42" s="76">
        <v>15513.45</v>
      </c>
      <c r="O42" s="7" t="s">
        <v>252</v>
      </c>
      <c r="P42" s="77">
        <v>2.5999999999999999E-3</v>
      </c>
    </row>
    <row r="43" spans="2:16" ht="14.4">
      <c r="B43" s="75">
        <v>44202</v>
      </c>
      <c r="C43" s="76">
        <v>4133.8500000000004</v>
      </c>
      <c r="D43" s="76">
        <v>4204.8999999999996</v>
      </c>
      <c r="E43" s="76">
        <v>4347</v>
      </c>
      <c r="F43" s="76">
        <v>4030</v>
      </c>
      <c r="G43" s="7" t="s">
        <v>253</v>
      </c>
      <c r="H43" s="77">
        <v>-1.41E-2</v>
      </c>
      <c r="J43" s="75">
        <v>44202</v>
      </c>
      <c r="K43" s="76">
        <v>15721.5</v>
      </c>
      <c r="L43" s="76">
        <v>15629.65</v>
      </c>
      <c r="M43" s="76">
        <v>15915.65</v>
      </c>
      <c r="N43" s="76">
        <v>15450.9</v>
      </c>
      <c r="O43" s="7" t="s">
        <v>254</v>
      </c>
      <c r="P43" s="77">
        <v>8.8999999999999999E-3</v>
      </c>
    </row>
    <row r="44" spans="2:16" ht="14.4">
      <c r="B44" s="75">
        <v>44201</v>
      </c>
      <c r="C44" s="76">
        <v>4192.8</v>
      </c>
      <c r="D44" s="76">
        <v>3815</v>
      </c>
      <c r="E44" s="76">
        <v>4274</v>
      </c>
      <c r="F44" s="76">
        <v>3784.1</v>
      </c>
      <c r="G44" s="7" t="s">
        <v>255</v>
      </c>
      <c r="H44" s="77">
        <v>9.3700000000000006E-2</v>
      </c>
      <c r="J44" s="75">
        <v>44201</v>
      </c>
      <c r="K44" s="76">
        <v>15582.8</v>
      </c>
      <c r="L44" s="76">
        <v>14481.05</v>
      </c>
      <c r="M44" s="76">
        <v>15606.35</v>
      </c>
      <c r="N44" s="76">
        <v>14416.25</v>
      </c>
      <c r="O44" s="7" t="s">
        <v>256</v>
      </c>
      <c r="P44" s="77">
        <v>6.5000000000000002E-2</v>
      </c>
    </row>
    <row r="45" spans="2:16" ht="14.4">
      <c r="B45" s="75">
        <v>44200</v>
      </c>
      <c r="C45" s="76">
        <v>3833.75</v>
      </c>
      <c r="D45" s="76">
        <v>3704</v>
      </c>
      <c r="E45" s="76">
        <v>3966.35</v>
      </c>
      <c r="F45" s="76">
        <v>3447</v>
      </c>
      <c r="G45" s="7" t="s">
        <v>257</v>
      </c>
      <c r="H45" s="77">
        <v>4.4400000000000002E-2</v>
      </c>
      <c r="J45" s="75">
        <v>44200</v>
      </c>
      <c r="K45" s="76">
        <v>14631.1</v>
      </c>
      <c r="L45" s="76">
        <v>14798.4</v>
      </c>
      <c r="M45" s="76">
        <v>15044.35</v>
      </c>
      <c r="N45" s="76">
        <v>14151.4</v>
      </c>
      <c r="O45" s="7" t="s">
        <v>258</v>
      </c>
      <c r="P45" s="77">
        <v>-4.1000000000000003E-3</v>
      </c>
    </row>
    <row r="46" spans="2:16" ht="14.4">
      <c r="B46" s="75">
        <v>44199</v>
      </c>
      <c r="C46" s="76">
        <v>3670.6</v>
      </c>
      <c r="D46" s="76">
        <v>3798.7</v>
      </c>
      <c r="E46" s="76">
        <v>3985</v>
      </c>
      <c r="F46" s="76">
        <v>3497</v>
      </c>
      <c r="G46" s="7" t="s">
        <v>259</v>
      </c>
      <c r="H46" s="77">
        <v>-3.3700000000000001E-2</v>
      </c>
      <c r="J46" s="75">
        <v>44199</v>
      </c>
      <c r="K46" s="76">
        <v>14690.7</v>
      </c>
      <c r="L46" s="76">
        <v>14702.5</v>
      </c>
      <c r="M46" s="76">
        <v>15336.3</v>
      </c>
      <c r="N46" s="76">
        <v>14264.4</v>
      </c>
      <c r="O46" s="7" t="s">
        <v>260</v>
      </c>
      <c r="P46" s="77">
        <v>1.11E-2</v>
      </c>
    </row>
    <row r="47" spans="2:16" ht="14.4">
      <c r="B47" s="75">
        <v>44198</v>
      </c>
      <c r="C47" s="76">
        <v>3798.7</v>
      </c>
      <c r="D47" s="76">
        <v>4064</v>
      </c>
      <c r="E47" s="76">
        <v>4361.3999999999996</v>
      </c>
      <c r="F47" s="76">
        <v>3773.05</v>
      </c>
      <c r="G47" s="7" t="s">
        <v>261</v>
      </c>
      <c r="H47" s="77">
        <v>-5.1700000000000003E-2</v>
      </c>
      <c r="J47" s="75">
        <v>44198</v>
      </c>
      <c r="K47" s="76">
        <v>14529.15</v>
      </c>
      <c r="L47" s="76">
        <v>13758.6</v>
      </c>
      <c r="M47" s="76">
        <v>15431.75</v>
      </c>
      <c r="N47" s="76">
        <v>13661.75</v>
      </c>
      <c r="O47" s="7" t="s">
        <v>262</v>
      </c>
      <c r="P47" s="77">
        <v>6.5600000000000006E-2</v>
      </c>
    </row>
    <row r="48" spans="2:16" ht="14.4">
      <c r="B48" s="75">
        <v>44197</v>
      </c>
      <c r="C48" s="76">
        <v>4005.8</v>
      </c>
      <c r="D48" s="76">
        <v>3446</v>
      </c>
      <c r="E48" s="76">
        <v>4236.6499999999996</v>
      </c>
      <c r="F48" s="76">
        <v>3428.25</v>
      </c>
      <c r="G48" s="7" t="s">
        <v>263</v>
      </c>
      <c r="H48" s="77">
        <v>0.16309999999999999</v>
      </c>
      <c r="J48" s="75">
        <v>44197</v>
      </c>
      <c r="K48" s="76">
        <v>13634.6</v>
      </c>
      <c r="L48" s="76">
        <v>13996.1</v>
      </c>
      <c r="M48" s="76">
        <v>14753.55</v>
      </c>
      <c r="N48" s="76">
        <v>13596.75</v>
      </c>
      <c r="O48" s="7" t="s">
        <v>264</v>
      </c>
      <c r="P48" s="77">
        <v>-2.4799999999999999E-2</v>
      </c>
    </row>
    <row r="49" spans="2:16" ht="14.4">
      <c r="B49" s="75">
        <v>43842</v>
      </c>
      <c r="C49" s="76">
        <v>3444.05</v>
      </c>
      <c r="D49" s="76">
        <v>3175.1</v>
      </c>
      <c r="E49" s="76">
        <v>3472.85</v>
      </c>
      <c r="F49" s="76">
        <v>3161</v>
      </c>
      <c r="G49" s="7" t="s">
        <v>265</v>
      </c>
      <c r="H49" s="77">
        <v>8.5199999999999998E-2</v>
      </c>
      <c r="J49" s="75">
        <v>43842</v>
      </c>
      <c r="K49" s="76">
        <v>13981.75</v>
      </c>
      <c r="L49" s="76">
        <v>13062.2</v>
      </c>
      <c r="M49" s="76">
        <v>14024.85</v>
      </c>
      <c r="N49" s="76">
        <v>12962.8</v>
      </c>
      <c r="O49" s="7" t="s">
        <v>266</v>
      </c>
      <c r="P49" s="77">
        <v>7.8100000000000003E-2</v>
      </c>
    </row>
    <row r="50" spans="2:16" ht="14.4">
      <c r="B50" s="75">
        <v>43841</v>
      </c>
      <c r="C50" s="76">
        <v>3173.55</v>
      </c>
      <c r="D50" s="76">
        <v>2918</v>
      </c>
      <c r="E50" s="76">
        <v>3249</v>
      </c>
      <c r="F50" s="76">
        <v>2822.45</v>
      </c>
      <c r="G50" s="7" t="s">
        <v>267</v>
      </c>
      <c r="H50" s="77">
        <v>9.9299999999999999E-2</v>
      </c>
      <c r="J50" s="75">
        <v>43841</v>
      </c>
      <c r="K50" s="76">
        <v>12968.95</v>
      </c>
      <c r="L50" s="76">
        <v>11697.35</v>
      </c>
      <c r="M50" s="76">
        <v>13145.85</v>
      </c>
      <c r="N50" s="76">
        <v>11557.4</v>
      </c>
      <c r="O50" s="7" t="s">
        <v>268</v>
      </c>
      <c r="P50" s="77">
        <v>0.1139</v>
      </c>
    </row>
    <row r="51" spans="2:16" ht="14.4">
      <c r="B51" s="75">
        <v>43840</v>
      </c>
      <c r="C51" s="76">
        <v>2886.9</v>
      </c>
      <c r="D51" s="76">
        <v>2940</v>
      </c>
      <c r="E51" s="76">
        <v>3130</v>
      </c>
      <c r="F51" s="76">
        <v>2853.05</v>
      </c>
      <c r="G51" s="7" t="s">
        <v>269</v>
      </c>
      <c r="H51" s="77">
        <v>2E-3</v>
      </c>
      <c r="J51" s="75">
        <v>43840</v>
      </c>
      <c r="K51" s="76">
        <v>11642.4</v>
      </c>
      <c r="L51" s="76">
        <v>11364.45</v>
      </c>
      <c r="M51" s="76">
        <v>12025.45</v>
      </c>
      <c r="N51" s="76">
        <v>11347.05</v>
      </c>
      <c r="O51" s="7" t="s">
        <v>270</v>
      </c>
      <c r="P51" s="77">
        <v>3.5099999999999999E-2</v>
      </c>
    </row>
    <row r="52" spans="2:16" ht="14.4">
      <c r="B52" s="75">
        <v>43839</v>
      </c>
      <c r="C52" s="76">
        <v>2881.1</v>
      </c>
      <c r="D52" s="76">
        <v>2947</v>
      </c>
      <c r="E52" s="76">
        <v>3070</v>
      </c>
      <c r="F52" s="76">
        <v>2830.05</v>
      </c>
      <c r="G52" s="7" t="s">
        <v>271</v>
      </c>
      <c r="H52" s="77">
        <v>-2.9000000000000001E-2</v>
      </c>
      <c r="J52" s="75">
        <v>43839</v>
      </c>
      <c r="K52" s="76">
        <v>11247.55</v>
      </c>
      <c r="L52" s="76">
        <v>11464.3</v>
      </c>
      <c r="M52" s="76">
        <v>11618.1</v>
      </c>
      <c r="N52" s="76">
        <v>10790.2</v>
      </c>
      <c r="O52" s="7" t="s">
        <v>272</v>
      </c>
      <c r="P52" s="77">
        <v>-1.23E-2</v>
      </c>
    </row>
    <row r="53" spans="2:16" ht="14.4">
      <c r="B53" s="75">
        <v>43838</v>
      </c>
      <c r="C53" s="76">
        <v>2967</v>
      </c>
      <c r="D53" s="76">
        <v>2990</v>
      </c>
      <c r="E53" s="76">
        <v>3159</v>
      </c>
      <c r="F53" s="76">
        <v>2910</v>
      </c>
      <c r="G53" s="7" t="s">
        <v>273</v>
      </c>
      <c r="H53" s="77">
        <v>-1.26E-2</v>
      </c>
      <c r="J53" s="75">
        <v>43838</v>
      </c>
      <c r="K53" s="76">
        <v>11387.5</v>
      </c>
      <c r="L53" s="76">
        <v>11057.55</v>
      </c>
      <c r="M53" s="76">
        <v>11794.25</v>
      </c>
      <c r="N53" s="76">
        <v>10882.25</v>
      </c>
      <c r="O53" s="7" t="s">
        <v>274</v>
      </c>
      <c r="P53" s="77">
        <v>2.8400000000000002E-2</v>
      </c>
    </row>
    <row r="54" spans="2:16" ht="14.4">
      <c r="B54" s="75">
        <v>43837</v>
      </c>
      <c r="C54" s="76">
        <v>3004.95</v>
      </c>
      <c r="D54" s="76">
        <v>2838.05</v>
      </c>
      <c r="E54" s="76">
        <v>3149</v>
      </c>
      <c r="F54" s="76">
        <v>2811.6</v>
      </c>
      <c r="G54" s="7" t="s">
        <v>275</v>
      </c>
      <c r="H54" s="77">
        <v>6.3299999999999995E-2</v>
      </c>
      <c r="J54" s="75">
        <v>43837</v>
      </c>
      <c r="K54" s="76">
        <v>11073.45</v>
      </c>
      <c r="L54" s="76">
        <v>10323.799999999999</v>
      </c>
      <c r="M54" s="76">
        <v>11341.4</v>
      </c>
      <c r="N54" s="76">
        <v>10299.6</v>
      </c>
      <c r="O54" s="7" t="s">
        <v>276</v>
      </c>
      <c r="P54" s="77">
        <v>7.4899999999999994E-2</v>
      </c>
    </row>
    <row r="55" spans="2:16" ht="14.4">
      <c r="B55" s="75">
        <v>43836</v>
      </c>
      <c r="C55" s="76">
        <v>2826.05</v>
      </c>
      <c r="D55" s="76">
        <v>2730</v>
      </c>
      <c r="E55" s="76">
        <v>2979.9</v>
      </c>
      <c r="F55" s="76">
        <v>2610.25</v>
      </c>
      <c r="G55" s="7" t="s">
        <v>277</v>
      </c>
      <c r="H55" s="77">
        <v>4.2599999999999999E-2</v>
      </c>
      <c r="J55" s="75">
        <v>43836</v>
      </c>
      <c r="K55" s="76">
        <v>10302.1</v>
      </c>
      <c r="L55" s="76">
        <v>9726.85</v>
      </c>
      <c r="M55" s="76">
        <v>10553.15</v>
      </c>
      <c r="N55" s="76">
        <v>9544.35</v>
      </c>
      <c r="O55" s="7" t="s">
        <v>278</v>
      </c>
      <c r="P55" s="77">
        <v>7.5300000000000006E-2</v>
      </c>
    </row>
    <row r="56" spans="2:16" ht="14.4">
      <c r="B56" s="75">
        <v>43835</v>
      </c>
      <c r="C56" s="76">
        <v>2710.5</v>
      </c>
      <c r="D56" s="76">
        <v>2550</v>
      </c>
      <c r="E56" s="76">
        <v>2774</v>
      </c>
      <c r="F56" s="76">
        <v>2361.3000000000002</v>
      </c>
      <c r="G56" s="7" t="s">
        <v>279</v>
      </c>
      <c r="H56" s="77">
        <v>3.32E-2</v>
      </c>
      <c r="J56" s="75">
        <v>43835</v>
      </c>
      <c r="K56" s="76">
        <v>9580.2999999999993</v>
      </c>
      <c r="L56" s="76">
        <v>9533.5</v>
      </c>
      <c r="M56" s="76">
        <v>9598.85</v>
      </c>
      <c r="N56" s="76">
        <v>8806.75</v>
      </c>
      <c r="O56" s="7" t="s">
        <v>280</v>
      </c>
      <c r="P56" s="77">
        <v>-2.8400000000000002E-2</v>
      </c>
    </row>
    <row r="57" spans="2:16" ht="14.4">
      <c r="B57" s="75">
        <v>43834</v>
      </c>
      <c r="C57" s="76">
        <v>2623.3</v>
      </c>
      <c r="D57" s="76">
        <v>2000</v>
      </c>
      <c r="E57" s="76">
        <v>2654</v>
      </c>
      <c r="F57" s="76">
        <v>1957.55</v>
      </c>
      <c r="G57" s="7" t="s">
        <v>281</v>
      </c>
      <c r="H57" s="77">
        <v>0.29720000000000002</v>
      </c>
      <c r="J57" s="75">
        <v>43834</v>
      </c>
      <c r="K57" s="76">
        <v>9859.9</v>
      </c>
      <c r="L57" s="76">
        <v>8584.1</v>
      </c>
      <c r="M57" s="76">
        <v>9889.0499999999993</v>
      </c>
      <c r="N57" s="76">
        <v>8055.8</v>
      </c>
      <c r="O57" s="7" t="s">
        <v>282</v>
      </c>
      <c r="P57" s="77">
        <v>0.14680000000000001</v>
      </c>
    </row>
    <row r="58" spans="2:16" ht="14.4">
      <c r="B58" s="75">
        <v>43833</v>
      </c>
      <c r="C58" s="76">
        <v>2022.35</v>
      </c>
      <c r="D58" s="76">
        <v>2920</v>
      </c>
      <c r="E58" s="76">
        <v>2944.5</v>
      </c>
      <c r="F58" s="76">
        <v>1788.65</v>
      </c>
      <c r="G58" s="7" t="s">
        <v>283</v>
      </c>
      <c r="H58" s="77">
        <v>-0.30020000000000002</v>
      </c>
      <c r="J58" s="75">
        <v>43833</v>
      </c>
      <c r="K58" s="76">
        <v>8597.75</v>
      </c>
      <c r="L58" s="76">
        <v>11387.35</v>
      </c>
      <c r="M58" s="76">
        <v>11433</v>
      </c>
      <c r="N58" s="76">
        <v>7511.1</v>
      </c>
      <c r="O58" s="7" t="s">
        <v>284</v>
      </c>
      <c r="P58" s="77">
        <v>-0.23250000000000001</v>
      </c>
    </row>
    <row r="59" spans="2:16" ht="14.4">
      <c r="B59" s="75">
        <v>43832</v>
      </c>
      <c r="C59" s="76">
        <v>2890</v>
      </c>
      <c r="D59" s="76">
        <v>3173.6</v>
      </c>
      <c r="E59" s="76">
        <v>3315.15</v>
      </c>
      <c r="F59" s="76">
        <v>2850.45</v>
      </c>
      <c r="G59" s="7" t="s">
        <v>285</v>
      </c>
      <c r="H59" s="77">
        <v>-9.1200000000000003E-2</v>
      </c>
      <c r="J59" s="75">
        <v>43832</v>
      </c>
      <c r="K59" s="76">
        <v>11201.75</v>
      </c>
      <c r="L59" s="76">
        <v>11939</v>
      </c>
      <c r="M59" s="76">
        <v>12246.7</v>
      </c>
      <c r="N59" s="76">
        <v>11175.05</v>
      </c>
      <c r="O59" s="7" t="s">
        <v>286</v>
      </c>
      <c r="P59" s="77">
        <v>-6.3600000000000004E-2</v>
      </c>
    </row>
    <row r="60" spans="2:16" ht="14.4">
      <c r="B60" s="75">
        <v>43831</v>
      </c>
      <c r="C60" s="76">
        <v>3180.05</v>
      </c>
      <c r="D60" s="76">
        <v>3183</v>
      </c>
      <c r="E60" s="76">
        <v>3239.95</v>
      </c>
      <c r="F60" s="76">
        <v>3000</v>
      </c>
      <c r="G60" s="7" t="s">
        <v>287</v>
      </c>
      <c r="H60" s="77">
        <v>-1.6000000000000001E-3</v>
      </c>
      <c r="J60" s="75">
        <v>43831</v>
      </c>
      <c r="K60" s="76">
        <v>11962.1</v>
      </c>
      <c r="L60" s="76">
        <v>12202.15</v>
      </c>
      <c r="M60" s="76">
        <v>12430.5</v>
      </c>
      <c r="N60" s="76">
        <v>11929.6</v>
      </c>
      <c r="O60" s="7" t="s">
        <v>288</v>
      </c>
      <c r="P60" s="77">
        <v>-1.7000000000000001E-2</v>
      </c>
    </row>
    <row r="61" spans="2:16" ht="14.4">
      <c r="B61" s="75">
        <v>43477</v>
      </c>
      <c r="C61" s="76">
        <v>3185</v>
      </c>
      <c r="D61" s="76">
        <v>3163.1</v>
      </c>
      <c r="E61" s="76">
        <v>3286.4</v>
      </c>
      <c r="F61" s="76">
        <v>3142.05</v>
      </c>
      <c r="G61" s="7" t="s">
        <v>289</v>
      </c>
      <c r="H61" s="77">
        <v>2.8E-3</v>
      </c>
      <c r="J61" s="75">
        <v>43477</v>
      </c>
      <c r="K61" s="76">
        <v>12168.45</v>
      </c>
      <c r="L61" s="76">
        <v>12137.05</v>
      </c>
      <c r="M61" s="76">
        <v>12293.9</v>
      </c>
      <c r="N61" s="76">
        <v>11832.3</v>
      </c>
      <c r="O61" s="7" t="s">
        <v>290</v>
      </c>
      <c r="P61" s="77">
        <v>9.2999999999999992E-3</v>
      </c>
    </row>
    <row r="62" spans="2:16" ht="14.4">
      <c r="B62" s="75">
        <v>43476</v>
      </c>
      <c r="C62" s="76">
        <v>3176</v>
      </c>
      <c r="D62" s="76">
        <v>3250</v>
      </c>
      <c r="E62" s="76">
        <v>3289</v>
      </c>
      <c r="F62" s="76">
        <v>3105.2</v>
      </c>
      <c r="G62" s="7" t="s">
        <v>177</v>
      </c>
      <c r="H62" s="77">
        <v>-2.1999999999999999E-2</v>
      </c>
      <c r="J62" s="75">
        <v>43476</v>
      </c>
      <c r="K62" s="76">
        <v>12056.05</v>
      </c>
      <c r="L62" s="76">
        <v>11886.6</v>
      </c>
      <c r="M62" s="76">
        <v>12158.8</v>
      </c>
      <c r="N62" s="76">
        <v>11802.65</v>
      </c>
      <c r="O62" s="7" t="s">
        <v>291</v>
      </c>
      <c r="P62" s="77">
        <v>1.4999999999999999E-2</v>
      </c>
    </row>
    <row r="63" spans="2:16" ht="14.4">
      <c r="B63" s="75">
        <v>43475</v>
      </c>
      <c r="C63" s="76">
        <v>3247.35</v>
      </c>
      <c r="D63" s="76">
        <v>2945</v>
      </c>
      <c r="E63" s="76">
        <v>3255</v>
      </c>
      <c r="F63" s="76">
        <v>2854.95</v>
      </c>
      <c r="G63" s="7" t="s">
        <v>292</v>
      </c>
      <c r="H63" s="77">
        <v>0.10390000000000001</v>
      </c>
      <c r="J63" s="75">
        <v>43475</v>
      </c>
      <c r="K63" s="76">
        <v>11877.45</v>
      </c>
      <c r="L63" s="76">
        <v>11515.4</v>
      </c>
      <c r="M63" s="76">
        <v>11945</v>
      </c>
      <c r="N63" s="76">
        <v>11090.15</v>
      </c>
      <c r="O63" s="7" t="s">
        <v>293</v>
      </c>
      <c r="P63" s="77">
        <v>3.5099999999999999E-2</v>
      </c>
    </row>
    <row r="64" spans="2:16" ht="13.2">
      <c r="G64" s="3" t="s">
        <v>294</v>
      </c>
      <c r="H64" s="56">
        <f>AVERAGE(H4:H63)</f>
        <v>2.5648333333333325E-2</v>
      </c>
      <c r="P64" s="56">
        <f>AVERAGE(P4:P63)</f>
        <v>1.441333333333333E-2</v>
      </c>
    </row>
    <row r="65" spans="7:16" ht="13.2">
      <c r="G65" s="3" t="s">
        <v>295</v>
      </c>
      <c r="H65" s="56">
        <f>(1+H64)^12-1</f>
        <v>0.35513244576502245</v>
      </c>
      <c r="I65" s="56"/>
      <c r="J65" s="56"/>
      <c r="K65" s="56"/>
      <c r="L65" s="56"/>
      <c r="M65" s="56"/>
      <c r="N65" s="56"/>
      <c r="O65" s="56"/>
      <c r="P65" s="56">
        <f>(1+P64)^12-1</f>
        <v>0.18735172275260226</v>
      </c>
    </row>
  </sheetData>
  <mergeCells count="2">
    <mergeCell ref="B2:H2"/>
    <mergeCell ref="J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R252"/>
  <sheetViews>
    <sheetView workbookViewId="0"/>
  </sheetViews>
  <sheetFormatPr defaultColWidth="12.6640625" defaultRowHeight="15.75" customHeight="1"/>
  <cols>
    <col min="7" max="7" width="15.44140625" customWidth="1"/>
    <col min="8" max="8" width="21" customWidth="1"/>
    <col min="17" max="17" width="16.109375" customWidth="1"/>
    <col min="18" max="18" width="16" customWidth="1"/>
  </cols>
  <sheetData>
    <row r="2" spans="1:17">
      <c r="A2" s="226" t="s">
        <v>296</v>
      </c>
      <c r="B2" s="216"/>
      <c r="C2" s="216"/>
      <c r="D2" s="216"/>
      <c r="E2" s="216"/>
      <c r="F2" s="216"/>
      <c r="G2" s="216"/>
      <c r="J2" s="226" t="s">
        <v>297</v>
      </c>
      <c r="K2" s="216"/>
      <c r="L2" s="216"/>
      <c r="M2" s="216"/>
      <c r="N2" s="216"/>
      <c r="O2" s="216"/>
      <c r="P2" s="216"/>
      <c r="Q2" s="74"/>
    </row>
    <row r="3" spans="1:17" ht="15.75" customHeight="1">
      <c r="A3" s="7" t="s">
        <v>168</v>
      </c>
      <c r="B3" s="7" t="s">
        <v>170</v>
      </c>
      <c r="C3" s="7" t="s">
        <v>171</v>
      </c>
      <c r="D3" s="7" t="s">
        <v>172</v>
      </c>
      <c r="E3" s="7" t="s">
        <v>298</v>
      </c>
      <c r="F3" s="7" t="s">
        <v>299</v>
      </c>
      <c r="G3" s="7" t="s">
        <v>300</v>
      </c>
      <c r="H3" s="3" t="s">
        <v>301</v>
      </c>
      <c r="J3" s="7" t="s">
        <v>168</v>
      </c>
      <c r="K3" s="7" t="s">
        <v>170</v>
      </c>
      <c r="L3" s="7" t="s">
        <v>171</v>
      </c>
      <c r="M3" s="7" t="s">
        <v>172</v>
      </c>
      <c r="N3" s="7" t="s">
        <v>298</v>
      </c>
      <c r="O3" s="7" t="s">
        <v>302</v>
      </c>
      <c r="P3" s="7" t="s">
        <v>303</v>
      </c>
      <c r="Q3" s="7" t="s">
        <v>301</v>
      </c>
    </row>
    <row r="4" spans="1:17" ht="15.75" customHeight="1">
      <c r="A4" s="75">
        <v>45086</v>
      </c>
      <c r="B4" s="78">
        <v>4701.5</v>
      </c>
      <c r="C4" s="78">
        <v>4710</v>
      </c>
      <c r="D4" s="78">
        <v>4666.7</v>
      </c>
      <c r="E4" s="78">
        <v>4683.8</v>
      </c>
      <c r="F4" s="78">
        <v>4646.04</v>
      </c>
      <c r="G4" s="78">
        <v>224928</v>
      </c>
      <c r="J4" s="79">
        <v>45175</v>
      </c>
      <c r="K4" s="78">
        <v>19581.2</v>
      </c>
      <c r="L4" s="78">
        <v>19636.45</v>
      </c>
      <c r="M4" s="78">
        <v>19491.5</v>
      </c>
      <c r="N4" s="78">
        <v>19611.05</v>
      </c>
      <c r="O4" s="80">
        <v>513000000</v>
      </c>
      <c r="P4" s="80">
        <v>32500.52</v>
      </c>
      <c r="Q4" s="78"/>
    </row>
    <row r="5" spans="1:17" ht="15.75" customHeight="1">
      <c r="A5" s="75">
        <v>45116</v>
      </c>
      <c r="B5" s="78">
        <v>4679</v>
      </c>
      <c r="C5" s="78">
        <v>4725</v>
      </c>
      <c r="D5" s="78">
        <v>4655</v>
      </c>
      <c r="E5" s="78">
        <v>4717.2</v>
      </c>
      <c r="F5" s="78">
        <v>4679.1710000000003</v>
      </c>
      <c r="G5" s="78">
        <v>319934</v>
      </c>
      <c r="H5" s="3">
        <f t="shared" ref="H5:H246" si="0">(E5-E4)/E4</f>
        <v>7.1309620393696649E-3</v>
      </c>
      <c r="J5" s="79">
        <v>45176</v>
      </c>
      <c r="K5" s="78">
        <v>19598.650000000001</v>
      </c>
      <c r="L5" s="78">
        <v>19737</v>
      </c>
      <c r="M5" s="78">
        <v>19550.05</v>
      </c>
      <c r="N5" s="78">
        <v>19727.05</v>
      </c>
      <c r="O5" s="80">
        <v>305000000</v>
      </c>
      <c r="P5" s="80">
        <v>23591</v>
      </c>
      <c r="Q5" s="78">
        <f t="shared" ref="Q5:Q246" si="1">(N5-N4)/N4</f>
        <v>5.9150325964188559E-3</v>
      </c>
    </row>
    <row r="6" spans="1:17" ht="15.75" customHeight="1">
      <c r="A6" s="75">
        <v>45147</v>
      </c>
      <c r="B6" s="78">
        <v>4717.2</v>
      </c>
      <c r="C6" s="78">
        <v>4784.6000000000004</v>
      </c>
      <c r="D6" s="78">
        <v>4702.7</v>
      </c>
      <c r="E6" s="78">
        <v>4759.55</v>
      </c>
      <c r="F6" s="78">
        <v>4721.1790000000001</v>
      </c>
      <c r="G6" s="78">
        <v>209769</v>
      </c>
      <c r="H6" s="3">
        <f t="shared" si="0"/>
        <v>8.9777834308488857E-3</v>
      </c>
      <c r="J6" s="79">
        <v>45177</v>
      </c>
      <c r="K6" s="78">
        <v>19774.8</v>
      </c>
      <c r="L6" s="78">
        <v>19867.150000000001</v>
      </c>
      <c r="M6" s="78">
        <v>19728.05</v>
      </c>
      <c r="N6" s="78">
        <v>19819.95</v>
      </c>
      <c r="O6" s="80">
        <v>288000000</v>
      </c>
      <c r="P6" s="80">
        <v>23530.84</v>
      </c>
      <c r="Q6" s="78">
        <f t="shared" si="1"/>
        <v>4.709269759036524E-3</v>
      </c>
    </row>
    <row r="7" spans="1:17" ht="15.75" customHeight="1">
      <c r="A7" s="75">
        <v>45239</v>
      </c>
      <c r="B7" s="78">
        <v>4779</v>
      </c>
      <c r="C7" s="78">
        <v>4810</v>
      </c>
      <c r="D7" s="78">
        <v>4763</v>
      </c>
      <c r="E7" s="78">
        <v>4806.3999999999996</v>
      </c>
      <c r="F7" s="78">
        <v>4767.652</v>
      </c>
      <c r="G7" s="78">
        <v>151600</v>
      </c>
      <c r="H7" s="3">
        <f t="shared" si="0"/>
        <v>9.8433675452510114E-3</v>
      </c>
      <c r="J7" s="81">
        <v>45180</v>
      </c>
      <c r="K7" s="78">
        <v>19890</v>
      </c>
      <c r="L7" s="78">
        <v>20008.150000000001</v>
      </c>
      <c r="M7" s="78">
        <v>19865.349999999999</v>
      </c>
      <c r="N7" s="78">
        <v>19996.349999999999</v>
      </c>
      <c r="O7" s="80">
        <v>249000000</v>
      </c>
      <c r="P7" s="80">
        <v>21924.34</v>
      </c>
      <c r="Q7" s="78">
        <f t="shared" si="1"/>
        <v>8.9001233605532706E-3</v>
      </c>
    </row>
    <row r="8" spans="1:17" ht="15.75" customHeight="1">
      <c r="A8" s="75">
        <v>45269</v>
      </c>
      <c r="B8" s="78">
        <v>4843.95</v>
      </c>
      <c r="C8" s="78">
        <v>4849.8500000000004</v>
      </c>
      <c r="D8" s="78">
        <v>4762.6000000000004</v>
      </c>
      <c r="E8" s="78">
        <v>4820.6000000000004</v>
      </c>
      <c r="F8" s="78">
        <v>4781.7370000000001</v>
      </c>
      <c r="G8" s="78">
        <v>305478</v>
      </c>
      <c r="H8" s="3">
        <f t="shared" si="0"/>
        <v>2.9543941411452916E-3</v>
      </c>
      <c r="J8" s="81">
        <v>45181</v>
      </c>
      <c r="K8" s="78">
        <v>20110.150000000001</v>
      </c>
      <c r="L8" s="78">
        <v>20110.349999999999</v>
      </c>
      <c r="M8" s="78">
        <v>19914.650000000001</v>
      </c>
      <c r="N8" s="78">
        <v>19993.2</v>
      </c>
      <c r="O8" s="80">
        <v>328000000</v>
      </c>
      <c r="P8" s="80">
        <v>30110.799999999999</v>
      </c>
      <c r="Q8" s="78">
        <f t="shared" si="1"/>
        <v>-1.5752874899658276E-4</v>
      </c>
    </row>
    <row r="9" spans="1:17" ht="15.75" customHeight="1">
      <c r="A9" s="78" t="s">
        <v>304</v>
      </c>
      <c r="B9" s="78">
        <v>4820</v>
      </c>
      <c r="C9" s="78">
        <v>4843</v>
      </c>
      <c r="D9" s="78">
        <v>4800.25</v>
      </c>
      <c r="E9" s="78">
        <v>4808.3</v>
      </c>
      <c r="F9" s="78">
        <v>4769.5370000000003</v>
      </c>
      <c r="G9" s="78">
        <v>207142</v>
      </c>
      <c r="H9" s="3">
        <f t="shared" si="0"/>
        <v>-2.5515495996349378E-3</v>
      </c>
      <c r="J9" s="81">
        <v>45182</v>
      </c>
      <c r="K9" s="78">
        <v>19989.5</v>
      </c>
      <c r="L9" s="78">
        <v>20096.900000000001</v>
      </c>
      <c r="M9" s="78">
        <v>19944.099999999999</v>
      </c>
      <c r="N9" s="78">
        <v>20070</v>
      </c>
      <c r="O9" s="80">
        <v>251000000</v>
      </c>
      <c r="P9" s="80">
        <v>24332.36</v>
      </c>
      <c r="Q9" s="78">
        <f t="shared" si="1"/>
        <v>3.841306044054942E-3</v>
      </c>
    </row>
    <row r="10" spans="1:17" ht="15.75" customHeight="1">
      <c r="A10" s="78" t="s">
        <v>305</v>
      </c>
      <c r="B10" s="78">
        <v>4814.95</v>
      </c>
      <c r="C10" s="78">
        <v>4858</v>
      </c>
      <c r="D10" s="78">
        <v>4787.55</v>
      </c>
      <c r="E10" s="78">
        <v>4844.5</v>
      </c>
      <c r="F10" s="78">
        <v>4805.4449999999997</v>
      </c>
      <c r="G10" s="78">
        <v>249498</v>
      </c>
      <c r="H10" s="3">
        <f t="shared" si="0"/>
        <v>7.5286483788448762E-3</v>
      </c>
      <c r="J10" s="81">
        <v>45183</v>
      </c>
      <c r="K10" s="78">
        <v>20127.95</v>
      </c>
      <c r="L10" s="78">
        <v>20167.650000000001</v>
      </c>
      <c r="M10" s="78">
        <v>20043.45</v>
      </c>
      <c r="N10" s="78">
        <v>20103.099999999999</v>
      </c>
      <c r="O10" s="80">
        <v>275000000</v>
      </c>
      <c r="P10" s="80">
        <v>21902.65</v>
      </c>
      <c r="Q10" s="78">
        <f t="shared" si="1"/>
        <v>1.6492277030392898E-3</v>
      </c>
    </row>
    <row r="11" spans="1:17" ht="15.75" customHeight="1">
      <c r="A11" s="78" t="s">
        <v>306</v>
      </c>
      <c r="B11" s="78">
        <v>4894.8999999999996</v>
      </c>
      <c r="C11" s="78">
        <v>5149</v>
      </c>
      <c r="D11" s="78">
        <v>4893</v>
      </c>
      <c r="E11" s="78">
        <v>5130.5</v>
      </c>
      <c r="F11" s="78">
        <v>5089.1390000000001</v>
      </c>
      <c r="G11" s="78">
        <v>1689829</v>
      </c>
      <c r="H11" s="3">
        <f t="shared" si="0"/>
        <v>5.903602022912581E-2</v>
      </c>
      <c r="J11" s="81">
        <v>45184</v>
      </c>
      <c r="K11" s="78">
        <v>20156.45</v>
      </c>
      <c r="L11" s="78">
        <v>20222.45</v>
      </c>
      <c r="M11" s="78">
        <v>20129.7</v>
      </c>
      <c r="N11" s="78">
        <v>20192.349999999999</v>
      </c>
      <c r="O11" s="80">
        <v>438000000</v>
      </c>
      <c r="P11" s="80">
        <v>42681.35</v>
      </c>
      <c r="Q11" s="78">
        <f t="shared" si="1"/>
        <v>4.4396137909078698E-3</v>
      </c>
    </row>
    <row r="12" spans="1:17" ht="15.75" customHeight="1">
      <c r="A12" s="78" t="s">
        <v>307</v>
      </c>
      <c r="B12" s="78">
        <v>5124</v>
      </c>
      <c r="C12" s="78">
        <v>5274.9</v>
      </c>
      <c r="D12" s="78">
        <v>5094.25</v>
      </c>
      <c r="E12" s="78">
        <v>5176.6499999999996</v>
      </c>
      <c r="F12" s="78">
        <v>5134.9170000000004</v>
      </c>
      <c r="G12" s="78">
        <v>804973</v>
      </c>
      <c r="H12" s="3">
        <f t="shared" si="0"/>
        <v>8.9952246369748821E-3</v>
      </c>
      <c r="J12" s="81">
        <v>45187</v>
      </c>
      <c r="K12" s="78">
        <v>20155.95</v>
      </c>
      <c r="L12" s="78">
        <v>20195.349999999999</v>
      </c>
      <c r="M12" s="78">
        <v>20115.7</v>
      </c>
      <c r="N12" s="78">
        <v>20133.3</v>
      </c>
      <c r="O12" s="80">
        <v>265000000</v>
      </c>
      <c r="P12" s="80">
        <v>21135.95</v>
      </c>
      <c r="Q12" s="78">
        <f t="shared" si="1"/>
        <v>-2.9243748251193782E-3</v>
      </c>
    </row>
    <row r="13" spans="1:17" ht="15.75" customHeight="1">
      <c r="A13" s="78" t="s">
        <v>308</v>
      </c>
      <c r="B13" s="78">
        <v>5176</v>
      </c>
      <c r="C13" s="78">
        <v>5263.35</v>
      </c>
      <c r="D13" s="78">
        <v>5166.1000000000004</v>
      </c>
      <c r="E13" s="78">
        <v>5182.95</v>
      </c>
      <c r="F13" s="78">
        <v>5141.1670000000004</v>
      </c>
      <c r="G13" s="78">
        <v>622924</v>
      </c>
      <c r="H13" s="3">
        <f t="shared" si="0"/>
        <v>1.2170032743183685E-3</v>
      </c>
      <c r="J13" s="81">
        <v>45189</v>
      </c>
      <c r="K13" s="78">
        <v>19980.75</v>
      </c>
      <c r="L13" s="78">
        <v>20050.650000000001</v>
      </c>
      <c r="M13" s="78">
        <v>19878.849999999999</v>
      </c>
      <c r="N13" s="78">
        <v>19901.400000000001</v>
      </c>
      <c r="O13" s="80">
        <v>378000000</v>
      </c>
      <c r="P13" s="80">
        <v>37351.58</v>
      </c>
      <c r="Q13" s="78">
        <f t="shared" si="1"/>
        <v>-1.1518230990448552E-2</v>
      </c>
    </row>
    <row r="14" spans="1:17" ht="15.75" customHeight="1">
      <c r="A14" s="78" t="s">
        <v>309</v>
      </c>
      <c r="B14" s="78">
        <v>5168</v>
      </c>
      <c r="C14" s="78">
        <v>5185.55</v>
      </c>
      <c r="D14" s="78">
        <v>5073.1000000000004</v>
      </c>
      <c r="E14" s="78">
        <v>5085.2</v>
      </c>
      <c r="F14" s="78">
        <v>5044.2049999999999</v>
      </c>
      <c r="G14" s="78">
        <v>640829</v>
      </c>
      <c r="H14" s="3">
        <f t="shared" si="0"/>
        <v>-1.8859915685082822E-2</v>
      </c>
      <c r="J14" s="81">
        <v>45190</v>
      </c>
      <c r="K14" s="78">
        <v>19840.55</v>
      </c>
      <c r="L14" s="78">
        <v>19848.75</v>
      </c>
      <c r="M14" s="78">
        <v>19709.95</v>
      </c>
      <c r="N14" s="78">
        <v>19742.349999999999</v>
      </c>
      <c r="O14" s="80">
        <v>275000000</v>
      </c>
      <c r="P14" s="80">
        <v>26711.83</v>
      </c>
      <c r="Q14" s="78">
        <f t="shared" si="1"/>
        <v>-7.9919000673320927E-3</v>
      </c>
    </row>
    <row r="15" spans="1:17" ht="15.75" customHeight="1">
      <c r="A15" s="78" t="s">
        <v>310</v>
      </c>
      <c r="B15" s="78">
        <v>5051</v>
      </c>
      <c r="C15" s="78">
        <v>5084.1499999999996</v>
      </c>
      <c r="D15" s="78">
        <v>4996.2</v>
      </c>
      <c r="E15" s="78">
        <v>5001.05</v>
      </c>
      <c r="F15" s="78">
        <v>4960.732</v>
      </c>
      <c r="G15" s="78">
        <v>498375</v>
      </c>
      <c r="H15" s="3">
        <f t="shared" si="0"/>
        <v>-1.6548021710060496E-2</v>
      </c>
      <c r="J15" s="81">
        <v>45191</v>
      </c>
      <c r="K15" s="78">
        <v>19744.849999999999</v>
      </c>
      <c r="L15" s="78">
        <v>19798.650000000001</v>
      </c>
      <c r="M15" s="78">
        <v>19657.5</v>
      </c>
      <c r="N15" s="78">
        <v>19674.25</v>
      </c>
      <c r="O15" s="80">
        <v>246000000</v>
      </c>
      <c r="P15" s="80">
        <v>24137.57</v>
      </c>
      <c r="Q15" s="78">
        <f t="shared" si="1"/>
        <v>-3.449437377009249E-3</v>
      </c>
    </row>
    <row r="16" spans="1:17" ht="15.75" customHeight="1">
      <c r="A16" s="78" t="s">
        <v>311</v>
      </c>
      <c r="B16" s="78">
        <v>5000</v>
      </c>
      <c r="C16" s="78">
        <v>5060.1499999999996</v>
      </c>
      <c r="D16" s="78">
        <v>4992.8500000000004</v>
      </c>
      <c r="E16" s="78">
        <v>5005.45</v>
      </c>
      <c r="F16" s="78">
        <v>4965.098</v>
      </c>
      <c r="G16" s="78">
        <v>539731</v>
      </c>
      <c r="H16" s="3">
        <f t="shared" si="0"/>
        <v>8.7981523879977926E-4</v>
      </c>
      <c r="J16" s="81">
        <v>45194</v>
      </c>
      <c r="K16" s="78">
        <v>19678.2</v>
      </c>
      <c r="L16" s="78">
        <v>19734.150000000001</v>
      </c>
      <c r="M16" s="78">
        <v>19601.55</v>
      </c>
      <c r="N16" s="78">
        <v>19674.55</v>
      </c>
      <c r="O16" s="80">
        <v>188000000</v>
      </c>
      <c r="P16" s="80">
        <v>20194.48</v>
      </c>
      <c r="Q16" s="78">
        <f t="shared" si="1"/>
        <v>1.5248357624777179E-5</v>
      </c>
    </row>
    <row r="17" spans="1:17" ht="15.75" customHeight="1">
      <c r="A17" s="78" t="s">
        <v>312</v>
      </c>
      <c r="B17" s="78">
        <v>5011</v>
      </c>
      <c r="C17" s="78">
        <v>5102.95</v>
      </c>
      <c r="D17" s="78">
        <v>5000.1499999999996</v>
      </c>
      <c r="E17" s="78">
        <v>5069.2</v>
      </c>
      <c r="F17" s="78">
        <v>5028.3329999999996</v>
      </c>
      <c r="G17" s="78">
        <v>450923</v>
      </c>
      <c r="H17" s="3">
        <f t="shared" si="0"/>
        <v>1.2736117631781358E-2</v>
      </c>
      <c r="J17" s="81">
        <v>45195</v>
      </c>
      <c r="K17" s="78">
        <v>19682.8</v>
      </c>
      <c r="L17" s="78">
        <v>19699.349999999999</v>
      </c>
      <c r="M17" s="78">
        <v>19637.45</v>
      </c>
      <c r="N17" s="78">
        <v>19664.7</v>
      </c>
      <c r="O17" s="80">
        <v>205000000</v>
      </c>
      <c r="P17" s="80">
        <v>18118.189999999999</v>
      </c>
      <c r="Q17" s="78">
        <f t="shared" si="1"/>
        <v>-5.0064677464026089E-4</v>
      </c>
    </row>
    <row r="18" spans="1:17" ht="15.75" customHeight="1">
      <c r="A18" s="78" t="s">
        <v>313</v>
      </c>
      <c r="B18" s="78">
        <v>5065.2</v>
      </c>
      <c r="C18" s="78">
        <v>5067.55</v>
      </c>
      <c r="D18" s="78">
        <v>5018</v>
      </c>
      <c r="E18" s="78">
        <v>5032.95</v>
      </c>
      <c r="F18" s="78">
        <v>4992.375</v>
      </c>
      <c r="G18" s="78">
        <v>257406</v>
      </c>
      <c r="H18" s="3">
        <f t="shared" si="0"/>
        <v>-7.1510297482837533E-3</v>
      </c>
      <c r="J18" s="81">
        <v>45196</v>
      </c>
      <c r="K18" s="78">
        <v>19637.05</v>
      </c>
      <c r="L18" s="78">
        <v>19730.7</v>
      </c>
      <c r="M18" s="78">
        <v>19554</v>
      </c>
      <c r="N18" s="78">
        <v>19716.45</v>
      </c>
      <c r="O18" s="80">
        <v>204000000</v>
      </c>
      <c r="P18" s="80">
        <v>19659.169999999998</v>
      </c>
      <c r="Q18" s="78">
        <f t="shared" si="1"/>
        <v>2.6316190941128009E-3</v>
      </c>
    </row>
    <row r="19" spans="1:17" ht="15.75" customHeight="1">
      <c r="A19" s="78" t="s">
        <v>314</v>
      </c>
      <c r="B19" s="78">
        <v>5047.8</v>
      </c>
      <c r="C19" s="78">
        <v>5128.8500000000004</v>
      </c>
      <c r="D19" s="78">
        <v>4980.1499999999996</v>
      </c>
      <c r="E19" s="78">
        <v>5006.6000000000004</v>
      </c>
      <c r="F19" s="78">
        <v>4966.2380000000003</v>
      </c>
      <c r="G19" s="78">
        <v>580065</v>
      </c>
      <c r="H19" s="3">
        <f t="shared" si="0"/>
        <v>-5.235498067733527E-3</v>
      </c>
      <c r="J19" s="81">
        <v>45197</v>
      </c>
      <c r="K19" s="78">
        <v>19761.8</v>
      </c>
      <c r="L19" s="78">
        <v>19766.650000000001</v>
      </c>
      <c r="M19" s="78">
        <v>19492.099999999999</v>
      </c>
      <c r="N19" s="78">
        <v>19523.55</v>
      </c>
      <c r="O19" s="80">
        <v>353000000</v>
      </c>
      <c r="P19" s="80">
        <v>30069.78</v>
      </c>
      <c r="Q19" s="78">
        <f t="shared" si="1"/>
        <v>-9.7837085276508418E-3</v>
      </c>
    </row>
    <row r="20" spans="1:17" ht="15.75" customHeight="1">
      <c r="A20" s="78" t="s">
        <v>315</v>
      </c>
      <c r="B20" s="78">
        <v>5029</v>
      </c>
      <c r="C20" s="78">
        <v>5082.5</v>
      </c>
      <c r="D20" s="78">
        <v>5004.8999999999996</v>
      </c>
      <c r="E20" s="78">
        <v>5063.7</v>
      </c>
      <c r="F20" s="78">
        <v>5022.8779999999997</v>
      </c>
      <c r="G20" s="78">
        <v>248079</v>
      </c>
      <c r="H20" s="3">
        <f t="shared" si="0"/>
        <v>1.1404945471976881E-2</v>
      </c>
      <c r="J20" s="81">
        <v>45198</v>
      </c>
      <c r="K20" s="78">
        <v>19581.2</v>
      </c>
      <c r="L20" s="78">
        <v>19726.25</v>
      </c>
      <c r="M20" s="78">
        <v>19551.05</v>
      </c>
      <c r="N20" s="78">
        <v>19638.3</v>
      </c>
      <c r="O20" s="80">
        <v>244000000</v>
      </c>
      <c r="P20" s="80">
        <v>20978.720000000001</v>
      </c>
      <c r="Q20" s="78">
        <f t="shared" si="1"/>
        <v>5.8775171523621477E-3</v>
      </c>
    </row>
    <row r="21" spans="1:17" ht="15.75" customHeight="1">
      <c r="A21" s="75">
        <v>44995</v>
      </c>
      <c r="B21" s="78">
        <v>5065</v>
      </c>
      <c r="C21" s="78">
        <v>5073</v>
      </c>
      <c r="D21" s="78">
        <v>4997.1000000000004</v>
      </c>
      <c r="E21" s="78">
        <v>5016.45</v>
      </c>
      <c r="F21" s="78">
        <v>4976.009</v>
      </c>
      <c r="G21" s="78">
        <v>464531</v>
      </c>
      <c r="H21" s="3">
        <f t="shared" si="0"/>
        <v>-9.3311215119379117E-3</v>
      </c>
      <c r="J21" s="79">
        <v>45202</v>
      </c>
      <c r="K21" s="78">
        <v>19622.400000000001</v>
      </c>
      <c r="L21" s="78">
        <v>19623.2</v>
      </c>
      <c r="M21" s="78">
        <v>19479.650000000001</v>
      </c>
      <c r="N21" s="78">
        <v>19528.75</v>
      </c>
      <c r="O21" s="80">
        <v>222000000</v>
      </c>
      <c r="P21" s="80">
        <v>21459.58</v>
      </c>
      <c r="Q21" s="78">
        <f t="shared" si="1"/>
        <v>-5.578385094432781E-3</v>
      </c>
    </row>
    <row r="22" spans="1:17" ht="15.75" customHeight="1">
      <c r="A22" s="75">
        <v>45026</v>
      </c>
      <c r="B22" s="78">
        <v>5011.25</v>
      </c>
      <c r="C22" s="78">
        <v>5019.2</v>
      </c>
      <c r="D22" s="78">
        <v>4903.05</v>
      </c>
      <c r="E22" s="78">
        <v>4918.6000000000004</v>
      </c>
      <c r="F22" s="78">
        <v>4878.9470000000001</v>
      </c>
      <c r="G22" s="78">
        <v>256544</v>
      </c>
      <c r="H22" s="3">
        <f t="shared" si="0"/>
        <v>-1.9505825833009291E-2</v>
      </c>
      <c r="J22" s="79">
        <v>45203</v>
      </c>
      <c r="K22" s="78">
        <v>19446.3</v>
      </c>
      <c r="L22" s="78">
        <v>19457.8</v>
      </c>
      <c r="M22" s="78">
        <v>19333.599999999999</v>
      </c>
      <c r="N22" s="78">
        <v>19436.099999999999</v>
      </c>
      <c r="O22" s="80">
        <v>277000000</v>
      </c>
      <c r="P22" s="80">
        <v>26017.47</v>
      </c>
      <c r="Q22" s="78">
        <f t="shared" si="1"/>
        <v>-4.744287268770477E-3</v>
      </c>
    </row>
    <row r="23" spans="1:17" ht="15.75" customHeight="1">
      <c r="A23" s="75">
        <v>45056</v>
      </c>
      <c r="B23" s="78">
        <v>4935</v>
      </c>
      <c r="C23" s="78">
        <v>5039.3</v>
      </c>
      <c r="D23" s="78">
        <v>4925.1000000000004</v>
      </c>
      <c r="E23" s="78">
        <v>5011.05</v>
      </c>
      <c r="F23" s="78">
        <v>4970.652</v>
      </c>
      <c r="G23" s="78">
        <v>657876</v>
      </c>
      <c r="H23" s="3">
        <f t="shared" si="0"/>
        <v>1.8795998861464606E-2</v>
      </c>
      <c r="J23" s="79">
        <v>45204</v>
      </c>
      <c r="K23" s="78">
        <v>19521.849999999999</v>
      </c>
      <c r="L23" s="78">
        <v>19576.95</v>
      </c>
      <c r="M23" s="78">
        <v>19487.3</v>
      </c>
      <c r="N23" s="78">
        <v>19545.75</v>
      </c>
      <c r="O23" s="80">
        <v>235000000</v>
      </c>
      <c r="P23" s="80">
        <v>22019.040000000001</v>
      </c>
      <c r="Q23" s="78">
        <f t="shared" si="1"/>
        <v>5.6415638939911542E-3</v>
      </c>
    </row>
    <row r="24" spans="1:17" ht="15.75" customHeight="1">
      <c r="A24" s="75">
        <v>45087</v>
      </c>
      <c r="B24" s="78">
        <v>5120</v>
      </c>
      <c r="C24" s="78">
        <v>5120</v>
      </c>
      <c r="D24" s="78">
        <v>4997.5</v>
      </c>
      <c r="E24" s="78">
        <v>5014.6000000000004</v>
      </c>
      <c r="F24" s="78">
        <v>4974.1729999999998</v>
      </c>
      <c r="G24" s="78">
        <v>279352</v>
      </c>
      <c r="H24" s="3">
        <f t="shared" si="0"/>
        <v>7.0843436006429422E-4</v>
      </c>
      <c r="J24" s="79">
        <v>45205</v>
      </c>
      <c r="K24" s="78">
        <v>19621.2</v>
      </c>
      <c r="L24" s="78">
        <v>19675.75</v>
      </c>
      <c r="M24" s="78">
        <v>19589.400000000001</v>
      </c>
      <c r="N24" s="78">
        <v>19653.5</v>
      </c>
      <c r="O24" s="80">
        <v>159000000</v>
      </c>
      <c r="P24" s="80">
        <v>16096.52</v>
      </c>
      <c r="Q24" s="78">
        <f t="shared" si="1"/>
        <v>5.512707366051443E-3</v>
      </c>
    </row>
    <row r="25" spans="1:17" ht="15.75" customHeight="1">
      <c r="A25" s="75">
        <v>45179</v>
      </c>
      <c r="B25" s="78">
        <v>4957.05</v>
      </c>
      <c r="C25" s="78">
        <v>5068.7</v>
      </c>
      <c r="D25" s="78">
        <v>4957.05</v>
      </c>
      <c r="E25" s="78">
        <v>5007.3</v>
      </c>
      <c r="F25" s="78">
        <v>4966.9319999999998</v>
      </c>
      <c r="G25" s="78">
        <v>244083</v>
      </c>
      <c r="H25" s="3">
        <f t="shared" si="0"/>
        <v>-1.4557492123001199E-3</v>
      </c>
      <c r="J25" s="79">
        <v>45208</v>
      </c>
      <c r="K25" s="78">
        <v>19539.45</v>
      </c>
      <c r="L25" s="78">
        <v>19588.95</v>
      </c>
      <c r="M25" s="78">
        <v>19480.5</v>
      </c>
      <c r="N25" s="78">
        <v>19512.349999999999</v>
      </c>
      <c r="O25" s="80">
        <v>165000000</v>
      </c>
      <c r="P25" s="80">
        <v>15499.67</v>
      </c>
      <c r="Q25" s="78">
        <f t="shared" si="1"/>
        <v>-7.1819268832524208E-3</v>
      </c>
    </row>
    <row r="26" spans="1:17" ht="15.75" customHeight="1">
      <c r="A26" s="82">
        <v>45209</v>
      </c>
      <c r="B26" s="78">
        <v>5007.3</v>
      </c>
      <c r="C26" s="78">
        <v>5064</v>
      </c>
      <c r="D26" s="78">
        <v>5002.2</v>
      </c>
      <c r="E26" s="78">
        <v>5037.5</v>
      </c>
      <c r="F26" s="78">
        <v>4996.8890000000001</v>
      </c>
      <c r="G26" s="78">
        <v>307502</v>
      </c>
      <c r="H26" s="3">
        <f t="shared" si="0"/>
        <v>6.0311944560940663E-3</v>
      </c>
      <c r="J26" s="81">
        <v>45209</v>
      </c>
      <c r="K26" s="78">
        <v>19565.599999999999</v>
      </c>
      <c r="L26" s="78">
        <v>19717.8</v>
      </c>
      <c r="M26" s="78">
        <v>19565.45</v>
      </c>
      <c r="N26" s="78">
        <v>19689.849999999999</v>
      </c>
      <c r="O26" s="80">
        <v>217000000</v>
      </c>
      <c r="P26" s="80">
        <v>18735.62</v>
      </c>
      <c r="Q26" s="78">
        <f t="shared" si="1"/>
        <v>9.0968027941278218E-3</v>
      </c>
    </row>
    <row r="27" spans="1:17" ht="15.75" customHeight="1">
      <c r="A27" s="82">
        <v>45240</v>
      </c>
      <c r="B27" s="78">
        <v>5055</v>
      </c>
      <c r="C27" s="78">
        <v>5095</v>
      </c>
      <c r="D27" s="78">
        <v>5050</v>
      </c>
      <c r="E27" s="78">
        <v>5064.3999999999996</v>
      </c>
      <c r="F27" s="78">
        <v>5023.5720000000001</v>
      </c>
      <c r="G27" s="78">
        <v>575680</v>
      </c>
      <c r="H27" s="3">
        <f t="shared" si="0"/>
        <v>5.3399503722083644E-3</v>
      </c>
      <c r="J27" s="81">
        <v>45210</v>
      </c>
      <c r="K27" s="78">
        <v>19767</v>
      </c>
      <c r="L27" s="78">
        <v>19839.2</v>
      </c>
      <c r="M27" s="78">
        <v>19756.95</v>
      </c>
      <c r="N27" s="78">
        <v>19811.349999999999</v>
      </c>
      <c r="O27" s="80">
        <v>214000000</v>
      </c>
      <c r="P27" s="80">
        <v>19900.990000000002</v>
      </c>
      <c r="Q27" s="78">
        <f t="shared" si="1"/>
        <v>6.1706920062875037E-3</v>
      </c>
    </row>
    <row r="28" spans="1:17" ht="14.4">
      <c r="A28" s="82">
        <v>45270</v>
      </c>
      <c r="B28" s="78">
        <v>5085</v>
      </c>
      <c r="C28" s="78">
        <v>5151</v>
      </c>
      <c r="D28" s="78">
        <v>5051.1000000000004</v>
      </c>
      <c r="E28" s="78">
        <v>5106.6000000000004</v>
      </c>
      <c r="F28" s="78">
        <v>5065.4319999999998</v>
      </c>
      <c r="G28" s="78">
        <v>472168</v>
      </c>
      <c r="H28" s="3">
        <f t="shared" si="0"/>
        <v>8.3326751441435767E-3</v>
      </c>
      <c r="J28" s="81">
        <v>45211</v>
      </c>
      <c r="K28" s="78">
        <v>19822.7</v>
      </c>
      <c r="L28" s="78">
        <v>19843.3</v>
      </c>
      <c r="M28" s="78">
        <v>19772.650000000001</v>
      </c>
      <c r="N28" s="78">
        <v>19794</v>
      </c>
      <c r="O28" s="80">
        <v>218000000</v>
      </c>
      <c r="P28" s="80">
        <v>20999.94</v>
      </c>
      <c r="Q28" s="78">
        <f t="shared" si="1"/>
        <v>-8.7576061197235653E-4</v>
      </c>
    </row>
    <row r="29" spans="1:17" ht="14.4">
      <c r="A29" s="78" t="s">
        <v>316</v>
      </c>
      <c r="B29" s="78">
        <v>5089.95</v>
      </c>
      <c r="C29" s="78">
        <v>5123.45</v>
      </c>
      <c r="D29" s="78">
        <v>5040</v>
      </c>
      <c r="E29" s="78">
        <v>5052.3999999999996</v>
      </c>
      <c r="F29" s="78">
        <v>5011.6679999999997</v>
      </c>
      <c r="G29" s="78">
        <v>387366</v>
      </c>
      <c r="H29" s="3">
        <f t="shared" si="0"/>
        <v>-1.0613715583754499E-2</v>
      </c>
      <c r="J29" s="81">
        <v>45212</v>
      </c>
      <c r="K29" s="78">
        <v>19654.55</v>
      </c>
      <c r="L29" s="78">
        <v>19805.400000000001</v>
      </c>
      <c r="M29" s="78">
        <v>19635.3</v>
      </c>
      <c r="N29" s="78">
        <v>19751.05</v>
      </c>
      <c r="O29" s="80">
        <v>255000000</v>
      </c>
      <c r="P29" s="80">
        <v>24363.02</v>
      </c>
      <c r="Q29" s="78">
        <f t="shared" si="1"/>
        <v>-2.1698494493281161E-3</v>
      </c>
    </row>
    <row r="30" spans="1:17" ht="14.4">
      <c r="A30" s="78" t="s">
        <v>317</v>
      </c>
      <c r="B30" s="78">
        <v>5035</v>
      </c>
      <c r="C30" s="78">
        <v>5099.3999999999996</v>
      </c>
      <c r="D30" s="78">
        <v>5032</v>
      </c>
      <c r="E30" s="78">
        <v>5076.7</v>
      </c>
      <c r="F30" s="78">
        <v>5035.7730000000001</v>
      </c>
      <c r="G30" s="78">
        <v>158560</v>
      </c>
      <c r="H30" s="3">
        <f t="shared" si="0"/>
        <v>4.8095954397910264E-3</v>
      </c>
      <c r="J30" s="81">
        <v>45215</v>
      </c>
      <c r="K30" s="78">
        <v>19737.25</v>
      </c>
      <c r="L30" s="78">
        <v>19781.3</v>
      </c>
      <c r="M30" s="78">
        <v>19691.849999999999</v>
      </c>
      <c r="N30" s="78">
        <v>19731.75</v>
      </c>
      <c r="O30" s="80">
        <v>181000000</v>
      </c>
      <c r="P30" s="80">
        <v>14746.01</v>
      </c>
      <c r="Q30" s="78">
        <f t="shared" si="1"/>
        <v>-9.7716323942267751E-4</v>
      </c>
    </row>
    <row r="31" spans="1:17" ht="14.4">
      <c r="A31" s="78" t="s">
        <v>318</v>
      </c>
      <c r="B31" s="78">
        <v>5083</v>
      </c>
      <c r="C31" s="78">
        <v>5150</v>
      </c>
      <c r="D31" s="78">
        <v>5070</v>
      </c>
      <c r="E31" s="78">
        <v>5141.25</v>
      </c>
      <c r="F31" s="78">
        <v>5099.8019999999997</v>
      </c>
      <c r="G31" s="78">
        <v>318565</v>
      </c>
      <c r="H31" s="3">
        <f t="shared" si="0"/>
        <v>1.2714952626706362E-2</v>
      </c>
      <c r="J31" s="81">
        <v>45216</v>
      </c>
      <c r="K31" s="78">
        <v>19843.2</v>
      </c>
      <c r="L31" s="78">
        <v>19849.75</v>
      </c>
      <c r="M31" s="78">
        <v>19775.650000000001</v>
      </c>
      <c r="N31" s="78">
        <v>19811.5</v>
      </c>
      <c r="O31" s="80">
        <v>186000000</v>
      </c>
      <c r="P31" s="80">
        <v>16839.87</v>
      </c>
      <c r="Q31" s="78">
        <f t="shared" si="1"/>
        <v>4.0417094276990126E-3</v>
      </c>
    </row>
    <row r="32" spans="1:17" ht="14.4">
      <c r="A32" s="78" t="s">
        <v>319</v>
      </c>
      <c r="B32" s="78">
        <v>5150</v>
      </c>
      <c r="C32" s="78">
        <v>5198.75</v>
      </c>
      <c r="D32" s="78">
        <v>5125.6499999999996</v>
      </c>
      <c r="E32" s="78">
        <v>5137.3500000000004</v>
      </c>
      <c r="F32" s="78">
        <v>5095.9340000000002</v>
      </c>
      <c r="G32" s="78">
        <v>360985</v>
      </c>
      <c r="H32" s="3">
        <f t="shared" si="0"/>
        <v>-7.5857038657906853E-4</v>
      </c>
      <c r="J32" s="81">
        <v>45217</v>
      </c>
      <c r="K32" s="78">
        <v>19820.45</v>
      </c>
      <c r="L32" s="78">
        <v>19840.95</v>
      </c>
      <c r="M32" s="78">
        <v>19659.95</v>
      </c>
      <c r="N32" s="78">
        <v>19671.099999999999</v>
      </c>
      <c r="O32" s="80">
        <v>199000000</v>
      </c>
      <c r="P32" s="80">
        <v>18581.64</v>
      </c>
      <c r="Q32" s="78">
        <f t="shared" si="1"/>
        <v>-7.0867930242536634E-3</v>
      </c>
    </row>
    <row r="33" spans="1:17" ht="14.4">
      <c r="A33" s="78" t="s">
        <v>320</v>
      </c>
      <c r="B33" s="78">
        <v>5300</v>
      </c>
      <c r="C33" s="78">
        <v>5495</v>
      </c>
      <c r="D33" s="78">
        <v>5245</v>
      </c>
      <c r="E33" s="78">
        <v>5482.6</v>
      </c>
      <c r="F33" s="78">
        <v>5438.4009999999998</v>
      </c>
      <c r="G33" s="78">
        <v>2838352</v>
      </c>
      <c r="H33" s="3">
        <f t="shared" si="0"/>
        <v>6.7203908629935666E-2</v>
      </c>
      <c r="J33" s="81">
        <v>45218</v>
      </c>
      <c r="K33" s="78">
        <v>19545.2</v>
      </c>
      <c r="L33" s="78">
        <v>19681.8</v>
      </c>
      <c r="M33" s="78">
        <v>19512.349999999999</v>
      </c>
      <c r="N33" s="78">
        <v>19624.7</v>
      </c>
      <c r="O33" s="80">
        <v>230000000</v>
      </c>
      <c r="P33" s="80">
        <v>23582.01</v>
      </c>
      <c r="Q33" s="78">
        <f t="shared" si="1"/>
        <v>-2.3587903065917931E-3</v>
      </c>
    </row>
    <row r="34" spans="1:17" ht="14.4">
      <c r="A34" s="78" t="s">
        <v>321</v>
      </c>
      <c r="B34" s="78">
        <v>5450</v>
      </c>
      <c r="C34" s="78">
        <v>5510</v>
      </c>
      <c r="D34" s="78">
        <v>5436.9</v>
      </c>
      <c r="E34" s="78">
        <v>5489.3</v>
      </c>
      <c r="F34" s="78">
        <v>5445.0460000000003</v>
      </c>
      <c r="G34" s="78">
        <v>763919</v>
      </c>
      <c r="H34" s="3">
        <f t="shared" si="0"/>
        <v>1.2220479334621927E-3</v>
      </c>
      <c r="J34" s="81">
        <v>45219</v>
      </c>
      <c r="K34" s="78">
        <v>19542.150000000001</v>
      </c>
      <c r="L34" s="78">
        <v>19593.8</v>
      </c>
      <c r="M34" s="78">
        <v>19518.7</v>
      </c>
      <c r="N34" s="78">
        <v>19542.650000000001</v>
      </c>
      <c r="O34" s="80">
        <v>198000000</v>
      </c>
      <c r="P34" s="80">
        <v>17944.310000000001</v>
      </c>
      <c r="Q34" s="78">
        <f t="shared" si="1"/>
        <v>-4.1809556324427519E-3</v>
      </c>
    </row>
    <row r="35" spans="1:17" ht="14.4">
      <c r="A35" s="78" t="s">
        <v>322</v>
      </c>
      <c r="B35" s="78">
        <v>5453.05</v>
      </c>
      <c r="C35" s="78">
        <v>5493.4</v>
      </c>
      <c r="D35" s="78">
        <v>5395.05</v>
      </c>
      <c r="E35" s="78">
        <v>5405.4</v>
      </c>
      <c r="F35" s="78">
        <v>5361.8230000000003</v>
      </c>
      <c r="G35" s="78">
        <v>451167</v>
      </c>
      <c r="H35" s="3">
        <f t="shared" si="0"/>
        <v>-1.528428032718207E-2</v>
      </c>
      <c r="J35" s="81">
        <v>45222</v>
      </c>
      <c r="K35" s="78">
        <v>19521.599999999999</v>
      </c>
      <c r="L35" s="78">
        <v>19556.849999999999</v>
      </c>
      <c r="M35" s="78">
        <v>19257.849999999999</v>
      </c>
      <c r="N35" s="78">
        <v>19281.75</v>
      </c>
      <c r="O35" s="80">
        <v>176000000</v>
      </c>
      <c r="P35" s="80">
        <v>16212.9</v>
      </c>
      <c r="Q35" s="78">
        <f t="shared" si="1"/>
        <v>-1.335028770407296E-2</v>
      </c>
    </row>
    <row r="36" spans="1:17" ht="14.4">
      <c r="A36" s="78" t="s">
        <v>323</v>
      </c>
      <c r="B36" s="78">
        <v>5385</v>
      </c>
      <c r="C36" s="78">
        <v>5423.95</v>
      </c>
      <c r="D36" s="78">
        <v>5332.3</v>
      </c>
      <c r="E36" s="78">
        <v>5347.3</v>
      </c>
      <c r="F36" s="78">
        <v>5304.1909999999998</v>
      </c>
      <c r="G36" s="78">
        <v>620266</v>
      </c>
      <c r="H36" s="3">
        <f t="shared" si="0"/>
        <v>-1.0748510748510649E-2</v>
      </c>
      <c r="J36" s="81">
        <v>45224</v>
      </c>
      <c r="K36" s="78">
        <v>19286.45</v>
      </c>
      <c r="L36" s="78">
        <v>19347.3</v>
      </c>
      <c r="M36" s="78">
        <v>19074.150000000001</v>
      </c>
      <c r="N36" s="78">
        <v>19122.150000000001</v>
      </c>
      <c r="O36" s="80">
        <v>225000000</v>
      </c>
      <c r="P36" s="80">
        <v>19818.32</v>
      </c>
      <c r="Q36" s="78">
        <f t="shared" si="1"/>
        <v>-8.2772569917148875E-3</v>
      </c>
    </row>
    <row r="37" spans="1:17" ht="14.4">
      <c r="A37" s="78" t="s">
        <v>324</v>
      </c>
      <c r="B37" s="78">
        <v>5333.85</v>
      </c>
      <c r="C37" s="78">
        <v>5347.45</v>
      </c>
      <c r="D37" s="78">
        <v>5236</v>
      </c>
      <c r="E37" s="78">
        <v>5259.35</v>
      </c>
      <c r="F37" s="78">
        <v>5216.951</v>
      </c>
      <c r="G37" s="78">
        <v>746266</v>
      </c>
      <c r="H37" s="3">
        <f t="shared" si="0"/>
        <v>-1.6447552970658055E-2</v>
      </c>
      <c r="J37" s="81">
        <v>45225</v>
      </c>
      <c r="K37" s="78">
        <v>19027.25</v>
      </c>
      <c r="L37" s="78">
        <v>19041.7</v>
      </c>
      <c r="M37" s="78">
        <v>18837.849999999999</v>
      </c>
      <c r="N37" s="78">
        <v>18857.25</v>
      </c>
      <c r="O37" s="80">
        <v>300000000</v>
      </c>
      <c r="P37" s="80">
        <v>28939.64</v>
      </c>
      <c r="Q37" s="78">
        <f t="shared" si="1"/>
        <v>-1.3853044767455618E-2</v>
      </c>
    </row>
    <row r="38" spans="1:17" ht="14.4">
      <c r="A38" s="78" t="s">
        <v>325</v>
      </c>
      <c r="B38" s="78">
        <v>5265</v>
      </c>
      <c r="C38" s="78">
        <v>5423.7</v>
      </c>
      <c r="D38" s="78">
        <v>5265</v>
      </c>
      <c r="E38" s="78">
        <v>5373.55</v>
      </c>
      <c r="F38" s="78">
        <v>5330.2290000000003</v>
      </c>
      <c r="G38" s="78">
        <v>843465</v>
      </c>
      <c r="H38" s="3">
        <f t="shared" si="0"/>
        <v>2.1713709869090252E-2</v>
      </c>
      <c r="J38" s="81">
        <v>45226</v>
      </c>
      <c r="K38" s="78">
        <v>18928.75</v>
      </c>
      <c r="L38" s="78">
        <v>19076.150000000001</v>
      </c>
      <c r="M38" s="78">
        <v>18926.650000000001</v>
      </c>
      <c r="N38" s="78">
        <v>19047.25</v>
      </c>
      <c r="O38" s="80">
        <v>205000000</v>
      </c>
      <c r="P38" s="80">
        <v>19947.48</v>
      </c>
      <c r="Q38" s="78">
        <f t="shared" si="1"/>
        <v>1.007570032746026E-2</v>
      </c>
    </row>
    <row r="39" spans="1:17" ht="14.4">
      <c r="A39" s="78" t="s">
        <v>326</v>
      </c>
      <c r="B39" s="78">
        <v>5388</v>
      </c>
      <c r="C39" s="78">
        <v>5397.75</v>
      </c>
      <c r="D39" s="78">
        <v>5275</v>
      </c>
      <c r="E39" s="78">
        <v>5308.9</v>
      </c>
      <c r="F39" s="78">
        <v>5266.1009999999997</v>
      </c>
      <c r="G39" s="78">
        <v>360967</v>
      </c>
      <c r="H39" s="3">
        <f t="shared" si="0"/>
        <v>-1.2031152590001124E-2</v>
      </c>
      <c r="J39" s="81">
        <v>45229</v>
      </c>
      <c r="K39" s="78">
        <v>19053.400000000001</v>
      </c>
      <c r="L39" s="78">
        <v>19158.5</v>
      </c>
      <c r="M39" s="78">
        <v>18940</v>
      </c>
      <c r="N39" s="78">
        <v>19140.900000000001</v>
      </c>
      <c r="O39" s="80">
        <v>180000000</v>
      </c>
      <c r="P39" s="80">
        <v>17095.73</v>
      </c>
      <c r="Q39" s="78">
        <f t="shared" si="1"/>
        <v>4.9167202614551417E-3</v>
      </c>
    </row>
    <row r="40" spans="1:17" ht="14.4">
      <c r="A40" s="78" t="s">
        <v>327</v>
      </c>
      <c r="B40" s="78">
        <v>5340</v>
      </c>
      <c r="C40" s="78">
        <v>5366.15</v>
      </c>
      <c r="D40" s="78">
        <v>5292.6</v>
      </c>
      <c r="E40" s="78">
        <v>5314.05</v>
      </c>
      <c r="F40" s="78">
        <v>5271.2089999999998</v>
      </c>
      <c r="G40" s="78">
        <v>400987</v>
      </c>
      <c r="H40" s="3">
        <f t="shared" si="0"/>
        <v>9.7006912919824178E-4</v>
      </c>
      <c r="J40" s="81">
        <v>45230</v>
      </c>
      <c r="K40" s="78">
        <v>19232.95</v>
      </c>
      <c r="L40" s="78">
        <v>19233.7</v>
      </c>
      <c r="M40" s="78">
        <v>19056.45</v>
      </c>
      <c r="N40" s="78">
        <v>19079.599999999999</v>
      </c>
      <c r="O40" s="80">
        <v>206000000</v>
      </c>
      <c r="P40" s="80">
        <v>19397.36</v>
      </c>
      <c r="Q40" s="78">
        <f t="shared" si="1"/>
        <v>-3.2025662325179541E-3</v>
      </c>
    </row>
    <row r="41" spans="1:17" ht="14.4">
      <c r="A41" s="75">
        <v>44937</v>
      </c>
      <c r="B41" s="78">
        <v>5305</v>
      </c>
      <c r="C41" s="78">
        <v>5449.5</v>
      </c>
      <c r="D41" s="78">
        <v>5305</v>
      </c>
      <c r="E41" s="78">
        <v>5344.35</v>
      </c>
      <c r="F41" s="78">
        <v>5301.2650000000003</v>
      </c>
      <c r="G41" s="78">
        <v>619765</v>
      </c>
      <c r="H41" s="3">
        <f t="shared" si="0"/>
        <v>5.7018658085641232E-3</v>
      </c>
      <c r="J41" s="79">
        <v>45231</v>
      </c>
      <c r="K41" s="78">
        <v>19064.05</v>
      </c>
      <c r="L41" s="78">
        <v>19096.05</v>
      </c>
      <c r="M41" s="78">
        <v>18973.7</v>
      </c>
      <c r="N41" s="78">
        <v>18989.150000000001</v>
      </c>
      <c r="O41" s="80">
        <v>194000000</v>
      </c>
      <c r="P41" s="80">
        <v>18452.509999999998</v>
      </c>
      <c r="Q41" s="78">
        <f t="shared" si="1"/>
        <v>-4.7406654227550417E-3</v>
      </c>
    </row>
    <row r="42" spans="1:17" ht="14.4">
      <c r="A42" s="75">
        <v>44968</v>
      </c>
      <c r="B42" s="78">
        <v>5383.9</v>
      </c>
      <c r="C42" s="78">
        <v>5392.85</v>
      </c>
      <c r="D42" s="78">
        <v>5285</v>
      </c>
      <c r="E42" s="78">
        <v>5318.4</v>
      </c>
      <c r="F42" s="78">
        <v>5275.5240000000003</v>
      </c>
      <c r="G42" s="78">
        <v>304362</v>
      </c>
      <c r="H42" s="3">
        <f t="shared" si="0"/>
        <v>-4.855595161245189E-3</v>
      </c>
      <c r="J42" s="79">
        <v>45232</v>
      </c>
      <c r="K42" s="78">
        <v>19120</v>
      </c>
      <c r="L42" s="78">
        <v>19175.25</v>
      </c>
      <c r="M42" s="78">
        <v>19064.150000000001</v>
      </c>
      <c r="N42" s="78">
        <v>19133.25</v>
      </c>
      <c r="O42" s="80">
        <v>246000000</v>
      </c>
      <c r="P42" s="80">
        <v>19771.490000000002</v>
      </c>
      <c r="Q42" s="78">
        <f t="shared" si="1"/>
        <v>7.5885439843278151E-3</v>
      </c>
    </row>
    <row r="43" spans="1:17" ht="14.4">
      <c r="A43" s="75">
        <v>44996</v>
      </c>
      <c r="B43" s="78">
        <v>5357</v>
      </c>
      <c r="C43" s="78">
        <v>5377.05</v>
      </c>
      <c r="D43" s="78">
        <v>5316.6</v>
      </c>
      <c r="E43" s="78">
        <v>5368.95</v>
      </c>
      <c r="F43" s="78">
        <v>5325.6670000000004</v>
      </c>
      <c r="G43" s="78">
        <v>448715</v>
      </c>
      <c r="H43" s="3">
        <f t="shared" si="0"/>
        <v>9.5047382671480489E-3</v>
      </c>
      <c r="J43" s="79">
        <v>45233</v>
      </c>
      <c r="K43" s="78">
        <v>19241</v>
      </c>
      <c r="L43" s="78">
        <v>19276.25</v>
      </c>
      <c r="M43" s="78">
        <v>19210.900000000001</v>
      </c>
      <c r="N43" s="78">
        <v>19230.599999999999</v>
      </c>
      <c r="O43" s="80">
        <v>190000000</v>
      </c>
      <c r="P43" s="80">
        <v>17304.87</v>
      </c>
      <c r="Q43" s="78">
        <f t="shared" si="1"/>
        <v>5.0880012543607876E-3</v>
      </c>
    </row>
    <row r="44" spans="1:17" ht="14.4">
      <c r="A44" s="75">
        <v>45088</v>
      </c>
      <c r="B44" s="78">
        <v>5380</v>
      </c>
      <c r="C44" s="78">
        <v>5427.5</v>
      </c>
      <c r="D44" s="78">
        <v>5377.1</v>
      </c>
      <c r="E44" s="78">
        <v>5406.85</v>
      </c>
      <c r="F44" s="78">
        <v>5363.2610000000004</v>
      </c>
      <c r="G44" s="78">
        <v>394137</v>
      </c>
      <c r="H44" s="3">
        <f t="shared" si="0"/>
        <v>7.0591083917713052E-3</v>
      </c>
      <c r="J44" s="79">
        <v>45236</v>
      </c>
      <c r="K44" s="78">
        <v>19345.849999999999</v>
      </c>
      <c r="L44" s="78">
        <v>19423</v>
      </c>
      <c r="M44" s="78">
        <v>19309.7</v>
      </c>
      <c r="N44" s="78">
        <v>19411.75</v>
      </c>
      <c r="O44" s="80">
        <v>181000000</v>
      </c>
      <c r="P44" s="80">
        <v>16296.56</v>
      </c>
      <c r="Q44" s="78">
        <f t="shared" si="1"/>
        <v>9.4198828949695525E-3</v>
      </c>
    </row>
    <row r="45" spans="1:17" ht="14.4">
      <c r="A45" s="75">
        <v>45118</v>
      </c>
      <c r="B45" s="78">
        <v>5406.85</v>
      </c>
      <c r="C45" s="78">
        <v>5445</v>
      </c>
      <c r="D45" s="78">
        <v>5405.3</v>
      </c>
      <c r="E45" s="78">
        <v>5419</v>
      </c>
      <c r="F45" s="78">
        <v>5375.3130000000001</v>
      </c>
      <c r="G45" s="78">
        <v>202689</v>
      </c>
      <c r="H45" s="3">
        <f t="shared" si="0"/>
        <v>2.2471494493096046E-3</v>
      </c>
      <c r="J45" s="79">
        <v>45237</v>
      </c>
      <c r="K45" s="78">
        <v>19404.05</v>
      </c>
      <c r="L45" s="78">
        <v>19423.5</v>
      </c>
      <c r="M45" s="78">
        <v>19329.099999999999</v>
      </c>
      <c r="N45" s="78">
        <v>19406.7</v>
      </c>
      <c r="O45" s="80">
        <v>199000000</v>
      </c>
      <c r="P45" s="80">
        <v>18288.060000000001</v>
      </c>
      <c r="Q45" s="78">
        <f t="shared" si="1"/>
        <v>-2.6015171223610817E-4</v>
      </c>
    </row>
    <row r="46" spans="1:17" ht="14.4">
      <c r="A46" s="75">
        <v>45149</v>
      </c>
      <c r="B46" s="78">
        <v>5434</v>
      </c>
      <c r="C46" s="78">
        <v>5435.25</v>
      </c>
      <c r="D46" s="78">
        <v>5381.25</v>
      </c>
      <c r="E46" s="78">
        <v>5397.6</v>
      </c>
      <c r="F46" s="78">
        <v>5354.0860000000002</v>
      </c>
      <c r="G46" s="78">
        <v>202145</v>
      </c>
      <c r="H46" s="3">
        <f t="shared" si="0"/>
        <v>-3.9490680937441661E-3</v>
      </c>
      <c r="J46" s="79">
        <v>45238</v>
      </c>
      <c r="K46" s="78">
        <v>19449.599999999999</v>
      </c>
      <c r="L46" s="78">
        <v>19464.400000000001</v>
      </c>
      <c r="M46" s="78">
        <v>19401.5</v>
      </c>
      <c r="N46" s="78">
        <v>19443.5</v>
      </c>
      <c r="O46" s="80">
        <v>195000000</v>
      </c>
      <c r="P46" s="80">
        <v>17060.45</v>
      </c>
      <c r="Q46" s="78">
        <f t="shared" si="1"/>
        <v>1.8962523252278477E-3</v>
      </c>
    </row>
    <row r="47" spans="1:17" ht="14.4">
      <c r="A47" s="75">
        <v>45180</v>
      </c>
      <c r="B47" s="78">
        <v>5421.8</v>
      </c>
      <c r="C47" s="78">
        <v>5455</v>
      </c>
      <c r="D47" s="78">
        <v>5382.15</v>
      </c>
      <c r="E47" s="78">
        <v>5418.9</v>
      </c>
      <c r="F47" s="78">
        <v>5375.2139999999999</v>
      </c>
      <c r="G47" s="78">
        <v>232773</v>
      </c>
      <c r="H47" s="3">
        <f t="shared" si="0"/>
        <v>3.9461983103600247E-3</v>
      </c>
      <c r="J47" s="79">
        <v>45239</v>
      </c>
      <c r="K47" s="78">
        <v>19457.400000000001</v>
      </c>
      <c r="L47" s="78">
        <v>19463.900000000001</v>
      </c>
      <c r="M47" s="78">
        <v>19378.349999999999</v>
      </c>
      <c r="N47" s="78">
        <v>19395.3</v>
      </c>
      <c r="O47" s="80">
        <v>208000000</v>
      </c>
      <c r="P47" s="80">
        <v>19087.29</v>
      </c>
      <c r="Q47" s="78">
        <f t="shared" si="1"/>
        <v>-2.4789775503381967E-3</v>
      </c>
    </row>
    <row r="48" spans="1:17" ht="14.4">
      <c r="A48" s="82">
        <v>45210</v>
      </c>
      <c r="B48" s="78">
        <v>5409.95</v>
      </c>
      <c r="C48" s="78">
        <v>5427.05</v>
      </c>
      <c r="D48" s="78">
        <v>5349.05</v>
      </c>
      <c r="E48" s="78">
        <v>5392.05</v>
      </c>
      <c r="F48" s="78">
        <v>5348.5810000000001</v>
      </c>
      <c r="G48" s="78">
        <v>149325</v>
      </c>
      <c r="H48" s="3">
        <f t="shared" si="0"/>
        <v>-4.9548801417260806E-3</v>
      </c>
      <c r="J48" s="81">
        <v>45240</v>
      </c>
      <c r="K48" s="78">
        <v>19351.849999999999</v>
      </c>
      <c r="L48" s="78">
        <v>19451.3</v>
      </c>
      <c r="M48" s="78">
        <v>19329.45</v>
      </c>
      <c r="N48" s="78">
        <v>19425.349999999999</v>
      </c>
      <c r="O48" s="80">
        <v>152000000</v>
      </c>
      <c r="P48" s="80">
        <v>12916.21</v>
      </c>
      <c r="Q48" s="78">
        <f t="shared" si="1"/>
        <v>1.5493444288048792E-3</v>
      </c>
    </row>
    <row r="49" spans="1:17" ht="14.4">
      <c r="A49" s="78" t="s">
        <v>328</v>
      </c>
      <c r="B49" s="78">
        <v>5435</v>
      </c>
      <c r="C49" s="78">
        <v>5439.8</v>
      </c>
      <c r="D49" s="78">
        <v>5395.55</v>
      </c>
      <c r="E49" s="78">
        <v>5425.2</v>
      </c>
      <c r="F49" s="78">
        <v>5381.4629999999997</v>
      </c>
      <c r="G49" s="78">
        <v>93497</v>
      </c>
      <c r="H49" s="3">
        <f t="shared" si="0"/>
        <v>6.1479400228112938E-3</v>
      </c>
      <c r="J49" s="81">
        <v>45243</v>
      </c>
      <c r="K49" s="78">
        <v>19486.75</v>
      </c>
      <c r="L49" s="78">
        <v>19494.400000000001</v>
      </c>
      <c r="M49" s="78">
        <v>19414.75</v>
      </c>
      <c r="N49" s="78">
        <v>19443.55</v>
      </c>
      <c r="O49" s="80">
        <v>189000000</v>
      </c>
      <c r="P49" s="80">
        <v>13527.22</v>
      </c>
      <c r="Q49" s="78">
        <f t="shared" si="1"/>
        <v>9.3692005549453317E-4</v>
      </c>
    </row>
    <row r="50" spans="1:17" ht="14.4">
      <c r="A50" s="78" t="s">
        <v>329</v>
      </c>
      <c r="B50" s="78">
        <v>5525</v>
      </c>
      <c r="C50" s="78">
        <v>5555</v>
      </c>
      <c r="D50" s="78">
        <v>5461.1</v>
      </c>
      <c r="E50" s="78">
        <v>5536.7</v>
      </c>
      <c r="F50" s="78">
        <v>5492.0640000000003</v>
      </c>
      <c r="G50" s="78">
        <v>640468</v>
      </c>
      <c r="H50" s="3">
        <f t="shared" si="0"/>
        <v>2.0552237705522378E-2</v>
      </c>
      <c r="J50" s="81">
        <v>45245</v>
      </c>
      <c r="K50" s="78">
        <v>19651.400000000001</v>
      </c>
      <c r="L50" s="78">
        <v>19693.2</v>
      </c>
      <c r="M50" s="78">
        <v>19579.650000000001</v>
      </c>
      <c r="N50" s="78">
        <v>19675.45</v>
      </c>
      <c r="O50" s="80">
        <v>291000000</v>
      </c>
      <c r="P50" s="80">
        <v>24957.24</v>
      </c>
      <c r="Q50" s="78">
        <f t="shared" si="1"/>
        <v>1.1926834348665828E-2</v>
      </c>
    </row>
    <row r="51" spans="1:17" ht="14.4">
      <c r="A51" s="78" t="s">
        <v>330</v>
      </c>
      <c r="B51" s="78">
        <v>5520</v>
      </c>
      <c r="C51" s="78">
        <v>5583.3</v>
      </c>
      <c r="D51" s="78">
        <v>5496.95</v>
      </c>
      <c r="E51" s="78">
        <v>5550.9</v>
      </c>
      <c r="F51" s="78">
        <v>5506.15</v>
      </c>
      <c r="G51" s="78">
        <v>324712</v>
      </c>
      <c r="H51" s="3">
        <f t="shared" si="0"/>
        <v>2.5647046074376107E-3</v>
      </c>
      <c r="J51" s="81">
        <v>45246</v>
      </c>
      <c r="K51" s="78">
        <v>19674.7</v>
      </c>
      <c r="L51" s="78">
        <v>19875.25</v>
      </c>
      <c r="M51" s="78">
        <v>19627</v>
      </c>
      <c r="N51" s="78">
        <v>19765.2</v>
      </c>
      <c r="O51" s="80">
        <v>283000000</v>
      </c>
      <c r="P51" s="80">
        <v>26041.45</v>
      </c>
      <c r="Q51" s="78">
        <f t="shared" si="1"/>
        <v>4.5615220998757337E-3</v>
      </c>
    </row>
    <row r="52" spans="1:17" ht="14.4">
      <c r="A52" s="78" t="s">
        <v>331</v>
      </c>
      <c r="B52" s="78">
        <v>5556.9</v>
      </c>
      <c r="C52" s="78">
        <v>5674.95</v>
      </c>
      <c r="D52" s="78">
        <v>5479.35</v>
      </c>
      <c r="E52" s="78">
        <v>5631.5</v>
      </c>
      <c r="F52" s="78">
        <v>5586.1</v>
      </c>
      <c r="G52" s="78">
        <v>531539</v>
      </c>
      <c r="H52" s="3">
        <f t="shared" si="0"/>
        <v>1.4520167900700853E-2</v>
      </c>
      <c r="J52" s="81">
        <v>45247</v>
      </c>
      <c r="K52" s="78">
        <v>19674.75</v>
      </c>
      <c r="L52" s="78">
        <v>19806</v>
      </c>
      <c r="M52" s="78">
        <v>19667.45</v>
      </c>
      <c r="N52" s="78">
        <v>19731.8</v>
      </c>
      <c r="O52" s="80">
        <v>237000000</v>
      </c>
      <c r="P52" s="80">
        <v>21681.279999999999</v>
      </c>
      <c r="Q52" s="78">
        <f t="shared" si="1"/>
        <v>-1.6898387064133657E-3</v>
      </c>
    </row>
    <row r="53" spans="1:17" ht="14.4">
      <c r="A53" s="78" t="s">
        <v>332</v>
      </c>
      <c r="B53" s="78">
        <v>5610.05</v>
      </c>
      <c r="C53" s="78">
        <v>5675.95</v>
      </c>
      <c r="D53" s="78">
        <v>5606</v>
      </c>
      <c r="E53" s="78">
        <v>5650.15</v>
      </c>
      <c r="F53" s="78">
        <v>5604.6</v>
      </c>
      <c r="G53" s="78">
        <v>679425</v>
      </c>
      <c r="H53" s="3">
        <f t="shared" si="0"/>
        <v>3.3117286690934273E-3</v>
      </c>
      <c r="J53" s="81">
        <v>45250</v>
      </c>
      <c r="K53" s="78">
        <v>19731.150000000001</v>
      </c>
      <c r="L53" s="78">
        <v>19756.45</v>
      </c>
      <c r="M53" s="78">
        <v>19670.5</v>
      </c>
      <c r="N53" s="78">
        <v>19694</v>
      </c>
      <c r="O53" s="80">
        <v>174000000</v>
      </c>
      <c r="P53" s="80">
        <v>16737.05</v>
      </c>
      <c r="Q53" s="78">
        <f t="shared" si="1"/>
        <v>-1.9156893947840173E-3</v>
      </c>
    </row>
    <row r="54" spans="1:17" ht="14.4">
      <c r="A54" s="78" t="s">
        <v>333</v>
      </c>
      <c r="B54" s="78">
        <v>5640.5</v>
      </c>
      <c r="C54" s="78">
        <v>5707.35</v>
      </c>
      <c r="D54" s="78">
        <v>5640</v>
      </c>
      <c r="E54" s="78">
        <v>5685.95</v>
      </c>
      <c r="F54" s="78">
        <v>5640.1109999999999</v>
      </c>
      <c r="G54" s="78">
        <v>746193</v>
      </c>
      <c r="H54" s="3">
        <f t="shared" si="0"/>
        <v>6.3361149703990488E-3</v>
      </c>
      <c r="J54" s="81">
        <v>45251</v>
      </c>
      <c r="K54" s="78">
        <v>19770.900000000001</v>
      </c>
      <c r="L54" s="78">
        <v>19829.099999999999</v>
      </c>
      <c r="M54" s="78">
        <v>19754.05</v>
      </c>
      <c r="N54" s="78">
        <v>19783.400000000001</v>
      </c>
      <c r="O54" s="80">
        <v>195000000</v>
      </c>
      <c r="P54" s="80">
        <v>17947.2</v>
      </c>
      <c r="Q54" s="78">
        <f t="shared" si="1"/>
        <v>4.5394536407028256E-3</v>
      </c>
    </row>
    <row r="55" spans="1:17" ht="14.4">
      <c r="A55" s="78" t="s">
        <v>334</v>
      </c>
      <c r="B55" s="78">
        <v>5680</v>
      </c>
      <c r="C55" s="78">
        <v>5764.9</v>
      </c>
      <c r="D55" s="78">
        <v>5661.3</v>
      </c>
      <c r="E55" s="78">
        <v>5751.55</v>
      </c>
      <c r="F55" s="78">
        <v>5705.1819999999998</v>
      </c>
      <c r="G55" s="78">
        <v>497403</v>
      </c>
      <c r="H55" s="3">
        <f t="shared" si="0"/>
        <v>1.1537210140785684E-2</v>
      </c>
      <c r="J55" s="81">
        <v>45252</v>
      </c>
      <c r="K55" s="78">
        <v>19784</v>
      </c>
      <c r="L55" s="78">
        <v>19825.55</v>
      </c>
      <c r="M55" s="78">
        <v>19703.849999999999</v>
      </c>
      <c r="N55" s="78">
        <v>19811.849999999999</v>
      </c>
      <c r="O55" s="80">
        <v>184000000</v>
      </c>
      <c r="P55" s="80">
        <v>17405.48</v>
      </c>
      <c r="Q55" s="78">
        <f t="shared" si="1"/>
        <v>1.4380743451579145E-3</v>
      </c>
    </row>
    <row r="56" spans="1:17" ht="14.4">
      <c r="A56" s="78" t="s">
        <v>335</v>
      </c>
      <c r="B56" s="78">
        <v>5800</v>
      </c>
      <c r="C56" s="78">
        <v>5945</v>
      </c>
      <c r="D56" s="78">
        <v>5783.1</v>
      </c>
      <c r="E56" s="78">
        <v>5925.25</v>
      </c>
      <c r="F56" s="78">
        <v>5877.482</v>
      </c>
      <c r="G56" s="78">
        <v>1118718</v>
      </c>
      <c r="H56" s="3">
        <f t="shared" si="0"/>
        <v>3.0200554633098873E-2</v>
      </c>
      <c r="J56" s="81">
        <v>45253</v>
      </c>
      <c r="K56" s="78">
        <v>19828.45</v>
      </c>
      <c r="L56" s="78">
        <v>19875.150000000001</v>
      </c>
      <c r="M56" s="78">
        <v>19786.75</v>
      </c>
      <c r="N56" s="78">
        <v>19802</v>
      </c>
      <c r="O56" s="80">
        <v>170000000</v>
      </c>
      <c r="P56" s="80">
        <v>15906.94</v>
      </c>
      <c r="Q56" s="78">
        <f t="shared" si="1"/>
        <v>-4.9717719445677947E-4</v>
      </c>
    </row>
    <row r="57" spans="1:17" ht="14.4">
      <c r="A57" s="78" t="s">
        <v>336</v>
      </c>
      <c r="B57" s="78">
        <v>5940</v>
      </c>
      <c r="C57" s="78">
        <v>5960</v>
      </c>
      <c r="D57" s="78">
        <v>5900</v>
      </c>
      <c r="E57" s="78">
        <v>5930.3</v>
      </c>
      <c r="F57" s="78">
        <v>5882.491</v>
      </c>
      <c r="G57" s="78">
        <v>297211</v>
      </c>
      <c r="H57" s="3">
        <f t="shared" si="0"/>
        <v>8.5228471372518998E-4</v>
      </c>
      <c r="J57" s="81">
        <v>45254</v>
      </c>
      <c r="K57" s="78">
        <v>19809.599999999999</v>
      </c>
      <c r="L57" s="78">
        <v>19832.849999999999</v>
      </c>
      <c r="M57" s="78">
        <v>19768.849999999999</v>
      </c>
      <c r="N57" s="78">
        <v>19794.7</v>
      </c>
      <c r="O57" s="80">
        <v>146000000</v>
      </c>
      <c r="P57" s="80">
        <v>14389.29</v>
      </c>
      <c r="Q57" s="78">
        <f t="shared" si="1"/>
        <v>-3.6864963135033191E-4</v>
      </c>
    </row>
    <row r="58" spans="1:17" ht="14.4">
      <c r="A58" s="78" t="s">
        <v>337</v>
      </c>
      <c r="B58" s="78">
        <v>5969.8</v>
      </c>
      <c r="C58" s="78">
        <v>6039.65</v>
      </c>
      <c r="D58" s="78">
        <v>5912</v>
      </c>
      <c r="E58" s="78">
        <v>5998.15</v>
      </c>
      <c r="F58" s="78">
        <v>5949.7939999999999</v>
      </c>
      <c r="G58" s="78">
        <v>380535</v>
      </c>
      <c r="H58" s="3">
        <f t="shared" si="0"/>
        <v>1.1441242432929101E-2</v>
      </c>
      <c r="J58" s="81">
        <v>45258</v>
      </c>
      <c r="K58" s="78">
        <v>19844.650000000001</v>
      </c>
      <c r="L58" s="78">
        <v>19916.849999999999</v>
      </c>
      <c r="M58" s="78">
        <v>19800</v>
      </c>
      <c r="N58" s="78">
        <v>19889.7</v>
      </c>
      <c r="O58" s="80">
        <v>230000000</v>
      </c>
      <c r="P58" s="80">
        <v>23043.25</v>
      </c>
      <c r="Q58" s="78">
        <f t="shared" si="1"/>
        <v>4.7992644495748861E-3</v>
      </c>
    </row>
    <row r="59" spans="1:17" ht="14.4">
      <c r="A59" s="78" t="s">
        <v>338</v>
      </c>
      <c r="B59" s="78">
        <v>6010</v>
      </c>
      <c r="C59" s="78">
        <v>6096.4</v>
      </c>
      <c r="D59" s="78">
        <v>5973.3</v>
      </c>
      <c r="E59" s="78">
        <v>6069.95</v>
      </c>
      <c r="F59" s="78">
        <v>6021.0159999999996</v>
      </c>
      <c r="G59" s="78">
        <v>406974</v>
      </c>
      <c r="H59" s="3">
        <f t="shared" si="0"/>
        <v>1.197035752690416E-2</v>
      </c>
      <c r="J59" s="81">
        <v>45259</v>
      </c>
      <c r="K59" s="78">
        <v>19976.55</v>
      </c>
      <c r="L59" s="78">
        <v>20104.650000000001</v>
      </c>
      <c r="M59" s="78">
        <v>19956.3</v>
      </c>
      <c r="N59" s="78">
        <v>20096.599999999999</v>
      </c>
      <c r="O59" s="80">
        <v>236000000</v>
      </c>
      <c r="P59" s="80">
        <v>22367.64</v>
      </c>
      <c r="Q59" s="78">
        <f t="shared" si="1"/>
        <v>1.0402369065395546E-2</v>
      </c>
    </row>
    <row r="60" spans="1:17" ht="14.4">
      <c r="A60" s="78" t="s">
        <v>339</v>
      </c>
      <c r="B60" s="78">
        <v>6095</v>
      </c>
      <c r="C60" s="78">
        <v>6128.9</v>
      </c>
      <c r="D60" s="78">
        <v>6031</v>
      </c>
      <c r="E60" s="78">
        <v>6090.55</v>
      </c>
      <c r="F60" s="78">
        <v>6041.4489999999996</v>
      </c>
      <c r="G60" s="78">
        <v>501833</v>
      </c>
      <c r="H60" s="3">
        <f t="shared" si="0"/>
        <v>3.3937676587122404E-3</v>
      </c>
      <c r="J60" s="81">
        <v>45260</v>
      </c>
      <c r="K60" s="78">
        <v>20108.5</v>
      </c>
      <c r="L60" s="78">
        <v>20158.7</v>
      </c>
      <c r="M60" s="78">
        <v>20015.849999999999</v>
      </c>
      <c r="N60" s="78">
        <v>20133.150000000001</v>
      </c>
      <c r="O60" s="80">
        <v>487000000</v>
      </c>
      <c r="P60" s="80">
        <v>48877.95</v>
      </c>
      <c r="Q60" s="78">
        <f t="shared" si="1"/>
        <v>1.8187156036345905E-3</v>
      </c>
    </row>
    <row r="61" spans="1:17" ht="14.4">
      <c r="A61" s="75">
        <v>44938</v>
      </c>
      <c r="B61" s="78">
        <v>6050</v>
      </c>
      <c r="C61" s="78">
        <v>6090</v>
      </c>
      <c r="D61" s="78">
        <v>6003.3</v>
      </c>
      <c r="E61" s="78">
        <v>6046.05</v>
      </c>
      <c r="F61" s="78">
        <v>5997.308</v>
      </c>
      <c r="G61" s="78">
        <v>439023</v>
      </c>
      <c r="H61" s="3">
        <f t="shared" si="0"/>
        <v>-7.3064008997545376E-3</v>
      </c>
      <c r="J61" s="79">
        <v>45261</v>
      </c>
      <c r="K61" s="78">
        <v>20194.099999999999</v>
      </c>
      <c r="L61" s="78">
        <v>20291.55</v>
      </c>
      <c r="M61" s="78">
        <v>20183.7</v>
      </c>
      <c r="N61" s="78">
        <v>20267.900000000001</v>
      </c>
      <c r="O61" s="80">
        <v>266000000</v>
      </c>
      <c r="P61" s="80">
        <v>22461.53</v>
      </c>
      <c r="Q61" s="78">
        <f t="shared" si="1"/>
        <v>6.6929417403635292E-3</v>
      </c>
    </row>
    <row r="62" spans="1:17" ht="14.4">
      <c r="A62" s="75">
        <v>45028</v>
      </c>
      <c r="B62" s="78">
        <v>6090.55</v>
      </c>
      <c r="C62" s="78">
        <v>6217.7</v>
      </c>
      <c r="D62" s="78">
        <v>6087.45</v>
      </c>
      <c r="E62" s="78">
        <v>6201.7</v>
      </c>
      <c r="F62" s="78">
        <v>6151.7039999999997</v>
      </c>
      <c r="G62" s="78">
        <v>359158</v>
      </c>
      <c r="H62" s="3">
        <f t="shared" si="0"/>
        <v>2.5744080846172232E-2</v>
      </c>
      <c r="J62" s="79">
        <v>45264</v>
      </c>
      <c r="K62" s="78">
        <v>20601.95</v>
      </c>
      <c r="L62" s="78">
        <v>20702.650000000001</v>
      </c>
      <c r="M62" s="78">
        <v>20507.75</v>
      </c>
      <c r="N62" s="78">
        <v>20686.8</v>
      </c>
      <c r="O62" s="80">
        <v>381000000</v>
      </c>
      <c r="P62" s="80">
        <v>33917.519999999997</v>
      </c>
      <c r="Q62" s="78">
        <f t="shared" si="1"/>
        <v>2.0668150129021644E-2</v>
      </c>
    </row>
    <row r="63" spans="1:17" ht="14.4">
      <c r="A63" s="75">
        <v>45058</v>
      </c>
      <c r="B63" s="78">
        <v>6194.05</v>
      </c>
      <c r="C63" s="78">
        <v>6194.05</v>
      </c>
      <c r="D63" s="78">
        <v>6111.1</v>
      </c>
      <c r="E63" s="78">
        <v>6140.1</v>
      </c>
      <c r="F63" s="78">
        <v>6090.6</v>
      </c>
      <c r="G63" s="78">
        <v>565826</v>
      </c>
      <c r="H63" s="3">
        <f t="shared" si="0"/>
        <v>-9.9327603721559334E-3</v>
      </c>
      <c r="J63" s="79">
        <v>45265</v>
      </c>
      <c r="K63" s="78">
        <v>20808.900000000001</v>
      </c>
      <c r="L63" s="78">
        <v>20864.05</v>
      </c>
      <c r="M63" s="78">
        <v>20711.150000000001</v>
      </c>
      <c r="N63" s="78">
        <v>20855.099999999999</v>
      </c>
      <c r="O63" s="80">
        <v>421000000</v>
      </c>
      <c r="P63" s="80">
        <v>41763.519999999997</v>
      </c>
      <c r="Q63" s="78">
        <f t="shared" si="1"/>
        <v>8.1356227159347649E-3</v>
      </c>
    </row>
    <row r="64" spans="1:17" ht="14.4">
      <c r="A64" s="75">
        <v>45089</v>
      </c>
      <c r="B64" s="78">
        <v>6089.05</v>
      </c>
      <c r="C64" s="78">
        <v>6096</v>
      </c>
      <c r="D64" s="78">
        <v>5987.85</v>
      </c>
      <c r="E64" s="78">
        <v>6069.95</v>
      </c>
      <c r="F64" s="78">
        <v>6021.0159999999996</v>
      </c>
      <c r="G64" s="78">
        <v>699201</v>
      </c>
      <c r="H64" s="3">
        <f t="shared" si="0"/>
        <v>-1.1424895360010512E-2</v>
      </c>
      <c r="J64" s="79">
        <v>45266</v>
      </c>
      <c r="K64" s="78">
        <v>20950.75</v>
      </c>
      <c r="L64" s="78">
        <v>20961.95</v>
      </c>
      <c r="M64" s="78">
        <v>20852.150000000001</v>
      </c>
      <c r="N64" s="78">
        <v>20937.7</v>
      </c>
      <c r="O64" s="80">
        <v>359000000</v>
      </c>
      <c r="P64" s="80">
        <v>35654.76</v>
      </c>
      <c r="Q64" s="78">
        <f t="shared" si="1"/>
        <v>3.9606619004465184E-3</v>
      </c>
    </row>
    <row r="65" spans="1:17" ht="14.4">
      <c r="A65" s="75">
        <v>45119</v>
      </c>
      <c r="B65" s="78">
        <v>6069.95</v>
      </c>
      <c r="C65" s="78">
        <v>6154.45</v>
      </c>
      <c r="D65" s="78">
        <v>6063.1</v>
      </c>
      <c r="E65" s="78">
        <v>6093.6</v>
      </c>
      <c r="F65" s="78">
        <v>6044.4750000000004</v>
      </c>
      <c r="G65" s="78">
        <v>427407</v>
      </c>
      <c r="H65" s="3">
        <f t="shared" si="0"/>
        <v>3.8962429674050934E-3</v>
      </c>
      <c r="J65" s="79">
        <v>45267</v>
      </c>
      <c r="K65" s="78">
        <v>20932.400000000001</v>
      </c>
      <c r="L65" s="78">
        <v>20941.25</v>
      </c>
      <c r="M65" s="78">
        <v>20850.8</v>
      </c>
      <c r="N65" s="78">
        <v>20901.150000000001</v>
      </c>
      <c r="O65" s="80">
        <v>275000000</v>
      </c>
      <c r="P65" s="80">
        <v>24862.43</v>
      </c>
      <c r="Q65" s="78">
        <f t="shared" si="1"/>
        <v>-1.7456549668778934E-3</v>
      </c>
    </row>
    <row r="66" spans="1:17" ht="14.4">
      <c r="A66" s="75">
        <v>45150</v>
      </c>
      <c r="B66" s="78">
        <v>6115</v>
      </c>
      <c r="C66" s="78">
        <v>6120</v>
      </c>
      <c r="D66" s="78">
        <v>6048.05</v>
      </c>
      <c r="E66" s="78">
        <v>6075.7</v>
      </c>
      <c r="F66" s="78">
        <v>6026.7190000000001</v>
      </c>
      <c r="G66" s="78">
        <v>233266</v>
      </c>
      <c r="H66" s="3">
        <f t="shared" si="0"/>
        <v>-2.937508205330272E-3</v>
      </c>
      <c r="J66" s="79">
        <v>45268</v>
      </c>
      <c r="K66" s="78">
        <v>20934.099999999999</v>
      </c>
      <c r="L66" s="78">
        <v>21006.1</v>
      </c>
      <c r="M66" s="78">
        <v>20862.7</v>
      </c>
      <c r="N66" s="78">
        <v>20969.400000000001</v>
      </c>
      <c r="O66" s="80">
        <v>292000000</v>
      </c>
      <c r="P66" s="80">
        <v>27449.96</v>
      </c>
      <c r="Q66" s="78">
        <f t="shared" si="1"/>
        <v>3.2653705657344212E-3</v>
      </c>
    </row>
    <row r="67" spans="1:17" ht="14.4">
      <c r="A67" s="82">
        <v>45242</v>
      </c>
      <c r="B67" s="78">
        <v>6085</v>
      </c>
      <c r="C67" s="78">
        <v>6145</v>
      </c>
      <c r="D67" s="78">
        <v>6018.3</v>
      </c>
      <c r="E67" s="78">
        <v>6138.4</v>
      </c>
      <c r="F67" s="78">
        <v>6088.9139999999998</v>
      </c>
      <c r="G67" s="78">
        <v>175955</v>
      </c>
      <c r="H67" s="3">
        <f t="shared" si="0"/>
        <v>1.0319798541731788E-2</v>
      </c>
      <c r="J67" s="81">
        <v>45271</v>
      </c>
      <c r="K67" s="78">
        <v>20965.3</v>
      </c>
      <c r="L67" s="78">
        <v>21026.1</v>
      </c>
      <c r="M67" s="78">
        <v>20923.7</v>
      </c>
      <c r="N67" s="78">
        <v>20997.1</v>
      </c>
      <c r="O67" s="80">
        <v>213000000</v>
      </c>
      <c r="P67" s="80">
        <v>21150.17</v>
      </c>
      <c r="Q67" s="78">
        <f t="shared" si="1"/>
        <v>1.3209724646388113E-3</v>
      </c>
    </row>
    <row r="68" spans="1:17" ht="14.4">
      <c r="A68" s="82">
        <v>45272</v>
      </c>
      <c r="B68" s="78">
        <v>6164</v>
      </c>
      <c r="C68" s="78">
        <v>6299.95</v>
      </c>
      <c r="D68" s="78">
        <v>6149.95</v>
      </c>
      <c r="E68" s="78">
        <v>6254.2</v>
      </c>
      <c r="F68" s="78">
        <v>6203.78</v>
      </c>
      <c r="G68" s="78">
        <v>810900</v>
      </c>
      <c r="H68" s="3">
        <f t="shared" si="0"/>
        <v>1.8864850775446401E-2</v>
      </c>
      <c r="J68" s="81">
        <v>45272</v>
      </c>
      <c r="K68" s="78">
        <v>21018.55</v>
      </c>
      <c r="L68" s="78">
        <v>21037.9</v>
      </c>
      <c r="M68" s="78">
        <v>20867.150000000001</v>
      </c>
      <c r="N68" s="78">
        <v>20906.400000000001</v>
      </c>
      <c r="O68" s="80">
        <v>245000000</v>
      </c>
      <c r="P68" s="80">
        <v>25404.639999999999</v>
      </c>
      <c r="Q68" s="78">
        <f t="shared" si="1"/>
        <v>-4.3196441413336653E-3</v>
      </c>
    </row>
    <row r="69" spans="1:17" ht="14.4">
      <c r="A69" s="78" t="s">
        <v>340</v>
      </c>
      <c r="B69" s="78">
        <v>6259.9</v>
      </c>
      <c r="C69" s="78">
        <v>6329</v>
      </c>
      <c r="D69" s="78">
        <v>6224.35</v>
      </c>
      <c r="E69" s="78">
        <v>6316.1</v>
      </c>
      <c r="F69" s="78">
        <v>6265.1809999999996</v>
      </c>
      <c r="G69" s="78">
        <v>373989</v>
      </c>
      <c r="H69" s="3">
        <f t="shared" si="0"/>
        <v>9.8973489814845293E-3</v>
      </c>
      <c r="J69" s="81">
        <v>45273</v>
      </c>
      <c r="K69" s="78">
        <v>20929.75</v>
      </c>
      <c r="L69" s="78">
        <v>20950</v>
      </c>
      <c r="M69" s="78">
        <v>20769.5</v>
      </c>
      <c r="N69" s="78">
        <v>20926.349999999999</v>
      </c>
      <c r="O69" s="80">
        <v>260000000</v>
      </c>
      <c r="P69" s="80">
        <v>25918.44</v>
      </c>
      <c r="Q69" s="78">
        <f t="shared" si="1"/>
        <v>9.5425324302591977E-4</v>
      </c>
    </row>
    <row r="70" spans="1:17" ht="14.4">
      <c r="A70" s="78" t="s">
        <v>341</v>
      </c>
      <c r="B70" s="78">
        <v>6325</v>
      </c>
      <c r="C70" s="78">
        <v>6360</v>
      </c>
      <c r="D70" s="78">
        <v>6284.2</v>
      </c>
      <c r="E70" s="78">
        <v>6334.85</v>
      </c>
      <c r="F70" s="78">
        <v>6283.78</v>
      </c>
      <c r="G70" s="78">
        <v>419212</v>
      </c>
      <c r="H70" s="3">
        <f t="shared" si="0"/>
        <v>2.968604043634521E-3</v>
      </c>
      <c r="J70" s="81">
        <v>45274</v>
      </c>
      <c r="K70" s="78">
        <v>21110.400000000001</v>
      </c>
      <c r="L70" s="78">
        <v>21210.9</v>
      </c>
      <c r="M70" s="78">
        <v>21074.45</v>
      </c>
      <c r="N70" s="78">
        <v>21182.7</v>
      </c>
      <c r="O70" s="80">
        <v>334000000</v>
      </c>
      <c r="P70" s="80">
        <v>32593.42</v>
      </c>
      <c r="Q70" s="78">
        <f t="shared" si="1"/>
        <v>1.2250105727945973E-2</v>
      </c>
    </row>
    <row r="71" spans="1:17" ht="14.4">
      <c r="A71" s="78" t="s">
        <v>342</v>
      </c>
      <c r="B71" s="78">
        <v>6368.95</v>
      </c>
      <c r="C71" s="78">
        <v>6402.1</v>
      </c>
      <c r="D71" s="78">
        <v>6256.15</v>
      </c>
      <c r="E71" s="78">
        <v>6275.2</v>
      </c>
      <c r="F71" s="78">
        <v>6224.6109999999999</v>
      </c>
      <c r="G71" s="78">
        <v>553522</v>
      </c>
      <c r="H71" s="3">
        <f t="shared" si="0"/>
        <v>-9.4161661286377013E-3</v>
      </c>
      <c r="J71" s="81">
        <v>45275</v>
      </c>
      <c r="K71" s="78">
        <v>21287.45</v>
      </c>
      <c r="L71" s="78">
        <v>21492.3</v>
      </c>
      <c r="M71" s="78">
        <v>21235.3</v>
      </c>
      <c r="N71" s="78">
        <v>21456.65</v>
      </c>
      <c r="O71" s="80">
        <v>509000000</v>
      </c>
      <c r="P71" s="80">
        <v>50114.46</v>
      </c>
      <c r="Q71" s="78">
        <f t="shared" si="1"/>
        <v>1.2932723401643828E-2</v>
      </c>
    </row>
    <row r="72" spans="1:17" ht="14.4">
      <c r="A72" s="78" t="s">
        <v>343</v>
      </c>
      <c r="B72" s="78">
        <v>6275.2</v>
      </c>
      <c r="C72" s="78">
        <v>6486.75</v>
      </c>
      <c r="D72" s="78">
        <v>6262.15</v>
      </c>
      <c r="E72" s="78">
        <v>6465.7</v>
      </c>
      <c r="F72" s="78">
        <v>6413.5749999999998</v>
      </c>
      <c r="G72" s="78">
        <v>851061</v>
      </c>
      <c r="H72" s="3">
        <f t="shared" si="0"/>
        <v>3.035759816420194E-2</v>
      </c>
      <c r="J72" s="81">
        <v>45278</v>
      </c>
      <c r="K72" s="78">
        <v>21434.799999999999</v>
      </c>
      <c r="L72" s="78">
        <v>21482.799999999999</v>
      </c>
      <c r="M72" s="78">
        <v>21365.35</v>
      </c>
      <c r="N72" s="78">
        <v>21418.65</v>
      </c>
      <c r="O72" s="80">
        <v>250000000</v>
      </c>
      <c r="P72" s="80">
        <v>23615.279999999999</v>
      </c>
      <c r="Q72" s="78">
        <f t="shared" si="1"/>
        <v>-1.7710127163373592E-3</v>
      </c>
    </row>
    <row r="73" spans="1:17" ht="14.4">
      <c r="A73" s="78" t="s">
        <v>344</v>
      </c>
      <c r="B73" s="78">
        <v>6470</v>
      </c>
      <c r="C73" s="78">
        <v>6470.25</v>
      </c>
      <c r="D73" s="78">
        <v>6395.9</v>
      </c>
      <c r="E73" s="78">
        <v>6419</v>
      </c>
      <c r="F73" s="78">
        <v>6367.2510000000002</v>
      </c>
      <c r="G73" s="78">
        <v>377109</v>
      </c>
      <c r="H73" s="3">
        <f t="shared" si="0"/>
        <v>-7.2227291708554095E-3</v>
      </c>
      <c r="J73" s="81">
        <v>45279</v>
      </c>
      <c r="K73" s="78">
        <v>21477.65</v>
      </c>
      <c r="L73" s="78">
        <v>21505.05</v>
      </c>
      <c r="M73" s="78">
        <v>21337.75</v>
      </c>
      <c r="N73" s="78">
        <v>21453.1</v>
      </c>
      <c r="O73" s="80">
        <v>250000000</v>
      </c>
      <c r="P73" s="80">
        <v>23750.61</v>
      </c>
      <c r="Q73" s="78">
        <f t="shared" si="1"/>
        <v>1.6084113611267324E-3</v>
      </c>
    </row>
    <row r="74" spans="1:17" ht="14.4">
      <c r="A74" s="78" t="s">
        <v>345</v>
      </c>
      <c r="B74" s="78">
        <v>6434</v>
      </c>
      <c r="C74" s="78">
        <v>6466</v>
      </c>
      <c r="D74" s="78">
        <v>6350</v>
      </c>
      <c r="E74" s="78">
        <v>6364.45</v>
      </c>
      <c r="F74" s="78">
        <v>6313.1419999999998</v>
      </c>
      <c r="G74" s="78">
        <v>385863</v>
      </c>
      <c r="H74" s="3">
        <f t="shared" si="0"/>
        <v>-8.4982084436828458E-3</v>
      </c>
      <c r="J74" s="81">
        <v>45280</v>
      </c>
      <c r="K74" s="78">
        <v>21543.5</v>
      </c>
      <c r="L74" s="78">
        <v>21593</v>
      </c>
      <c r="M74" s="78">
        <v>21087.35</v>
      </c>
      <c r="N74" s="78">
        <v>21150.15</v>
      </c>
      <c r="O74" s="80">
        <v>364000000</v>
      </c>
      <c r="P74" s="80">
        <v>30993.119999999999</v>
      </c>
      <c r="Q74" s="78">
        <f t="shared" si="1"/>
        <v>-1.4121502253753401E-2</v>
      </c>
    </row>
    <row r="75" spans="1:17" ht="14.4">
      <c r="A75" s="78" t="s">
        <v>346</v>
      </c>
      <c r="B75" s="78">
        <v>6333.2</v>
      </c>
      <c r="C75" s="78">
        <v>6345</v>
      </c>
      <c r="D75" s="78">
        <v>6232</v>
      </c>
      <c r="E75" s="78">
        <v>6246.35</v>
      </c>
      <c r="F75" s="78">
        <v>6195.9939999999997</v>
      </c>
      <c r="G75" s="78">
        <v>397717</v>
      </c>
      <c r="H75" s="3">
        <f t="shared" si="0"/>
        <v>-1.8556198885999492E-2</v>
      </c>
      <c r="J75" s="81">
        <v>45281</v>
      </c>
      <c r="K75" s="78">
        <v>21033.95</v>
      </c>
      <c r="L75" s="78">
        <v>21288.35</v>
      </c>
      <c r="M75" s="78">
        <v>20976.799999999999</v>
      </c>
      <c r="N75" s="78">
        <v>21255.05</v>
      </c>
      <c r="O75" s="80">
        <v>278000000</v>
      </c>
      <c r="P75" s="80">
        <v>26001.02</v>
      </c>
      <c r="Q75" s="78">
        <f t="shared" si="1"/>
        <v>4.9597756989902108E-3</v>
      </c>
    </row>
    <row r="76" spans="1:17" ht="14.4">
      <c r="A76" s="78" t="s">
        <v>347</v>
      </c>
      <c r="B76" s="78">
        <v>6288</v>
      </c>
      <c r="C76" s="78">
        <v>6395</v>
      </c>
      <c r="D76" s="78">
        <v>6264.25</v>
      </c>
      <c r="E76" s="78">
        <v>6372.1</v>
      </c>
      <c r="F76" s="78">
        <v>6320.7290000000003</v>
      </c>
      <c r="G76" s="78">
        <v>237213</v>
      </c>
      <c r="H76" s="3">
        <f t="shared" si="0"/>
        <v>2.0131756946056494E-2</v>
      </c>
      <c r="J76" s="81">
        <v>45282</v>
      </c>
      <c r="K76" s="78">
        <v>21295.85</v>
      </c>
      <c r="L76" s="78">
        <v>21390.5</v>
      </c>
      <c r="M76" s="78">
        <v>21232.45</v>
      </c>
      <c r="N76" s="78">
        <v>21349.4</v>
      </c>
      <c r="O76" s="80">
        <v>285000000</v>
      </c>
      <c r="P76" s="80">
        <v>27709.29</v>
      </c>
      <c r="Q76" s="78">
        <f t="shared" si="1"/>
        <v>4.4389450977533424E-3</v>
      </c>
    </row>
    <row r="77" spans="1:17" ht="14.4">
      <c r="A77" s="78" t="s">
        <v>348</v>
      </c>
      <c r="B77" s="78">
        <v>6379.85</v>
      </c>
      <c r="C77" s="78">
        <v>6475</v>
      </c>
      <c r="D77" s="78">
        <v>6370.05</v>
      </c>
      <c r="E77" s="78">
        <v>6464.55</v>
      </c>
      <c r="F77" s="78">
        <v>6412.4340000000002</v>
      </c>
      <c r="G77" s="78">
        <v>302139</v>
      </c>
      <c r="H77" s="3">
        <f t="shared" si="0"/>
        <v>1.4508560757050237E-2</v>
      </c>
      <c r="J77" s="81">
        <v>45286</v>
      </c>
      <c r="K77" s="78">
        <v>21365.200000000001</v>
      </c>
      <c r="L77" s="78">
        <v>21477.15</v>
      </c>
      <c r="M77" s="78">
        <v>21329.45</v>
      </c>
      <c r="N77" s="78">
        <v>21441.35</v>
      </c>
      <c r="O77" s="80">
        <v>219000000</v>
      </c>
      <c r="P77" s="80">
        <v>20081.330000000002</v>
      </c>
      <c r="Q77" s="78">
        <f t="shared" si="1"/>
        <v>4.3069126064431357E-3</v>
      </c>
    </row>
    <row r="78" spans="1:17" ht="14.4">
      <c r="A78" s="78" t="s">
        <v>349</v>
      </c>
      <c r="B78" s="78">
        <v>6470</v>
      </c>
      <c r="C78" s="78">
        <v>6740.25</v>
      </c>
      <c r="D78" s="78">
        <v>6465.2</v>
      </c>
      <c r="E78" s="78">
        <v>6709.65</v>
      </c>
      <c r="F78" s="78">
        <v>6655.558</v>
      </c>
      <c r="G78" s="78">
        <v>1017894</v>
      </c>
      <c r="H78" s="3">
        <f t="shared" si="0"/>
        <v>3.7914472005011864E-2</v>
      </c>
      <c r="J78" s="81">
        <v>45287</v>
      </c>
      <c r="K78" s="78">
        <v>21497.65</v>
      </c>
      <c r="L78" s="78">
        <v>21675.75</v>
      </c>
      <c r="M78" s="78">
        <v>21495.8</v>
      </c>
      <c r="N78" s="78">
        <v>21654.75</v>
      </c>
      <c r="O78" s="80">
        <v>257000000</v>
      </c>
      <c r="P78" s="80">
        <v>23059.25</v>
      </c>
      <c r="Q78" s="78">
        <f t="shared" si="1"/>
        <v>9.9527315211029848E-3</v>
      </c>
    </row>
    <row r="79" spans="1:17" ht="14.4">
      <c r="A79" s="78" t="s">
        <v>350</v>
      </c>
      <c r="B79" s="78">
        <v>6709.65</v>
      </c>
      <c r="C79" s="78">
        <v>6738.65</v>
      </c>
      <c r="D79" s="78">
        <v>6666</v>
      </c>
      <c r="E79" s="78">
        <v>6703.3</v>
      </c>
      <c r="F79" s="78">
        <v>6649.259</v>
      </c>
      <c r="G79" s="78">
        <v>406228</v>
      </c>
      <c r="H79" s="3">
        <f t="shared" si="0"/>
        <v>-9.4639809826137797E-4</v>
      </c>
      <c r="J79" s="81">
        <v>45288</v>
      </c>
      <c r="K79" s="78">
        <v>21715</v>
      </c>
      <c r="L79" s="78">
        <v>21801.45</v>
      </c>
      <c r="M79" s="78">
        <v>21678</v>
      </c>
      <c r="N79" s="78">
        <v>21778.7</v>
      </c>
      <c r="O79" s="80">
        <v>393000000</v>
      </c>
      <c r="P79" s="80">
        <v>35031</v>
      </c>
      <c r="Q79" s="78">
        <f t="shared" si="1"/>
        <v>5.7239173853311969E-3</v>
      </c>
    </row>
    <row r="80" spans="1:17" ht="14.4">
      <c r="A80" s="78" t="s">
        <v>351</v>
      </c>
      <c r="B80" s="78">
        <v>6729.95</v>
      </c>
      <c r="C80" s="78">
        <v>6833.95</v>
      </c>
      <c r="D80" s="78">
        <v>6666</v>
      </c>
      <c r="E80" s="78">
        <v>6797.25</v>
      </c>
      <c r="F80" s="78">
        <v>6742.4520000000002</v>
      </c>
      <c r="G80" s="78">
        <v>345626</v>
      </c>
      <c r="H80" s="3">
        <f t="shared" si="0"/>
        <v>1.4015484910417229E-2</v>
      </c>
      <c r="J80" s="81">
        <v>45289</v>
      </c>
      <c r="K80" s="78">
        <v>21737.65</v>
      </c>
      <c r="L80" s="78">
        <v>21770.3</v>
      </c>
      <c r="M80" s="78">
        <v>21676.9</v>
      </c>
      <c r="N80" s="78">
        <v>21731.4</v>
      </c>
      <c r="O80" s="80">
        <v>271000000</v>
      </c>
      <c r="P80" s="80">
        <v>23697.88</v>
      </c>
      <c r="Q80" s="78">
        <f t="shared" si="1"/>
        <v>-2.1718468044465127E-3</v>
      </c>
    </row>
    <row r="81" spans="1:17" ht="14.4">
      <c r="A81" s="75">
        <v>45292</v>
      </c>
      <c r="B81" s="78">
        <v>6770</v>
      </c>
      <c r="C81" s="78">
        <v>6795.5</v>
      </c>
      <c r="D81" s="78">
        <v>6682.05</v>
      </c>
      <c r="E81" s="78">
        <v>6701.1</v>
      </c>
      <c r="F81" s="78">
        <v>6647.0770000000002</v>
      </c>
      <c r="G81" s="78">
        <v>253274</v>
      </c>
      <c r="H81" s="3">
        <f t="shared" si="0"/>
        <v>-1.4145426459229782E-2</v>
      </c>
      <c r="J81" s="79">
        <v>45292</v>
      </c>
      <c r="K81" s="78">
        <v>21727.75</v>
      </c>
      <c r="L81" s="78">
        <v>21834.35</v>
      </c>
      <c r="M81" s="78">
        <v>21680.85</v>
      </c>
      <c r="N81" s="78">
        <v>21741.9</v>
      </c>
      <c r="O81" s="80">
        <v>154000000</v>
      </c>
      <c r="P81" s="80">
        <v>14184.09</v>
      </c>
      <c r="Q81" s="78">
        <f t="shared" si="1"/>
        <v>4.8317181589773318E-4</v>
      </c>
    </row>
    <row r="82" spans="1:17" ht="14.4">
      <c r="A82" s="75">
        <v>45323</v>
      </c>
      <c r="B82" s="78">
        <v>6711</v>
      </c>
      <c r="C82" s="78">
        <v>6736.8</v>
      </c>
      <c r="D82" s="78">
        <v>6560.95</v>
      </c>
      <c r="E82" s="78">
        <v>6665.05</v>
      </c>
      <c r="F82" s="78">
        <v>6611.3180000000002</v>
      </c>
      <c r="G82" s="78">
        <v>361379</v>
      </c>
      <c r="H82" s="3">
        <f t="shared" si="0"/>
        <v>-5.3797137783349273E-3</v>
      </c>
      <c r="J82" s="79">
        <v>45293</v>
      </c>
      <c r="K82" s="78">
        <v>21751.35</v>
      </c>
      <c r="L82" s="78">
        <v>21755.599999999999</v>
      </c>
      <c r="M82" s="78">
        <v>21555.65</v>
      </c>
      <c r="N82" s="78">
        <v>21665.8</v>
      </c>
      <c r="O82" s="80">
        <v>264000000</v>
      </c>
      <c r="P82" s="80">
        <v>25316.13</v>
      </c>
      <c r="Q82" s="78">
        <f t="shared" si="1"/>
        <v>-3.5001540803702609E-3</v>
      </c>
    </row>
    <row r="83" spans="1:17" ht="14.4">
      <c r="A83" s="75">
        <v>45352</v>
      </c>
      <c r="B83" s="78">
        <v>6644.05</v>
      </c>
      <c r="C83" s="78">
        <v>7059.85</v>
      </c>
      <c r="D83" s="78">
        <v>6604</v>
      </c>
      <c r="E83" s="78">
        <v>6986.5</v>
      </c>
      <c r="F83" s="78">
        <v>6930.1760000000004</v>
      </c>
      <c r="G83" s="78">
        <v>1256275</v>
      </c>
      <c r="H83" s="3">
        <f t="shared" si="0"/>
        <v>4.8229195579928101E-2</v>
      </c>
      <c r="J83" s="79">
        <v>45294</v>
      </c>
      <c r="K83" s="78">
        <v>21661.1</v>
      </c>
      <c r="L83" s="78">
        <v>21677</v>
      </c>
      <c r="M83" s="78">
        <v>21500.35</v>
      </c>
      <c r="N83" s="78">
        <v>21517.35</v>
      </c>
      <c r="O83" s="80">
        <v>312000000</v>
      </c>
      <c r="P83" s="80">
        <v>32329.23</v>
      </c>
      <c r="Q83" s="78">
        <f t="shared" si="1"/>
        <v>-6.8518125340398571E-3</v>
      </c>
    </row>
    <row r="84" spans="1:17" ht="14.4">
      <c r="A84" s="75">
        <v>45383</v>
      </c>
      <c r="B84" s="78">
        <v>7025</v>
      </c>
      <c r="C84" s="78">
        <v>7028.95</v>
      </c>
      <c r="D84" s="78">
        <v>6887</v>
      </c>
      <c r="E84" s="78">
        <v>6922.15</v>
      </c>
      <c r="F84" s="78">
        <v>6866.3450000000003</v>
      </c>
      <c r="G84" s="78">
        <v>619987</v>
      </c>
      <c r="H84" s="3">
        <f t="shared" si="0"/>
        <v>-9.2106204823588864E-3</v>
      </c>
      <c r="J84" s="79">
        <v>45295</v>
      </c>
      <c r="K84" s="78">
        <v>21605.8</v>
      </c>
      <c r="L84" s="78">
        <v>21685.65</v>
      </c>
      <c r="M84" s="78">
        <v>21564.55</v>
      </c>
      <c r="N84" s="78">
        <v>21658.6</v>
      </c>
      <c r="O84" s="80">
        <v>339000000</v>
      </c>
      <c r="P84" s="80">
        <v>30868.15</v>
      </c>
      <c r="Q84" s="78">
        <f t="shared" si="1"/>
        <v>6.5644700671783473E-3</v>
      </c>
    </row>
    <row r="85" spans="1:17" ht="14.4">
      <c r="A85" s="75">
        <v>45413</v>
      </c>
      <c r="B85" s="78">
        <v>6950</v>
      </c>
      <c r="C85" s="78">
        <v>7084</v>
      </c>
      <c r="D85" s="78">
        <v>6920.5</v>
      </c>
      <c r="E85" s="78">
        <v>6978.5</v>
      </c>
      <c r="F85" s="78">
        <v>6922.241</v>
      </c>
      <c r="G85" s="78">
        <v>659306</v>
      </c>
      <c r="H85" s="3">
        <f t="shared" si="0"/>
        <v>8.1405343715464651E-3</v>
      </c>
      <c r="J85" s="79">
        <v>45296</v>
      </c>
      <c r="K85" s="78">
        <v>21705.75</v>
      </c>
      <c r="L85" s="78">
        <v>21749.599999999999</v>
      </c>
      <c r="M85" s="78">
        <v>21629.200000000001</v>
      </c>
      <c r="N85" s="78">
        <v>21710.799999999999</v>
      </c>
      <c r="O85" s="80">
        <v>309000000</v>
      </c>
      <c r="P85" s="80">
        <v>26554.49</v>
      </c>
      <c r="Q85" s="78">
        <f t="shared" si="1"/>
        <v>2.4101280784538581E-3</v>
      </c>
    </row>
    <row r="86" spans="1:17" ht="14.4">
      <c r="A86" s="75">
        <v>45505</v>
      </c>
      <c r="B86" s="78">
        <v>7018.95</v>
      </c>
      <c r="C86" s="78">
        <v>7049.85</v>
      </c>
      <c r="D86" s="78">
        <v>6961.5</v>
      </c>
      <c r="E86" s="78">
        <v>6983.85</v>
      </c>
      <c r="F86" s="78">
        <v>6927.5479999999998</v>
      </c>
      <c r="G86" s="78">
        <v>312733</v>
      </c>
      <c r="H86" s="3">
        <f t="shared" si="0"/>
        <v>7.6664039550051783E-4</v>
      </c>
      <c r="J86" s="79">
        <v>45299</v>
      </c>
      <c r="K86" s="78">
        <v>21747.599999999999</v>
      </c>
      <c r="L86" s="78">
        <v>21763.95</v>
      </c>
      <c r="M86" s="78">
        <v>21492.9</v>
      </c>
      <c r="N86" s="78">
        <v>21513</v>
      </c>
      <c r="O86" s="80">
        <v>231000000</v>
      </c>
      <c r="P86" s="80">
        <v>21140.94</v>
      </c>
      <c r="Q86" s="78">
        <f t="shared" si="1"/>
        <v>-9.1106730290914789E-3</v>
      </c>
    </row>
    <row r="87" spans="1:17" ht="14.4">
      <c r="A87" s="75">
        <v>45536</v>
      </c>
      <c r="B87" s="78">
        <v>7341</v>
      </c>
      <c r="C87" s="78">
        <v>7399</v>
      </c>
      <c r="D87" s="78">
        <v>7075.9</v>
      </c>
      <c r="E87" s="78">
        <v>7093.9</v>
      </c>
      <c r="F87" s="78">
        <v>7036.71</v>
      </c>
      <c r="G87" s="78">
        <v>2125908</v>
      </c>
      <c r="H87" s="3">
        <f t="shared" si="0"/>
        <v>1.5757784030298368E-2</v>
      </c>
      <c r="J87" s="79">
        <v>45300</v>
      </c>
      <c r="K87" s="78">
        <v>21653.599999999999</v>
      </c>
      <c r="L87" s="78">
        <v>21724.45</v>
      </c>
      <c r="M87" s="78">
        <v>21517.85</v>
      </c>
      <c r="N87" s="78">
        <v>21544.85</v>
      </c>
      <c r="O87" s="80">
        <v>229000000</v>
      </c>
      <c r="P87" s="80">
        <v>24055.74</v>
      </c>
      <c r="Q87" s="78">
        <f t="shared" si="1"/>
        <v>1.4805001626922579E-3</v>
      </c>
    </row>
    <row r="88" spans="1:17" ht="14.4">
      <c r="A88" s="75">
        <v>45566</v>
      </c>
      <c r="B88" s="78">
        <v>7125</v>
      </c>
      <c r="C88" s="78">
        <v>7139.95</v>
      </c>
      <c r="D88" s="78">
        <v>7020</v>
      </c>
      <c r="E88" s="78">
        <v>7053.75</v>
      </c>
      <c r="F88" s="78">
        <v>6996.884</v>
      </c>
      <c r="G88" s="78">
        <v>721432</v>
      </c>
      <c r="H88" s="3">
        <f t="shared" si="0"/>
        <v>-5.6597922158473672E-3</v>
      </c>
      <c r="J88" s="81">
        <v>45301</v>
      </c>
      <c r="K88" s="78">
        <v>21529.3</v>
      </c>
      <c r="L88" s="78">
        <v>21641.85</v>
      </c>
      <c r="M88" s="78">
        <v>21448.65</v>
      </c>
      <c r="N88" s="78">
        <v>21618.7</v>
      </c>
      <c r="O88" s="80">
        <v>217000000</v>
      </c>
      <c r="P88" s="80">
        <v>20958.96</v>
      </c>
      <c r="Q88" s="78">
        <f t="shared" si="1"/>
        <v>3.4277333098166004E-3</v>
      </c>
    </row>
    <row r="89" spans="1:17" ht="14.4">
      <c r="A89" s="75">
        <v>45597</v>
      </c>
      <c r="B89" s="78">
        <v>7090</v>
      </c>
      <c r="C89" s="78">
        <v>7324.9</v>
      </c>
      <c r="D89" s="78">
        <v>7075</v>
      </c>
      <c r="E89" s="78">
        <v>7298.85</v>
      </c>
      <c r="F89" s="78">
        <v>7240.0079999999998</v>
      </c>
      <c r="G89" s="78">
        <v>1031594</v>
      </c>
      <c r="H89" s="3">
        <f t="shared" si="0"/>
        <v>3.4747474747474798E-2</v>
      </c>
      <c r="J89" s="81">
        <v>45302</v>
      </c>
      <c r="K89" s="78">
        <v>21688</v>
      </c>
      <c r="L89" s="78">
        <v>21726.5</v>
      </c>
      <c r="M89" s="78">
        <v>21593.75</v>
      </c>
      <c r="N89" s="78">
        <v>21647.200000000001</v>
      </c>
      <c r="O89" s="80">
        <v>212000000</v>
      </c>
      <c r="P89" s="80">
        <v>23492.12</v>
      </c>
      <c r="Q89" s="78">
        <f t="shared" si="1"/>
        <v>1.3183031357112129E-3</v>
      </c>
    </row>
    <row r="90" spans="1:17" ht="14.4">
      <c r="A90" s="75">
        <v>45627</v>
      </c>
      <c r="B90" s="78">
        <v>7360</v>
      </c>
      <c r="C90" s="78">
        <v>7360.95</v>
      </c>
      <c r="D90" s="78">
        <v>7252</v>
      </c>
      <c r="E90" s="78">
        <v>7301.95</v>
      </c>
      <c r="F90" s="78">
        <v>7243.0829999999996</v>
      </c>
      <c r="G90" s="78">
        <v>434753</v>
      </c>
      <c r="H90" s="3">
        <f t="shared" si="0"/>
        <v>4.2472444289161365E-4</v>
      </c>
      <c r="J90" s="81">
        <v>45303</v>
      </c>
      <c r="K90" s="78">
        <v>21773.55</v>
      </c>
      <c r="L90" s="78">
        <v>21928.25</v>
      </c>
      <c r="M90" s="78">
        <v>21715.15</v>
      </c>
      <c r="N90" s="78">
        <v>21894.55</v>
      </c>
      <c r="O90" s="80">
        <v>295000000</v>
      </c>
      <c r="P90" s="80">
        <v>30565.5</v>
      </c>
      <c r="Q90" s="78">
        <f t="shared" si="1"/>
        <v>1.1426420045086596E-2</v>
      </c>
    </row>
    <row r="91" spans="1:17" ht="14.4">
      <c r="A91" s="78" t="s">
        <v>352</v>
      </c>
      <c r="B91" s="78">
        <v>7301.95</v>
      </c>
      <c r="C91" s="78">
        <v>7301.95</v>
      </c>
      <c r="D91" s="78">
        <v>7301.95</v>
      </c>
      <c r="E91" s="78">
        <v>7301.95</v>
      </c>
      <c r="F91" s="78">
        <v>7243.0829999999996</v>
      </c>
      <c r="G91" s="78">
        <v>0</v>
      </c>
      <c r="H91" s="3">
        <f t="shared" si="0"/>
        <v>0</v>
      </c>
      <c r="J91" s="81">
        <v>45306</v>
      </c>
      <c r="K91" s="78">
        <v>22053.15</v>
      </c>
      <c r="L91" s="78">
        <v>22115.55</v>
      </c>
      <c r="M91" s="78">
        <v>21963.55</v>
      </c>
      <c r="N91" s="78">
        <v>22097.45</v>
      </c>
      <c r="O91" s="80">
        <v>346000000</v>
      </c>
      <c r="P91" s="80">
        <v>29523.15</v>
      </c>
      <c r="Q91" s="78">
        <f t="shared" si="1"/>
        <v>9.2671463903118111E-3</v>
      </c>
    </row>
    <row r="92" spans="1:17" ht="14.4">
      <c r="A92" s="78" t="s">
        <v>353</v>
      </c>
      <c r="B92" s="78">
        <v>7339</v>
      </c>
      <c r="C92" s="78">
        <v>7356.15</v>
      </c>
      <c r="D92" s="78">
        <v>7244</v>
      </c>
      <c r="E92" s="78">
        <v>7293.95</v>
      </c>
      <c r="F92" s="78">
        <v>7235.1480000000001</v>
      </c>
      <c r="G92" s="78">
        <v>272181</v>
      </c>
      <c r="H92" s="3">
        <f t="shared" si="0"/>
        <v>-1.0955977512856156E-3</v>
      </c>
      <c r="J92" s="81">
        <v>45307</v>
      </c>
      <c r="K92" s="78">
        <v>22080.5</v>
      </c>
      <c r="L92" s="78">
        <v>22124.15</v>
      </c>
      <c r="M92" s="78">
        <v>21969.8</v>
      </c>
      <c r="N92" s="78">
        <v>22032.3</v>
      </c>
      <c r="O92" s="80">
        <v>292000000</v>
      </c>
      <c r="P92" s="80">
        <v>24435.94</v>
      </c>
      <c r="Q92" s="78">
        <f t="shared" si="1"/>
        <v>-2.9483039898269463E-3</v>
      </c>
    </row>
    <row r="93" spans="1:17" ht="14.4">
      <c r="A93" s="78" t="s">
        <v>354</v>
      </c>
      <c r="B93" s="78">
        <v>7112</v>
      </c>
      <c r="C93" s="78">
        <v>7210</v>
      </c>
      <c r="D93" s="78">
        <v>7081</v>
      </c>
      <c r="E93" s="78">
        <v>7165.95</v>
      </c>
      <c r="F93" s="78">
        <v>7108.18</v>
      </c>
      <c r="G93" s="78">
        <v>619338</v>
      </c>
      <c r="H93" s="3">
        <f t="shared" si="0"/>
        <v>-1.7548790435909213E-2</v>
      </c>
      <c r="J93" s="81">
        <v>45308</v>
      </c>
      <c r="K93" s="78">
        <v>21647.25</v>
      </c>
      <c r="L93" s="78">
        <v>21851.5</v>
      </c>
      <c r="M93" s="78">
        <v>21550.45</v>
      </c>
      <c r="N93" s="78">
        <v>21571.95</v>
      </c>
      <c r="O93" s="80">
        <v>456000000</v>
      </c>
      <c r="P93" s="80">
        <v>47533.440000000002</v>
      </c>
      <c r="Q93" s="78">
        <f t="shared" si="1"/>
        <v>-2.0894323334377189E-2</v>
      </c>
    </row>
    <row r="94" spans="1:17" ht="14.4">
      <c r="A94" s="78" t="s">
        <v>355</v>
      </c>
      <c r="B94" s="78">
        <v>7148</v>
      </c>
      <c r="C94" s="78">
        <v>7189.25</v>
      </c>
      <c r="D94" s="78">
        <v>7071.15</v>
      </c>
      <c r="E94" s="78">
        <v>7083.6</v>
      </c>
      <c r="F94" s="78">
        <v>7026.4939999999997</v>
      </c>
      <c r="G94" s="78">
        <v>557084</v>
      </c>
      <c r="H94" s="3">
        <f t="shared" si="0"/>
        <v>-1.1491846859104439E-2</v>
      </c>
      <c r="J94" s="81">
        <v>45309</v>
      </c>
      <c r="K94" s="78">
        <v>21414.2</v>
      </c>
      <c r="L94" s="78">
        <v>21539.4</v>
      </c>
      <c r="M94" s="78">
        <v>21285.55</v>
      </c>
      <c r="N94" s="78">
        <v>21462.25</v>
      </c>
      <c r="O94" s="80">
        <v>387000000</v>
      </c>
      <c r="P94" s="80">
        <v>39718.839999999997</v>
      </c>
      <c r="Q94" s="78">
        <f t="shared" si="1"/>
        <v>-5.0853075405793511E-3</v>
      </c>
    </row>
    <row r="95" spans="1:17" ht="14.4">
      <c r="A95" s="78" t="s">
        <v>356</v>
      </c>
      <c r="B95" s="78">
        <v>7138.8</v>
      </c>
      <c r="C95" s="78">
        <v>7180</v>
      </c>
      <c r="D95" s="78">
        <v>7105</v>
      </c>
      <c r="E95" s="78">
        <v>7136.55</v>
      </c>
      <c r="F95" s="78">
        <v>7079.0169999999998</v>
      </c>
      <c r="G95" s="78">
        <v>327976</v>
      </c>
      <c r="H95" s="3">
        <f t="shared" si="0"/>
        <v>7.4750127054040057E-3</v>
      </c>
      <c r="J95" s="81">
        <v>45310</v>
      </c>
      <c r="K95" s="78">
        <v>21615.200000000001</v>
      </c>
      <c r="L95" s="78">
        <v>21670.6</v>
      </c>
      <c r="M95" s="78">
        <v>21575</v>
      </c>
      <c r="N95" s="78">
        <v>21622.400000000001</v>
      </c>
      <c r="O95" s="80">
        <v>343000000</v>
      </c>
      <c r="P95" s="80">
        <v>34429.24</v>
      </c>
      <c r="Q95" s="78">
        <f t="shared" si="1"/>
        <v>7.4619389858939043E-3</v>
      </c>
    </row>
    <row r="96" spans="1:17" ht="14.4">
      <c r="A96" s="78" t="s">
        <v>357</v>
      </c>
      <c r="B96" s="78">
        <v>7075</v>
      </c>
      <c r="C96" s="78">
        <v>7210</v>
      </c>
      <c r="D96" s="78">
        <v>6936.55</v>
      </c>
      <c r="E96" s="78">
        <v>7095.9</v>
      </c>
      <c r="F96" s="78">
        <v>7038.6940000000004</v>
      </c>
      <c r="G96" s="78">
        <v>953921</v>
      </c>
      <c r="H96" s="3">
        <f t="shared" si="0"/>
        <v>-5.6960295941316944E-3</v>
      </c>
      <c r="J96" s="81">
        <v>45314</v>
      </c>
      <c r="K96" s="78">
        <v>21716.7</v>
      </c>
      <c r="L96" s="78">
        <v>21750.25</v>
      </c>
      <c r="M96" s="78">
        <v>21192.6</v>
      </c>
      <c r="N96" s="78">
        <v>21238.799999999999</v>
      </c>
      <c r="O96" s="80">
        <v>450000000</v>
      </c>
      <c r="P96" s="80">
        <v>48813.68</v>
      </c>
      <c r="Q96" s="78">
        <f t="shared" si="1"/>
        <v>-1.7740861328992257E-2</v>
      </c>
    </row>
    <row r="97" spans="1:17" ht="14.4">
      <c r="A97" s="78" t="s">
        <v>358</v>
      </c>
      <c r="B97" s="78">
        <v>7075.1</v>
      </c>
      <c r="C97" s="78">
        <v>7237</v>
      </c>
      <c r="D97" s="78">
        <v>7028.2</v>
      </c>
      <c r="E97" s="78">
        <v>7212.85</v>
      </c>
      <c r="F97" s="78">
        <v>7154.7020000000002</v>
      </c>
      <c r="G97" s="78">
        <v>467134</v>
      </c>
      <c r="H97" s="3">
        <f t="shared" si="0"/>
        <v>1.6481348384278349E-2</v>
      </c>
      <c r="J97" s="81">
        <v>45315</v>
      </c>
      <c r="K97" s="78">
        <v>21185.25</v>
      </c>
      <c r="L97" s="78">
        <v>21482.35</v>
      </c>
      <c r="M97" s="78">
        <v>21137.200000000001</v>
      </c>
      <c r="N97" s="78">
        <v>21453.95</v>
      </c>
      <c r="O97" s="80">
        <v>407000000</v>
      </c>
      <c r="P97" s="80">
        <v>41718.639999999999</v>
      </c>
      <c r="Q97" s="78">
        <f t="shared" si="1"/>
        <v>1.0130045011959313E-2</v>
      </c>
    </row>
    <row r="98" spans="1:17" ht="14.4">
      <c r="A98" s="78" t="s">
        <v>359</v>
      </c>
      <c r="B98" s="78">
        <v>7360</v>
      </c>
      <c r="C98" s="78">
        <v>7625.15</v>
      </c>
      <c r="D98" s="78">
        <v>7210</v>
      </c>
      <c r="E98" s="78">
        <v>7597.5</v>
      </c>
      <c r="F98" s="78">
        <v>7536.25</v>
      </c>
      <c r="G98" s="78">
        <v>2065788</v>
      </c>
      <c r="H98" s="3">
        <f t="shared" si="0"/>
        <v>5.3328434668681535E-2</v>
      </c>
      <c r="J98" s="81">
        <v>45316</v>
      </c>
      <c r="K98" s="78">
        <v>21454.6</v>
      </c>
      <c r="L98" s="78">
        <v>21459</v>
      </c>
      <c r="M98" s="78">
        <v>21247.05</v>
      </c>
      <c r="N98" s="78">
        <v>21352.6</v>
      </c>
      <c r="O98" s="80">
        <v>418000000</v>
      </c>
      <c r="P98" s="80">
        <v>40088.5</v>
      </c>
      <c r="Q98" s="78">
        <f t="shared" si="1"/>
        <v>-4.7240717909756563E-3</v>
      </c>
    </row>
    <row r="99" spans="1:17" ht="14.4">
      <c r="A99" s="78" t="s">
        <v>360</v>
      </c>
      <c r="B99" s="78">
        <v>7594</v>
      </c>
      <c r="C99" s="78">
        <v>7640</v>
      </c>
      <c r="D99" s="78">
        <v>7480</v>
      </c>
      <c r="E99" s="78">
        <v>7548.8</v>
      </c>
      <c r="F99" s="78">
        <v>7487.9430000000002</v>
      </c>
      <c r="G99" s="78">
        <v>457853</v>
      </c>
      <c r="H99" s="3">
        <f t="shared" si="0"/>
        <v>-6.4100032905560801E-3</v>
      </c>
      <c r="J99" s="81">
        <v>45320</v>
      </c>
      <c r="K99" s="78">
        <v>21433.1</v>
      </c>
      <c r="L99" s="78">
        <v>21763.25</v>
      </c>
      <c r="M99" s="78">
        <v>21429.599999999999</v>
      </c>
      <c r="N99" s="78">
        <v>21737.599999999999</v>
      </c>
      <c r="O99" s="80">
        <v>377000000</v>
      </c>
      <c r="P99" s="80">
        <v>34516.42</v>
      </c>
      <c r="Q99" s="78">
        <f t="shared" si="1"/>
        <v>1.8030591122392591E-2</v>
      </c>
    </row>
    <row r="100" spans="1:17" ht="14.4">
      <c r="A100" s="78" t="s">
        <v>361</v>
      </c>
      <c r="B100" s="78">
        <v>7574.9</v>
      </c>
      <c r="C100" s="78">
        <v>7660</v>
      </c>
      <c r="D100" s="78">
        <v>7543.65</v>
      </c>
      <c r="E100" s="78">
        <v>7566.4</v>
      </c>
      <c r="F100" s="78">
        <v>7505.4009999999998</v>
      </c>
      <c r="G100" s="78">
        <v>266287</v>
      </c>
      <c r="H100" s="3">
        <f t="shared" si="0"/>
        <v>2.3314963967782237E-3</v>
      </c>
      <c r="J100" s="81">
        <v>45321</v>
      </c>
      <c r="K100" s="78">
        <v>21775.75</v>
      </c>
      <c r="L100" s="78">
        <v>21813.05</v>
      </c>
      <c r="M100" s="78">
        <v>21501.8</v>
      </c>
      <c r="N100" s="78">
        <v>21522.1</v>
      </c>
      <c r="O100" s="80">
        <v>375000000</v>
      </c>
      <c r="P100" s="80">
        <v>32916.300000000003</v>
      </c>
      <c r="Q100" s="78">
        <f t="shared" si="1"/>
        <v>-9.9136979243338742E-3</v>
      </c>
    </row>
    <row r="101" spans="1:17" ht="14.4">
      <c r="A101" s="78" t="s">
        <v>362</v>
      </c>
      <c r="B101" s="78">
        <v>7566.4</v>
      </c>
      <c r="C101" s="78">
        <v>7686</v>
      </c>
      <c r="D101" s="78">
        <v>7515.1</v>
      </c>
      <c r="E101" s="78">
        <v>7667.55</v>
      </c>
      <c r="F101" s="78">
        <v>7605.7359999999999</v>
      </c>
      <c r="G101" s="78">
        <v>336874</v>
      </c>
      <c r="H101" s="3">
        <f t="shared" si="0"/>
        <v>1.3368312539649048E-2</v>
      </c>
      <c r="J101" s="81">
        <v>45322</v>
      </c>
      <c r="K101" s="78">
        <v>21487.25</v>
      </c>
      <c r="L101" s="78">
        <v>21741.35</v>
      </c>
      <c r="M101" s="78">
        <v>21448.85</v>
      </c>
      <c r="N101" s="78">
        <v>21725.7</v>
      </c>
      <c r="O101" s="80">
        <v>411000000</v>
      </c>
      <c r="P101" s="80">
        <v>41587.85</v>
      </c>
      <c r="Q101" s="78">
        <f t="shared" si="1"/>
        <v>9.460043397252229E-3</v>
      </c>
    </row>
    <row r="102" spans="1:17" ht="14.4">
      <c r="A102" s="75">
        <v>45293</v>
      </c>
      <c r="B102" s="78">
        <v>7680</v>
      </c>
      <c r="C102" s="78">
        <v>7765</v>
      </c>
      <c r="D102" s="78">
        <v>7636.35</v>
      </c>
      <c r="E102" s="78">
        <v>7655.75</v>
      </c>
      <c r="F102" s="78">
        <v>7594.0309999999999</v>
      </c>
      <c r="G102" s="78">
        <v>394564</v>
      </c>
      <c r="H102" s="3">
        <f t="shared" si="0"/>
        <v>-1.5389531206187351E-3</v>
      </c>
      <c r="J102" s="79">
        <v>45323</v>
      </c>
      <c r="K102" s="78">
        <v>21780.65</v>
      </c>
      <c r="L102" s="78">
        <v>21832.95</v>
      </c>
      <c r="M102" s="78">
        <v>21658.75</v>
      </c>
      <c r="N102" s="78">
        <v>21697.45</v>
      </c>
      <c r="O102" s="80">
        <v>333000000</v>
      </c>
      <c r="P102" s="80">
        <v>34042.15</v>
      </c>
      <c r="Q102" s="78">
        <f t="shared" si="1"/>
        <v>-1.3003033273956651E-3</v>
      </c>
    </row>
    <row r="103" spans="1:17" ht="14.4">
      <c r="A103" s="75">
        <v>45324</v>
      </c>
      <c r="B103" s="78">
        <v>7675</v>
      </c>
      <c r="C103" s="78">
        <v>7797.5</v>
      </c>
      <c r="D103" s="78">
        <v>7665.6</v>
      </c>
      <c r="E103" s="78">
        <v>7738.2</v>
      </c>
      <c r="F103" s="78">
        <v>7675.8159999999998</v>
      </c>
      <c r="G103" s="78">
        <v>197720</v>
      </c>
      <c r="H103" s="3">
        <f t="shared" si="0"/>
        <v>1.0769682918068095E-2</v>
      </c>
      <c r="J103" s="79">
        <v>45324</v>
      </c>
      <c r="K103" s="78">
        <v>21812.75</v>
      </c>
      <c r="L103" s="78">
        <v>22126.799999999999</v>
      </c>
      <c r="M103" s="78">
        <v>21805.55</v>
      </c>
      <c r="N103" s="78">
        <v>21853.8</v>
      </c>
      <c r="O103" s="80">
        <v>443000000</v>
      </c>
      <c r="P103" s="80">
        <v>38395.9</v>
      </c>
      <c r="Q103" s="78">
        <f t="shared" si="1"/>
        <v>7.2059159025599107E-3</v>
      </c>
    </row>
    <row r="104" spans="1:17" ht="14.4">
      <c r="A104" s="75">
        <v>45414</v>
      </c>
      <c r="B104" s="78">
        <v>7800</v>
      </c>
      <c r="C104" s="78">
        <v>7838</v>
      </c>
      <c r="D104" s="78">
        <v>7633.5</v>
      </c>
      <c r="E104" s="78">
        <v>7658.25</v>
      </c>
      <c r="F104" s="78">
        <v>7596.5110000000004</v>
      </c>
      <c r="G104" s="78">
        <v>252401</v>
      </c>
      <c r="H104" s="3">
        <f t="shared" si="0"/>
        <v>-1.0331860122509088E-2</v>
      </c>
      <c r="J104" s="79">
        <v>45327</v>
      </c>
      <c r="K104" s="78">
        <v>21921.05</v>
      </c>
      <c r="L104" s="78">
        <v>21964.3</v>
      </c>
      <c r="M104" s="78">
        <v>21726.95</v>
      </c>
      <c r="N104" s="78">
        <v>21771.7</v>
      </c>
      <c r="O104" s="80">
        <v>441000000</v>
      </c>
      <c r="P104" s="80">
        <v>33807.94</v>
      </c>
      <c r="Q104" s="78">
        <f t="shared" si="1"/>
        <v>-3.7567837172481923E-3</v>
      </c>
    </row>
    <row r="105" spans="1:17" ht="14.4">
      <c r="A105" s="75">
        <v>45445</v>
      </c>
      <c r="B105" s="78">
        <v>7675</v>
      </c>
      <c r="C105" s="78">
        <v>7747.7</v>
      </c>
      <c r="D105" s="78">
        <v>7670.6</v>
      </c>
      <c r="E105" s="78">
        <v>7720.4</v>
      </c>
      <c r="F105" s="78">
        <v>7658.16</v>
      </c>
      <c r="G105" s="78">
        <v>131992</v>
      </c>
      <c r="H105" s="3">
        <f t="shared" si="0"/>
        <v>8.1154310710671029E-3</v>
      </c>
      <c r="J105" s="79">
        <v>45328</v>
      </c>
      <c r="K105" s="78">
        <v>21825.200000000001</v>
      </c>
      <c r="L105" s="78">
        <v>21951.4</v>
      </c>
      <c r="M105" s="78">
        <v>21737.55</v>
      </c>
      <c r="N105" s="78">
        <v>21929.4</v>
      </c>
      <c r="O105" s="80">
        <v>371000000</v>
      </c>
      <c r="P105" s="80">
        <v>32910.82</v>
      </c>
      <c r="Q105" s="78">
        <f t="shared" si="1"/>
        <v>7.2433480160024582E-3</v>
      </c>
    </row>
    <row r="106" spans="1:17" ht="14.4">
      <c r="A106" s="75">
        <v>45475</v>
      </c>
      <c r="B106" s="78">
        <v>7745</v>
      </c>
      <c r="C106" s="78">
        <v>7777.8</v>
      </c>
      <c r="D106" s="78">
        <v>7665.6</v>
      </c>
      <c r="E106" s="78">
        <v>7701.9</v>
      </c>
      <c r="F106" s="78">
        <v>7639.8090000000002</v>
      </c>
      <c r="G106" s="78">
        <v>159783</v>
      </c>
      <c r="H106" s="3">
        <f t="shared" si="0"/>
        <v>-2.3962488990207764E-3</v>
      </c>
      <c r="J106" s="79">
        <v>45329</v>
      </c>
      <c r="K106" s="78">
        <v>22045.05</v>
      </c>
      <c r="L106" s="78">
        <v>22053.3</v>
      </c>
      <c r="M106" s="78">
        <v>21860.15</v>
      </c>
      <c r="N106" s="78">
        <v>21930.5</v>
      </c>
      <c r="O106" s="80">
        <v>346000000</v>
      </c>
      <c r="P106" s="80">
        <v>30088.76</v>
      </c>
      <c r="Q106" s="78">
        <f t="shared" si="1"/>
        <v>5.016097111633445E-5</v>
      </c>
    </row>
    <row r="107" spans="1:17" ht="14.4">
      <c r="A107" s="75">
        <v>45506</v>
      </c>
      <c r="B107" s="78">
        <v>7729</v>
      </c>
      <c r="C107" s="78">
        <v>7783.45</v>
      </c>
      <c r="D107" s="78">
        <v>7668.15</v>
      </c>
      <c r="E107" s="78">
        <v>7757.25</v>
      </c>
      <c r="F107" s="78">
        <v>7694.7129999999997</v>
      </c>
      <c r="G107" s="78">
        <v>282537</v>
      </c>
      <c r="H107" s="3">
        <f t="shared" si="0"/>
        <v>7.1865383866319176E-3</v>
      </c>
      <c r="J107" s="79">
        <v>45330</v>
      </c>
      <c r="K107" s="78">
        <v>22009.65</v>
      </c>
      <c r="L107" s="78">
        <v>22011.05</v>
      </c>
      <c r="M107" s="78">
        <v>21665.3</v>
      </c>
      <c r="N107" s="78">
        <v>21717.95</v>
      </c>
      <c r="O107" s="80">
        <v>491000000</v>
      </c>
      <c r="P107" s="80">
        <v>41082.019999999997</v>
      </c>
      <c r="Q107" s="78">
        <f t="shared" si="1"/>
        <v>-9.6919814869701679E-3</v>
      </c>
    </row>
    <row r="108" spans="1:17" ht="14.4">
      <c r="A108" s="75">
        <v>45537</v>
      </c>
      <c r="B108" s="78">
        <v>7778.8</v>
      </c>
      <c r="C108" s="78">
        <v>7790.5</v>
      </c>
      <c r="D108" s="78">
        <v>7669</v>
      </c>
      <c r="E108" s="78">
        <v>7784.85</v>
      </c>
      <c r="F108" s="78">
        <v>7722.09</v>
      </c>
      <c r="G108" s="78">
        <v>173555</v>
      </c>
      <c r="H108" s="3">
        <f t="shared" si="0"/>
        <v>3.5579619066035467E-3</v>
      </c>
      <c r="J108" s="79">
        <v>45331</v>
      </c>
      <c r="K108" s="78">
        <v>21727</v>
      </c>
      <c r="L108" s="78">
        <v>21804.45</v>
      </c>
      <c r="M108" s="78">
        <v>21629.9</v>
      </c>
      <c r="N108" s="78">
        <v>21782.5</v>
      </c>
      <c r="O108" s="80">
        <v>349000000</v>
      </c>
      <c r="P108" s="80">
        <v>31176.16</v>
      </c>
      <c r="Q108" s="78">
        <f t="shared" si="1"/>
        <v>2.9721958103780177E-3</v>
      </c>
    </row>
    <row r="109" spans="1:17" ht="14.4">
      <c r="A109" s="75">
        <v>45628</v>
      </c>
      <c r="B109" s="78">
        <v>7775</v>
      </c>
      <c r="C109" s="78">
        <v>7874.2</v>
      </c>
      <c r="D109" s="78">
        <v>7766.05</v>
      </c>
      <c r="E109" s="78">
        <v>7829.95</v>
      </c>
      <c r="F109" s="78">
        <v>7766.8270000000002</v>
      </c>
      <c r="G109" s="78">
        <v>219911</v>
      </c>
      <c r="H109" s="3">
        <f t="shared" si="0"/>
        <v>5.7933036603145154E-3</v>
      </c>
      <c r="J109" s="81">
        <v>45334</v>
      </c>
      <c r="K109" s="78">
        <v>21800.799999999999</v>
      </c>
      <c r="L109" s="78">
        <v>21831.7</v>
      </c>
      <c r="M109" s="78">
        <v>21574.75</v>
      </c>
      <c r="N109" s="78">
        <v>21616.05</v>
      </c>
      <c r="O109" s="80">
        <v>287000000</v>
      </c>
      <c r="P109" s="80">
        <v>23921.14</v>
      </c>
      <c r="Q109" s="78">
        <f t="shared" si="1"/>
        <v>-7.6414552966831504E-3</v>
      </c>
    </row>
    <row r="110" spans="1:17" ht="14.4">
      <c r="A110" s="78" t="s">
        <v>363</v>
      </c>
      <c r="B110" s="78">
        <v>7830</v>
      </c>
      <c r="C110" s="78">
        <v>7935.15</v>
      </c>
      <c r="D110" s="78">
        <v>7811.95</v>
      </c>
      <c r="E110" s="78">
        <v>7917.4</v>
      </c>
      <c r="F110" s="78">
        <v>7853.5720000000001</v>
      </c>
      <c r="G110" s="78">
        <v>258767</v>
      </c>
      <c r="H110" s="3">
        <f t="shared" si="0"/>
        <v>1.1168653695106587E-2</v>
      </c>
      <c r="J110" s="81">
        <v>45335</v>
      </c>
      <c r="K110" s="78">
        <v>21664.3</v>
      </c>
      <c r="L110" s="78">
        <v>21766.799999999999</v>
      </c>
      <c r="M110" s="78">
        <v>21543.35</v>
      </c>
      <c r="N110" s="78">
        <v>21743.25</v>
      </c>
      <c r="O110" s="80">
        <v>366000000</v>
      </c>
      <c r="P110" s="80">
        <v>29896.62</v>
      </c>
      <c r="Q110" s="78">
        <f t="shared" si="1"/>
        <v>5.8845163663111778E-3</v>
      </c>
    </row>
    <row r="111" spans="1:17" ht="14.4">
      <c r="A111" s="78" t="s">
        <v>364</v>
      </c>
      <c r="B111" s="78">
        <v>7899</v>
      </c>
      <c r="C111" s="78">
        <v>8136.85</v>
      </c>
      <c r="D111" s="78">
        <v>7880</v>
      </c>
      <c r="E111" s="78">
        <v>8083.3</v>
      </c>
      <c r="F111" s="78">
        <v>8018.134</v>
      </c>
      <c r="G111" s="78">
        <v>513900</v>
      </c>
      <c r="H111" s="3">
        <f t="shared" si="0"/>
        <v>2.0953848485614036E-2</v>
      </c>
      <c r="J111" s="81">
        <v>45336</v>
      </c>
      <c r="K111" s="78">
        <v>21578.15</v>
      </c>
      <c r="L111" s="78">
        <v>21870.85</v>
      </c>
      <c r="M111" s="78">
        <v>21530.2</v>
      </c>
      <c r="N111" s="78">
        <v>21840.05</v>
      </c>
      <c r="O111" s="80">
        <v>359000000</v>
      </c>
      <c r="P111" s="80">
        <v>32535</v>
      </c>
      <c r="Q111" s="78">
        <f t="shared" si="1"/>
        <v>4.4519563542708323E-3</v>
      </c>
    </row>
    <row r="112" spans="1:17" ht="14.4">
      <c r="A112" s="78" t="s">
        <v>365</v>
      </c>
      <c r="B112" s="78">
        <v>8120.6</v>
      </c>
      <c r="C112" s="78">
        <v>8156.85</v>
      </c>
      <c r="D112" s="78">
        <v>8045.3</v>
      </c>
      <c r="E112" s="78">
        <v>8123.05</v>
      </c>
      <c r="F112" s="78">
        <v>8057.5630000000001</v>
      </c>
      <c r="G112" s="78">
        <v>394525</v>
      </c>
      <c r="H112" s="3">
        <f t="shared" si="0"/>
        <v>4.9175460517362959E-3</v>
      </c>
      <c r="J112" s="81">
        <v>45337</v>
      </c>
      <c r="K112" s="78">
        <v>21906.55</v>
      </c>
      <c r="L112" s="78">
        <v>21953.85</v>
      </c>
      <c r="M112" s="78">
        <v>21794.799999999999</v>
      </c>
      <c r="N112" s="78">
        <v>21910.75</v>
      </c>
      <c r="O112" s="80">
        <v>345000000</v>
      </c>
      <c r="P112" s="80">
        <v>29559.69</v>
      </c>
      <c r="Q112" s="78">
        <f t="shared" si="1"/>
        <v>3.2371720760712877E-3</v>
      </c>
    </row>
    <row r="113" spans="1:17" ht="14.4">
      <c r="A113" s="78" t="s">
        <v>366</v>
      </c>
      <c r="B113" s="78">
        <v>8185.85</v>
      </c>
      <c r="C113" s="78">
        <v>8455.4500000000007</v>
      </c>
      <c r="D113" s="78">
        <v>8137.1</v>
      </c>
      <c r="E113" s="78">
        <v>8325.0499999999993</v>
      </c>
      <c r="F113" s="78">
        <v>8257.9359999999997</v>
      </c>
      <c r="G113" s="78">
        <v>938756</v>
      </c>
      <c r="H113" s="3">
        <f t="shared" si="0"/>
        <v>2.4867506663137501E-2</v>
      </c>
      <c r="J113" s="81">
        <v>45338</v>
      </c>
      <c r="K113" s="78">
        <v>22020.3</v>
      </c>
      <c r="L113" s="78">
        <v>22068.65</v>
      </c>
      <c r="M113" s="78">
        <v>21968.95</v>
      </c>
      <c r="N113" s="78">
        <v>22040.7</v>
      </c>
      <c r="O113" s="7"/>
      <c r="P113" s="83"/>
      <c r="Q113" s="78">
        <f t="shared" si="1"/>
        <v>5.9308786782743964E-3</v>
      </c>
    </row>
    <row r="114" spans="1:17" ht="14.4">
      <c r="A114" s="78" t="s">
        <v>367</v>
      </c>
      <c r="B114" s="78">
        <v>8400</v>
      </c>
      <c r="C114" s="78">
        <v>8650</v>
      </c>
      <c r="D114" s="78">
        <v>8361.1</v>
      </c>
      <c r="E114" s="78">
        <v>8509.7000000000007</v>
      </c>
      <c r="F114" s="78">
        <v>8441.0969999999998</v>
      </c>
      <c r="G114" s="78">
        <v>1044959</v>
      </c>
      <c r="H114" s="3">
        <f t="shared" si="0"/>
        <v>2.218004696668506E-2</v>
      </c>
      <c r="J114" s="81">
        <v>45341</v>
      </c>
      <c r="K114" s="78">
        <v>22103.45</v>
      </c>
      <c r="L114" s="78">
        <v>22186.65</v>
      </c>
      <c r="M114" s="78">
        <v>22021.05</v>
      </c>
      <c r="N114" s="78">
        <v>22122.25</v>
      </c>
      <c r="O114" s="80">
        <v>218000000</v>
      </c>
      <c r="P114" s="80">
        <v>21375.71</v>
      </c>
      <c r="Q114" s="78">
        <f t="shared" si="1"/>
        <v>3.6999732313401693E-3</v>
      </c>
    </row>
    <row r="115" spans="1:17" ht="14.4">
      <c r="A115" s="78" t="s">
        <v>368</v>
      </c>
      <c r="B115" s="78">
        <v>8505</v>
      </c>
      <c r="C115" s="78">
        <v>8505</v>
      </c>
      <c r="D115" s="78">
        <v>8238.7000000000007</v>
      </c>
      <c r="E115" s="78">
        <v>8295.2000000000007</v>
      </c>
      <c r="F115" s="78">
        <v>8228.3259999999991</v>
      </c>
      <c r="G115" s="78">
        <v>547082</v>
      </c>
      <c r="H115" s="3">
        <f t="shared" si="0"/>
        <v>-2.5206529019824432E-2</v>
      </c>
      <c r="J115" s="81">
        <v>45342</v>
      </c>
      <c r="K115" s="78">
        <v>22099.200000000001</v>
      </c>
      <c r="L115" s="78">
        <v>22215.599999999999</v>
      </c>
      <c r="M115" s="78">
        <v>22045.85</v>
      </c>
      <c r="N115" s="78">
        <v>22196.95</v>
      </c>
      <c r="O115" s="80">
        <v>296000000</v>
      </c>
      <c r="P115" s="80">
        <v>26872.32</v>
      </c>
      <c r="Q115" s="78">
        <f t="shared" si="1"/>
        <v>3.376690888133021E-3</v>
      </c>
    </row>
    <row r="116" spans="1:17" ht="14.4">
      <c r="A116" s="78" t="s">
        <v>369</v>
      </c>
      <c r="B116" s="78">
        <v>8300</v>
      </c>
      <c r="C116" s="78">
        <v>8376.85</v>
      </c>
      <c r="D116" s="78">
        <v>8205</v>
      </c>
      <c r="E116" s="78">
        <v>8232.25</v>
      </c>
      <c r="F116" s="78">
        <v>8165.8829999999998</v>
      </c>
      <c r="G116" s="78">
        <v>439817</v>
      </c>
      <c r="H116" s="3">
        <f t="shared" si="0"/>
        <v>-7.5887260102228665E-3</v>
      </c>
      <c r="J116" s="81">
        <v>45343</v>
      </c>
      <c r="K116" s="78">
        <v>22248.85</v>
      </c>
      <c r="L116" s="78">
        <v>22249.4</v>
      </c>
      <c r="M116" s="78">
        <v>21997.95</v>
      </c>
      <c r="N116" s="78">
        <v>22055.05</v>
      </c>
      <c r="O116" s="80">
        <v>365000000</v>
      </c>
      <c r="P116" s="80">
        <v>29741.39</v>
      </c>
      <c r="Q116" s="78">
        <f t="shared" si="1"/>
        <v>-6.3927701778848647E-3</v>
      </c>
    </row>
    <row r="117" spans="1:17" ht="14.4">
      <c r="A117" s="78" t="s">
        <v>370</v>
      </c>
      <c r="B117" s="78">
        <v>8260</v>
      </c>
      <c r="C117" s="78">
        <v>8550</v>
      </c>
      <c r="D117" s="78">
        <v>8220</v>
      </c>
      <c r="E117" s="78">
        <v>8498.4500000000007</v>
      </c>
      <c r="F117" s="78">
        <v>8429.9380000000001</v>
      </c>
      <c r="G117" s="78">
        <v>548486</v>
      </c>
      <c r="H117" s="3">
        <f t="shared" si="0"/>
        <v>3.2336238573901513E-2</v>
      </c>
      <c r="J117" s="81">
        <v>45344</v>
      </c>
      <c r="K117" s="78">
        <v>22081.55</v>
      </c>
      <c r="L117" s="78">
        <v>22252.5</v>
      </c>
      <c r="M117" s="78">
        <v>21875.25</v>
      </c>
      <c r="N117" s="78">
        <v>22217.45</v>
      </c>
      <c r="O117" s="80">
        <v>343000000</v>
      </c>
      <c r="P117" s="80">
        <v>33985.94</v>
      </c>
      <c r="Q117" s="78">
        <f t="shared" si="1"/>
        <v>7.3633929644231801E-3</v>
      </c>
    </row>
    <row r="118" spans="1:17" ht="14.4">
      <c r="A118" s="78" t="s">
        <v>371</v>
      </c>
      <c r="B118" s="78">
        <v>8497.5</v>
      </c>
      <c r="C118" s="78">
        <v>8531</v>
      </c>
      <c r="D118" s="78">
        <v>8401.0499999999993</v>
      </c>
      <c r="E118" s="78">
        <v>8436.9500000000007</v>
      </c>
      <c r="F118" s="78">
        <v>8368.9339999999993</v>
      </c>
      <c r="G118" s="78">
        <v>340749</v>
      </c>
      <c r="H118" s="3">
        <f t="shared" si="0"/>
        <v>-7.2366137354458746E-3</v>
      </c>
      <c r="J118" s="81">
        <v>45345</v>
      </c>
      <c r="K118" s="78">
        <v>22290</v>
      </c>
      <c r="L118" s="78">
        <v>22297.5</v>
      </c>
      <c r="M118" s="78">
        <v>22186.1</v>
      </c>
      <c r="N118" s="78">
        <v>22212.7</v>
      </c>
      <c r="O118" s="80">
        <v>226000000</v>
      </c>
      <c r="P118" s="80">
        <v>24617.01</v>
      </c>
      <c r="Q118" s="78">
        <f t="shared" si="1"/>
        <v>-2.1379591267224637E-4</v>
      </c>
    </row>
    <row r="119" spans="1:17" ht="14.4">
      <c r="A119" s="78" t="s">
        <v>372</v>
      </c>
      <c r="B119" s="78">
        <v>8458.7999999999993</v>
      </c>
      <c r="C119" s="78">
        <v>8547.9500000000007</v>
      </c>
      <c r="D119" s="78">
        <v>8375</v>
      </c>
      <c r="E119" s="78">
        <v>8448</v>
      </c>
      <c r="F119" s="78">
        <v>8379.8950000000004</v>
      </c>
      <c r="G119" s="78">
        <v>345968</v>
      </c>
      <c r="H119" s="3">
        <f t="shared" si="0"/>
        <v>1.3097150036445956E-3</v>
      </c>
      <c r="J119" s="81">
        <v>45348</v>
      </c>
      <c r="K119" s="78">
        <v>22169.200000000001</v>
      </c>
      <c r="L119" s="78">
        <v>22202.15</v>
      </c>
      <c r="M119" s="78">
        <v>22075.15</v>
      </c>
      <c r="N119" s="78">
        <v>22122.05</v>
      </c>
      <c r="O119" s="80">
        <v>208000000</v>
      </c>
      <c r="P119" s="80">
        <v>20850.259999999998</v>
      </c>
      <c r="Q119" s="78">
        <f t="shared" si="1"/>
        <v>-4.08099870794642E-3</v>
      </c>
    </row>
    <row r="120" spans="1:17" ht="14.4">
      <c r="A120" s="78" t="s">
        <v>373</v>
      </c>
      <c r="B120" s="78">
        <v>8460</v>
      </c>
      <c r="C120" s="78">
        <v>8490</v>
      </c>
      <c r="D120" s="78">
        <v>8383.5</v>
      </c>
      <c r="E120" s="78">
        <v>8463.5</v>
      </c>
      <c r="F120" s="78">
        <v>8395.27</v>
      </c>
      <c r="G120" s="78">
        <v>392445</v>
      </c>
      <c r="H120" s="3">
        <f t="shared" si="0"/>
        <v>1.834753787878788E-3</v>
      </c>
      <c r="J120" s="81">
        <v>45349</v>
      </c>
      <c r="K120" s="78">
        <v>22090.2</v>
      </c>
      <c r="L120" s="78">
        <v>22218.25</v>
      </c>
      <c r="M120" s="78">
        <v>22085.65</v>
      </c>
      <c r="N120" s="78">
        <v>22198.35</v>
      </c>
      <c r="O120" s="80">
        <v>252000000</v>
      </c>
      <c r="P120" s="80">
        <v>24620.71</v>
      </c>
      <c r="Q120" s="78">
        <f t="shared" si="1"/>
        <v>3.449047443613918E-3</v>
      </c>
    </row>
    <row r="121" spans="1:17" ht="14.4">
      <c r="A121" s="78" t="s">
        <v>374</v>
      </c>
      <c r="B121" s="78">
        <v>8470</v>
      </c>
      <c r="C121" s="78">
        <v>8486.65</v>
      </c>
      <c r="D121" s="78">
        <v>8071.85</v>
      </c>
      <c r="E121" s="78">
        <v>8188.65</v>
      </c>
      <c r="F121" s="78">
        <v>8122.6350000000002</v>
      </c>
      <c r="G121" s="78">
        <v>537728</v>
      </c>
      <c r="H121" s="3">
        <f t="shared" si="0"/>
        <v>-3.2474744491049846E-2</v>
      </c>
      <c r="J121" s="81">
        <v>45350</v>
      </c>
      <c r="K121" s="78">
        <v>22214.1</v>
      </c>
      <c r="L121" s="78">
        <v>22229.15</v>
      </c>
      <c r="M121" s="78">
        <v>21915.85</v>
      </c>
      <c r="N121" s="78">
        <v>21951.15</v>
      </c>
      <c r="O121" s="80">
        <v>203000000</v>
      </c>
      <c r="P121" s="80">
        <v>20579.8</v>
      </c>
      <c r="Q121" s="78">
        <f t="shared" si="1"/>
        <v>-1.1135962808046414E-2</v>
      </c>
    </row>
    <row r="122" spans="1:17" ht="14.4">
      <c r="A122" s="78" t="s">
        <v>375</v>
      </c>
      <c r="B122" s="78">
        <v>7997.4</v>
      </c>
      <c r="C122" s="78">
        <v>8143.5</v>
      </c>
      <c r="D122" s="78">
        <v>7890</v>
      </c>
      <c r="E122" s="78">
        <v>7909.35</v>
      </c>
      <c r="F122" s="78">
        <v>7845.5870000000004</v>
      </c>
      <c r="G122" s="78">
        <v>1042536</v>
      </c>
      <c r="H122" s="3">
        <f t="shared" si="0"/>
        <v>-3.4108186331080127E-2</v>
      </c>
      <c r="J122" s="81">
        <v>45351</v>
      </c>
      <c r="K122" s="78">
        <v>21935.200000000001</v>
      </c>
      <c r="L122" s="78">
        <v>22060.55</v>
      </c>
      <c r="M122" s="78">
        <v>21860.65</v>
      </c>
      <c r="N122" s="78">
        <v>21982.799999999999</v>
      </c>
      <c r="O122" s="80">
        <v>360000000</v>
      </c>
      <c r="P122" s="80">
        <v>40196.120000000003</v>
      </c>
      <c r="Q122" s="78">
        <f t="shared" si="1"/>
        <v>1.4418378991532478E-3</v>
      </c>
    </row>
    <row r="123" spans="1:17" ht="14.4">
      <c r="A123" s="75">
        <v>45294</v>
      </c>
      <c r="B123" s="78">
        <v>7955</v>
      </c>
      <c r="C123" s="78">
        <v>8094</v>
      </c>
      <c r="D123" s="78">
        <v>7945.3</v>
      </c>
      <c r="E123" s="78">
        <v>8040.05</v>
      </c>
      <c r="F123" s="78">
        <v>7975.2330000000002</v>
      </c>
      <c r="G123" s="78">
        <v>399007</v>
      </c>
      <c r="H123" s="3">
        <f t="shared" si="0"/>
        <v>1.6524746028434678E-2</v>
      </c>
      <c r="J123" s="79">
        <v>45352</v>
      </c>
      <c r="K123" s="78">
        <v>22048.3</v>
      </c>
      <c r="L123" s="78">
        <v>22353.3</v>
      </c>
      <c r="M123" s="78">
        <v>22047.75</v>
      </c>
      <c r="N123" s="78">
        <v>22338.75</v>
      </c>
      <c r="O123" s="80">
        <v>352000000</v>
      </c>
      <c r="P123" s="80">
        <v>29646.47</v>
      </c>
      <c r="Q123" s="78">
        <f t="shared" si="1"/>
        <v>1.6192204814673324E-2</v>
      </c>
    </row>
    <row r="124" spans="1:17" ht="14.4">
      <c r="A124" s="75">
        <v>45385</v>
      </c>
      <c r="B124" s="78">
        <v>8068.75</v>
      </c>
      <c r="C124" s="78">
        <v>8225</v>
      </c>
      <c r="D124" s="78">
        <v>8046.65</v>
      </c>
      <c r="E124" s="78">
        <v>8207.2999999999993</v>
      </c>
      <c r="F124" s="78">
        <v>8141.134</v>
      </c>
      <c r="G124" s="78">
        <v>410053</v>
      </c>
      <c r="H124" s="3">
        <f t="shared" si="0"/>
        <v>2.08021094396178E-2</v>
      </c>
      <c r="J124" s="79">
        <v>45355</v>
      </c>
      <c r="K124" s="78">
        <v>22403.5</v>
      </c>
      <c r="L124" s="78">
        <v>22440.9</v>
      </c>
      <c r="M124" s="78">
        <v>22358.3</v>
      </c>
      <c r="N124" s="78">
        <v>22405.599999999999</v>
      </c>
      <c r="O124" s="80">
        <v>299000000</v>
      </c>
      <c r="P124" s="80">
        <v>23771.71</v>
      </c>
      <c r="Q124" s="78">
        <f t="shared" si="1"/>
        <v>2.9925577751664057E-3</v>
      </c>
    </row>
    <row r="125" spans="1:17" ht="14.4">
      <c r="A125" s="75">
        <v>45415</v>
      </c>
      <c r="B125" s="78">
        <v>8160.05</v>
      </c>
      <c r="C125" s="78">
        <v>8388</v>
      </c>
      <c r="D125" s="78">
        <v>8160.05</v>
      </c>
      <c r="E125" s="78">
        <v>8351.75</v>
      </c>
      <c r="F125" s="78">
        <v>8284.42</v>
      </c>
      <c r="G125" s="78">
        <v>615117</v>
      </c>
      <c r="H125" s="3">
        <f t="shared" si="0"/>
        <v>1.7600185200979706E-2</v>
      </c>
      <c r="J125" s="79">
        <v>45356</v>
      </c>
      <c r="K125" s="78">
        <v>22371.25</v>
      </c>
      <c r="L125" s="78">
        <v>22416.9</v>
      </c>
      <c r="M125" s="78">
        <v>22269.15</v>
      </c>
      <c r="N125" s="78">
        <v>22356.3</v>
      </c>
      <c r="O125" s="80">
        <v>296000000</v>
      </c>
      <c r="P125" s="80">
        <v>29165.37</v>
      </c>
      <c r="Q125" s="78">
        <f t="shared" si="1"/>
        <v>-2.2003427714499622E-3</v>
      </c>
    </row>
    <row r="126" spans="1:17" ht="14.4">
      <c r="A126" s="75">
        <v>45446</v>
      </c>
      <c r="B126" s="78">
        <v>8369.7000000000007</v>
      </c>
      <c r="C126" s="78">
        <v>8681.15</v>
      </c>
      <c r="D126" s="78">
        <v>8364</v>
      </c>
      <c r="E126" s="78">
        <v>8605.7999999999993</v>
      </c>
      <c r="F126" s="78">
        <v>8536.4220000000005</v>
      </c>
      <c r="G126" s="78">
        <v>959543</v>
      </c>
      <c r="H126" s="3">
        <f t="shared" si="0"/>
        <v>3.041877450833649E-2</v>
      </c>
      <c r="J126" s="79">
        <v>45357</v>
      </c>
      <c r="K126" s="78">
        <v>22327.5</v>
      </c>
      <c r="L126" s="78">
        <v>22497.200000000001</v>
      </c>
      <c r="M126" s="78">
        <v>22224.35</v>
      </c>
      <c r="N126" s="78">
        <v>22474.05</v>
      </c>
      <c r="O126" s="80">
        <v>312000000</v>
      </c>
      <c r="P126" s="80">
        <v>31029.01</v>
      </c>
      <c r="Q126" s="78">
        <f t="shared" si="1"/>
        <v>5.2669717260906326E-3</v>
      </c>
    </row>
    <row r="127" spans="1:17" ht="14.4">
      <c r="A127" s="75">
        <v>45476</v>
      </c>
      <c r="B127" s="78">
        <v>8638</v>
      </c>
      <c r="C127" s="78">
        <v>8972.85</v>
      </c>
      <c r="D127" s="78">
        <v>8500.0499999999993</v>
      </c>
      <c r="E127" s="78">
        <v>8879.0499999999993</v>
      </c>
      <c r="F127" s="78">
        <v>8807.4689999999991</v>
      </c>
      <c r="G127" s="78">
        <v>1243547</v>
      </c>
      <c r="H127" s="3">
        <f t="shared" si="0"/>
        <v>3.1751841781124363E-2</v>
      </c>
      <c r="J127" s="79">
        <v>45358</v>
      </c>
      <c r="K127" s="78">
        <v>22505.3</v>
      </c>
      <c r="L127" s="78">
        <v>22525.65</v>
      </c>
      <c r="M127" s="78">
        <v>22430</v>
      </c>
      <c r="N127" s="78">
        <v>22493.55</v>
      </c>
      <c r="O127" s="80">
        <v>380000000</v>
      </c>
      <c r="P127" s="80">
        <v>33558.46</v>
      </c>
      <c r="Q127" s="78">
        <f t="shared" si="1"/>
        <v>8.6766737637408481E-4</v>
      </c>
    </row>
    <row r="128" spans="1:17" ht="14.4">
      <c r="A128" s="75">
        <v>45599</v>
      </c>
      <c r="B128" s="78">
        <v>9023.4500000000007</v>
      </c>
      <c r="C128" s="78">
        <v>9025</v>
      </c>
      <c r="D128" s="78">
        <v>8630</v>
      </c>
      <c r="E128" s="78">
        <v>8659.4</v>
      </c>
      <c r="F128" s="78">
        <v>8589.59</v>
      </c>
      <c r="G128" s="78">
        <v>631957</v>
      </c>
      <c r="H128" s="3">
        <f t="shared" si="0"/>
        <v>-2.4738006881366775E-2</v>
      </c>
      <c r="J128" s="81">
        <v>45362</v>
      </c>
      <c r="K128" s="78">
        <v>22517.5</v>
      </c>
      <c r="L128" s="78">
        <v>22526.6</v>
      </c>
      <c r="M128" s="78">
        <v>22307.25</v>
      </c>
      <c r="N128" s="78">
        <v>22332.65</v>
      </c>
      <c r="O128" s="80">
        <v>278000000</v>
      </c>
      <c r="P128" s="80">
        <v>27222.37</v>
      </c>
      <c r="Q128" s="78">
        <f t="shared" si="1"/>
        <v>-7.1531616841271307E-3</v>
      </c>
    </row>
    <row r="129" spans="1:17" ht="14.4">
      <c r="A129" s="75">
        <v>45629</v>
      </c>
      <c r="B129" s="78">
        <v>8636.9500000000007</v>
      </c>
      <c r="C129" s="78">
        <v>8699.9500000000007</v>
      </c>
      <c r="D129" s="78">
        <v>8475.25</v>
      </c>
      <c r="E129" s="78">
        <v>8527.7000000000007</v>
      </c>
      <c r="F129" s="78">
        <v>8458.9519999999993</v>
      </c>
      <c r="G129" s="78">
        <v>324864</v>
      </c>
      <c r="H129" s="3">
        <f t="shared" si="0"/>
        <v>-1.5208905928817113E-2</v>
      </c>
      <c r="J129" s="81">
        <v>45363</v>
      </c>
      <c r="K129" s="78">
        <v>22334.45</v>
      </c>
      <c r="L129" s="78">
        <v>22452.55</v>
      </c>
      <c r="M129" s="78">
        <v>22256</v>
      </c>
      <c r="N129" s="78">
        <v>22335.7</v>
      </c>
      <c r="O129" s="80">
        <v>299000000</v>
      </c>
      <c r="P129" s="80">
        <v>29781.119999999999</v>
      </c>
      <c r="Q129" s="78">
        <f t="shared" si="1"/>
        <v>1.3657134285448758E-4</v>
      </c>
    </row>
    <row r="130" spans="1:17" ht="14.4">
      <c r="A130" s="78" t="s">
        <v>376</v>
      </c>
      <c r="B130" s="78">
        <v>8527.7000000000007</v>
      </c>
      <c r="C130" s="78">
        <v>8617.2000000000007</v>
      </c>
      <c r="D130" s="78">
        <v>8296.9500000000007</v>
      </c>
      <c r="E130" s="78">
        <v>8384.9</v>
      </c>
      <c r="F130" s="78">
        <v>8317.3040000000001</v>
      </c>
      <c r="G130" s="78">
        <v>430048</v>
      </c>
      <c r="H130" s="3">
        <f t="shared" si="0"/>
        <v>-1.6745429600009507E-2</v>
      </c>
      <c r="J130" s="81">
        <v>45364</v>
      </c>
      <c r="K130" s="78">
        <v>22432.2</v>
      </c>
      <c r="L130" s="78">
        <v>22446.75</v>
      </c>
      <c r="M130" s="78">
        <v>21905.65</v>
      </c>
      <c r="N130" s="78">
        <v>21997.7</v>
      </c>
      <c r="O130" s="80">
        <v>493000000</v>
      </c>
      <c r="P130" s="80">
        <v>40109.230000000003</v>
      </c>
      <c r="Q130" s="78">
        <f t="shared" si="1"/>
        <v>-1.5132724741109523E-2</v>
      </c>
    </row>
    <row r="131" spans="1:17" ht="14.4">
      <c r="A131" s="78" t="s">
        <v>377</v>
      </c>
      <c r="B131" s="78">
        <v>8330.5</v>
      </c>
      <c r="C131" s="78">
        <v>8400</v>
      </c>
      <c r="D131" s="78">
        <v>8202.0499999999993</v>
      </c>
      <c r="E131" s="78">
        <v>8383.5499999999993</v>
      </c>
      <c r="F131" s="78">
        <v>8315.9639999999999</v>
      </c>
      <c r="G131" s="78">
        <v>392634</v>
      </c>
      <c r="H131" s="3">
        <f t="shared" si="0"/>
        <v>-1.6100370904845185E-4</v>
      </c>
      <c r="J131" s="81">
        <v>45365</v>
      </c>
      <c r="K131" s="78">
        <v>21982.55</v>
      </c>
      <c r="L131" s="78">
        <v>22204.6</v>
      </c>
      <c r="M131" s="78">
        <v>21917.5</v>
      </c>
      <c r="N131" s="78">
        <v>22146.65</v>
      </c>
      <c r="O131" s="80">
        <v>427000000</v>
      </c>
      <c r="P131" s="80">
        <v>37348.300000000003</v>
      </c>
      <c r="Q131" s="78">
        <f t="shared" si="1"/>
        <v>6.7711624397096392E-3</v>
      </c>
    </row>
    <row r="132" spans="1:17" ht="14.4">
      <c r="A132" s="78" t="s">
        <v>378</v>
      </c>
      <c r="B132" s="78">
        <v>8384.7999999999993</v>
      </c>
      <c r="C132" s="78">
        <v>8432.1</v>
      </c>
      <c r="D132" s="78">
        <v>8110</v>
      </c>
      <c r="E132" s="78">
        <v>8350.7000000000007</v>
      </c>
      <c r="F132" s="78">
        <v>8283.3790000000008</v>
      </c>
      <c r="G132" s="78">
        <v>676870</v>
      </c>
      <c r="H132" s="3">
        <f t="shared" si="0"/>
        <v>-3.9183877951462741E-3</v>
      </c>
      <c r="J132" s="81">
        <v>45366</v>
      </c>
      <c r="K132" s="78">
        <v>22064.85</v>
      </c>
      <c r="L132" s="78">
        <v>22120.9</v>
      </c>
      <c r="M132" s="78">
        <v>21931.7</v>
      </c>
      <c r="N132" s="78">
        <v>22023.35</v>
      </c>
      <c r="O132" s="80">
        <v>661000000</v>
      </c>
      <c r="P132" s="80">
        <v>60260.88</v>
      </c>
      <c r="Q132" s="78">
        <f t="shared" si="1"/>
        <v>-5.5674334493028476E-3</v>
      </c>
    </row>
    <row r="133" spans="1:17" ht="14.4">
      <c r="A133" s="78" t="s">
        <v>379</v>
      </c>
      <c r="B133" s="78">
        <v>8343</v>
      </c>
      <c r="C133" s="78">
        <v>8547.15</v>
      </c>
      <c r="D133" s="78">
        <v>8294.2000000000007</v>
      </c>
      <c r="E133" s="78">
        <v>8521.7999999999993</v>
      </c>
      <c r="F133" s="78">
        <v>8453.0990000000002</v>
      </c>
      <c r="G133" s="78">
        <v>367524</v>
      </c>
      <c r="H133" s="3">
        <f t="shared" si="0"/>
        <v>2.0489300298178421E-2</v>
      </c>
      <c r="J133" s="81">
        <v>45369</v>
      </c>
      <c r="K133" s="78">
        <v>21990.1</v>
      </c>
      <c r="L133" s="78">
        <v>22123.7</v>
      </c>
      <c r="M133" s="78">
        <v>21916.55</v>
      </c>
      <c r="N133" s="78">
        <v>22055.7</v>
      </c>
      <c r="O133" s="80">
        <v>356000000</v>
      </c>
      <c r="P133" s="80">
        <v>23015.51</v>
      </c>
      <c r="Q133" s="78">
        <f t="shared" si="1"/>
        <v>1.468895513171347E-3</v>
      </c>
    </row>
    <row r="134" spans="1:17" ht="14.4">
      <c r="A134" s="78" t="s">
        <v>380</v>
      </c>
      <c r="B134" s="78">
        <v>8500</v>
      </c>
      <c r="C134" s="78">
        <v>8687.9</v>
      </c>
      <c r="D134" s="78">
        <v>8442.5499999999993</v>
      </c>
      <c r="E134" s="78">
        <v>8640.2000000000007</v>
      </c>
      <c r="F134" s="78">
        <v>8570.5450000000001</v>
      </c>
      <c r="G134" s="78">
        <v>673456</v>
      </c>
      <c r="H134" s="3">
        <f t="shared" si="0"/>
        <v>1.3893778309746939E-2</v>
      </c>
      <c r="J134" s="81">
        <v>45370</v>
      </c>
      <c r="K134" s="78">
        <v>21946.45</v>
      </c>
      <c r="L134" s="78">
        <v>21978.3</v>
      </c>
      <c r="M134" s="78">
        <v>21793.1</v>
      </c>
      <c r="N134" s="78">
        <v>21817.45</v>
      </c>
      <c r="O134" s="80">
        <v>344000000</v>
      </c>
      <c r="P134" s="80">
        <v>30291.599999999999</v>
      </c>
      <c r="Q134" s="78">
        <f t="shared" si="1"/>
        <v>-1.080219625765675E-2</v>
      </c>
    </row>
    <row r="135" spans="1:17" ht="14.4">
      <c r="A135" s="78" t="s">
        <v>381</v>
      </c>
      <c r="B135" s="78">
        <v>8640</v>
      </c>
      <c r="C135" s="78">
        <v>8784</v>
      </c>
      <c r="D135" s="78">
        <v>8562</v>
      </c>
      <c r="E135" s="78">
        <v>8635.6</v>
      </c>
      <c r="F135" s="78">
        <v>8565.9809999999998</v>
      </c>
      <c r="G135" s="78">
        <v>790885</v>
      </c>
      <c r="H135" s="3">
        <f t="shared" si="0"/>
        <v>-5.3239508344718445E-4</v>
      </c>
      <c r="J135" s="81">
        <v>45371</v>
      </c>
      <c r="K135" s="78">
        <v>21843.9</v>
      </c>
      <c r="L135" s="78">
        <v>21930.9</v>
      </c>
      <c r="M135" s="78">
        <v>21710.2</v>
      </c>
      <c r="N135" s="78">
        <v>21839.1</v>
      </c>
      <c r="O135" s="80">
        <v>312000000</v>
      </c>
      <c r="P135" s="80">
        <v>28939.85</v>
      </c>
      <c r="Q135" s="78">
        <f t="shared" si="1"/>
        <v>9.9232495089929458E-4</v>
      </c>
    </row>
    <row r="136" spans="1:17" ht="14.4">
      <c r="A136" s="78" t="s">
        <v>382</v>
      </c>
      <c r="B136" s="78">
        <v>8608.2000000000007</v>
      </c>
      <c r="C136" s="78">
        <v>8770</v>
      </c>
      <c r="D136" s="78">
        <v>8585</v>
      </c>
      <c r="E136" s="78">
        <v>8750.6</v>
      </c>
      <c r="F136" s="78">
        <v>8680.0550000000003</v>
      </c>
      <c r="G136" s="78">
        <v>720691</v>
      </c>
      <c r="H136" s="3">
        <f t="shared" si="0"/>
        <v>1.3316966973921904E-2</v>
      </c>
      <c r="J136" s="81">
        <v>45372</v>
      </c>
      <c r="K136" s="78">
        <v>21989.9</v>
      </c>
      <c r="L136" s="78">
        <v>22080.95</v>
      </c>
      <c r="M136" s="78">
        <v>21941.3</v>
      </c>
      <c r="N136" s="78">
        <v>22011.95</v>
      </c>
      <c r="O136" s="80">
        <v>353000000</v>
      </c>
      <c r="P136" s="80">
        <v>31258.400000000001</v>
      </c>
      <c r="Q136" s="78">
        <f t="shared" si="1"/>
        <v>7.9147034447391244E-3</v>
      </c>
    </row>
    <row r="137" spans="1:17" ht="14.4">
      <c r="A137" s="78" t="s">
        <v>383</v>
      </c>
      <c r="B137" s="78">
        <v>8700.0499999999993</v>
      </c>
      <c r="C137" s="78">
        <v>9050</v>
      </c>
      <c r="D137" s="78">
        <v>8682</v>
      </c>
      <c r="E137" s="78">
        <v>8945.25</v>
      </c>
      <c r="F137" s="78">
        <v>8873.1360000000004</v>
      </c>
      <c r="G137" s="78">
        <v>851210</v>
      </c>
      <c r="H137" s="3">
        <f t="shared" si="0"/>
        <v>2.2244188969899166E-2</v>
      </c>
      <c r="J137" s="81">
        <v>45373</v>
      </c>
      <c r="K137" s="78">
        <v>21932.2</v>
      </c>
      <c r="L137" s="78">
        <v>22180.7</v>
      </c>
      <c r="M137" s="78">
        <v>21883.3</v>
      </c>
      <c r="N137" s="78">
        <v>22096.75</v>
      </c>
      <c r="O137" s="80">
        <v>389000000</v>
      </c>
      <c r="P137" s="80">
        <v>39023.19</v>
      </c>
      <c r="Q137" s="78">
        <f t="shared" si="1"/>
        <v>3.8524528721898457E-3</v>
      </c>
    </row>
    <row r="138" spans="1:17" ht="14.4">
      <c r="A138" s="78" t="s">
        <v>384</v>
      </c>
      <c r="B138" s="78">
        <v>8945.25</v>
      </c>
      <c r="C138" s="78">
        <v>9020</v>
      </c>
      <c r="D138" s="78">
        <v>8851.0499999999993</v>
      </c>
      <c r="E138" s="78">
        <v>8960.5499999999993</v>
      </c>
      <c r="F138" s="78">
        <v>8888.3119999999999</v>
      </c>
      <c r="G138" s="78">
        <v>534067</v>
      </c>
      <c r="H138" s="3">
        <f t="shared" si="0"/>
        <v>1.7104049635280482E-3</v>
      </c>
      <c r="J138" s="81">
        <v>45377</v>
      </c>
      <c r="K138" s="78">
        <v>21947.9</v>
      </c>
      <c r="L138" s="78">
        <v>22073.200000000001</v>
      </c>
      <c r="M138" s="78">
        <v>21947.55</v>
      </c>
      <c r="N138" s="78">
        <v>22004.7</v>
      </c>
      <c r="O138" s="80">
        <v>328000000</v>
      </c>
      <c r="P138" s="80">
        <v>33382.080000000002</v>
      </c>
      <c r="Q138" s="78">
        <f t="shared" si="1"/>
        <v>-4.1657709844207533E-3</v>
      </c>
    </row>
    <row r="139" spans="1:17" ht="14.4">
      <c r="A139" s="78" t="s">
        <v>385</v>
      </c>
      <c r="B139" s="78">
        <v>8959</v>
      </c>
      <c r="C139" s="78">
        <v>9287.7999999999993</v>
      </c>
      <c r="D139" s="78">
        <v>8926.7000000000007</v>
      </c>
      <c r="E139" s="78">
        <v>9162.5</v>
      </c>
      <c r="F139" s="78">
        <v>9088.634</v>
      </c>
      <c r="G139" s="78">
        <v>1034030</v>
      </c>
      <c r="H139" s="3">
        <f t="shared" si="0"/>
        <v>2.253767904871919E-2</v>
      </c>
      <c r="J139" s="81">
        <v>45378</v>
      </c>
      <c r="K139" s="78">
        <v>22053.95</v>
      </c>
      <c r="L139" s="78">
        <v>22193.599999999999</v>
      </c>
      <c r="M139" s="78">
        <v>22052.85</v>
      </c>
      <c r="N139" s="78">
        <v>22123.65</v>
      </c>
      <c r="O139" s="80">
        <v>409000000</v>
      </c>
      <c r="P139" s="80">
        <v>38830.730000000003</v>
      </c>
      <c r="Q139" s="78">
        <f t="shared" si="1"/>
        <v>5.4056633355601636E-3</v>
      </c>
    </row>
    <row r="140" spans="1:17" ht="14.4">
      <c r="A140" s="78" t="s">
        <v>386</v>
      </c>
      <c r="B140" s="78">
        <v>9162.5</v>
      </c>
      <c r="C140" s="78">
        <v>9243.6</v>
      </c>
      <c r="D140" s="78">
        <v>8980.0499999999993</v>
      </c>
      <c r="E140" s="78">
        <v>9148.15</v>
      </c>
      <c r="F140" s="78">
        <v>9074.4</v>
      </c>
      <c r="G140" s="78">
        <v>847202</v>
      </c>
      <c r="H140" s="3">
        <f t="shared" si="0"/>
        <v>-1.5661664392906264E-3</v>
      </c>
      <c r="J140" s="81">
        <v>45379</v>
      </c>
      <c r="K140" s="78">
        <v>22163.599999999999</v>
      </c>
      <c r="L140" s="78">
        <v>22516</v>
      </c>
      <c r="M140" s="78">
        <v>22163.599999999999</v>
      </c>
      <c r="N140" s="78">
        <v>22326.9</v>
      </c>
      <c r="O140" s="80">
        <v>407000000</v>
      </c>
      <c r="P140" s="80">
        <v>45656.57</v>
      </c>
      <c r="Q140" s="78">
        <f t="shared" si="1"/>
        <v>9.1870012407536724E-3</v>
      </c>
    </row>
    <row r="141" spans="1:17" ht="14.4">
      <c r="A141" s="75">
        <v>45295</v>
      </c>
      <c r="B141" s="78">
        <v>9194.7999999999993</v>
      </c>
      <c r="C141" s="78">
        <v>9211.6</v>
      </c>
      <c r="D141" s="78">
        <v>9013.1</v>
      </c>
      <c r="E141" s="78">
        <v>9042.15</v>
      </c>
      <c r="F141" s="78">
        <v>8969.2549999999992</v>
      </c>
      <c r="G141" s="78">
        <v>419820</v>
      </c>
      <c r="H141" s="3">
        <f t="shared" si="0"/>
        <v>-1.1587042188857857E-2</v>
      </c>
      <c r="J141" s="79">
        <v>45383</v>
      </c>
      <c r="K141" s="78">
        <v>22455</v>
      </c>
      <c r="L141" s="78">
        <v>22529.95</v>
      </c>
      <c r="M141" s="78">
        <v>22427.75</v>
      </c>
      <c r="N141" s="78">
        <v>22462</v>
      </c>
      <c r="O141" s="80">
        <v>244000000</v>
      </c>
      <c r="P141" s="80">
        <v>21420.69</v>
      </c>
      <c r="Q141" s="78">
        <f t="shared" si="1"/>
        <v>6.0509967796693017E-3</v>
      </c>
    </row>
    <row r="142" spans="1:17" ht="14.4">
      <c r="A142" s="75">
        <v>45326</v>
      </c>
      <c r="B142" s="78">
        <v>9150</v>
      </c>
      <c r="C142" s="78">
        <v>9357.9500000000007</v>
      </c>
      <c r="D142" s="78">
        <v>9139.5</v>
      </c>
      <c r="E142" s="78">
        <v>9276.1</v>
      </c>
      <c r="F142" s="78">
        <v>9201.3169999999991</v>
      </c>
      <c r="G142" s="78">
        <v>803845</v>
      </c>
      <c r="H142" s="3">
        <f t="shared" si="0"/>
        <v>2.5873271290567039E-2</v>
      </c>
      <c r="J142" s="79">
        <v>45384</v>
      </c>
      <c r="K142" s="78">
        <v>22458.799999999999</v>
      </c>
      <c r="L142" s="78">
        <v>22497.599999999999</v>
      </c>
      <c r="M142" s="78">
        <v>22388.15</v>
      </c>
      <c r="N142" s="78">
        <v>22453.3</v>
      </c>
      <c r="O142" s="80">
        <v>290000000</v>
      </c>
      <c r="P142" s="80">
        <v>27940.93</v>
      </c>
      <c r="Q142" s="78">
        <f t="shared" si="1"/>
        <v>-3.8732080847657055E-4</v>
      </c>
    </row>
    <row r="143" spans="1:17" ht="14.4">
      <c r="A143" s="75">
        <v>45355</v>
      </c>
      <c r="B143" s="78">
        <v>9248.9500000000007</v>
      </c>
      <c r="C143" s="78">
        <v>9248.9500000000007</v>
      </c>
      <c r="D143" s="78">
        <v>9065.2000000000007</v>
      </c>
      <c r="E143" s="78">
        <v>9080.4500000000007</v>
      </c>
      <c r="F143" s="78">
        <v>9007.2459999999992</v>
      </c>
      <c r="G143" s="78">
        <v>453210</v>
      </c>
      <c r="H143" s="3">
        <f t="shared" si="0"/>
        <v>-2.109183816474592E-2</v>
      </c>
      <c r="J143" s="79">
        <v>45385</v>
      </c>
      <c r="K143" s="78">
        <v>22385.7</v>
      </c>
      <c r="L143" s="78">
        <v>22521.1</v>
      </c>
      <c r="M143" s="78">
        <v>22346.5</v>
      </c>
      <c r="N143" s="78">
        <v>22434.65</v>
      </c>
      <c r="O143" s="80">
        <v>310000000</v>
      </c>
      <c r="P143" s="80">
        <v>30793.279999999999</v>
      </c>
      <c r="Q143" s="78">
        <f t="shared" si="1"/>
        <v>-8.3061287204989106E-4</v>
      </c>
    </row>
    <row r="144" spans="1:17" ht="14.4">
      <c r="A144" s="75">
        <v>45386</v>
      </c>
      <c r="B144" s="78">
        <v>9139</v>
      </c>
      <c r="C144" s="78">
        <v>9181.75</v>
      </c>
      <c r="D144" s="78">
        <v>8988.0499999999993</v>
      </c>
      <c r="E144" s="78">
        <v>9146.15</v>
      </c>
      <c r="F144" s="78">
        <v>9072.4159999999993</v>
      </c>
      <c r="G144" s="78">
        <v>617929</v>
      </c>
      <c r="H144" s="3">
        <f t="shared" si="0"/>
        <v>7.235324240538619E-3</v>
      </c>
      <c r="J144" s="79">
        <v>45386</v>
      </c>
      <c r="K144" s="78">
        <v>22592.1</v>
      </c>
      <c r="L144" s="78">
        <v>22619</v>
      </c>
      <c r="M144" s="78">
        <v>22303.8</v>
      </c>
      <c r="N144" s="78">
        <v>22514.65</v>
      </c>
      <c r="O144" s="80">
        <v>401000000</v>
      </c>
      <c r="P144" s="80">
        <v>40705.56</v>
      </c>
      <c r="Q144" s="78">
        <f t="shared" si="1"/>
        <v>3.5659125504520907E-3</v>
      </c>
    </row>
    <row r="145" spans="1:17" ht="14.4">
      <c r="A145" s="75">
        <v>45416</v>
      </c>
      <c r="B145" s="78">
        <v>9130</v>
      </c>
      <c r="C145" s="78">
        <v>9130</v>
      </c>
      <c r="D145" s="78">
        <v>9000.5</v>
      </c>
      <c r="E145" s="78">
        <v>9009.5</v>
      </c>
      <c r="F145" s="78">
        <v>8936.8670000000002</v>
      </c>
      <c r="G145" s="78">
        <v>356305</v>
      </c>
      <c r="H145" s="3">
        <f t="shared" si="0"/>
        <v>-1.4940712758920381E-2</v>
      </c>
      <c r="J145" s="79">
        <v>45387</v>
      </c>
      <c r="K145" s="78">
        <v>22486.400000000001</v>
      </c>
      <c r="L145" s="78">
        <v>22537.599999999999</v>
      </c>
      <c r="M145" s="78">
        <v>22427.599999999999</v>
      </c>
      <c r="N145" s="78">
        <v>22513.7</v>
      </c>
      <c r="O145" s="80">
        <v>242000000</v>
      </c>
      <c r="P145" s="80">
        <v>24797.82</v>
      </c>
      <c r="Q145" s="78">
        <f t="shared" si="1"/>
        <v>-4.2194748752511256E-5</v>
      </c>
    </row>
    <row r="146" spans="1:17" ht="14.4">
      <c r="A146" s="75">
        <v>45508</v>
      </c>
      <c r="B146" s="78">
        <v>9049</v>
      </c>
      <c r="C146" s="78">
        <v>9090</v>
      </c>
      <c r="D146" s="78">
        <v>8951.2999999999993</v>
      </c>
      <c r="E146" s="78">
        <v>9030.5</v>
      </c>
      <c r="F146" s="78">
        <v>8957.6980000000003</v>
      </c>
      <c r="G146" s="78">
        <v>376197</v>
      </c>
      <c r="H146" s="3">
        <f t="shared" si="0"/>
        <v>2.3308729674232755E-3</v>
      </c>
      <c r="J146" s="79">
        <v>45390</v>
      </c>
      <c r="K146" s="78">
        <v>22578.35</v>
      </c>
      <c r="L146" s="78">
        <v>22697.3</v>
      </c>
      <c r="M146" s="78">
        <v>22550.35</v>
      </c>
      <c r="N146" s="78">
        <v>22666.3</v>
      </c>
      <c r="O146" s="80">
        <v>228000000</v>
      </c>
      <c r="P146" s="80">
        <v>22480.2</v>
      </c>
      <c r="Q146" s="78">
        <f t="shared" si="1"/>
        <v>6.7780951154185467E-3</v>
      </c>
    </row>
    <row r="147" spans="1:17" ht="14.4">
      <c r="A147" s="75">
        <v>45539</v>
      </c>
      <c r="B147" s="78">
        <v>9090</v>
      </c>
      <c r="C147" s="78">
        <v>9132.7000000000007</v>
      </c>
      <c r="D147" s="78">
        <v>8936.4</v>
      </c>
      <c r="E147" s="78">
        <v>8978.9</v>
      </c>
      <c r="F147" s="78">
        <v>8906.5149999999994</v>
      </c>
      <c r="G147" s="78">
        <v>237944</v>
      </c>
      <c r="H147" s="3">
        <f t="shared" si="0"/>
        <v>-5.7139693261724564E-3</v>
      </c>
      <c r="J147" s="79">
        <v>45391</v>
      </c>
      <c r="K147" s="78">
        <v>22765.1</v>
      </c>
      <c r="L147" s="78">
        <v>22768.400000000001</v>
      </c>
      <c r="M147" s="78">
        <v>22612.25</v>
      </c>
      <c r="N147" s="78">
        <v>22642.75</v>
      </c>
      <c r="O147" s="80">
        <v>232000000</v>
      </c>
      <c r="P147" s="80">
        <v>21651.69</v>
      </c>
      <c r="Q147" s="78">
        <f t="shared" si="1"/>
        <v>-1.0389873953843051E-3</v>
      </c>
    </row>
    <row r="148" spans="1:17" ht="14.4">
      <c r="A148" s="75">
        <v>45569</v>
      </c>
      <c r="B148" s="78">
        <v>9034.7999999999993</v>
      </c>
      <c r="C148" s="78">
        <v>9049.7999999999993</v>
      </c>
      <c r="D148" s="78">
        <v>8901.35</v>
      </c>
      <c r="E148" s="78">
        <v>9005.5499999999993</v>
      </c>
      <c r="F148" s="78">
        <v>8932.9490000000005</v>
      </c>
      <c r="G148" s="78">
        <v>319824</v>
      </c>
      <c r="H148" s="3">
        <f t="shared" si="0"/>
        <v>2.9680695853611955E-3</v>
      </c>
      <c r="J148" s="81">
        <v>45392</v>
      </c>
      <c r="K148" s="78">
        <v>22720.25</v>
      </c>
      <c r="L148" s="78">
        <v>22775.7</v>
      </c>
      <c r="M148" s="78">
        <v>22673.7</v>
      </c>
      <c r="N148" s="78">
        <v>22753.8</v>
      </c>
      <c r="O148" s="80">
        <v>277000000</v>
      </c>
      <c r="P148" s="80">
        <v>25355.05</v>
      </c>
      <c r="Q148" s="78">
        <f t="shared" si="1"/>
        <v>4.9044396109129531E-3</v>
      </c>
    </row>
    <row r="149" spans="1:17" ht="14.4">
      <c r="A149" s="75">
        <v>45630</v>
      </c>
      <c r="B149" s="78">
        <v>8949.0499999999993</v>
      </c>
      <c r="C149" s="78">
        <v>9119</v>
      </c>
      <c r="D149" s="78">
        <v>8930</v>
      </c>
      <c r="E149" s="78">
        <v>9064.85</v>
      </c>
      <c r="F149" s="78">
        <v>8991.7710000000006</v>
      </c>
      <c r="G149" s="78">
        <v>480474</v>
      </c>
      <c r="H149" s="3">
        <f t="shared" si="0"/>
        <v>6.5848282448047147E-3</v>
      </c>
      <c r="J149" s="81">
        <v>45394</v>
      </c>
      <c r="K149" s="78">
        <v>22677.4</v>
      </c>
      <c r="L149" s="78">
        <v>22726.45</v>
      </c>
      <c r="M149" s="78">
        <v>22503.75</v>
      </c>
      <c r="N149" s="78">
        <v>22519.4</v>
      </c>
      <c r="O149" s="80">
        <v>357000000</v>
      </c>
      <c r="P149" s="80">
        <v>36456.910000000003</v>
      </c>
      <c r="Q149" s="78">
        <f t="shared" si="1"/>
        <v>-1.030157600049213E-2</v>
      </c>
    </row>
    <row r="150" spans="1:17" ht="14.4">
      <c r="A150" s="78" t="s">
        <v>387</v>
      </c>
      <c r="B150" s="78">
        <v>9059.1</v>
      </c>
      <c r="C150" s="78">
        <v>9177.7000000000007</v>
      </c>
      <c r="D150" s="78">
        <v>8945</v>
      </c>
      <c r="E150" s="78">
        <v>8997.0499999999993</v>
      </c>
      <c r="F150" s="78">
        <v>8924.518</v>
      </c>
      <c r="G150" s="78">
        <v>386707</v>
      </c>
      <c r="H150" s="3">
        <f t="shared" si="0"/>
        <v>-7.4794398142276029E-3</v>
      </c>
      <c r="J150" s="81">
        <v>45397</v>
      </c>
      <c r="K150" s="78">
        <v>22339.05</v>
      </c>
      <c r="L150" s="78">
        <v>22427.45</v>
      </c>
      <c r="M150" s="78">
        <v>22259.55</v>
      </c>
      <c r="N150" s="78">
        <v>22272.5</v>
      </c>
      <c r="O150" s="80">
        <v>355000000</v>
      </c>
      <c r="P150" s="80">
        <v>29474.59</v>
      </c>
      <c r="Q150" s="78">
        <f t="shared" si="1"/>
        <v>-1.0963880032327745E-2</v>
      </c>
    </row>
    <row r="151" spans="1:17" ht="14.4">
      <c r="A151" s="78" t="s">
        <v>388</v>
      </c>
      <c r="B151" s="78">
        <v>8948</v>
      </c>
      <c r="C151" s="78">
        <v>9029.4500000000007</v>
      </c>
      <c r="D151" s="78">
        <v>8784.1</v>
      </c>
      <c r="E151" s="78">
        <v>8919.15</v>
      </c>
      <c r="F151" s="78">
        <v>8847.2459999999992</v>
      </c>
      <c r="G151" s="78">
        <v>487529</v>
      </c>
      <c r="H151" s="3">
        <f t="shared" si="0"/>
        <v>-8.6583935845637901E-3</v>
      </c>
      <c r="J151" s="81">
        <v>45398</v>
      </c>
      <c r="K151" s="78">
        <v>22125.3</v>
      </c>
      <c r="L151" s="78">
        <v>22213.75</v>
      </c>
      <c r="M151" s="78">
        <v>22079.45</v>
      </c>
      <c r="N151" s="78">
        <v>22147.9</v>
      </c>
      <c r="O151" s="80">
        <v>317000000</v>
      </c>
      <c r="P151" s="80">
        <v>28661.040000000001</v>
      </c>
      <c r="Q151" s="78">
        <f t="shared" si="1"/>
        <v>-5.594342799416255E-3</v>
      </c>
    </row>
    <row r="152" spans="1:17" ht="14.4">
      <c r="A152" s="78" t="s">
        <v>389</v>
      </c>
      <c r="B152" s="78">
        <v>8967.9</v>
      </c>
      <c r="C152" s="78">
        <v>9129</v>
      </c>
      <c r="D152" s="78">
        <v>8950</v>
      </c>
      <c r="E152" s="78">
        <v>9021.2999999999993</v>
      </c>
      <c r="F152" s="78">
        <v>8948.5720000000001</v>
      </c>
      <c r="G152" s="78">
        <v>819240</v>
      </c>
      <c r="H152" s="3">
        <f t="shared" si="0"/>
        <v>1.1452885084340956E-2</v>
      </c>
      <c r="J152" s="81">
        <v>45400</v>
      </c>
      <c r="K152" s="78">
        <v>22212.35</v>
      </c>
      <c r="L152" s="78">
        <v>22326.5</v>
      </c>
      <c r="M152" s="78">
        <v>21961.7</v>
      </c>
      <c r="N152" s="78">
        <v>21995.85</v>
      </c>
      <c r="O152" s="80">
        <v>457000000</v>
      </c>
      <c r="P152" s="80">
        <v>43314.67</v>
      </c>
      <c r="Q152" s="78">
        <f t="shared" si="1"/>
        <v>-6.865210697176838E-3</v>
      </c>
    </row>
    <row r="153" spans="1:17" ht="14.4">
      <c r="A153" s="78" t="s">
        <v>390</v>
      </c>
      <c r="B153" s="78">
        <v>9075.0499999999993</v>
      </c>
      <c r="C153" s="78">
        <v>9090</v>
      </c>
      <c r="D153" s="78">
        <v>8700.0499999999993</v>
      </c>
      <c r="E153" s="78">
        <v>8804.5</v>
      </c>
      <c r="F153" s="78">
        <v>8733.5210000000006</v>
      </c>
      <c r="G153" s="78">
        <v>1385007</v>
      </c>
      <c r="H153" s="3">
        <f t="shared" si="0"/>
        <v>-2.4032013124494173E-2</v>
      </c>
      <c r="J153" s="81">
        <v>45401</v>
      </c>
      <c r="K153" s="78">
        <v>21861.5</v>
      </c>
      <c r="L153" s="78">
        <v>22179.55</v>
      </c>
      <c r="M153" s="78">
        <v>21777.65</v>
      </c>
      <c r="N153" s="78">
        <v>22147</v>
      </c>
      <c r="O153" s="80">
        <v>363000000</v>
      </c>
      <c r="P153" s="80">
        <v>36073.629999999997</v>
      </c>
      <c r="Q153" s="78">
        <f t="shared" si="1"/>
        <v>6.8717508075387618E-3</v>
      </c>
    </row>
    <row r="154" spans="1:17" ht="14.4">
      <c r="A154" s="78" t="s">
        <v>391</v>
      </c>
      <c r="B154" s="78">
        <v>8884</v>
      </c>
      <c r="C154" s="78">
        <v>8884</v>
      </c>
      <c r="D154" s="78">
        <v>8745</v>
      </c>
      <c r="E154" s="78">
        <v>8795.75</v>
      </c>
      <c r="F154" s="78">
        <v>8724.8410000000003</v>
      </c>
      <c r="G154" s="78">
        <v>323734</v>
      </c>
      <c r="H154" s="3">
        <f t="shared" si="0"/>
        <v>-9.938099835311489E-4</v>
      </c>
      <c r="J154" s="81">
        <v>45404</v>
      </c>
      <c r="K154" s="78">
        <v>22336.9</v>
      </c>
      <c r="L154" s="78">
        <v>22375.65</v>
      </c>
      <c r="M154" s="78">
        <v>22198.15</v>
      </c>
      <c r="N154" s="78">
        <v>22336.400000000001</v>
      </c>
      <c r="O154" s="80">
        <v>279000000</v>
      </c>
      <c r="P154" s="80">
        <v>26841.200000000001</v>
      </c>
      <c r="Q154" s="78">
        <f t="shared" si="1"/>
        <v>8.5519483451483927E-3</v>
      </c>
    </row>
    <row r="155" spans="1:17" ht="14.4">
      <c r="A155" s="78" t="s">
        <v>392</v>
      </c>
      <c r="B155" s="78">
        <v>8845</v>
      </c>
      <c r="C155" s="78">
        <v>8861.5</v>
      </c>
      <c r="D155" s="78">
        <v>8761</v>
      </c>
      <c r="E155" s="78">
        <v>8795.7999999999993</v>
      </c>
      <c r="F155" s="78">
        <v>8724.89</v>
      </c>
      <c r="G155" s="78">
        <v>295346</v>
      </c>
      <c r="H155" s="3">
        <f t="shared" si="0"/>
        <v>5.684563567549374E-6</v>
      </c>
      <c r="J155" s="81">
        <v>45405</v>
      </c>
      <c r="K155" s="78">
        <v>22447.05</v>
      </c>
      <c r="L155" s="78">
        <v>22447.55</v>
      </c>
      <c r="M155" s="78">
        <v>22349.45</v>
      </c>
      <c r="N155" s="78">
        <v>22368</v>
      </c>
      <c r="O155" s="80">
        <v>232000000</v>
      </c>
      <c r="P155" s="80">
        <v>25651.64</v>
      </c>
      <c r="Q155" s="78">
        <f t="shared" si="1"/>
        <v>1.4147311115487967E-3</v>
      </c>
    </row>
    <row r="156" spans="1:17" ht="14.4">
      <c r="A156" s="78" t="s">
        <v>393</v>
      </c>
      <c r="B156" s="78">
        <v>8819.9</v>
      </c>
      <c r="C156" s="78">
        <v>8869</v>
      </c>
      <c r="D156" s="78">
        <v>8680</v>
      </c>
      <c r="E156" s="78">
        <v>8697.1</v>
      </c>
      <c r="F156" s="78">
        <v>8626.9850000000006</v>
      </c>
      <c r="G156" s="78">
        <v>319824</v>
      </c>
      <c r="H156" s="3">
        <f t="shared" si="0"/>
        <v>-1.1221264694513167E-2</v>
      </c>
      <c r="J156" s="81">
        <v>45406</v>
      </c>
      <c r="K156" s="78">
        <v>22421.55</v>
      </c>
      <c r="L156" s="78">
        <v>22476.45</v>
      </c>
      <c r="M156" s="78">
        <v>22384</v>
      </c>
      <c r="N156" s="78">
        <v>22402.400000000001</v>
      </c>
      <c r="O156" s="80">
        <v>236000000</v>
      </c>
      <c r="P156" s="80">
        <v>21925.599999999999</v>
      </c>
      <c r="Q156" s="78">
        <f t="shared" si="1"/>
        <v>1.5379113018598647E-3</v>
      </c>
    </row>
    <row r="157" spans="1:17" ht="14.4">
      <c r="A157" s="78" t="s">
        <v>394</v>
      </c>
      <c r="B157" s="78">
        <v>8697</v>
      </c>
      <c r="C157" s="78">
        <v>8770</v>
      </c>
      <c r="D157" s="78">
        <v>8641.4</v>
      </c>
      <c r="E157" s="78">
        <v>8734.9</v>
      </c>
      <c r="F157" s="78">
        <v>8664.4809999999998</v>
      </c>
      <c r="G157" s="78">
        <v>524667</v>
      </c>
      <c r="H157" s="3">
        <f t="shared" si="0"/>
        <v>4.3462763449884758E-3</v>
      </c>
      <c r="J157" s="81">
        <v>45407</v>
      </c>
      <c r="K157" s="78">
        <v>22316.9</v>
      </c>
      <c r="L157" s="78">
        <v>22625.95</v>
      </c>
      <c r="M157" s="78">
        <v>22305.25</v>
      </c>
      <c r="N157" s="78">
        <v>22570.35</v>
      </c>
      <c r="O157" s="80">
        <v>475000000</v>
      </c>
      <c r="P157" s="80">
        <v>53803.8</v>
      </c>
      <c r="Q157" s="78">
        <f t="shared" si="1"/>
        <v>7.4969646109344125E-3</v>
      </c>
    </row>
    <row r="158" spans="1:17" ht="14.4">
      <c r="A158" s="78" t="s">
        <v>395</v>
      </c>
      <c r="B158" s="78">
        <v>8747.2999999999993</v>
      </c>
      <c r="C158" s="78">
        <v>8994.9500000000007</v>
      </c>
      <c r="D158" s="78">
        <v>8734.5499999999993</v>
      </c>
      <c r="E158" s="78">
        <v>8974.2999999999993</v>
      </c>
      <c r="F158" s="78">
        <v>8901.9509999999991</v>
      </c>
      <c r="G158" s="78">
        <v>521344</v>
      </c>
      <c r="H158" s="3">
        <f t="shared" si="0"/>
        <v>2.7407297164249122E-2</v>
      </c>
      <c r="J158" s="81">
        <v>45408</v>
      </c>
      <c r="K158" s="78">
        <v>22620.400000000001</v>
      </c>
      <c r="L158" s="78">
        <v>22620.400000000001</v>
      </c>
      <c r="M158" s="78">
        <v>22385.55</v>
      </c>
      <c r="N158" s="78">
        <v>22419.95</v>
      </c>
      <c r="O158" s="80">
        <v>330000000</v>
      </c>
      <c r="P158" s="80">
        <v>36984.89</v>
      </c>
      <c r="Q158" s="78">
        <f t="shared" si="1"/>
        <v>-6.663609558557923E-3</v>
      </c>
    </row>
    <row r="159" spans="1:17" ht="14.4">
      <c r="A159" s="78" t="s">
        <v>396</v>
      </c>
      <c r="B159" s="78">
        <v>8974.2999999999993</v>
      </c>
      <c r="C159" s="78">
        <v>8989.7999999999993</v>
      </c>
      <c r="D159" s="78">
        <v>8729</v>
      </c>
      <c r="E159" s="78">
        <v>8760.1</v>
      </c>
      <c r="F159" s="78">
        <v>8689.4779999999992</v>
      </c>
      <c r="G159" s="78">
        <v>299443</v>
      </c>
      <c r="H159" s="3">
        <f t="shared" si="0"/>
        <v>-2.3868156847887737E-2</v>
      </c>
      <c r="J159" s="81">
        <v>45411</v>
      </c>
      <c r="K159" s="78">
        <v>22475.55</v>
      </c>
      <c r="L159" s="78">
        <v>22655.8</v>
      </c>
      <c r="M159" s="78">
        <v>22441.9</v>
      </c>
      <c r="N159" s="78">
        <v>22643.4</v>
      </c>
      <c r="O159" s="80">
        <v>292000000</v>
      </c>
      <c r="P159" s="80">
        <v>32431.45</v>
      </c>
      <c r="Q159" s="78">
        <f t="shared" si="1"/>
        <v>9.9665699522077759E-3</v>
      </c>
    </row>
    <row r="160" spans="1:17" ht="14.4">
      <c r="A160" s="78" t="s">
        <v>397</v>
      </c>
      <c r="B160" s="78">
        <v>8799.4</v>
      </c>
      <c r="C160" s="78">
        <v>8966</v>
      </c>
      <c r="D160" s="78">
        <v>8795</v>
      </c>
      <c r="E160" s="78">
        <v>8903.65</v>
      </c>
      <c r="F160" s="78">
        <v>8831.8709999999992</v>
      </c>
      <c r="G160" s="78">
        <v>360403</v>
      </c>
      <c r="H160" s="3">
        <f t="shared" si="0"/>
        <v>1.6386799237451545E-2</v>
      </c>
      <c r="J160" s="81">
        <v>45412</v>
      </c>
      <c r="K160" s="78">
        <v>22679.65</v>
      </c>
      <c r="L160" s="78">
        <v>22783.35</v>
      </c>
      <c r="M160" s="78">
        <v>22568.400000000001</v>
      </c>
      <c r="N160" s="78">
        <v>22604.85</v>
      </c>
      <c r="O160" s="80">
        <v>362000000</v>
      </c>
      <c r="P160" s="80">
        <v>38741.699999999997</v>
      </c>
      <c r="Q160" s="78">
        <f t="shared" si="1"/>
        <v>-1.7024828426827645E-3</v>
      </c>
    </row>
    <row r="161" spans="1:17" ht="14.4">
      <c r="A161" s="75">
        <v>45327</v>
      </c>
      <c r="B161" s="78">
        <v>8944</v>
      </c>
      <c r="C161" s="78">
        <v>9146.4500000000007</v>
      </c>
      <c r="D161" s="78">
        <v>8826.1</v>
      </c>
      <c r="E161" s="78">
        <v>9110.65</v>
      </c>
      <c r="F161" s="78">
        <v>9037.2019999999993</v>
      </c>
      <c r="G161" s="78">
        <v>638239</v>
      </c>
      <c r="H161" s="3">
        <f t="shared" si="0"/>
        <v>2.3248892308210679E-2</v>
      </c>
      <c r="J161" s="84">
        <v>45414</v>
      </c>
      <c r="K161" s="78">
        <v>22567.85</v>
      </c>
      <c r="L161" s="78">
        <v>22710.5</v>
      </c>
      <c r="M161" s="78">
        <v>22567.85</v>
      </c>
      <c r="N161" s="78">
        <v>22648.2</v>
      </c>
      <c r="O161" s="80">
        <v>446000000</v>
      </c>
      <c r="P161" s="80">
        <v>43133.31</v>
      </c>
      <c r="Q161" s="78">
        <f t="shared" si="1"/>
        <v>1.9177300446586545E-3</v>
      </c>
    </row>
    <row r="162" spans="1:17" ht="14.4">
      <c r="A162" s="75">
        <v>45356</v>
      </c>
      <c r="B162" s="78">
        <v>9170</v>
      </c>
      <c r="C162" s="78">
        <v>9258.6</v>
      </c>
      <c r="D162" s="78">
        <v>9064.35</v>
      </c>
      <c r="E162" s="78">
        <v>9105.6</v>
      </c>
      <c r="F162" s="78">
        <v>9032.1919999999991</v>
      </c>
      <c r="G162" s="78">
        <v>396042</v>
      </c>
      <c r="H162" s="3">
        <f t="shared" si="0"/>
        <v>-5.542963454856978E-4</v>
      </c>
      <c r="J162" s="84">
        <v>45415</v>
      </c>
      <c r="K162" s="78">
        <v>22766.35</v>
      </c>
      <c r="L162" s="78">
        <v>22794.7</v>
      </c>
      <c r="M162" s="78">
        <v>22348.05</v>
      </c>
      <c r="N162" s="78">
        <v>22475.85</v>
      </c>
      <c r="O162" s="80">
        <v>438000000</v>
      </c>
      <c r="P162" s="80">
        <v>44432.55</v>
      </c>
      <c r="Q162" s="78">
        <f t="shared" si="1"/>
        <v>-7.6098762815588958E-3</v>
      </c>
    </row>
    <row r="163" spans="1:17" ht="14.4">
      <c r="A163" s="75">
        <v>45448</v>
      </c>
      <c r="B163" s="78">
        <v>9120</v>
      </c>
      <c r="C163" s="78">
        <v>9185.75</v>
      </c>
      <c r="D163" s="78">
        <v>8810.5499999999993</v>
      </c>
      <c r="E163" s="78">
        <v>9052.5499999999993</v>
      </c>
      <c r="F163" s="78">
        <v>8979.57</v>
      </c>
      <c r="G163" s="78">
        <v>458431</v>
      </c>
      <c r="H163" s="3">
        <f t="shared" si="0"/>
        <v>-5.8260850465648708E-3</v>
      </c>
      <c r="J163" s="84">
        <v>45418</v>
      </c>
      <c r="K163" s="78">
        <v>22561.599999999999</v>
      </c>
      <c r="L163" s="78">
        <v>22588.799999999999</v>
      </c>
      <c r="M163" s="78">
        <v>22409.45</v>
      </c>
      <c r="N163" s="78">
        <v>22442.7</v>
      </c>
      <c r="O163" s="80">
        <v>320000000</v>
      </c>
      <c r="P163" s="80">
        <v>33417.53</v>
      </c>
      <c r="Q163" s="78">
        <f t="shared" si="1"/>
        <v>-1.4749164102802706E-3</v>
      </c>
    </row>
    <row r="164" spans="1:17" ht="14.4">
      <c r="A164" s="75">
        <v>45478</v>
      </c>
      <c r="B164" s="78">
        <v>9055.15</v>
      </c>
      <c r="C164" s="78">
        <v>9074.9500000000007</v>
      </c>
      <c r="D164" s="78">
        <v>8642.5499999999993</v>
      </c>
      <c r="E164" s="78">
        <v>8677.9</v>
      </c>
      <c r="F164" s="78">
        <v>8607.9410000000007</v>
      </c>
      <c r="G164" s="78">
        <v>588285</v>
      </c>
      <c r="H164" s="3">
        <f t="shared" si="0"/>
        <v>-4.1386128770346441E-2</v>
      </c>
      <c r="J164" s="84">
        <v>45419</v>
      </c>
      <c r="K164" s="78">
        <v>22489.75</v>
      </c>
      <c r="L164" s="78">
        <v>22499.05</v>
      </c>
      <c r="M164" s="78">
        <v>22232.05</v>
      </c>
      <c r="N164" s="78">
        <v>22302.5</v>
      </c>
      <c r="O164" s="80">
        <v>298000000</v>
      </c>
      <c r="P164" s="80">
        <v>31512.26</v>
      </c>
      <c r="Q164" s="78">
        <f t="shared" si="1"/>
        <v>-6.2470201891929545E-3</v>
      </c>
    </row>
    <row r="165" spans="1:17" ht="14.4">
      <c r="A165" s="75">
        <v>45509</v>
      </c>
      <c r="B165" s="78">
        <v>8651</v>
      </c>
      <c r="C165" s="78">
        <v>8785.35</v>
      </c>
      <c r="D165" s="78">
        <v>8592.7999999999993</v>
      </c>
      <c r="E165" s="78">
        <v>8749.4</v>
      </c>
      <c r="F165" s="78">
        <v>8678.8649999999998</v>
      </c>
      <c r="G165" s="78">
        <v>451581</v>
      </c>
      <c r="H165" s="3">
        <f t="shared" si="0"/>
        <v>8.2393205729496769E-3</v>
      </c>
      <c r="J165" s="84">
        <v>45420</v>
      </c>
      <c r="K165" s="78">
        <v>22231.200000000001</v>
      </c>
      <c r="L165" s="78">
        <v>22368.65</v>
      </c>
      <c r="M165" s="78">
        <v>22185.200000000001</v>
      </c>
      <c r="N165" s="78">
        <v>22302.5</v>
      </c>
      <c r="O165" s="80">
        <v>277000000</v>
      </c>
      <c r="P165" s="80">
        <v>29717.33</v>
      </c>
      <c r="Q165" s="78">
        <f t="shared" si="1"/>
        <v>0</v>
      </c>
    </row>
    <row r="166" spans="1:17" ht="14.4">
      <c r="A166" s="75">
        <v>45540</v>
      </c>
      <c r="B166" s="78">
        <v>8800</v>
      </c>
      <c r="C166" s="78">
        <v>9007.4500000000007</v>
      </c>
      <c r="D166" s="78">
        <v>8786.35</v>
      </c>
      <c r="E166" s="78">
        <v>8846.85</v>
      </c>
      <c r="F166" s="78">
        <v>8775.5280000000002</v>
      </c>
      <c r="G166" s="78">
        <v>645689</v>
      </c>
      <c r="H166" s="3">
        <f t="shared" si="0"/>
        <v>1.1137906599309751E-2</v>
      </c>
      <c r="J166" s="84">
        <v>45421</v>
      </c>
      <c r="K166" s="78">
        <v>22224.799999999999</v>
      </c>
      <c r="L166" s="78">
        <v>22307.75</v>
      </c>
      <c r="M166" s="78">
        <v>21932.400000000001</v>
      </c>
      <c r="N166" s="78">
        <v>21957.5</v>
      </c>
      <c r="O166" s="80">
        <v>331000000</v>
      </c>
      <c r="P166" s="80">
        <v>37870.879999999997</v>
      </c>
      <c r="Q166" s="78">
        <f t="shared" si="1"/>
        <v>-1.5469117811904494E-2</v>
      </c>
    </row>
    <row r="167" spans="1:17" ht="14.4">
      <c r="A167" s="75">
        <v>45570</v>
      </c>
      <c r="B167" s="78">
        <v>8950</v>
      </c>
      <c r="C167" s="78">
        <v>9047.9500000000007</v>
      </c>
      <c r="D167" s="78">
        <v>8906.5</v>
      </c>
      <c r="E167" s="78">
        <v>8981.7999999999993</v>
      </c>
      <c r="F167" s="78">
        <v>8909.3909999999996</v>
      </c>
      <c r="G167" s="78">
        <v>482797</v>
      </c>
      <c r="H167" s="3">
        <f t="shared" si="0"/>
        <v>1.5254016966490773E-2</v>
      </c>
      <c r="J167" s="85">
        <v>45422</v>
      </c>
      <c r="K167" s="78">
        <v>21990.95</v>
      </c>
      <c r="L167" s="78">
        <v>22131.3</v>
      </c>
      <c r="M167" s="78">
        <v>21950.3</v>
      </c>
      <c r="N167" s="78">
        <v>22055.200000000001</v>
      </c>
      <c r="O167" s="80">
        <v>266000000</v>
      </c>
      <c r="P167" s="80">
        <v>28717.71</v>
      </c>
      <c r="Q167" s="78">
        <f t="shared" si="1"/>
        <v>4.4495047250370364E-3</v>
      </c>
    </row>
    <row r="168" spans="1:17" ht="14.4">
      <c r="A168" s="78" t="s">
        <v>398</v>
      </c>
      <c r="B168" s="78">
        <v>9022.9</v>
      </c>
      <c r="C168" s="78">
        <v>9025</v>
      </c>
      <c r="D168" s="78">
        <v>8870.5</v>
      </c>
      <c r="E168" s="78">
        <v>8992.2999999999993</v>
      </c>
      <c r="F168" s="78">
        <v>8919.8060000000005</v>
      </c>
      <c r="G168" s="78">
        <v>435605</v>
      </c>
      <c r="H168" s="3">
        <f t="shared" si="0"/>
        <v>1.1690307065398919E-3</v>
      </c>
      <c r="J168" s="85">
        <v>45425</v>
      </c>
      <c r="K168" s="78">
        <v>22027.95</v>
      </c>
      <c r="L168" s="78">
        <v>22131.65</v>
      </c>
      <c r="M168" s="78">
        <v>21821.05</v>
      </c>
      <c r="N168" s="78">
        <v>22104.05</v>
      </c>
      <c r="O168" s="80">
        <v>278000000</v>
      </c>
      <c r="P168" s="80">
        <v>29036.080000000002</v>
      </c>
      <c r="Q168" s="78">
        <f t="shared" si="1"/>
        <v>2.2148971671079177E-3</v>
      </c>
    </row>
    <row r="169" spans="1:17" ht="14.4">
      <c r="A169" s="78" t="s">
        <v>399</v>
      </c>
      <c r="B169" s="78">
        <v>8952.25</v>
      </c>
      <c r="C169" s="78">
        <v>9089</v>
      </c>
      <c r="D169" s="78">
        <v>8882.75</v>
      </c>
      <c r="E169" s="78">
        <v>9065.25</v>
      </c>
      <c r="F169" s="78">
        <v>8992.1679999999997</v>
      </c>
      <c r="G169" s="78">
        <v>408162</v>
      </c>
      <c r="H169" s="3">
        <f t="shared" si="0"/>
        <v>8.112496246789001E-3</v>
      </c>
      <c r="J169" s="85">
        <v>45426</v>
      </c>
      <c r="K169" s="78">
        <v>22112.9</v>
      </c>
      <c r="L169" s="78">
        <v>22270.05</v>
      </c>
      <c r="M169" s="78">
        <v>22081.25</v>
      </c>
      <c r="N169" s="78">
        <v>22217.85</v>
      </c>
      <c r="O169" s="80">
        <v>230000000</v>
      </c>
      <c r="P169" s="80">
        <v>23741.66</v>
      </c>
      <c r="Q169" s="78">
        <f t="shared" si="1"/>
        <v>5.1483777859713167E-3</v>
      </c>
    </row>
    <row r="170" spans="1:17" ht="14.4">
      <c r="A170" s="78" t="s">
        <v>400</v>
      </c>
      <c r="B170" s="78">
        <v>9069</v>
      </c>
      <c r="C170" s="78">
        <v>9125</v>
      </c>
      <c r="D170" s="78">
        <v>8877.35</v>
      </c>
      <c r="E170" s="78">
        <v>8903.15</v>
      </c>
      <c r="F170" s="78">
        <v>8831.375</v>
      </c>
      <c r="G170" s="78">
        <v>274392</v>
      </c>
      <c r="H170" s="3">
        <f t="shared" si="0"/>
        <v>-1.7881470450346142E-2</v>
      </c>
      <c r="J170" s="85">
        <v>45427</v>
      </c>
      <c r="K170" s="78">
        <v>22255.599999999999</v>
      </c>
      <c r="L170" s="78">
        <v>22297.55</v>
      </c>
      <c r="M170" s="78">
        <v>22151.75</v>
      </c>
      <c r="N170" s="78">
        <v>22200.55</v>
      </c>
      <c r="O170" s="80">
        <v>232000000</v>
      </c>
      <c r="P170" s="80">
        <v>23815.79</v>
      </c>
      <c r="Q170" s="78">
        <f t="shared" si="1"/>
        <v>-7.7865320001707064E-4</v>
      </c>
    </row>
    <row r="171" spans="1:17" ht="14.4">
      <c r="A171" s="78" t="s">
        <v>401</v>
      </c>
      <c r="B171" s="78">
        <v>8950</v>
      </c>
      <c r="C171" s="78">
        <v>8955.5499999999993</v>
      </c>
      <c r="D171" s="78">
        <v>8710</v>
      </c>
      <c r="E171" s="78">
        <v>8871.85</v>
      </c>
      <c r="F171" s="78">
        <v>8800.3269999999993</v>
      </c>
      <c r="G171" s="78">
        <v>680474</v>
      </c>
      <c r="H171" s="3">
        <f t="shared" si="0"/>
        <v>-3.5156096437776825E-3</v>
      </c>
      <c r="J171" s="85">
        <v>45428</v>
      </c>
      <c r="K171" s="78">
        <v>22319.200000000001</v>
      </c>
      <c r="L171" s="78">
        <v>22432.25</v>
      </c>
      <c r="M171" s="78">
        <v>22054.55</v>
      </c>
      <c r="N171" s="78">
        <v>22403.85</v>
      </c>
      <c r="O171" s="80">
        <v>369000000</v>
      </c>
      <c r="P171" s="80">
        <v>38836.11</v>
      </c>
      <c r="Q171" s="78">
        <f t="shared" si="1"/>
        <v>9.1574307843724275E-3</v>
      </c>
    </row>
    <row r="172" spans="1:17" ht="14.4">
      <c r="A172" s="78" t="s">
        <v>402</v>
      </c>
      <c r="B172" s="78">
        <v>8891</v>
      </c>
      <c r="C172" s="78">
        <v>8958.35</v>
      </c>
      <c r="D172" s="78">
        <v>8765.5</v>
      </c>
      <c r="E172" s="78">
        <v>8780.7000000000007</v>
      </c>
      <c r="F172" s="78">
        <v>8709.9120000000003</v>
      </c>
      <c r="G172" s="78">
        <v>323961</v>
      </c>
      <c r="H172" s="3">
        <f t="shared" si="0"/>
        <v>-1.0274069106217941E-2</v>
      </c>
      <c r="J172" s="85">
        <v>45429</v>
      </c>
      <c r="K172" s="78">
        <v>22415.25</v>
      </c>
      <c r="L172" s="78">
        <v>22502.15</v>
      </c>
      <c r="M172" s="78">
        <v>22345.65</v>
      </c>
      <c r="N172" s="78">
        <v>22466.1</v>
      </c>
      <c r="O172" s="80">
        <v>243000000</v>
      </c>
      <c r="P172" s="80">
        <v>27388.67</v>
      </c>
      <c r="Q172" s="78">
        <f t="shared" si="1"/>
        <v>2.778540295529563E-3</v>
      </c>
    </row>
    <row r="173" spans="1:17" ht="14.4">
      <c r="A173" s="78" t="s">
        <v>403</v>
      </c>
      <c r="B173" s="78">
        <v>8775</v>
      </c>
      <c r="C173" s="78">
        <v>8860</v>
      </c>
      <c r="D173" s="78">
        <v>8775</v>
      </c>
      <c r="E173" s="78">
        <v>8820.7000000000007</v>
      </c>
      <c r="F173" s="78">
        <v>8749.59</v>
      </c>
      <c r="G173" s="78">
        <v>417798</v>
      </c>
      <c r="H173" s="3">
        <f t="shared" si="0"/>
        <v>4.5554454656234694E-3</v>
      </c>
      <c r="J173" s="85">
        <v>45433</v>
      </c>
      <c r="K173" s="78">
        <v>22404.55</v>
      </c>
      <c r="L173" s="78">
        <v>22591.1</v>
      </c>
      <c r="M173" s="78">
        <v>22404.55</v>
      </c>
      <c r="N173" s="78">
        <v>22529.05</v>
      </c>
      <c r="O173" s="80">
        <v>348000000</v>
      </c>
      <c r="P173" s="80">
        <v>30782.35</v>
      </c>
      <c r="Q173" s="78">
        <f t="shared" si="1"/>
        <v>2.8019994569596293E-3</v>
      </c>
    </row>
    <row r="174" spans="1:17" ht="14.4">
      <c r="A174" s="78" t="s">
        <v>404</v>
      </c>
      <c r="B174" s="78">
        <v>8850</v>
      </c>
      <c r="C174" s="78">
        <v>8850</v>
      </c>
      <c r="D174" s="78">
        <v>8736</v>
      </c>
      <c r="E174" s="78">
        <v>8805.5499999999993</v>
      </c>
      <c r="F174" s="78">
        <v>8734.5619999999999</v>
      </c>
      <c r="G174" s="78">
        <v>302838</v>
      </c>
      <c r="H174" s="3">
        <f t="shared" si="0"/>
        <v>-1.7175507612776145E-3</v>
      </c>
      <c r="J174" s="85">
        <v>45434</v>
      </c>
      <c r="K174" s="78">
        <v>22576.6</v>
      </c>
      <c r="L174" s="78">
        <v>22629.5</v>
      </c>
      <c r="M174" s="78">
        <v>22483.15</v>
      </c>
      <c r="N174" s="78">
        <v>22597.8</v>
      </c>
      <c r="O174" s="80">
        <v>290000000</v>
      </c>
      <c r="P174" s="80">
        <v>28556.14</v>
      </c>
      <c r="Q174" s="78">
        <f t="shared" si="1"/>
        <v>3.0516155807723809E-3</v>
      </c>
    </row>
    <row r="175" spans="1:17" ht="14.4">
      <c r="A175" s="78" t="s">
        <v>405</v>
      </c>
      <c r="B175" s="78">
        <v>8850</v>
      </c>
      <c r="C175" s="78">
        <v>8985</v>
      </c>
      <c r="D175" s="78">
        <v>8751.2000000000007</v>
      </c>
      <c r="E175" s="78">
        <v>8963.4500000000007</v>
      </c>
      <c r="F175" s="78">
        <v>8891.1880000000001</v>
      </c>
      <c r="G175" s="78">
        <v>731514</v>
      </c>
      <c r="H175" s="3">
        <f t="shared" si="0"/>
        <v>1.7931872512222571E-2</v>
      </c>
      <c r="J175" s="85">
        <v>45435</v>
      </c>
      <c r="K175" s="78">
        <v>22614.1</v>
      </c>
      <c r="L175" s="78">
        <v>22993.599999999999</v>
      </c>
      <c r="M175" s="78">
        <v>22577.45</v>
      </c>
      <c r="N175" s="78">
        <v>22967.65</v>
      </c>
      <c r="O175" s="80">
        <v>370000000</v>
      </c>
      <c r="P175" s="80">
        <v>39157.65</v>
      </c>
      <c r="Q175" s="78">
        <f t="shared" si="1"/>
        <v>1.6366637460283842E-2</v>
      </c>
    </row>
    <row r="176" spans="1:17" ht="14.4">
      <c r="A176" s="78" t="s">
        <v>406</v>
      </c>
      <c r="B176" s="78">
        <v>8980</v>
      </c>
      <c r="C176" s="78">
        <v>9024</v>
      </c>
      <c r="D176" s="78">
        <v>8870.1</v>
      </c>
      <c r="E176" s="78">
        <v>8948.2000000000007</v>
      </c>
      <c r="F176" s="78">
        <v>8876.0619999999999</v>
      </c>
      <c r="G176" s="78">
        <v>455920</v>
      </c>
      <c r="H176" s="3">
        <f t="shared" si="0"/>
        <v>-1.7013538313930461E-3</v>
      </c>
      <c r="J176" s="85">
        <v>45436</v>
      </c>
      <c r="K176" s="78">
        <v>22930.75</v>
      </c>
      <c r="L176" s="78">
        <v>23026.400000000001</v>
      </c>
      <c r="M176" s="78">
        <v>22908</v>
      </c>
      <c r="N176" s="78">
        <v>22957.1</v>
      </c>
      <c r="O176" s="80">
        <v>262000000</v>
      </c>
      <c r="P176" s="80">
        <v>27966.99</v>
      </c>
      <c r="Q176" s="78">
        <f t="shared" si="1"/>
        <v>-4.5934172629776704E-4</v>
      </c>
    </row>
    <row r="177" spans="1:17" ht="14.4">
      <c r="A177" s="78" t="s">
        <v>407</v>
      </c>
      <c r="B177" s="78">
        <v>9002</v>
      </c>
      <c r="C177" s="78">
        <v>9069.4500000000007</v>
      </c>
      <c r="D177" s="78">
        <v>8881.7000000000007</v>
      </c>
      <c r="E177" s="78">
        <v>8998.7000000000007</v>
      </c>
      <c r="F177" s="78">
        <v>8926.1540000000005</v>
      </c>
      <c r="G177" s="78">
        <v>301747</v>
      </c>
      <c r="H177" s="3">
        <f t="shared" si="0"/>
        <v>5.6435931248742756E-3</v>
      </c>
      <c r="J177" s="85">
        <v>45439</v>
      </c>
      <c r="K177" s="78">
        <v>23038.95</v>
      </c>
      <c r="L177" s="78">
        <v>23110.799999999999</v>
      </c>
      <c r="M177" s="78">
        <v>22871.200000000001</v>
      </c>
      <c r="N177" s="78">
        <v>22932.45</v>
      </c>
      <c r="O177" s="80">
        <v>260000000</v>
      </c>
      <c r="P177" s="80">
        <v>27204.54</v>
      </c>
      <c r="Q177" s="78">
        <f t="shared" si="1"/>
        <v>-1.0737418924863253E-3</v>
      </c>
    </row>
    <row r="178" spans="1:17" ht="14.4">
      <c r="A178" s="78" t="s">
        <v>408</v>
      </c>
      <c r="B178" s="78">
        <v>8998.7000000000007</v>
      </c>
      <c r="C178" s="78">
        <v>9022.25</v>
      </c>
      <c r="D178" s="78">
        <v>8916.2000000000007</v>
      </c>
      <c r="E178" s="78">
        <v>8989.75</v>
      </c>
      <c r="F178" s="78">
        <v>8917.2759999999998</v>
      </c>
      <c r="G178" s="78">
        <v>259094</v>
      </c>
      <c r="H178" s="3">
        <f t="shared" si="0"/>
        <v>-9.9458810717111663E-4</v>
      </c>
      <c r="J178" s="85">
        <v>45440</v>
      </c>
      <c r="K178" s="78">
        <v>22977.15</v>
      </c>
      <c r="L178" s="78">
        <v>22998.55</v>
      </c>
      <c r="M178" s="78">
        <v>22858.5</v>
      </c>
      <c r="N178" s="78">
        <v>22888.15</v>
      </c>
      <c r="O178" s="80">
        <v>218000000</v>
      </c>
      <c r="P178" s="80">
        <v>23054.65</v>
      </c>
      <c r="Q178" s="78">
        <f t="shared" si="1"/>
        <v>-1.9317604529825322E-3</v>
      </c>
    </row>
    <row r="179" spans="1:17" ht="14.4">
      <c r="A179" s="78" t="s">
        <v>409</v>
      </c>
      <c r="B179" s="78">
        <v>8950</v>
      </c>
      <c r="C179" s="78">
        <v>9139.4500000000007</v>
      </c>
      <c r="D179" s="78">
        <v>8902.75</v>
      </c>
      <c r="E179" s="78">
        <v>9070.2000000000007</v>
      </c>
      <c r="F179" s="78">
        <v>8997.0779999999995</v>
      </c>
      <c r="G179" s="78">
        <v>339934</v>
      </c>
      <c r="H179" s="3">
        <f t="shared" si="0"/>
        <v>8.9490808976891156E-3</v>
      </c>
      <c r="J179" s="85">
        <v>45441</v>
      </c>
      <c r="K179" s="78">
        <v>22762.75</v>
      </c>
      <c r="L179" s="78">
        <v>22825.5</v>
      </c>
      <c r="M179" s="78">
        <v>22685.45</v>
      </c>
      <c r="N179" s="78">
        <v>22704.7</v>
      </c>
      <c r="O179" s="80">
        <v>270000000</v>
      </c>
      <c r="P179" s="80">
        <v>27549.09</v>
      </c>
      <c r="Q179" s="78">
        <f t="shared" si="1"/>
        <v>-8.0150645639774608E-3</v>
      </c>
    </row>
    <row r="180" spans="1:17" ht="14.4">
      <c r="A180" s="78" t="s">
        <v>410</v>
      </c>
      <c r="B180" s="78">
        <v>9068</v>
      </c>
      <c r="C180" s="78">
        <v>9128.9</v>
      </c>
      <c r="D180" s="78">
        <v>8927.6</v>
      </c>
      <c r="E180" s="78">
        <v>8968.5</v>
      </c>
      <c r="F180" s="78">
        <v>8896.1980000000003</v>
      </c>
      <c r="G180" s="78">
        <v>305109</v>
      </c>
      <c r="H180" s="3">
        <f t="shared" si="0"/>
        <v>-1.1212542171065766E-2</v>
      </c>
      <c r="J180" s="85">
        <v>45442</v>
      </c>
      <c r="K180" s="78">
        <v>22617.45</v>
      </c>
      <c r="L180" s="78">
        <v>22705.75</v>
      </c>
      <c r="M180" s="78">
        <v>22417</v>
      </c>
      <c r="N180" s="78">
        <v>22488.65</v>
      </c>
      <c r="O180" s="80">
        <v>373000000</v>
      </c>
      <c r="P180" s="80">
        <v>32991.46</v>
      </c>
      <c r="Q180" s="78">
        <f t="shared" si="1"/>
        <v>-9.5156509445180632E-3</v>
      </c>
    </row>
    <row r="181" spans="1:17" ht="14.4">
      <c r="A181" s="78" t="s">
        <v>411</v>
      </c>
      <c r="B181" s="78">
        <v>8990</v>
      </c>
      <c r="C181" s="78">
        <v>9125.5</v>
      </c>
      <c r="D181" s="78">
        <v>8923</v>
      </c>
      <c r="E181" s="78">
        <v>9084.75</v>
      </c>
      <c r="F181" s="78">
        <v>9011.5110000000004</v>
      </c>
      <c r="G181" s="78">
        <v>560005</v>
      </c>
      <c r="H181" s="3">
        <f t="shared" si="0"/>
        <v>1.2962033784913864E-2</v>
      </c>
      <c r="J181" s="85">
        <v>45443</v>
      </c>
      <c r="K181" s="78">
        <v>22568.1</v>
      </c>
      <c r="L181" s="78">
        <v>22653.75</v>
      </c>
      <c r="M181" s="78">
        <v>22465.1</v>
      </c>
      <c r="N181" s="78">
        <v>22530.7</v>
      </c>
      <c r="O181" s="80">
        <v>572000000</v>
      </c>
      <c r="P181" s="80">
        <v>67040.320000000007</v>
      </c>
      <c r="Q181" s="78">
        <f t="shared" si="1"/>
        <v>1.869832115311469E-3</v>
      </c>
    </row>
    <row r="182" spans="1:17" ht="14.4">
      <c r="A182" s="75">
        <v>45357</v>
      </c>
      <c r="B182" s="78">
        <v>9180</v>
      </c>
      <c r="C182" s="78">
        <v>9444</v>
      </c>
      <c r="D182" s="78">
        <v>9122.5499999999993</v>
      </c>
      <c r="E182" s="78">
        <v>9335.4500000000007</v>
      </c>
      <c r="F182" s="78">
        <v>9260.19</v>
      </c>
      <c r="G182" s="78">
        <v>438422</v>
      </c>
      <c r="H182" s="3">
        <f t="shared" si="0"/>
        <v>2.7595696084097055E-2</v>
      </c>
      <c r="J182" s="79">
        <v>45446</v>
      </c>
      <c r="K182" s="78">
        <v>23337.9</v>
      </c>
      <c r="L182" s="78">
        <v>23338.7</v>
      </c>
      <c r="M182" s="78">
        <v>23062.3</v>
      </c>
      <c r="N182" s="78">
        <v>23263.9</v>
      </c>
      <c r="O182" s="80">
        <v>569000000</v>
      </c>
      <c r="P182" s="80">
        <v>56418.25</v>
      </c>
      <c r="Q182" s="78">
        <f t="shared" si="1"/>
        <v>3.2542264554585552E-2</v>
      </c>
    </row>
    <row r="183" spans="1:17" ht="14.4">
      <c r="A183" s="75">
        <v>45388</v>
      </c>
      <c r="B183" s="78">
        <v>9227</v>
      </c>
      <c r="C183" s="78">
        <v>9372.85</v>
      </c>
      <c r="D183" s="78">
        <v>8808</v>
      </c>
      <c r="E183" s="78">
        <v>9246.75</v>
      </c>
      <c r="F183" s="78">
        <v>9172.2049999999999</v>
      </c>
      <c r="G183" s="78">
        <v>738601</v>
      </c>
      <c r="H183" s="3">
        <f t="shared" si="0"/>
        <v>-9.5014166430113945E-3</v>
      </c>
      <c r="J183" s="79">
        <v>45447</v>
      </c>
      <c r="K183" s="78">
        <v>23179.5</v>
      </c>
      <c r="L183" s="78">
        <v>23179.5</v>
      </c>
      <c r="M183" s="78">
        <v>21281.45</v>
      </c>
      <c r="N183" s="78">
        <v>21884.5</v>
      </c>
      <c r="O183" s="80">
        <v>1010000000</v>
      </c>
      <c r="P183" s="80">
        <v>93786.44</v>
      </c>
      <c r="Q183" s="78">
        <f t="shared" si="1"/>
        <v>-5.9293583620975046E-2</v>
      </c>
    </row>
    <row r="184" spans="1:17" ht="14.4">
      <c r="A184" s="75">
        <v>45418</v>
      </c>
      <c r="B184" s="78">
        <v>9241</v>
      </c>
      <c r="C184" s="78">
        <v>9679</v>
      </c>
      <c r="D184" s="78">
        <v>9176</v>
      </c>
      <c r="E184" s="78">
        <v>9602.25</v>
      </c>
      <c r="F184" s="78">
        <v>9524.8389999999999</v>
      </c>
      <c r="G184" s="78">
        <v>489543</v>
      </c>
      <c r="H184" s="3">
        <f t="shared" si="0"/>
        <v>3.8445940465568984E-2</v>
      </c>
      <c r="J184" s="79">
        <v>45448</v>
      </c>
      <c r="K184" s="78">
        <v>22128.35</v>
      </c>
      <c r="L184" s="78">
        <v>22670.400000000001</v>
      </c>
      <c r="M184" s="78">
        <v>21791.95</v>
      </c>
      <c r="N184" s="78">
        <v>22620.35</v>
      </c>
      <c r="O184" s="80">
        <v>638000000</v>
      </c>
      <c r="P184" s="80">
        <v>64326.85</v>
      </c>
      <c r="Q184" s="78">
        <f t="shared" si="1"/>
        <v>3.3624254609426696E-2</v>
      </c>
    </row>
    <row r="185" spans="1:17" ht="14.4">
      <c r="A185" s="75">
        <v>45449</v>
      </c>
      <c r="B185" s="78">
        <v>9595.2999999999993</v>
      </c>
      <c r="C185" s="78">
        <v>9740</v>
      </c>
      <c r="D185" s="78">
        <v>9454</v>
      </c>
      <c r="E185" s="78">
        <v>9701.4500000000007</v>
      </c>
      <c r="F185" s="78">
        <v>9623.2389999999996</v>
      </c>
      <c r="G185" s="78">
        <v>570095</v>
      </c>
      <c r="H185" s="3">
        <f t="shared" si="0"/>
        <v>1.0330912025827355E-2</v>
      </c>
      <c r="J185" s="79">
        <v>45449</v>
      </c>
      <c r="K185" s="78">
        <v>22798.6</v>
      </c>
      <c r="L185" s="78">
        <v>22910.15</v>
      </c>
      <c r="M185" s="78">
        <v>22642.6</v>
      </c>
      <c r="N185" s="78">
        <v>22821.4</v>
      </c>
      <c r="O185" s="80">
        <v>480000000</v>
      </c>
      <c r="P185" s="80">
        <v>49047.39</v>
      </c>
      <c r="Q185" s="78">
        <f t="shared" si="1"/>
        <v>8.8880145532674298E-3</v>
      </c>
    </row>
    <row r="186" spans="1:17" ht="14.4">
      <c r="A186" s="75">
        <v>45479</v>
      </c>
      <c r="B186" s="78">
        <v>9643.6</v>
      </c>
      <c r="C186" s="78">
        <v>9740.1</v>
      </c>
      <c r="D186" s="78">
        <v>9615</v>
      </c>
      <c r="E186" s="78">
        <v>9725.5499999999993</v>
      </c>
      <c r="F186" s="78">
        <v>9647.1450000000004</v>
      </c>
      <c r="G186" s="78">
        <v>246783</v>
      </c>
      <c r="H186" s="3">
        <f t="shared" si="0"/>
        <v>2.4841647382606255E-3</v>
      </c>
      <c r="J186" s="79">
        <v>45450</v>
      </c>
      <c r="K186" s="78">
        <v>22821.85</v>
      </c>
      <c r="L186" s="78">
        <v>23320.2</v>
      </c>
      <c r="M186" s="78">
        <v>22789.05</v>
      </c>
      <c r="N186" s="78">
        <v>23290.15</v>
      </c>
      <c r="O186" s="80">
        <v>474000000</v>
      </c>
      <c r="P186" s="80">
        <v>47621.54</v>
      </c>
      <c r="Q186" s="78">
        <f t="shared" si="1"/>
        <v>2.0539931818380992E-2</v>
      </c>
    </row>
    <row r="187" spans="1:17" ht="14.4">
      <c r="A187" s="75">
        <v>45571</v>
      </c>
      <c r="B187" s="78">
        <v>9779</v>
      </c>
      <c r="C187" s="78">
        <v>9924</v>
      </c>
      <c r="D187" s="78">
        <v>9681.5</v>
      </c>
      <c r="E187" s="78">
        <v>9733.0499999999993</v>
      </c>
      <c r="F187" s="78">
        <v>9654.5840000000007</v>
      </c>
      <c r="G187" s="78">
        <v>201452</v>
      </c>
      <c r="H187" s="3">
        <f t="shared" si="0"/>
        <v>7.7116461279824798E-4</v>
      </c>
      <c r="J187" s="81">
        <v>45453</v>
      </c>
      <c r="K187" s="78">
        <v>23319.15</v>
      </c>
      <c r="L187" s="78">
        <v>23411.9</v>
      </c>
      <c r="M187" s="78">
        <v>23227.15</v>
      </c>
      <c r="N187" s="78">
        <v>23259.200000000001</v>
      </c>
      <c r="O187" s="80">
        <v>304000000</v>
      </c>
      <c r="P187" s="80">
        <v>29060.400000000001</v>
      </c>
      <c r="Q187" s="78">
        <f t="shared" si="1"/>
        <v>-1.3288879633665187E-3</v>
      </c>
    </row>
    <row r="188" spans="1:17" ht="14.4">
      <c r="A188" s="75">
        <v>45602</v>
      </c>
      <c r="B188" s="78">
        <v>9740</v>
      </c>
      <c r="C188" s="78">
        <v>9900</v>
      </c>
      <c r="D188" s="78">
        <v>9700.1</v>
      </c>
      <c r="E188" s="78">
        <v>9812.7000000000007</v>
      </c>
      <c r="F188" s="78">
        <v>9733.5930000000008</v>
      </c>
      <c r="G188" s="78">
        <v>457442</v>
      </c>
      <c r="H188" s="3">
        <f t="shared" si="0"/>
        <v>8.1834573951640507E-3</v>
      </c>
      <c r="J188" s="81">
        <v>45454</v>
      </c>
      <c r="K188" s="78">
        <v>23283.75</v>
      </c>
      <c r="L188" s="78">
        <v>23389.45</v>
      </c>
      <c r="M188" s="78">
        <v>23206.65</v>
      </c>
      <c r="N188" s="78">
        <v>23264.85</v>
      </c>
      <c r="O188" s="80">
        <v>305000000</v>
      </c>
      <c r="P188" s="80">
        <v>29190.91</v>
      </c>
      <c r="Q188" s="78">
        <f t="shared" si="1"/>
        <v>2.4291463162954088E-4</v>
      </c>
    </row>
    <row r="189" spans="1:17" ht="14.4">
      <c r="A189" s="75">
        <v>45632</v>
      </c>
      <c r="B189" s="78">
        <v>9854</v>
      </c>
      <c r="C189" s="78">
        <v>9944</v>
      </c>
      <c r="D189" s="78">
        <v>9795.7000000000007</v>
      </c>
      <c r="E189" s="78">
        <v>9904.25</v>
      </c>
      <c r="F189" s="78">
        <v>9824.4040000000005</v>
      </c>
      <c r="G189" s="78">
        <v>277175</v>
      </c>
      <c r="H189" s="3">
        <f t="shared" si="0"/>
        <v>9.3297461453014218E-3</v>
      </c>
      <c r="J189" s="81">
        <v>45455</v>
      </c>
      <c r="K189" s="78">
        <v>23344.45</v>
      </c>
      <c r="L189" s="78">
        <v>23441.95</v>
      </c>
      <c r="M189" s="78">
        <v>23295.95</v>
      </c>
      <c r="N189" s="78">
        <v>23322.95</v>
      </c>
      <c r="O189" s="80">
        <v>296000000</v>
      </c>
      <c r="P189" s="80">
        <v>31795.48</v>
      </c>
      <c r="Q189" s="78">
        <f t="shared" si="1"/>
        <v>2.4973296625597063E-3</v>
      </c>
    </row>
    <row r="190" spans="1:17" ht="14.4">
      <c r="A190" s="78" t="s">
        <v>412</v>
      </c>
      <c r="B190" s="78">
        <v>9904</v>
      </c>
      <c r="C190" s="78">
        <v>9940</v>
      </c>
      <c r="D190" s="78">
        <v>9825.25</v>
      </c>
      <c r="E190" s="78">
        <v>9923.4</v>
      </c>
      <c r="F190" s="78">
        <v>9843.4</v>
      </c>
      <c r="G190" s="78">
        <v>277783</v>
      </c>
      <c r="H190" s="3">
        <f t="shared" si="0"/>
        <v>1.9335133907160699E-3</v>
      </c>
      <c r="J190" s="81">
        <v>45456</v>
      </c>
      <c r="K190" s="78">
        <v>23480.95</v>
      </c>
      <c r="L190" s="78">
        <v>23481.05</v>
      </c>
      <c r="M190" s="78">
        <v>23353.9</v>
      </c>
      <c r="N190" s="78">
        <v>23398.9</v>
      </c>
      <c r="O190" s="80">
        <v>268000000</v>
      </c>
      <c r="P190" s="80">
        <v>30151.67</v>
      </c>
      <c r="Q190" s="78">
        <f t="shared" si="1"/>
        <v>3.2564491198583683E-3</v>
      </c>
    </row>
    <row r="191" spans="1:17" ht="14.4">
      <c r="A191" s="78" t="s">
        <v>413</v>
      </c>
      <c r="B191" s="78">
        <v>9826</v>
      </c>
      <c r="C191" s="78">
        <v>9995</v>
      </c>
      <c r="D191" s="78">
        <v>9813.0499999999993</v>
      </c>
      <c r="E191" s="78">
        <v>9961.75</v>
      </c>
      <c r="F191" s="78">
        <v>9961.75</v>
      </c>
      <c r="G191" s="78">
        <v>320933</v>
      </c>
      <c r="H191" s="3">
        <f t="shared" si="0"/>
        <v>3.8646028578914852E-3</v>
      </c>
      <c r="J191" s="81">
        <v>45457</v>
      </c>
      <c r="K191" s="78">
        <v>23464.95</v>
      </c>
      <c r="L191" s="78">
        <v>23490.400000000001</v>
      </c>
      <c r="M191" s="78">
        <v>23334.25</v>
      </c>
      <c r="N191" s="78">
        <v>23465.599999999999</v>
      </c>
      <c r="O191" s="80">
        <v>223000000</v>
      </c>
      <c r="P191" s="80">
        <v>25746.34</v>
      </c>
      <c r="Q191" s="78">
        <f t="shared" si="1"/>
        <v>2.8505613511745033E-3</v>
      </c>
    </row>
    <row r="192" spans="1:17" ht="14.4">
      <c r="A192" s="78" t="s">
        <v>414</v>
      </c>
      <c r="B192" s="78">
        <v>9922</v>
      </c>
      <c r="C192" s="78">
        <v>10038.799999999999</v>
      </c>
      <c r="D192" s="78">
        <v>9908</v>
      </c>
      <c r="E192" s="78">
        <v>9918.2000000000007</v>
      </c>
      <c r="F192" s="78">
        <v>9918.2000000000007</v>
      </c>
      <c r="G192" s="78">
        <v>206100</v>
      </c>
      <c r="H192" s="3">
        <f t="shared" si="0"/>
        <v>-4.371721836022714E-3</v>
      </c>
      <c r="J192" s="81">
        <v>45461</v>
      </c>
      <c r="K192" s="78">
        <v>23570.799999999999</v>
      </c>
      <c r="L192" s="78">
        <v>23579.05</v>
      </c>
      <c r="M192" s="78">
        <v>23499.7</v>
      </c>
      <c r="N192" s="78">
        <v>23557.9</v>
      </c>
      <c r="O192" s="80">
        <v>272000000</v>
      </c>
      <c r="P192" s="80">
        <v>29389.75</v>
      </c>
      <c r="Q192" s="78">
        <f t="shared" si="1"/>
        <v>3.9334174280650364E-3</v>
      </c>
    </row>
    <row r="193" spans="1:17" ht="14.4">
      <c r="A193" s="78" t="s">
        <v>415</v>
      </c>
      <c r="B193" s="78">
        <v>9939.5</v>
      </c>
      <c r="C193" s="78">
        <v>9948</v>
      </c>
      <c r="D193" s="78">
        <v>9670</v>
      </c>
      <c r="E193" s="78">
        <v>9685.7999999999993</v>
      </c>
      <c r="F193" s="78">
        <v>9685.7999999999993</v>
      </c>
      <c r="G193" s="78">
        <v>279789</v>
      </c>
      <c r="H193" s="3">
        <f t="shared" si="0"/>
        <v>-2.3431671069347404E-2</v>
      </c>
      <c r="J193" s="81">
        <v>45462</v>
      </c>
      <c r="K193" s="78">
        <v>23629.85</v>
      </c>
      <c r="L193" s="78">
        <v>23664</v>
      </c>
      <c r="M193" s="78">
        <v>23412.9</v>
      </c>
      <c r="N193" s="78">
        <v>23516</v>
      </c>
      <c r="O193" s="80">
        <v>329000000</v>
      </c>
      <c r="P193" s="80">
        <v>39430.39</v>
      </c>
      <c r="Q193" s="78">
        <f t="shared" si="1"/>
        <v>-1.7785965642099445E-3</v>
      </c>
    </row>
    <row r="194" spans="1:17" ht="14.4">
      <c r="A194" s="78" t="s">
        <v>416</v>
      </c>
      <c r="B194" s="78">
        <v>9692</v>
      </c>
      <c r="C194" s="78">
        <v>9735.9</v>
      </c>
      <c r="D194" s="78">
        <v>9565</v>
      </c>
      <c r="E194" s="78">
        <v>9632</v>
      </c>
      <c r="F194" s="78">
        <v>9632</v>
      </c>
      <c r="G194" s="78">
        <v>324597</v>
      </c>
      <c r="H194" s="3">
        <f t="shared" si="0"/>
        <v>-5.5545231163145305E-3</v>
      </c>
      <c r="J194" s="81">
        <v>45463</v>
      </c>
      <c r="K194" s="78">
        <v>23586.15</v>
      </c>
      <c r="L194" s="78">
        <v>23624</v>
      </c>
      <c r="M194" s="78">
        <v>23442.6</v>
      </c>
      <c r="N194" s="78">
        <v>23567</v>
      </c>
      <c r="O194" s="80">
        <v>280000000</v>
      </c>
      <c r="P194" s="80">
        <v>33390.07</v>
      </c>
      <c r="Q194" s="78">
        <f t="shared" si="1"/>
        <v>2.1687361796223848E-3</v>
      </c>
    </row>
    <row r="195" spans="1:17" ht="14.4">
      <c r="A195" s="78" t="s">
        <v>417</v>
      </c>
      <c r="B195" s="78">
        <v>9675</v>
      </c>
      <c r="C195" s="78">
        <v>9728.9500000000007</v>
      </c>
      <c r="D195" s="78">
        <v>9571.1</v>
      </c>
      <c r="E195" s="78">
        <v>9602.25</v>
      </c>
      <c r="F195" s="78">
        <v>9602.25</v>
      </c>
      <c r="G195" s="78">
        <v>334018</v>
      </c>
      <c r="H195" s="3">
        <f t="shared" si="0"/>
        <v>-3.0886627906976743E-3</v>
      </c>
      <c r="J195" s="81">
        <v>45464</v>
      </c>
      <c r="K195" s="78">
        <v>23661.15</v>
      </c>
      <c r="L195" s="78">
        <v>23667.1</v>
      </c>
      <c r="M195" s="78">
        <v>23398.2</v>
      </c>
      <c r="N195" s="78">
        <v>23501.1</v>
      </c>
      <c r="O195" s="80">
        <v>610000000</v>
      </c>
      <c r="P195" s="80">
        <v>70062.97</v>
      </c>
      <c r="Q195" s="78">
        <f t="shared" si="1"/>
        <v>-2.7962829380065962E-3</v>
      </c>
    </row>
    <row r="196" spans="1:17" ht="14.4">
      <c r="A196" s="78" t="s">
        <v>418</v>
      </c>
      <c r="B196" s="78">
        <v>9580</v>
      </c>
      <c r="C196" s="78">
        <v>9758.9500000000007</v>
      </c>
      <c r="D196" s="78">
        <v>9510.5499999999993</v>
      </c>
      <c r="E196" s="78">
        <v>9745.25</v>
      </c>
      <c r="F196" s="78">
        <v>9745.25</v>
      </c>
      <c r="G196" s="78">
        <v>283754</v>
      </c>
      <c r="H196" s="3">
        <f t="shared" si="0"/>
        <v>1.4892342940456663E-2</v>
      </c>
      <c r="J196" s="81">
        <v>45467</v>
      </c>
      <c r="K196" s="78">
        <v>23382.3</v>
      </c>
      <c r="L196" s="78">
        <v>23558.1</v>
      </c>
      <c r="M196" s="78">
        <v>23350</v>
      </c>
      <c r="N196" s="78">
        <v>23537.85</v>
      </c>
      <c r="O196" s="80">
        <v>239000000</v>
      </c>
      <c r="P196" s="80">
        <v>24862.37</v>
      </c>
      <c r="Q196" s="78">
        <f t="shared" si="1"/>
        <v>1.5637565901170584E-3</v>
      </c>
    </row>
    <row r="197" spans="1:17" ht="14.4">
      <c r="A197" s="78" t="s">
        <v>419</v>
      </c>
      <c r="B197" s="78">
        <v>9755</v>
      </c>
      <c r="C197" s="78">
        <v>9825</v>
      </c>
      <c r="D197" s="78">
        <v>9645</v>
      </c>
      <c r="E197" s="78">
        <v>9659.9500000000007</v>
      </c>
      <c r="F197" s="78">
        <v>9659.9500000000007</v>
      </c>
      <c r="G197" s="78">
        <v>282048</v>
      </c>
      <c r="H197" s="3">
        <f t="shared" si="0"/>
        <v>-8.7529822221081317E-3</v>
      </c>
      <c r="J197" s="81">
        <v>45468</v>
      </c>
      <c r="K197" s="78">
        <v>23577.1</v>
      </c>
      <c r="L197" s="78">
        <v>23754.15</v>
      </c>
      <c r="M197" s="78">
        <v>23562.05</v>
      </c>
      <c r="N197" s="78">
        <v>23721.3</v>
      </c>
      <c r="O197" s="80">
        <v>298000000</v>
      </c>
      <c r="P197" s="80">
        <v>34263.360000000001</v>
      </c>
      <c r="Q197" s="78">
        <f t="shared" si="1"/>
        <v>7.7938299377386102E-3</v>
      </c>
    </row>
    <row r="198" spans="1:17" ht="14.4">
      <c r="A198" s="78" t="s">
        <v>420</v>
      </c>
      <c r="B198" s="78">
        <v>9659.9</v>
      </c>
      <c r="C198" s="78">
        <v>9660.2999999999993</v>
      </c>
      <c r="D198" s="78">
        <v>9441.5</v>
      </c>
      <c r="E198" s="78">
        <v>9474.65</v>
      </c>
      <c r="F198" s="78">
        <v>9474.65</v>
      </c>
      <c r="G198" s="78">
        <v>431217</v>
      </c>
      <c r="H198" s="3">
        <f t="shared" si="0"/>
        <v>-1.9182293904212867E-2</v>
      </c>
      <c r="J198" s="81">
        <v>45469</v>
      </c>
      <c r="K198" s="78">
        <v>23723.1</v>
      </c>
      <c r="L198" s="78">
        <v>23889.9</v>
      </c>
      <c r="M198" s="78">
        <v>23670.45</v>
      </c>
      <c r="N198" s="78">
        <v>23868.799999999999</v>
      </c>
      <c r="O198" s="80">
        <v>288000000</v>
      </c>
      <c r="P198" s="80">
        <v>33979.620000000003</v>
      </c>
      <c r="Q198" s="78">
        <f t="shared" si="1"/>
        <v>6.2180403266262809E-3</v>
      </c>
    </row>
    <row r="199" spans="1:17" ht="14.4">
      <c r="A199" s="78" t="s">
        <v>421</v>
      </c>
      <c r="B199" s="78">
        <v>9564.65</v>
      </c>
      <c r="C199" s="78">
        <v>9564.65</v>
      </c>
      <c r="D199" s="78">
        <v>9365.65</v>
      </c>
      <c r="E199" s="78">
        <v>9417.4500000000007</v>
      </c>
      <c r="F199" s="78">
        <v>9417.4500000000007</v>
      </c>
      <c r="G199" s="78">
        <v>637626</v>
      </c>
      <c r="H199" s="3">
        <f t="shared" si="0"/>
        <v>-6.0371623226186623E-3</v>
      </c>
      <c r="J199" s="81">
        <v>45470</v>
      </c>
      <c r="K199" s="78">
        <v>23881.55</v>
      </c>
      <c r="L199" s="78">
        <v>24087.45</v>
      </c>
      <c r="M199" s="78">
        <v>23805.4</v>
      </c>
      <c r="N199" s="78">
        <v>24044.5</v>
      </c>
      <c r="O199" s="80">
        <v>515000000</v>
      </c>
      <c r="P199" s="80">
        <v>61216.71</v>
      </c>
      <c r="Q199" s="78">
        <f t="shared" si="1"/>
        <v>7.3610738704920535E-3</v>
      </c>
    </row>
    <row r="200" spans="1:17" ht="14.4">
      <c r="A200" s="78" t="s">
        <v>422</v>
      </c>
      <c r="B200" s="78">
        <v>9465</v>
      </c>
      <c r="C200" s="78">
        <v>9523.7000000000007</v>
      </c>
      <c r="D200" s="78">
        <v>9382.25</v>
      </c>
      <c r="E200" s="78">
        <v>9501.65</v>
      </c>
      <c r="F200" s="78">
        <v>9501.65</v>
      </c>
      <c r="G200" s="78">
        <v>237516</v>
      </c>
      <c r="H200" s="3">
        <f t="shared" si="0"/>
        <v>8.9408491682991583E-3</v>
      </c>
      <c r="J200" s="81">
        <v>45471</v>
      </c>
      <c r="K200" s="78">
        <v>24085.9</v>
      </c>
      <c r="L200" s="78">
        <v>24174</v>
      </c>
      <c r="M200" s="78">
        <v>23985.8</v>
      </c>
      <c r="N200" s="78">
        <v>24010.6</v>
      </c>
      <c r="O200" s="80">
        <v>355000000</v>
      </c>
      <c r="P200" s="80">
        <v>41242.870000000003</v>
      </c>
      <c r="Q200" s="78">
        <f t="shared" si="1"/>
        <v>-1.409885836677887E-3</v>
      </c>
    </row>
    <row r="201" spans="1:17" ht="14.4">
      <c r="A201" s="75">
        <v>45298</v>
      </c>
      <c r="B201" s="78">
        <v>9505</v>
      </c>
      <c r="C201" s="78">
        <v>9693.9500000000007</v>
      </c>
      <c r="D201" s="78">
        <v>9505</v>
      </c>
      <c r="E201" s="78">
        <v>9532.4</v>
      </c>
      <c r="F201" s="78">
        <v>9532.4</v>
      </c>
      <c r="G201" s="78">
        <v>289355</v>
      </c>
      <c r="H201" s="3">
        <f t="shared" si="0"/>
        <v>3.2362800145237934E-3</v>
      </c>
      <c r="J201" s="79">
        <v>45474</v>
      </c>
      <c r="K201" s="78">
        <v>23992.95</v>
      </c>
      <c r="L201" s="78">
        <v>24164</v>
      </c>
      <c r="M201" s="78">
        <v>23992.7</v>
      </c>
      <c r="N201" s="78">
        <v>24141.95</v>
      </c>
      <c r="O201" s="80">
        <v>242000000</v>
      </c>
      <c r="P201" s="80">
        <v>28204.06</v>
      </c>
      <c r="Q201" s="78">
        <f t="shared" si="1"/>
        <v>5.4705005289331461E-3</v>
      </c>
    </row>
    <row r="202" spans="1:17" ht="14.4">
      <c r="A202" s="75">
        <v>45329</v>
      </c>
      <c r="B202" s="78">
        <v>9520</v>
      </c>
      <c r="C202" s="78">
        <v>9532.4</v>
      </c>
      <c r="D202" s="78">
        <v>9381.1</v>
      </c>
      <c r="E202" s="78">
        <v>9401.25</v>
      </c>
      <c r="F202" s="78">
        <v>9401.25</v>
      </c>
      <c r="G202" s="78">
        <v>287884</v>
      </c>
      <c r="H202" s="3">
        <f t="shared" si="0"/>
        <v>-1.3758339977340401E-2</v>
      </c>
      <c r="J202" s="79">
        <v>45475</v>
      </c>
      <c r="K202" s="78">
        <v>24228.75</v>
      </c>
      <c r="L202" s="78">
        <v>24236.35</v>
      </c>
      <c r="M202" s="78">
        <v>24056.400000000001</v>
      </c>
      <c r="N202" s="78">
        <v>24123.85</v>
      </c>
      <c r="O202" s="80">
        <v>310000000</v>
      </c>
      <c r="P202" s="80">
        <v>34838.65</v>
      </c>
      <c r="Q202" s="78">
        <f t="shared" si="1"/>
        <v>-7.4973231242721412E-4</v>
      </c>
    </row>
    <row r="203" spans="1:17" ht="14.4">
      <c r="A203" s="75">
        <v>45358</v>
      </c>
      <c r="B203" s="78">
        <v>9474</v>
      </c>
      <c r="C203" s="78">
        <v>9554.9500000000007</v>
      </c>
      <c r="D203" s="78">
        <v>9384.6</v>
      </c>
      <c r="E203" s="78">
        <v>9422.4</v>
      </c>
      <c r="F203" s="78">
        <v>9422.4</v>
      </c>
      <c r="G203" s="78">
        <v>318120</v>
      </c>
      <c r="H203" s="3">
        <f t="shared" si="0"/>
        <v>2.2497008376545285E-3</v>
      </c>
      <c r="J203" s="79">
        <v>45476</v>
      </c>
      <c r="K203" s="78">
        <v>24291.75</v>
      </c>
      <c r="L203" s="78">
        <v>24309.15</v>
      </c>
      <c r="M203" s="78">
        <v>24207.1</v>
      </c>
      <c r="N203" s="78">
        <v>24286.5</v>
      </c>
      <c r="O203" s="80">
        <v>289000000</v>
      </c>
      <c r="P203" s="80">
        <v>36661.17</v>
      </c>
      <c r="Q203" s="78">
        <f t="shared" si="1"/>
        <v>6.7422903060664636E-3</v>
      </c>
    </row>
    <row r="204" spans="1:17" ht="14.4">
      <c r="A204" s="75">
        <v>45389</v>
      </c>
      <c r="B204" s="78">
        <v>9479.9</v>
      </c>
      <c r="C204" s="78">
        <v>9499</v>
      </c>
      <c r="D204" s="78">
        <v>9420.35</v>
      </c>
      <c r="E204" s="78">
        <v>9460.85</v>
      </c>
      <c r="F204" s="78">
        <v>9460.85</v>
      </c>
      <c r="G204" s="78">
        <v>234656</v>
      </c>
      <c r="H204" s="3">
        <f t="shared" si="0"/>
        <v>4.0807013075225768E-3</v>
      </c>
      <c r="J204" s="79">
        <v>45477</v>
      </c>
      <c r="K204" s="78">
        <v>24369.95</v>
      </c>
      <c r="L204" s="78">
        <v>24401</v>
      </c>
      <c r="M204" s="78">
        <v>24281</v>
      </c>
      <c r="N204" s="78">
        <v>24302.15</v>
      </c>
      <c r="O204" s="80">
        <v>251000000</v>
      </c>
      <c r="P204" s="80">
        <v>28466.6</v>
      </c>
      <c r="Q204" s="78">
        <f t="shared" si="1"/>
        <v>6.4439091676451749E-4</v>
      </c>
    </row>
    <row r="205" spans="1:17" ht="14.4">
      <c r="A205" s="75">
        <v>45419</v>
      </c>
      <c r="B205" s="78">
        <v>9522</v>
      </c>
      <c r="C205" s="78">
        <v>9660</v>
      </c>
      <c r="D205" s="78">
        <v>9493.2999999999993</v>
      </c>
      <c r="E205" s="78">
        <v>9635.7999999999993</v>
      </c>
      <c r="F205" s="78">
        <v>9635.7999999999993</v>
      </c>
      <c r="G205" s="78">
        <v>608628</v>
      </c>
      <c r="H205" s="3">
        <f t="shared" si="0"/>
        <v>1.849199596230771E-2</v>
      </c>
      <c r="J205" s="79">
        <v>45478</v>
      </c>
      <c r="K205" s="78">
        <v>24213.35</v>
      </c>
      <c r="L205" s="78">
        <v>24363</v>
      </c>
      <c r="M205" s="78">
        <v>24168.85</v>
      </c>
      <c r="N205" s="78">
        <v>24323.85</v>
      </c>
      <c r="O205" s="80">
        <v>298000000</v>
      </c>
      <c r="P205" s="80">
        <v>32052.48</v>
      </c>
      <c r="Q205" s="78">
        <f t="shared" si="1"/>
        <v>8.9292511156408331E-4</v>
      </c>
    </row>
    <row r="206" spans="1:17" ht="14.4">
      <c r="A206" s="75">
        <v>45511</v>
      </c>
      <c r="B206" s="78">
        <v>9640</v>
      </c>
      <c r="C206" s="78">
        <v>9666.15</v>
      </c>
      <c r="D206" s="78">
        <v>9470</v>
      </c>
      <c r="E206" s="78">
        <v>9529.4</v>
      </c>
      <c r="F206" s="78">
        <v>9529.4</v>
      </c>
      <c r="G206" s="78">
        <v>316215</v>
      </c>
      <c r="H206" s="3">
        <f t="shared" si="0"/>
        <v>-1.1042155295875759E-2</v>
      </c>
      <c r="J206" s="79">
        <v>45481</v>
      </c>
      <c r="K206" s="78">
        <v>24329.45</v>
      </c>
      <c r="L206" s="78">
        <v>24344.6</v>
      </c>
      <c r="M206" s="78">
        <v>24240.55</v>
      </c>
      <c r="N206" s="78">
        <v>24320.55</v>
      </c>
      <c r="O206" s="80">
        <v>266000000</v>
      </c>
      <c r="P206" s="80">
        <v>26356.03</v>
      </c>
      <c r="Q206" s="78">
        <f t="shared" si="1"/>
        <v>-1.3566931221822501E-4</v>
      </c>
    </row>
    <row r="207" spans="1:17" ht="14.4">
      <c r="A207" s="75">
        <v>45542</v>
      </c>
      <c r="B207" s="78">
        <v>9565</v>
      </c>
      <c r="C207" s="78">
        <v>9565</v>
      </c>
      <c r="D207" s="78">
        <v>9481.2000000000007</v>
      </c>
      <c r="E207" s="78">
        <v>9534.1</v>
      </c>
      <c r="F207" s="78">
        <v>9534.1</v>
      </c>
      <c r="G207" s="78">
        <v>262913</v>
      </c>
      <c r="H207" s="3">
        <f t="shared" si="0"/>
        <v>4.9321048544512009E-4</v>
      </c>
      <c r="J207" s="79">
        <v>45482</v>
      </c>
      <c r="K207" s="78">
        <v>24351</v>
      </c>
      <c r="L207" s="78">
        <v>24443.599999999999</v>
      </c>
      <c r="M207" s="78">
        <v>24331.9</v>
      </c>
      <c r="N207" s="78">
        <v>24433.200000000001</v>
      </c>
      <c r="O207" s="80">
        <v>251000000</v>
      </c>
      <c r="P207" s="80">
        <v>29361.08</v>
      </c>
      <c r="Q207" s="78">
        <f t="shared" si="1"/>
        <v>4.6318853808816601E-3</v>
      </c>
    </row>
    <row r="208" spans="1:17" ht="14.4">
      <c r="A208" s="75">
        <v>45572</v>
      </c>
      <c r="B208" s="78">
        <v>9550</v>
      </c>
      <c r="C208" s="78">
        <v>9650</v>
      </c>
      <c r="D208" s="78">
        <v>9451.9500000000007</v>
      </c>
      <c r="E208" s="78">
        <v>9542.4500000000007</v>
      </c>
      <c r="F208" s="78">
        <v>9542.4500000000007</v>
      </c>
      <c r="G208" s="78">
        <v>239607</v>
      </c>
      <c r="H208" s="3">
        <f t="shared" si="0"/>
        <v>8.7580369410855392E-4</v>
      </c>
      <c r="J208" s="81">
        <v>45483</v>
      </c>
      <c r="K208" s="78">
        <v>24459.85</v>
      </c>
      <c r="L208" s="78">
        <v>24461.05</v>
      </c>
      <c r="M208" s="78">
        <v>24141.8</v>
      </c>
      <c r="N208" s="78">
        <v>24324.45</v>
      </c>
      <c r="O208" s="80">
        <v>292000000</v>
      </c>
      <c r="P208" s="80">
        <v>35358.54</v>
      </c>
      <c r="Q208" s="78">
        <f t="shared" si="1"/>
        <v>-4.4509110554491428E-3</v>
      </c>
    </row>
    <row r="209" spans="1:17" ht="14.4">
      <c r="A209" s="75">
        <v>45603</v>
      </c>
      <c r="B209" s="78">
        <v>9542.4500000000007</v>
      </c>
      <c r="C209" s="78">
        <v>9569.5</v>
      </c>
      <c r="D209" s="78">
        <v>9383</v>
      </c>
      <c r="E209" s="78">
        <v>9466.7999999999993</v>
      </c>
      <c r="F209" s="78">
        <v>9466.7999999999993</v>
      </c>
      <c r="G209" s="78">
        <v>294900</v>
      </c>
      <c r="H209" s="3">
        <f t="shared" si="0"/>
        <v>-7.9277334437174371E-3</v>
      </c>
      <c r="J209" s="81">
        <v>45484</v>
      </c>
      <c r="K209" s="78">
        <v>24396.55</v>
      </c>
      <c r="L209" s="78">
        <v>24402.65</v>
      </c>
      <c r="M209" s="78">
        <v>24193.75</v>
      </c>
      <c r="N209" s="78">
        <v>24315.95</v>
      </c>
      <c r="O209" s="80">
        <v>306000000</v>
      </c>
      <c r="P209" s="80">
        <v>32115.439999999999</v>
      </c>
      <c r="Q209" s="78">
        <f t="shared" si="1"/>
        <v>-3.4944263899080964E-4</v>
      </c>
    </row>
    <row r="210" spans="1:17" ht="14.4">
      <c r="A210" s="75">
        <v>45633</v>
      </c>
      <c r="B210" s="78">
        <v>9499.9500000000007</v>
      </c>
      <c r="C210" s="78">
        <v>9554.35</v>
      </c>
      <c r="D210" s="78">
        <v>9412</v>
      </c>
      <c r="E210" s="78">
        <v>9430.75</v>
      </c>
      <c r="F210" s="78">
        <v>9430.75</v>
      </c>
      <c r="G210" s="78">
        <v>171581</v>
      </c>
      <c r="H210" s="3">
        <f t="shared" si="0"/>
        <v>-3.8080449571132034E-3</v>
      </c>
      <c r="J210" s="81">
        <v>45485</v>
      </c>
      <c r="K210" s="78">
        <v>24387.95</v>
      </c>
      <c r="L210" s="78">
        <v>24592.2</v>
      </c>
      <c r="M210" s="78">
        <v>24331.15</v>
      </c>
      <c r="N210" s="78">
        <v>24502.15</v>
      </c>
      <c r="O210" s="80">
        <v>326000000</v>
      </c>
      <c r="P210" s="80">
        <v>39565.33</v>
      </c>
      <c r="Q210" s="78">
        <f t="shared" si="1"/>
        <v>7.6575252046496524E-3</v>
      </c>
    </row>
    <row r="211" spans="1:17" ht="14.4">
      <c r="A211" s="78" t="s">
        <v>423</v>
      </c>
      <c r="B211" s="78">
        <v>9430.75</v>
      </c>
      <c r="C211" s="78">
        <v>9738.5</v>
      </c>
      <c r="D211" s="78">
        <v>9403.9500000000007</v>
      </c>
      <c r="E211" s="78">
        <v>9673.35</v>
      </c>
      <c r="F211" s="78">
        <v>9673.35</v>
      </c>
      <c r="G211" s="78">
        <v>504086</v>
      </c>
      <c r="H211" s="3">
        <f t="shared" si="0"/>
        <v>2.572435914428867E-2</v>
      </c>
      <c r="J211" s="81">
        <v>45488</v>
      </c>
      <c r="K211" s="78">
        <v>24587.599999999999</v>
      </c>
      <c r="L211" s="78">
        <v>24635.05</v>
      </c>
      <c r="M211" s="78">
        <v>24522.75</v>
      </c>
      <c r="N211" s="78">
        <v>24586.7</v>
      </c>
      <c r="O211" s="80">
        <v>305000000</v>
      </c>
      <c r="P211" s="80">
        <v>31593.040000000001</v>
      </c>
      <c r="Q211" s="78">
        <f t="shared" si="1"/>
        <v>3.4507175900890031E-3</v>
      </c>
    </row>
    <row r="212" spans="1:17" ht="14.4">
      <c r="A212" s="78" t="s">
        <v>424</v>
      </c>
      <c r="B212" s="78">
        <v>9715</v>
      </c>
      <c r="C212" s="78">
        <v>9909.9500000000007</v>
      </c>
      <c r="D212" s="78">
        <v>9633.65</v>
      </c>
      <c r="E212" s="78">
        <v>9718.35</v>
      </c>
      <c r="F212" s="78">
        <v>9718.35</v>
      </c>
      <c r="G212" s="78">
        <v>1041123</v>
      </c>
      <c r="H212" s="3">
        <f t="shared" si="0"/>
        <v>4.6519561475600489E-3</v>
      </c>
      <c r="J212" s="81">
        <v>45489</v>
      </c>
      <c r="K212" s="78">
        <v>24615.9</v>
      </c>
      <c r="L212" s="78">
        <v>24661.25</v>
      </c>
      <c r="M212" s="78">
        <v>24587.65</v>
      </c>
      <c r="N212" s="78">
        <v>24613</v>
      </c>
      <c r="O212" s="80">
        <v>283000000</v>
      </c>
      <c r="P212" s="80">
        <v>28668.71</v>
      </c>
      <c r="Q212" s="78">
        <f t="shared" si="1"/>
        <v>1.0696840161550461E-3</v>
      </c>
    </row>
    <row r="213" spans="1:17" ht="14.4">
      <c r="A213" s="78" t="s">
        <v>425</v>
      </c>
      <c r="B213" s="78">
        <v>9745</v>
      </c>
      <c r="C213" s="78">
        <v>9745</v>
      </c>
      <c r="D213" s="78">
        <v>9291.5</v>
      </c>
      <c r="E213" s="78">
        <v>9626.2000000000007</v>
      </c>
      <c r="F213" s="78">
        <v>9626.2000000000007</v>
      </c>
      <c r="G213" s="78">
        <v>1055384</v>
      </c>
      <c r="H213" s="3">
        <f t="shared" si="0"/>
        <v>-9.4820622842354541E-3</v>
      </c>
      <c r="J213" s="81">
        <v>45491</v>
      </c>
      <c r="K213" s="78">
        <v>24543.8</v>
      </c>
      <c r="L213" s="78">
        <v>24837.75</v>
      </c>
      <c r="M213" s="78">
        <v>24504.45</v>
      </c>
      <c r="N213" s="78">
        <v>24800.85</v>
      </c>
      <c r="O213" s="80">
        <v>351000000</v>
      </c>
      <c r="P213" s="80">
        <v>40477.17</v>
      </c>
      <c r="Q213" s="78">
        <f t="shared" si="1"/>
        <v>7.6321456141063074E-3</v>
      </c>
    </row>
    <row r="214" spans="1:17" ht="14.4">
      <c r="A214" s="78" t="s">
        <v>426</v>
      </c>
      <c r="B214" s="78">
        <v>9635</v>
      </c>
      <c r="C214" s="78">
        <v>9675</v>
      </c>
      <c r="D214" s="78">
        <v>9340</v>
      </c>
      <c r="E214" s="78">
        <v>9386.0499999999993</v>
      </c>
      <c r="F214" s="78">
        <v>9386.0499999999993</v>
      </c>
      <c r="G214" s="78">
        <v>380782</v>
      </c>
      <c r="H214" s="3">
        <f t="shared" si="0"/>
        <v>-2.4947539008123812E-2</v>
      </c>
      <c r="J214" s="81">
        <v>45492</v>
      </c>
      <c r="K214" s="78">
        <v>24853.8</v>
      </c>
      <c r="L214" s="78">
        <v>24854.799999999999</v>
      </c>
      <c r="M214" s="78">
        <v>24508.15</v>
      </c>
      <c r="N214" s="78">
        <v>24530.9</v>
      </c>
      <c r="O214" s="80">
        <v>344000000</v>
      </c>
      <c r="P214" s="78">
        <v>33588.080000000002</v>
      </c>
      <c r="Q214" s="78">
        <f t="shared" si="1"/>
        <v>-1.0884707580586839E-2</v>
      </c>
    </row>
    <row r="215" spans="1:17" ht="14.4">
      <c r="A215" s="78" t="s">
        <v>427</v>
      </c>
      <c r="B215" s="78">
        <v>9350</v>
      </c>
      <c r="C215" s="78">
        <v>9435</v>
      </c>
      <c r="D215" s="78">
        <v>9263.2000000000007</v>
      </c>
      <c r="E215" s="78">
        <v>9409.7000000000007</v>
      </c>
      <c r="F215" s="78">
        <v>9409.7000000000007</v>
      </c>
      <c r="G215" s="78">
        <v>247040</v>
      </c>
      <c r="H215" s="3">
        <f t="shared" si="0"/>
        <v>2.5196967840573465E-3</v>
      </c>
      <c r="J215" s="81">
        <v>45495</v>
      </c>
      <c r="K215" s="78">
        <v>24445.75</v>
      </c>
      <c r="L215" s="78">
        <v>24595.200000000001</v>
      </c>
      <c r="M215" s="78">
        <v>24362.3</v>
      </c>
      <c r="N215" s="78">
        <v>24509.25</v>
      </c>
      <c r="O215" s="80">
        <v>324000000</v>
      </c>
      <c r="P215" s="80">
        <v>32496.23</v>
      </c>
      <c r="Q215" s="78">
        <f t="shared" si="1"/>
        <v>-8.8256036264472372E-4</v>
      </c>
    </row>
    <row r="216" spans="1:17" ht="14.4">
      <c r="A216" s="78" t="s">
        <v>428</v>
      </c>
      <c r="B216" s="78">
        <v>9435</v>
      </c>
      <c r="C216" s="78">
        <v>9508</v>
      </c>
      <c r="D216" s="78">
        <v>8744.6</v>
      </c>
      <c r="E216" s="78">
        <v>9382.5</v>
      </c>
      <c r="F216" s="78">
        <v>9382.5</v>
      </c>
      <c r="G216" s="78">
        <v>431989</v>
      </c>
      <c r="H216" s="3">
        <f t="shared" si="0"/>
        <v>-2.8906341328629741E-3</v>
      </c>
      <c r="J216" s="81">
        <v>45496</v>
      </c>
      <c r="K216" s="78">
        <v>24568.9</v>
      </c>
      <c r="L216" s="78">
        <v>24582.55</v>
      </c>
      <c r="M216" s="78">
        <v>24074.2</v>
      </c>
      <c r="N216" s="78">
        <v>24479.05</v>
      </c>
      <c r="O216" s="80">
        <v>436000000</v>
      </c>
      <c r="P216" s="80">
        <v>44921.42</v>
      </c>
      <c r="Q216" s="78">
        <f t="shared" si="1"/>
        <v>-1.2321878474453819E-3</v>
      </c>
    </row>
    <row r="217" spans="1:17" ht="14.4">
      <c r="A217" s="78" t="s">
        <v>429</v>
      </c>
      <c r="B217" s="78">
        <v>9360</v>
      </c>
      <c r="C217" s="78">
        <v>9372.7000000000007</v>
      </c>
      <c r="D217" s="78">
        <v>9250</v>
      </c>
      <c r="E217" s="78">
        <v>9260.2000000000007</v>
      </c>
      <c r="F217" s="78">
        <v>9260.2000000000007</v>
      </c>
      <c r="G217" s="78">
        <v>283213</v>
      </c>
      <c r="H217" s="3">
        <f t="shared" si="0"/>
        <v>-1.3034905409006051E-2</v>
      </c>
      <c r="J217" s="81">
        <v>45497</v>
      </c>
      <c r="K217" s="78">
        <v>24444.95</v>
      </c>
      <c r="L217" s="78">
        <v>24504.25</v>
      </c>
      <c r="M217" s="78">
        <v>24307.25</v>
      </c>
      <c r="N217" s="78">
        <v>24413.5</v>
      </c>
      <c r="O217" s="80">
        <v>367000000</v>
      </c>
      <c r="P217" s="80">
        <v>39538.11</v>
      </c>
      <c r="Q217" s="78">
        <f t="shared" si="1"/>
        <v>-2.677799996323357E-3</v>
      </c>
    </row>
    <row r="218" spans="1:17" ht="14.4">
      <c r="A218" s="78" t="s">
        <v>430</v>
      </c>
      <c r="B218" s="78">
        <v>9260</v>
      </c>
      <c r="C218" s="78">
        <v>9309.9500000000007</v>
      </c>
      <c r="D218" s="78">
        <v>9171</v>
      </c>
      <c r="E218" s="78">
        <v>9278.25</v>
      </c>
      <c r="F218" s="78">
        <v>9278.25</v>
      </c>
      <c r="G218" s="78">
        <v>262328</v>
      </c>
      <c r="H218" s="3">
        <f t="shared" si="0"/>
        <v>1.9492019610806756E-3</v>
      </c>
      <c r="J218" s="81">
        <v>45498</v>
      </c>
      <c r="K218" s="78">
        <v>24230.95</v>
      </c>
      <c r="L218" s="78">
        <v>24426.15</v>
      </c>
      <c r="M218" s="78">
        <v>24210.799999999999</v>
      </c>
      <c r="N218" s="78">
        <v>24406.1</v>
      </c>
      <c r="O218" s="80">
        <v>392000000</v>
      </c>
      <c r="P218" s="80">
        <v>37853.620000000003</v>
      </c>
      <c r="Q218" s="78">
        <f t="shared" si="1"/>
        <v>-3.0311098367712352E-4</v>
      </c>
    </row>
    <row r="219" spans="1:17" ht="14.4">
      <c r="A219" s="78" t="s">
        <v>431</v>
      </c>
      <c r="B219" s="78">
        <v>9319</v>
      </c>
      <c r="C219" s="78">
        <v>9505</v>
      </c>
      <c r="D219" s="78">
        <v>9268.4500000000007</v>
      </c>
      <c r="E219" s="78">
        <v>9492.9</v>
      </c>
      <c r="F219" s="78">
        <v>9492.9</v>
      </c>
      <c r="G219" s="78">
        <v>250956</v>
      </c>
      <c r="H219" s="3">
        <f t="shared" si="0"/>
        <v>2.313475062646508E-2</v>
      </c>
      <c r="J219" s="81">
        <v>45499</v>
      </c>
      <c r="K219" s="78">
        <v>24423.35</v>
      </c>
      <c r="L219" s="78">
        <v>24861.15</v>
      </c>
      <c r="M219" s="78">
        <v>24410.9</v>
      </c>
      <c r="N219" s="78">
        <v>24834.85</v>
      </c>
      <c r="O219" s="80">
        <v>384000000</v>
      </c>
      <c r="P219" s="80">
        <v>42118.36</v>
      </c>
      <c r="Q219" s="78">
        <f t="shared" si="1"/>
        <v>1.7567329479105633E-2</v>
      </c>
    </row>
    <row r="220" spans="1:17" ht="14.4">
      <c r="A220" s="78" t="s">
        <v>432</v>
      </c>
      <c r="B220" s="78">
        <v>9549.2000000000007</v>
      </c>
      <c r="C220" s="78">
        <v>9621.0499999999993</v>
      </c>
      <c r="D220" s="78">
        <v>9509</v>
      </c>
      <c r="E220" s="78">
        <v>9557.65</v>
      </c>
      <c r="F220" s="78">
        <v>9557.65</v>
      </c>
      <c r="G220" s="78">
        <v>302363</v>
      </c>
      <c r="H220" s="3">
        <f t="shared" si="0"/>
        <v>6.8208871893731104E-3</v>
      </c>
      <c r="J220" s="81">
        <v>45502</v>
      </c>
      <c r="K220" s="78">
        <v>24943.3</v>
      </c>
      <c r="L220" s="78">
        <v>24999.75</v>
      </c>
      <c r="M220" s="78">
        <v>24774.6</v>
      </c>
      <c r="N220" s="78">
        <v>24836.1</v>
      </c>
      <c r="O220" s="80">
        <v>355000000</v>
      </c>
      <c r="P220" s="80">
        <v>37102.92</v>
      </c>
      <c r="Q220" s="78">
        <f t="shared" si="1"/>
        <v>5.0332496471692003E-5</v>
      </c>
    </row>
    <row r="221" spans="1:17" ht="14.4">
      <c r="A221" s="78" t="s">
        <v>433</v>
      </c>
      <c r="B221" s="78">
        <v>9550.65</v>
      </c>
      <c r="C221" s="78">
        <v>9654</v>
      </c>
      <c r="D221" s="78">
        <v>9512</v>
      </c>
      <c r="E221" s="78">
        <v>9564.35</v>
      </c>
      <c r="F221" s="78">
        <v>9564.35</v>
      </c>
      <c r="G221" s="78">
        <v>301885</v>
      </c>
      <c r="H221" s="3">
        <f t="shared" si="0"/>
        <v>7.0100913927594413E-4</v>
      </c>
      <c r="J221" s="81">
        <v>45503</v>
      </c>
      <c r="K221" s="78">
        <v>24839.4</v>
      </c>
      <c r="L221" s="78">
        <v>24971.75</v>
      </c>
      <c r="M221" s="78">
        <v>24798.65</v>
      </c>
      <c r="N221" s="78">
        <v>24857.3</v>
      </c>
      <c r="O221" s="80">
        <v>385000000</v>
      </c>
      <c r="P221" s="80">
        <v>37576.58</v>
      </c>
      <c r="Q221" s="78">
        <f t="shared" si="1"/>
        <v>8.5359617653338197E-4</v>
      </c>
    </row>
    <row r="222" spans="1:17" ht="14.4">
      <c r="A222" s="78" t="s">
        <v>434</v>
      </c>
      <c r="B222" s="78">
        <v>9600</v>
      </c>
      <c r="C222" s="78">
        <v>9680</v>
      </c>
      <c r="D222" s="78">
        <v>9580.0499999999993</v>
      </c>
      <c r="E222" s="78">
        <v>9664.2000000000007</v>
      </c>
      <c r="F222" s="78">
        <v>9664.2000000000007</v>
      </c>
      <c r="G222" s="78">
        <v>315292</v>
      </c>
      <c r="H222" s="3">
        <f t="shared" si="0"/>
        <v>1.0439810337346539E-2</v>
      </c>
      <c r="J222" s="81">
        <v>45504</v>
      </c>
      <c r="K222" s="78">
        <v>24886.7</v>
      </c>
      <c r="L222" s="78">
        <v>24984.6</v>
      </c>
      <c r="M222" s="78">
        <v>24856.5</v>
      </c>
      <c r="N222" s="78">
        <v>24951.15</v>
      </c>
      <c r="O222" s="80">
        <v>334000000</v>
      </c>
      <c r="P222" s="80">
        <v>35411.32</v>
      </c>
      <c r="Q222" s="78">
        <f t="shared" si="1"/>
        <v>3.7755508442188887E-3</v>
      </c>
    </row>
    <row r="223" spans="1:17" ht="14.4">
      <c r="A223" s="75">
        <v>45299</v>
      </c>
      <c r="B223" s="78">
        <v>9844</v>
      </c>
      <c r="C223" s="78">
        <v>9844</v>
      </c>
      <c r="D223" s="78">
        <v>9662</v>
      </c>
      <c r="E223" s="78">
        <v>9730.5</v>
      </c>
      <c r="F223" s="78">
        <v>9730.5</v>
      </c>
      <c r="G223" s="78">
        <v>308658</v>
      </c>
      <c r="H223" s="3">
        <f t="shared" si="0"/>
        <v>6.8603712671508523E-3</v>
      </c>
      <c r="J223" s="79">
        <v>45505</v>
      </c>
      <c r="K223" s="78">
        <v>25030.95</v>
      </c>
      <c r="L223" s="78">
        <v>25078.3</v>
      </c>
      <c r="M223" s="78">
        <v>24956.400000000001</v>
      </c>
      <c r="N223" s="78">
        <v>25010.9</v>
      </c>
      <c r="O223" s="80">
        <v>431000000</v>
      </c>
      <c r="P223" s="80">
        <v>38822.9</v>
      </c>
      <c r="Q223" s="78">
        <f t="shared" si="1"/>
        <v>2.3946792031629802E-3</v>
      </c>
    </row>
    <row r="224" spans="1:17" ht="14.4">
      <c r="A224" s="75">
        <v>45330</v>
      </c>
      <c r="B224" s="78">
        <v>9714.7999999999993</v>
      </c>
      <c r="C224" s="78">
        <v>9730</v>
      </c>
      <c r="D224" s="78">
        <v>9581.75</v>
      </c>
      <c r="E224" s="78">
        <v>9616.2000000000007</v>
      </c>
      <c r="F224" s="78">
        <v>9616.2000000000007</v>
      </c>
      <c r="G224" s="78">
        <v>230615</v>
      </c>
      <c r="H224" s="3">
        <f t="shared" si="0"/>
        <v>-1.1746570063203255E-2</v>
      </c>
      <c r="J224" s="79">
        <v>45506</v>
      </c>
      <c r="K224" s="78">
        <v>24789</v>
      </c>
      <c r="L224" s="78">
        <v>24851.9</v>
      </c>
      <c r="M224" s="78">
        <v>24686.85</v>
      </c>
      <c r="N224" s="78">
        <v>24717.7</v>
      </c>
      <c r="O224" s="80">
        <v>345000000</v>
      </c>
      <c r="P224" s="80">
        <v>35368.54</v>
      </c>
      <c r="Q224" s="78">
        <f t="shared" si="1"/>
        <v>-1.1722888820474302E-2</v>
      </c>
    </row>
    <row r="225" spans="1:17" ht="14.4">
      <c r="A225" s="75">
        <v>45420</v>
      </c>
      <c r="B225" s="78">
        <v>9396.2000000000007</v>
      </c>
      <c r="C225" s="78">
        <v>9520</v>
      </c>
      <c r="D225" s="78">
        <v>9369.2999999999993</v>
      </c>
      <c r="E225" s="78">
        <v>9485.0499999999993</v>
      </c>
      <c r="F225" s="78">
        <v>9485.0499999999993</v>
      </c>
      <c r="G225" s="78">
        <v>310757</v>
      </c>
      <c r="H225" s="3">
        <f t="shared" si="0"/>
        <v>-1.3638443459994742E-2</v>
      </c>
      <c r="J225" s="79">
        <v>45509</v>
      </c>
      <c r="K225" s="78">
        <v>24302.85</v>
      </c>
      <c r="L225" s="78">
        <v>24350.05</v>
      </c>
      <c r="M225" s="78">
        <v>23893.7</v>
      </c>
      <c r="N225" s="78">
        <v>24055.599999999999</v>
      </c>
      <c r="O225" s="80">
        <v>487000000</v>
      </c>
      <c r="P225" s="80">
        <v>45066.65</v>
      </c>
      <c r="Q225" s="78">
        <f t="shared" si="1"/>
        <v>-2.6786472851438529E-2</v>
      </c>
    </row>
    <row r="226" spans="1:17" ht="14.4">
      <c r="A226" s="75">
        <v>45451</v>
      </c>
      <c r="B226" s="78">
        <v>9515.25</v>
      </c>
      <c r="C226" s="78">
        <v>9620</v>
      </c>
      <c r="D226" s="78">
        <v>9400</v>
      </c>
      <c r="E226" s="78">
        <v>9427.4</v>
      </c>
      <c r="F226" s="78">
        <v>9427.4</v>
      </c>
      <c r="G226" s="78">
        <v>246541</v>
      </c>
      <c r="H226" s="3">
        <f t="shared" si="0"/>
        <v>-6.0779858830474947E-3</v>
      </c>
      <c r="J226" s="79">
        <v>45510</v>
      </c>
      <c r="K226" s="78">
        <v>24189.85</v>
      </c>
      <c r="L226" s="78">
        <v>24382.6</v>
      </c>
      <c r="M226" s="78">
        <v>23960.400000000001</v>
      </c>
      <c r="N226" s="78">
        <v>23992.55</v>
      </c>
      <c r="O226" s="80">
        <v>312000000</v>
      </c>
      <c r="P226" s="80">
        <v>31553.65</v>
      </c>
      <c r="Q226" s="78">
        <f t="shared" si="1"/>
        <v>-2.6210113237665773E-3</v>
      </c>
    </row>
    <row r="227" spans="1:17" ht="14.4">
      <c r="A227" s="75">
        <v>45481</v>
      </c>
      <c r="B227" s="78">
        <v>9570</v>
      </c>
      <c r="C227" s="78">
        <v>9725</v>
      </c>
      <c r="D227" s="78">
        <v>9497.5</v>
      </c>
      <c r="E227" s="78">
        <v>9708.2000000000007</v>
      </c>
      <c r="F227" s="78">
        <v>9708.2000000000007</v>
      </c>
      <c r="G227" s="78">
        <v>270583</v>
      </c>
      <c r="H227" s="3">
        <f t="shared" si="0"/>
        <v>2.9785518806882183E-2</v>
      </c>
      <c r="J227" s="79">
        <v>45511</v>
      </c>
      <c r="K227" s="78">
        <v>24289.4</v>
      </c>
      <c r="L227" s="78">
        <v>24337.7</v>
      </c>
      <c r="M227" s="78">
        <v>24184.9</v>
      </c>
      <c r="N227" s="78">
        <v>24297.5</v>
      </c>
      <c r="O227" s="80">
        <v>318000000</v>
      </c>
      <c r="P227" s="80">
        <v>29738.85</v>
      </c>
      <c r="Q227" s="78">
        <f t="shared" si="1"/>
        <v>1.2710195456506321E-2</v>
      </c>
    </row>
    <row r="228" spans="1:17" ht="14.4">
      <c r="A228" s="75">
        <v>45512</v>
      </c>
      <c r="B228" s="78">
        <v>9735</v>
      </c>
      <c r="C228" s="78">
        <v>9777.7000000000007</v>
      </c>
      <c r="D228" s="78">
        <v>9610.15</v>
      </c>
      <c r="E228" s="78">
        <v>9641.2999999999993</v>
      </c>
      <c r="F228" s="78">
        <v>9641.2999999999993</v>
      </c>
      <c r="G228" s="78">
        <v>365016</v>
      </c>
      <c r="H228" s="3">
        <f t="shared" si="0"/>
        <v>-6.8910817659299821E-3</v>
      </c>
      <c r="J228" s="79">
        <v>45512</v>
      </c>
      <c r="K228" s="78">
        <v>24248.55</v>
      </c>
      <c r="L228" s="78">
        <v>24340.5</v>
      </c>
      <c r="M228" s="78">
        <v>24079.7</v>
      </c>
      <c r="N228" s="78">
        <v>24117</v>
      </c>
      <c r="O228" s="80">
        <v>312000000</v>
      </c>
      <c r="P228" s="80">
        <v>30858.18</v>
      </c>
      <c r="Q228" s="78">
        <f t="shared" si="1"/>
        <v>-7.428747813561066E-3</v>
      </c>
    </row>
    <row r="229" spans="1:17" ht="14.4">
      <c r="A229" s="75">
        <v>45543</v>
      </c>
      <c r="B229" s="78">
        <v>9761</v>
      </c>
      <c r="C229" s="78">
        <v>9775</v>
      </c>
      <c r="D229" s="78">
        <v>9614</v>
      </c>
      <c r="E229" s="78">
        <v>9765.9500000000007</v>
      </c>
      <c r="F229" s="78">
        <v>9765.9500000000007</v>
      </c>
      <c r="G229" s="78">
        <v>161640</v>
      </c>
      <c r="H229" s="3">
        <f t="shared" si="0"/>
        <v>1.2928754421084446E-2</v>
      </c>
      <c r="J229" s="79">
        <v>45513</v>
      </c>
      <c r="K229" s="78">
        <v>24386.85</v>
      </c>
      <c r="L229" s="78">
        <v>24419.75</v>
      </c>
      <c r="M229" s="78">
        <v>24311.200000000001</v>
      </c>
      <c r="N229" s="78">
        <v>24367.5</v>
      </c>
      <c r="O229" s="80">
        <v>215000000</v>
      </c>
      <c r="P229" s="80">
        <v>22339.19</v>
      </c>
      <c r="Q229" s="78">
        <f t="shared" si="1"/>
        <v>1.0386864037815649E-2</v>
      </c>
    </row>
    <row r="230" spans="1:17" ht="14.4">
      <c r="A230" s="75">
        <v>45634</v>
      </c>
      <c r="B230" s="78">
        <v>9741</v>
      </c>
      <c r="C230" s="78">
        <v>9750.9500000000007</v>
      </c>
      <c r="D230" s="78">
        <v>9615</v>
      </c>
      <c r="E230" s="78">
        <v>9710.85</v>
      </c>
      <c r="F230" s="78">
        <v>9710.85</v>
      </c>
      <c r="G230" s="78">
        <v>307698</v>
      </c>
      <c r="H230" s="3">
        <f t="shared" si="0"/>
        <v>-5.642052232501739E-3</v>
      </c>
      <c r="J230" s="81">
        <v>45516</v>
      </c>
      <c r="K230" s="78">
        <v>24320.05</v>
      </c>
      <c r="L230" s="78">
        <v>24472.799999999999</v>
      </c>
      <c r="M230" s="78">
        <v>24212.1</v>
      </c>
      <c r="N230" s="78">
        <v>24347</v>
      </c>
      <c r="O230" s="80">
        <v>280000000</v>
      </c>
      <c r="P230" s="80">
        <v>30311.85</v>
      </c>
      <c r="Q230" s="78">
        <f t="shared" si="1"/>
        <v>-8.412844977941931E-4</v>
      </c>
    </row>
    <row r="231" spans="1:17" ht="14.4">
      <c r="A231" s="78" t="s">
        <v>435</v>
      </c>
      <c r="B231" s="78">
        <v>9700</v>
      </c>
      <c r="C231" s="78">
        <v>9789.85</v>
      </c>
      <c r="D231" s="78">
        <v>9650</v>
      </c>
      <c r="E231" s="78">
        <v>9671.6</v>
      </c>
      <c r="F231" s="78">
        <v>9671.6</v>
      </c>
      <c r="G231" s="78">
        <v>161706</v>
      </c>
      <c r="H231" s="3">
        <f t="shared" si="0"/>
        <v>-4.0418706910311658E-3</v>
      </c>
      <c r="J231" s="81">
        <v>45517</v>
      </c>
      <c r="K231" s="78">
        <v>24342.35</v>
      </c>
      <c r="L231" s="78">
        <v>24359.95</v>
      </c>
      <c r="M231" s="78">
        <v>24116.5</v>
      </c>
      <c r="N231" s="78">
        <v>24139</v>
      </c>
      <c r="O231" s="80">
        <v>240000000</v>
      </c>
      <c r="P231" s="80">
        <v>25459.58</v>
      </c>
      <c r="Q231" s="78">
        <f t="shared" si="1"/>
        <v>-8.5431469996303452E-3</v>
      </c>
    </row>
    <row r="232" spans="1:17" ht="14.4">
      <c r="A232" s="78" t="s">
        <v>436</v>
      </c>
      <c r="B232" s="78">
        <v>9704</v>
      </c>
      <c r="C232" s="78">
        <v>9785</v>
      </c>
      <c r="D232" s="78">
        <v>9671.6</v>
      </c>
      <c r="E232" s="78">
        <v>9749.6</v>
      </c>
      <c r="F232" s="78">
        <v>9749.6</v>
      </c>
      <c r="G232" s="78">
        <v>282934</v>
      </c>
      <c r="H232" s="3">
        <f t="shared" si="0"/>
        <v>8.0648496629306416E-3</v>
      </c>
      <c r="J232" s="81">
        <v>45518</v>
      </c>
      <c r="K232" s="78">
        <v>24184.400000000001</v>
      </c>
      <c r="L232" s="78">
        <v>24196.5</v>
      </c>
      <c r="M232" s="78">
        <v>24099.7</v>
      </c>
      <c r="N232" s="78">
        <v>24143.75</v>
      </c>
      <c r="O232" s="80">
        <v>303000000</v>
      </c>
      <c r="P232" s="80">
        <v>27834.61</v>
      </c>
      <c r="Q232" s="78">
        <f t="shared" si="1"/>
        <v>1.9677699987571978E-4</v>
      </c>
    </row>
    <row r="233" spans="1:17" ht="14.4">
      <c r="A233" s="78" t="s">
        <v>437</v>
      </c>
      <c r="B233" s="78">
        <v>9788</v>
      </c>
      <c r="C233" s="78">
        <v>9925</v>
      </c>
      <c r="D233" s="78">
        <v>9693.9500000000007</v>
      </c>
      <c r="E233" s="78">
        <v>9888.15</v>
      </c>
      <c r="F233" s="78">
        <v>9888.15</v>
      </c>
      <c r="G233" s="78">
        <v>240190</v>
      </c>
      <c r="H233" s="3">
        <f t="shared" si="0"/>
        <v>1.4210839419053014E-2</v>
      </c>
      <c r="J233" s="81">
        <v>45520</v>
      </c>
      <c r="K233" s="78">
        <v>24334.85</v>
      </c>
      <c r="L233" s="78">
        <v>24563.9</v>
      </c>
      <c r="M233" s="78">
        <v>24204.5</v>
      </c>
      <c r="N233" s="78">
        <v>24541.15</v>
      </c>
      <c r="O233" s="80">
        <v>272000000</v>
      </c>
      <c r="P233" s="80">
        <v>28521.9</v>
      </c>
      <c r="Q233" s="78">
        <f t="shared" si="1"/>
        <v>1.6459746311157191E-2</v>
      </c>
    </row>
    <row r="234" spans="1:17" ht="14.4">
      <c r="A234" s="78" t="s">
        <v>438</v>
      </c>
      <c r="B234" s="78">
        <v>9926.9500000000007</v>
      </c>
      <c r="C234" s="78">
        <v>9944</v>
      </c>
      <c r="D234" s="78">
        <v>9759.2999999999993</v>
      </c>
      <c r="E234" s="78">
        <v>9770.65</v>
      </c>
      <c r="F234" s="78">
        <v>9770.65</v>
      </c>
      <c r="G234" s="78">
        <v>148301</v>
      </c>
      <c r="H234" s="3">
        <f t="shared" si="0"/>
        <v>-1.1882910352290369E-2</v>
      </c>
      <c r="J234" s="81">
        <v>45523</v>
      </c>
      <c r="K234" s="78">
        <v>24636.35</v>
      </c>
      <c r="L234" s="78">
        <v>24638.799999999999</v>
      </c>
      <c r="M234" s="78">
        <v>24522.95</v>
      </c>
      <c r="N234" s="78">
        <v>24572.65</v>
      </c>
      <c r="O234" s="80">
        <v>244000000</v>
      </c>
      <c r="P234" s="80">
        <v>22124.41</v>
      </c>
      <c r="Q234" s="78">
        <f t="shared" si="1"/>
        <v>1.2835584314508488E-3</v>
      </c>
    </row>
    <row r="235" spans="1:17" ht="14.4">
      <c r="A235" s="78" t="s">
        <v>439</v>
      </c>
      <c r="B235" s="78">
        <v>9772.2000000000007</v>
      </c>
      <c r="C235" s="78">
        <v>9876.65</v>
      </c>
      <c r="D235" s="78">
        <v>9755.0499999999993</v>
      </c>
      <c r="E235" s="78">
        <v>9779.7000000000007</v>
      </c>
      <c r="F235" s="78">
        <v>9779.7000000000007</v>
      </c>
      <c r="G235" s="78">
        <v>132844</v>
      </c>
      <c r="H235" s="3">
        <f t="shared" si="0"/>
        <v>9.2624339220022129E-4</v>
      </c>
      <c r="J235" s="81">
        <v>45524</v>
      </c>
      <c r="K235" s="78">
        <v>24648.9</v>
      </c>
      <c r="L235" s="78">
        <v>24734.3</v>
      </c>
      <c r="M235" s="78">
        <v>24607.200000000001</v>
      </c>
      <c r="N235" s="78">
        <v>24698.85</v>
      </c>
      <c r="O235" s="80">
        <v>238000000</v>
      </c>
      <c r="P235" s="80">
        <v>25478.73</v>
      </c>
      <c r="Q235" s="78">
        <f t="shared" si="1"/>
        <v>5.135791215029599E-3</v>
      </c>
    </row>
    <row r="236" spans="1:17" ht="14.4">
      <c r="A236" s="78" t="s">
        <v>440</v>
      </c>
      <c r="B236" s="78">
        <v>9779.1</v>
      </c>
      <c r="C236" s="78">
        <v>9869</v>
      </c>
      <c r="D236" s="78">
        <v>9735</v>
      </c>
      <c r="E236" s="78">
        <v>9852</v>
      </c>
      <c r="F236" s="78">
        <v>9852</v>
      </c>
      <c r="G236" s="78">
        <v>134985</v>
      </c>
      <c r="H236" s="3">
        <f t="shared" si="0"/>
        <v>7.3928648118039685E-3</v>
      </c>
      <c r="J236" s="81">
        <v>45525</v>
      </c>
      <c r="K236" s="78">
        <v>24680.55</v>
      </c>
      <c r="L236" s="78">
        <v>24787.95</v>
      </c>
      <c r="M236" s="78">
        <v>24654.5</v>
      </c>
      <c r="N236" s="78">
        <v>24770.2</v>
      </c>
      <c r="O236" s="80">
        <v>257000000</v>
      </c>
      <c r="P236" s="80">
        <v>27404.63</v>
      </c>
      <c r="Q236" s="78">
        <f t="shared" si="1"/>
        <v>2.8887984663254437E-3</v>
      </c>
    </row>
    <row r="237" spans="1:17" ht="14.4">
      <c r="A237" s="78" t="s">
        <v>441</v>
      </c>
      <c r="B237" s="78">
        <v>9900</v>
      </c>
      <c r="C237" s="78">
        <v>10011</v>
      </c>
      <c r="D237" s="78">
        <v>9841.1</v>
      </c>
      <c r="E237" s="78">
        <v>9914.2000000000007</v>
      </c>
      <c r="F237" s="78">
        <v>9914.2000000000007</v>
      </c>
      <c r="G237" s="78">
        <v>388874</v>
      </c>
      <c r="H237" s="3">
        <f t="shared" si="0"/>
        <v>6.3134388956557781E-3</v>
      </c>
      <c r="J237" s="81">
        <v>45526</v>
      </c>
      <c r="K237" s="78">
        <v>24863.4</v>
      </c>
      <c r="L237" s="78">
        <v>24867.35</v>
      </c>
      <c r="M237" s="78">
        <v>24784.45</v>
      </c>
      <c r="N237" s="78">
        <v>24811.5</v>
      </c>
      <c r="O237" s="80">
        <v>220000000</v>
      </c>
      <c r="P237" s="80">
        <v>24227.03</v>
      </c>
      <c r="Q237" s="78">
        <f t="shared" si="1"/>
        <v>1.6673260611540994E-3</v>
      </c>
    </row>
    <row r="238" spans="1:17" ht="14.4">
      <c r="A238" s="78" t="s">
        <v>442</v>
      </c>
      <c r="B238" s="78">
        <v>9970</v>
      </c>
      <c r="C238" s="78">
        <v>10444.35</v>
      </c>
      <c r="D238" s="78">
        <v>9930</v>
      </c>
      <c r="E238" s="78">
        <v>10406.450000000001</v>
      </c>
      <c r="F238" s="78">
        <v>10406.450000000001</v>
      </c>
      <c r="G238" s="78">
        <v>1229549</v>
      </c>
      <c r="H238" s="3">
        <f t="shared" si="0"/>
        <v>4.965100562829073E-2</v>
      </c>
      <c r="J238" s="81">
        <v>45527</v>
      </c>
      <c r="K238" s="78">
        <v>24845.4</v>
      </c>
      <c r="L238" s="78">
        <v>24858.400000000001</v>
      </c>
      <c r="M238" s="78">
        <v>24771.65</v>
      </c>
      <c r="N238" s="78">
        <v>24823.15</v>
      </c>
      <c r="O238" s="80">
        <v>207000000</v>
      </c>
      <c r="P238" s="80">
        <v>23134.22</v>
      </c>
      <c r="Q238" s="78">
        <f t="shared" si="1"/>
        <v>4.6954033411931789E-4</v>
      </c>
    </row>
    <row r="239" spans="1:17" ht="14.4">
      <c r="A239" s="78" t="s">
        <v>443</v>
      </c>
      <c r="B239" s="78">
        <v>10375.1</v>
      </c>
      <c r="C239" s="78">
        <v>10517.15</v>
      </c>
      <c r="D239" s="78">
        <v>10339.65</v>
      </c>
      <c r="E239" s="78">
        <v>10432.549999999999</v>
      </c>
      <c r="F239" s="78">
        <v>10432.549999999999</v>
      </c>
      <c r="G239" s="78">
        <v>309223</v>
      </c>
      <c r="H239" s="3">
        <f t="shared" si="0"/>
        <v>2.508059905154836E-3</v>
      </c>
      <c r="J239" s="81">
        <v>45530</v>
      </c>
      <c r="K239" s="78">
        <v>24906.1</v>
      </c>
      <c r="L239" s="78">
        <v>25043.8</v>
      </c>
      <c r="M239" s="78">
        <v>24874.7</v>
      </c>
      <c r="N239" s="78">
        <v>25010.6</v>
      </c>
      <c r="O239" s="80">
        <v>210000000</v>
      </c>
      <c r="P239" s="80">
        <v>22166.86</v>
      </c>
      <c r="Q239" s="78">
        <f t="shared" si="1"/>
        <v>7.5514187361393325E-3</v>
      </c>
    </row>
    <row r="240" spans="1:17" ht="14.4">
      <c r="A240" s="78" t="s">
        <v>444</v>
      </c>
      <c r="B240" s="78">
        <v>10401</v>
      </c>
      <c r="C240" s="78">
        <v>10568.45</v>
      </c>
      <c r="D240" s="78">
        <v>10350</v>
      </c>
      <c r="E240" s="78">
        <v>10501.6</v>
      </c>
      <c r="F240" s="78">
        <v>10501.6</v>
      </c>
      <c r="G240" s="78">
        <v>262396</v>
      </c>
      <c r="H240" s="3">
        <f t="shared" si="0"/>
        <v>6.6187077943552722E-3</v>
      </c>
      <c r="J240" s="81">
        <v>45531</v>
      </c>
      <c r="K240" s="78">
        <v>25024.799999999999</v>
      </c>
      <c r="L240" s="78">
        <v>25073.1</v>
      </c>
      <c r="M240" s="78">
        <v>24973.65</v>
      </c>
      <c r="N240" s="78">
        <v>25017.75</v>
      </c>
      <c r="O240" s="80">
        <v>223000000</v>
      </c>
      <c r="P240" s="80">
        <v>26695</v>
      </c>
      <c r="Q240" s="78">
        <f t="shared" si="1"/>
        <v>2.8587878739420311E-4</v>
      </c>
    </row>
    <row r="241" spans="1:18" ht="14.4">
      <c r="A241" s="78" t="s">
        <v>445</v>
      </c>
      <c r="B241" s="78">
        <v>10500</v>
      </c>
      <c r="C241" s="78">
        <v>10715</v>
      </c>
      <c r="D241" s="78">
        <v>10461.299999999999</v>
      </c>
      <c r="E241" s="78">
        <v>10656.75</v>
      </c>
      <c r="F241" s="78">
        <v>10656.75</v>
      </c>
      <c r="G241" s="78">
        <v>338792</v>
      </c>
      <c r="H241" s="3">
        <f t="shared" si="0"/>
        <v>1.4773939209263315E-2</v>
      </c>
      <c r="J241" s="81">
        <v>45532</v>
      </c>
      <c r="K241" s="78">
        <v>25030.799999999999</v>
      </c>
      <c r="L241" s="78">
        <v>25129.599999999999</v>
      </c>
      <c r="M241" s="78">
        <v>24964.65</v>
      </c>
      <c r="N241" s="78">
        <v>25052.35</v>
      </c>
      <c r="O241" s="80">
        <v>220000000</v>
      </c>
      <c r="P241" s="80">
        <v>26994.19</v>
      </c>
      <c r="Q241" s="78">
        <f t="shared" si="1"/>
        <v>1.3830180571793446E-3</v>
      </c>
    </row>
    <row r="242" spans="1:18" ht="14.4">
      <c r="A242" s="78" t="s">
        <v>446</v>
      </c>
      <c r="B242" s="78">
        <v>10582.05</v>
      </c>
      <c r="C242" s="78">
        <v>10850</v>
      </c>
      <c r="D242" s="78">
        <v>10555.4</v>
      </c>
      <c r="E242" s="78">
        <v>10807.85</v>
      </c>
      <c r="F242" s="78">
        <v>10807.85</v>
      </c>
      <c r="G242" s="78">
        <v>693506</v>
      </c>
      <c r="H242" s="3">
        <f t="shared" si="0"/>
        <v>1.4178806859502227E-2</v>
      </c>
      <c r="J242" s="81">
        <v>45533</v>
      </c>
      <c r="K242" s="78">
        <v>25035.3</v>
      </c>
      <c r="L242" s="78">
        <v>25192.9</v>
      </c>
      <c r="M242" s="78">
        <v>24998.5</v>
      </c>
      <c r="N242" s="78">
        <v>25151.95</v>
      </c>
      <c r="O242" s="80">
        <v>354000000</v>
      </c>
      <c r="P242" s="80">
        <v>43221.73</v>
      </c>
      <c r="Q242" s="78">
        <f t="shared" si="1"/>
        <v>3.9756749366826744E-3</v>
      </c>
    </row>
    <row r="243" spans="1:18" ht="14.4">
      <c r="A243" s="78" t="s">
        <v>447</v>
      </c>
      <c r="B243" s="78">
        <v>10835</v>
      </c>
      <c r="C243" s="78">
        <v>10921.35</v>
      </c>
      <c r="D243" s="78">
        <v>10705</v>
      </c>
      <c r="E243" s="78">
        <v>10891.55</v>
      </c>
      <c r="F243" s="78">
        <v>10891.55</v>
      </c>
      <c r="G243" s="78">
        <v>498560</v>
      </c>
      <c r="H243" s="3">
        <f t="shared" si="0"/>
        <v>7.7443709896046764E-3</v>
      </c>
      <c r="J243" s="81">
        <v>45534</v>
      </c>
      <c r="K243" s="78">
        <v>25249.7</v>
      </c>
      <c r="L243" s="78">
        <v>25268.35</v>
      </c>
      <c r="M243" s="78">
        <v>25199.4</v>
      </c>
      <c r="N243" s="78">
        <v>25235.9</v>
      </c>
      <c r="O243" s="80">
        <v>638000000</v>
      </c>
      <c r="P243" s="80">
        <v>89554.91</v>
      </c>
      <c r="Q243" s="78">
        <f t="shared" si="1"/>
        <v>3.3377133780880101E-3</v>
      </c>
    </row>
    <row r="244" spans="1:18" ht="14.4">
      <c r="A244" s="75">
        <v>45331</v>
      </c>
      <c r="B244" s="78">
        <v>10926</v>
      </c>
      <c r="C244" s="78">
        <v>11154.1</v>
      </c>
      <c r="D244" s="78">
        <v>10912.15</v>
      </c>
      <c r="E244" s="78">
        <v>11126.1</v>
      </c>
      <c r="F244" s="78">
        <v>11126.1</v>
      </c>
      <c r="G244" s="78">
        <v>787108</v>
      </c>
      <c r="H244" s="3">
        <f t="shared" si="0"/>
        <v>2.1535043221580133E-2</v>
      </c>
      <c r="J244" s="79">
        <v>45537</v>
      </c>
      <c r="K244" s="78">
        <v>25333.599999999999</v>
      </c>
      <c r="L244" s="78">
        <v>25333.65</v>
      </c>
      <c r="M244" s="78">
        <v>25235.5</v>
      </c>
      <c r="N244" s="78">
        <v>25278.7</v>
      </c>
      <c r="O244" s="80">
        <v>223000000</v>
      </c>
      <c r="P244" s="80">
        <v>28187.71</v>
      </c>
      <c r="Q244" s="78">
        <f t="shared" si="1"/>
        <v>1.6959965763059478E-3</v>
      </c>
    </row>
    <row r="245" spans="1:18" ht="14.4">
      <c r="A245" s="75">
        <v>45360</v>
      </c>
      <c r="B245" s="78">
        <v>11105.95</v>
      </c>
      <c r="C245" s="78">
        <v>11118.7</v>
      </c>
      <c r="D245" s="78">
        <v>11015</v>
      </c>
      <c r="E245" s="78">
        <v>11043.65</v>
      </c>
      <c r="F245" s="78">
        <v>11043.65</v>
      </c>
      <c r="G245" s="78">
        <v>217394</v>
      </c>
      <c r="H245" s="3">
        <f t="shared" si="0"/>
        <v>-7.410503231141256E-3</v>
      </c>
      <c r="J245" s="79">
        <v>45538</v>
      </c>
      <c r="K245" s="78">
        <v>25313.4</v>
      </c>
      <c r="L245" s="78">
        <v>25321.7</v>
      </c>
      <c r="M245" s="78">
        <v>25235.8</v>
      </c>
      <c r="N245" s="78">
        <v>25279.85</v>
      </c>
      <c r="O245" s="80">
        <v>212000000</v>
      </c>
      <c r="P245" s="80">
        <v>27276.14</v>
      </c>
      <c r="Q245" s="78">
        <f t="shared" si="1"/>
        <v>4.5492845755431141E-5</v>
      </c>
    </row>
    <row r="246" spans="1:18" ht="14.4">
      <c r="A246" s="75">
        <v>45391</v>
      </c>
      <c r="B246" s="78">
        <v>11012</v>
      </c>
      <c r="C246" s="78">
        <v>11029.85</v>
      </c>
      <c r="D246" s="78">
        <v>10908.9</v>
      </c>
      <c r="E246" s="78">
        <v>10963.7</v>
      </c>
      <c r="F246" s="78">
        <v>10963.7</v>
      </c>
      <c r="G246" s="78">
        <v>324227</v>
      </c>
      <c r="H246" s="3">
        <f t="shared" si="0"/>
        <v>-7.2394543470681262E-3</v>
      </c>
      <c r="J246" s="79">
        <v>45539</v>
      </c>
      <c r="K246" s="78">
        <v>25089.95</v>
      </c>
      <c r="L246" s="78">
        <v>25216</v>
      </c>
      <c r="M246" s="78">
        <v>25083.8</v>
      </c>
      <c r="N246" s="78">
        <v>25198.7</v>
      </c>
      <c r="O246" s="80">
        <v>254000000</v>
      </c>
      <c r="P246" s="80">
        <v>26293.35</v>
      </c>
      <c r="Q246" s="78">
        <f t="shared" si="1"/>
        <v>-3.2100665154262318E-3</v>
      </c>
    </row>
    <row r="247" spans="1:18" ht="13.2">
      <c r="G247" s="3" t="s">
        <v>448</v>
      </c>
      <c r="H247" s="56">
        <f>AVERAGE(H4:H246)</f>
        <v>3.6374726424067464E-3</v>
      </c>
      <c r="P247" s="3" t="s">
        <v>449</v>
      </c>
      <c r="Q247" s="56">
        <f>AVERAGE(Q4:Q246)</f>
        <v>1.0720254369034872E-3</v>
      </c>
      <c r="R247" s="56"/>
    </row>
    <row r="248" spans="1:18" ht="13.2">
      <c r="G248" s="3" t="s">
        <v>450</v>
      </c>
      <c r="H248" s="56">
        <f>((1+H247)^243)-1</f>
        <v>1.4164563484971775</v>
      </c>
      <c r="P248" s="3" t="s">
        <v>295</v>
      </c>
      <c r="Q248" s="56">
        <f>((1+Q247)^243)-1</f>
        <v>0.29740050157664677</v>
      </c>
      <c r="R248" s="56"/>
    </row>
    <row r="251" spans="1:18" ht="13.2">
      <c r="Q251" s="56"/>
    </row>
    <row r="252" spans="1:18" ht="13.2">
      <c r="Q252" s="56"/>
    </row>
  </sheetData>
  <mergeCells count="2">
    <mergeCell ref="A2:G2"/>
    <mergeCell ref="J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P50"/>
  <sheetViews>
    <sheetView workbookViewId="0">
      <pane xSplit="1" topLeftCell="B1" activePane="topRight" state="frozen"/>
      <selection pane="topRight" activeCell="C2" sqref="C2"/>
    </sheetView>
  </sheetViews>
  <sheetFormatPr defaultColWidth="12.6640625" defaultRowHeight="15.75" customHeight="1"/>
  <cols>
    <col min="1" max="1" width="25.33203125" customWidth="1"/>
    <col min="2" max="2" width="14.44140625" customWidth="1"/>
    <col min="6" max="6" width="14.88671875" customWidth="1"/>
  </cols>
  <sheetData>
    <row r="1" spans="1:16">
      <c r="D1" s="227" t="s">
        <v>451</v>
      </c>
      <c r="E1" s="216"/>
      <c r="F1" s="216"/>
      <c r="G1" s="216"/>
      <c r="H1" s="216"/>
    </row>
    <row r="2" spans="1:16">
      <c r="L2" s="228" t="s">
        <v>452</v>
      </c>
      <c r="M2" s="216"/>
      <c r="N2" s="216"/>
      <c r="O2" s="216"/>
      <c r="P2" s="216"/>
    </row>
    <row r="3" spans="1:16" ht="15.75" customHeight="1">
      <c r="A3" s="87" t="s">
        <v>453</v>
      </c>
      <c r="B3" s="10">
        <v>45366</v>
      </c>
      <c r="C3" s="10">
        <v>45367</v>
      </c>
      <c r="D3" s="10">
        <v>45368</v>
      </c>
      <c r="E3" s="10">
        <v>45369</v>
      </c>
      <c r="F3" s="10">
        <v>45370</v>
      </c>
      <c r="G3" s="10">
        <v>45371</v>
      </c>
      <c r="H3" s="10">
        <v>45372</v>
      </c>
      <c r="I3" s="10">
        <v>45373</v>
      </c>
      <c r="J3" s="10">
        <v>45374</v>
      </c>
      <c r="K3" s="10">
        <v>45375</v>
      </c>
      <c r="L3" s="88">
        <v>45376</v>
      </c>
      <c r="M3" s="88">
        <v>45377</v>
      </c>
      <c r="N3" s="88">
        <v>45378</v>
      </c>
      <c r="O3" s="88">
        <v>45379</v>
      </c>
      <c r="P3" s="88">
        <v>45380</v>
      </c>
    </row>
    <row r="4" spans="1:16" ht="15.75" customHeight="1">
      <c r="A4" s="87" t="s">
        <v>454</v>
      </c>
      <c r="B4" s="57">
        <f>pl!B30</f>
        <v>0</v>
      </c>
      <c r="C4" s="57">
        <f>pl!C30</f>
        <v>5075.2429629724065</v>
      </c>
      <c r="D4" s="57">
        <f>pl!D30</f>
        <v>4560.773950629874</v>
      </c>
      <c r="E4" s="57">
        <f>pl!E30</f>
        <v>5080.8868395179543</v>
      </c>
      <c r="F4" s="57">
        <f>pl!F30</f>
        <v>4737.4806420155983</v>
      </c>
      <c r="G4" s="57">
        <f>pl!G30</f>
        <v>5418.4463457074316</v>
      </c>
      <c r="H4" s="57">
        <f>pl!H30</f>
        <v>5303.0362222821177</v>
      </c>
      <c r="I4" s="57">
        <f>pl!I30</f>
        <v>6628.357580324795</v>
      </c>
      <c r="J4" s="57">
        <f>pl!J30</f>
        <v>5210.271778133103</v>
      </c>
      <c r="K4" s="57">
        <f>pl!K30</f>
        <v>8721.0591857280197</v>
      </c>
      <c r="L4" s="57">
        <f>pl!L30</f>
        <v>9035.5087690112778</v>
      </c>
      <c r="M4" s="57">
        <f>pl!M30</f>
        <v>10809.52840756701</v>
      </c>
      <c r="N4" s="57">
        <f>pl!N30</f>
        <v>12713.903353360092</v>
      </c>
      <c r="O4" s="57">
        <f>pl!O30</f>
        <v>14947.251255069146</v>
      </c>
      <c r="P4" s="57">
        <f>pl!P30</f>
        <v>17568.933173253638</v>
      </c>
    </row>
    <row r="5" spans="1:16" ht="15.75" customHeight="1">
      <c r="A5" s="89" t="s">
        <v>455</v>
      </c>
      <c r="B5" s="57">
        <f>pl!B31</f>
        <v>0</v>
      </c>
      <c r="C5" s="57">
        <f>pl!C31</f>
        <v>5248.6321004640595</v>
      </c>
      <c r="D5" s="57">
        <f>pl!D31</f>
        <v>4647.8027663124258</v>
      </c>
      <c r="E5" s="57">
        <f>pl!E31</f>
        <v>5286.3562015208008</v>
      </c>
      <c r="F5" s="57">
        <f>pl!F31</f>
        <v>4996.5007292604978</v>
      </c>
      <c r="G5" s="57">
        <f>pl!G31</f>
        <v>5196.7172947805802</v>
      </c>
      <c r="H5" s="57">
        <f>pl!H31</f>
        <v>5100.1196364377938</v>
      </c>
      <c r="I5" s="57">
        <f>pl!I31</f>
        <v>6168.1848343237507</v>
      </c>
      <c r="J5" s="57">
        <f>pl!J31</f>
        <v>4997.6617498928645</v>
      </c>
      <c r="K5" s="57">
        <f>pl!K31</f>
        <v>8499.4663871321136</v>
      </c>
      <c r="L5" s="57">
        <f>pl!L31</f>
        <v>9035.5087690112796</v>
      </c>
      <c r="M5" s="57">
        <f>pl!M31</f>
        <v>10809.52840756701</v>
      </c>
      <c r="N5" s="57">
        <f>pl!N31</f>
        <v>12713.903353360092</v>
      </c>
      <c r="O5" s="57">
        <f>pl!O31</f>
        <v>14947.251255069146</v>
      </c>
      <c r="P5" s="57">
        <f>pl!P31</f>
        <v>17568.933173253638</v>
      </c>
    </row>
    <row r="6" spans="1:16" ht="15.75" customHeight="1">
      <c r="A6" s="89" t="s">
        <v>456</v>
      </c>
      <c r="C6" s="57">
        <f>pl!C32</f>
        <v>4358.1794971321306</v>
      </c>
      <c r="D6" s="57">
        <f>pl!D32</f>
        <v>3553.4367778051428</v>
      </c>
      <c r="E6" s="57">
        <f>pl!E32</f>
        <v>4239.6316456868644</v>
      </c>
      <c r="F6" s="57">
        <f>pl!F32</f>
        <v>3484.3904394186984</v>
      </c>
      <c r="G6" s="57">
        <f>pl!G32</f>
        <v>3830.3499696594818</v>
      </c>
      <c r="H6" s="57">
        <f>pl!H32</f>
        <v>3929.642190222442</v>
      </c>
      <c r="I6" s="57">
        <f>pl!I32</f>
        <v>4176.2524646209658</v>
      </c>
      <c r="J6" s="57">
        <f>pl!J32</f>
        <v>3727.9940802590036</v>
      </c>
      <c r="K6" s="57">
        <f>pl!K32</f>
        <v>7231.4466681354124</v>
      </c>
      <c r="L6" s="57">
        <f>pl!L32</f>
        <v>6987.5669544537959</v>
      </c>
      <c r="M6" s="57">
        <f>pl!M32</f>
        <v>8595.0889234860078</v>
      </c>
      <c r="N6" s="57">
        <f>pl!N32</f>
        <v>10319.429939223302</v>
      </c>
      <c r="O6" s="57">
        <f>pl!O32</f>
        <v>12358.107152363036</v>
      </c>
      <c r="P6" s="57">
        <f>pl!P32</f>
        <v>14769.291654997522</v>
      </c>
    </row>
    <row r="7" spans="1:16">
      <c r="C7" s="3">
        <f>pl!C33</f>
        <v>0</v>
      </c>
      <c r="D7" s="3">
        <f>pl!D33</f>
        <v>0</v>
      </c>
      <c r="E7" s="3">
        <f>pl!E33</f>
        <v>0</v>
      </c>
      <c r="F7" s="3">
        <f>pl!F33</f>
        <v>0</v>
      </c>
      <c r="G7" s="3">
        <f>pl!G33</f>
        <v>0</v>
      </c>
      <c r="H7" s="3">
        <f>pl!H33</f>
        <v>0</v>
      </c>
      <c r="I7" s="3">
        <f>pl!I33</f>
        <v>0</v>
      </c>
      <c r="J7" s="3">
        <f>pl!J33</f>
        <v>0</v>
      </c>
      <c r="K7" s="3">
        <f>pl!K33</f>
        <v>0</v>
      </c>
      <c r="L7" s="3">
        <f>pl!L33</f>
        <v>0</v>
      </c>
      <c r="M7" s="3">
        <f>pl!M33</f>
        <v>0</v>
      </c>
      <c r="N7" s="3">
        <f>pl!N33</f>
        <v>0</v>
      </c>
      <c r="O7" s="3">
        <f>pl!O33</f>
        <v>0</v>
      </c>
      <c r="P7" s="3">
        <f>pl!P33</f>
        <v>0</v>
      </c>
    </row>
    <row r="8" spans="1:16" ht="15.75" customHeight="1">
      <c r="A8" s="87" t="s">
        <v>457</v>
      </c>
      <c r="C8" s="90">
        <f>pl!C34</f>
        <v>4894.0181868561986</v>
      </c>
      <c r="D8" s="90">
        <f>pl!D34</f>
        <v>4254.0044982491481</v>
      </c>
      <c r="E8" s="90">
        <f>pl!E34</f>
        <v>4868.9582289085401</v>
      </c>
      <c r="F8" s="90">
        <f>pl!F34</f>
        <v>4406.1239368982642</v>
      </c>
      <c r="G8" s="90">
        <f>pl!G34</f>
        <v>4815.1712033824979</v>
      </c>
      <c r="H8" s="90">
        <f>pl!H34</f>
        <v>4777.5993496474512</v>
      </c>
      <c r="I8" s="90">
        <f>pl!I34</f>
        <v>5657.5982930898363</v>
      </c>
      <c r="J8" s="90">
        <f>pl!J34</f>
        <v>4645.3092027616576</v>
      </c>
      <c r="K8" s="90">
        <f>pl!K34</f>
        <v>8150.6574136651825</v>
      </c>
      <c r="L8" s="90">
        <f>pl!L34</f>
        <v>8352.8614974921165</v>
      </c>
      <c r="M8" s="90">
        <f>pl!M34</f>
        <v>10071.381912873343</v>
      </c>
      <c r="N8" s="90">
        <f>pl!N34</f>
        <v>11915.745548647828</v>
      </c>
      <c r="O8" s="90">
        <f>pl!O34</f>
        <v>14084.203220833777</v>
      </c>
      <c r="P8" s="90">
        <f>pl!P34</f>
        <v>16635.719333834932</v>
      </c>
    </row>
    <row r="10" spans="1:16" ht="15.75" customHeight="1">
      <c r="A10" s="87" t="s">
        <v>458</v>
      </c>
      <c r="B10" s="91">
        <f>pl!M46</f>
        <v>0.11849598031301031</v>
      </c>
    </row>
    <row r="11" spans="1:16" ht="15.75" customHeight="1">
      <c r="A11" s="87" t="s">
        <v>459</v>
      </c>
      <c r="B11" s="92">
        <f>WACC!I15</f>
        <v>0.16369847118458966</v>
      </c>
      <c r="D11" s="93"/>
      <c r="E11" s="93"/>
      <c r="F11" s="93"/>
    </row>
    <row r="12" spans="1:16">
      <c r="A12" s="94" t="s">
        <v>460</v>
      </c>
      <c r="B12" s="91">
        <v>0.16440877074587273</v>
      </c>
    </row>
    <row r="13" spans="1:16">
      <c r="A13" s="95" t="s">
        <v>461</v>
      </c>
      <c r="B13" s="32">
        <f>bs!K24</f>
        <v>1912</v>
      </c>
    </row>
    <row r="14" spans="1:16">
      <c r="D14" s="96"/>
      <c r="E14" s="96"/>
      <c r="F14" s="96"/>
      <c r="G14" s="96"/>
      <c r="H14" s="96"/>
    </row>
    <row r="17" spans="1:8">
      <c r="A17" s="86" t="s">
        <v>462</v>
      </c>
    </row>
    <row r="18" spans="1:8" ht="15.75" customHeight="1">
      <c r="D18" s="88">
        <v>45376</v>
      </c>
      <c r="E18" s="88">
        <v>45377</v>
      </c>
      <c r="F18" s="88">
        <v>45378</v>
      </c>
      <c r="G18" s="88">
        <v>45379</v>
      </c>
      <c r="H18" s="88">
        <v>45380</v>
      </c>
    </row>
    <row r="19" spans="1:8">
      <c r="A19" s="53" t="s">
        <v>463</v>
      </c>
      <c r="D19" s="57">
        <f t="shared" ref="D19:H19" si="0">L8</f>
        <v>8352.8614974921165</v>
      </c>
      <c r="E19" s="57">
        <f t="shared" si="0"/>
        <v>10071.381912873343</v>
      </c>
      <c r="F19" s="57">
        <f t="shared" si="0"/>
        <v>11915.745548647828</v>
      </c>
      <c r="G19" s="57">
        <f t="shared" si="0"/>
        <v>14084.203220833777</v>
      </c>
      <c r="H19" s="57">
        <f t="shared" si="0"/>
        <v>16635.719333834932</v>
      </c>
    </row>
    <row r="20" spans="1:8">
      <c r="A20" s="53" t="s">
        <v>464</v>
      </c>
      <c r="B20" s="3" t="s">
        <v>465</v>
      </c>
      <c r="H20" s="3">
        <f>H19*(1+B10)/(B12-B10)</f>
        <v>405268.00983091007</v>
      </c>
    </row>
    <row r="21" spans="1:8">
      <c r="A21" s="53" t="s">
        <v>466</v>
      </c>
      <c r="D21" s="90">
        <f t="shared" ref="D21:G21" si="1">D19</f>
        <v>8352.8614974921165</v>
      </c>
      <c r="E21" s="90">
        <f t="shared" si="1"/>
        <v>10071.381912873343</v>
      </c>
      <c r="F21" s="90">
        <f t="shared" si="1"/>
        <v>11915.745548647828</v>
      </c>
      <c r="G21" s="90">
        <f t="shared" si="1"/>
        <v>14084.203220833777</v>
      </c>
      <c r="H21" s="90">
        <f>H19+H20</f>
        <v>421903.72916474502</v>
      </c>
    </row>
    <row r="22" spans="1:8">
      <c r="A22" s="3"/>
    </row>
    <row r="25" spans="1:8">
      <c r="A25" s="97" t="s">
        <v>467</v>
      </c>
      <c r="B25" s="98" t="s">
        <v>468</v>
      </c>
      <c r="C25" s="98" t="s">
        <v>469</v>
      </c>
      <c r="D25" s="98" t="s">
        <v>470</v>
      </c>
    </row>
    <row r="26" spans="1:8">
      <c r="A26" s="99">
        <v>45376</v>
      </c>
      <c r="B26" s="57">
        <f>D21</f>
        <v>8352.8614974921165</v>
      </c>
      <c r="C26" s="3">
        <f>1/(1+B12)^1</f>
        <v>0.85880493613891351</v>
      </c>
      <c r="D26" s="3">
        <f t="shared" ref="D26:D30" si="2">B26*C26</f>
        <v>7173.4786849309066</v>
      </c>
    </row>
    <row r="27" spans="1:8">
      <c r="A27" s="99">
        <v>45377</v>
      </c>
      <c r="B27" s="57">
        <f>E21</f>
        <v>10071.381912873343</v>
      </c>
      <c r="C27" s="3">
        <f>1/(1+B12)^2</f>
        <v>0.73754591833656324</v>
      </c>
      <c r="D27" s="3">
        <f t="shared" si="2"/>
        <v>7428.1066218484229</v>
      </c>
    </row>
    <row r="28" spans="1:8" ht="13.2">
      <c r="A28" s="99">
        <v>45378</v>
      </c>
      <c r="B28" s="57">
        <f>F21</f>
        <v>11915.745548647828</v>
      </c>
      <c r="C28" s="3">
        <f>1/(1+B12)^3</f>
        <v>0.63340807529654841</v>
      </c>
      <c r="D28" s="3">
        <f t="shared" si="2"/>
        <v>7547.5294536924357</v>
      </c>
    </row>
    <row r="29" spans="1:8" ht="13.2">
      <c r="A29" s="99">
        <v>45379</v>
      </c>
      <c r="B29" s="57">
        <f>G21</f>
        <v>14084.203220833777</v>
      </c>
      <c r="C29" s="3">
        <f>1/(1+B12)^4</f>
        <v>0.54397398165492439</v>
      </c>
      <c r="D29" s="3">
        <f t="shared" si="2"/>
        <v>7661.4401044740598</v>
      </c>
    </row>
    <row r="30" spans="1:8" ht="13.2">
      <c r="A30" s="99">
        <v>45380</v>
      </c>
      <c r="B30" s="57">
        <f>H21</f>
        <v>421903.72916474502</v>
      </c>
      <c r="C30" s="3">
        <f>1/(1+B12)^5</f>
        <v>0.46716754057638787</v>
      </c>
      <c r="D30" s="3">
        <f t="shared" si="2"/>
        <v>197099.72751390038</v>
      </c>
    </row>
    <row r="31" spans="1:8" ht="13.2">
      <c r="A31" s="99"/>
      <c r="B31" s="56"/>
      <c r="C31" s="53" t="s">
        <v>471</v>
      </c>
      <c r="D31" s="100">
        <f>SUM(D26:D30)</f>
        <v>226910.2823788462</v>
      </c>
    </row>
    <row r="33" spans="1:5" ht="13.2">
      <c r="A33" s="101" t="s">
        <v>472</v>
      </c>
      <c r="B33" s="100">
        <f>D31</f>
        <v>226910.2823788462</v>
      </c>
    </row>
    <row r="34" spans="1:5" ht="13.2">
      <c r="B34" s="56"/>
    </row>
    <row r="37" spans="1:5" ht="13.2">
      <c r="A37" s="57"/>
    </row>
    <row r="38" spans="1:5" ht="13.2">
      <c r="B38" s="53" t="s">
        <v>473</v>
      </c>
      <c r="C38" s="3">
        <f>pl!B18</f>
        <v>0.25432097866103187</v>
      </c>
    </row>
    <row r="39" spans="1:5" ht="13.2">
      <c r="B39" s="53" t="s">
        <v>474</v>
      </c>
      <c r="C39" s="3">
        <f>B13*WACC!M16</f>
        <v>133.22816</v>
      </c>
      <c r="E39" s="93"/>
    </row>
    <row r="40" spans="1:5" ht="13.2">
      <c r="A40" s="56"/>
      <c r="B40" s="53" t="s">
        <v>475</v>
      </c>
      <c r="C40" s="56">
        <f>WACC!M16</f>
        <v>6.9680000000000006E-2</v>
      </c>
    </row>
    <row r="41" spans="1:5" ht="13.2">
      <c r="B41" s="53" t="s">
        <v>476</v>
      </c>
      <c r="C41" s="102">
        <f>C39*C38</f>
        <v>33.882716036408539</v>
      </c>
    </row>
    <row r="42" spans="1:5" ht="13.2">
      <c r="B42" s="53"/>
    </row>
    <row r="43" spans="1:5" ht="13.2">
      <c r="B43" s="101" t="s">
        <v>477</v>
      </c>
      <c r="C43" s="102">
        <f>C41/C40</f>
        <v>486.26171119989289</v>
      </c>
    </row>
    <row r="46" spans="1:5" ht="13.2">
      <c r="A46" s="101" t="s">
        <v>478</v>
      </c>
      <c r="B46" s="102">
        <f>C43+B33</f>
        <v>227396.54409004608</v>
      </c>
      <c r="C46" s="3" t="s">
        <v>479</v>
      </c>
    </row>
    <row r="47" spans="1:5" ht="13.2">
      <c r="A47" s="53" t="s">
        <v>480</v>
      </c>
      <c r="B47" s="33">
        <f>bs!K24</f>
        <v>1912</v>
      </c>
      <c r="C47" s="53"/>
    </row>
    <row r="48" spans="1:5" ht="13.2">
      <c r="A48" s="101" t="s">
        <v>481</v>
      </c>
      <c r="B48" s="102">
        <f>B46-B47</f>
        <v>225484.54409004608</v>
      </c>
      <c r="C48" s="3" t="s">
        <v>479</v>
      </c>
    </row>
    <row r="49" spans="1:3" ht="13.2">
      <c r="A49" s="53" t="s">
        <v>482</v>
      </c>
      <c r="B49" s="3">
        <f>pl!K43</f>
        <v>27.920312952767315</v>
      </c>
      <c r="C49" s="3" t="s">
        <v>483</v>
      </c>
    </row>
    <row r="50" spans="1:3" ht="13.2">
      <c r="A50" s="101" t="s">
        <v>484</v>
      </c>
      <c r="B50" s="102">
        <f>B48/B49</f>
        <v>8076.0034628371614</v>
      </c>
    </row>
  </sheetData>
  <mergeCells count="2">
    <mergeCell ref="D1:H1"/>
    <mergeCell ref="L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P59"/>
  <sheetViews>
    <sheetView tabSelected="1" topLeftCell="A34" workbookViewId="0">
      <selection activeCell="A38" sqref="A38:E59"/>
    </sheetView>
  </sheetViews>
  <sheetFormatPr defaultColWidth="12.6640625" defaultRowHeight="15.75" customHeight="1"/>
  <cols>
    <col min="1" max="1" width="28.109375" bestFit="1" customWidth="1"/>
    <col min="2" max="2" width="17.77734375" customWidth="1"/>
    <col min="4" max="4" width="12" bestFit="1" customWidth="1"/>
    <col min="6" max="6" width="14.88671875" customWidth="1"/>
  </cols>
  <sheetData>
    <row r="1" spans="1:16">
      <c r="D1" s="227" t="s">
        <v>485</v>
      </c>
      <c r="E1" s="216"/>
      <c r="F1" s="216"/>
      <c r="G1" s="216"/>
      <c r="H1" s="216"/>
    </row>
    <row r="2" spans="1:16">
      <c r="L2" s="228" t="s">
        <v>452</v>
      </c>
      <c r="M2" s="216"/>
      <c r="N2" s="216"/>
      <c r="O2" s="216"/>
      <c r="P2" s="216"/>
    </row>
    <row r="3" spans="1:16" ht="15.75" customHeight="1">
      <c r="A3" s="87" t="s">
        <v>453</v>
      </c>
      <c r="B3" s="10">
        <v>45366</v>
      </c>
      <c r="C3" s="10">
        <v>45367</v>
      </c>
      <c r="D3" s="10">
        <v>45368</v>
      </c>
      <c r="E3" s="10">
        <v>45369</v>
      </c>
      <c r="F3" s="10">
        <v>45370</v>
      </c>
      <c r="G3" s="10">
        <v>45371</v>
      </c>
      <c r="H3" s="10">
        <v>45372</v>
      </c>
      <c r="I3" s="10">
        <v>45373</v>
      </c>
      <c r="J3" s="10">
        <v>45374</v>
      </c>
      <c r="K3" s="10">
        <v>45375</v>
      </c>
      <c r="L3" s="88">
        <v>45376</v>
      </c>
      <c r="M3" s="88">
        <v>45377</v>
      </c>
      <c r="N3" s="88">
        <v>45378</v>
      </c>
      <c r="O3" s="88">
        <v>45379</v>
      </c>
      <c r="P3" s="88">
        <v>45380</v>
      </c>
    </row>
    <row r="4" spans="1:16" ht="15.75" customHeight="1">
      <c r="A4" s="87" t="s">
        <v>454</v>
      </c>
      <c r="B4" s="57">
        <f>pl!B30</f>
        <v>0</v>
      </c>
      <c r="C4" s="57">
        <f>pl!C30</f>
        <v>5075.2429629724065</v>
      </c>
      <c r="D4" s="57">
        <f>pl!D30</f>
        <v>4560.773950629874</v>
      </c>
      <c r="E4" s="57">
        <f>pl!E30</f>
        <v>5080.8868395179543</v>
      </c>
      <c r="F4" s="57">
        <f>pl!F30</f>
        <v>4737.4806420155983</v>
      </c>
      <c r="G4" s="57">
        <f>pl!G30</f>
        <v>5418.4463457074316</v>
      </c>
      <c r="H4" s="57">
        <f>pl!H30</f>
        <v>5303.0362222821177</v>
      </c>
      <c r="I4" s="57">
        <f>pl!I30</f>
        <v>6628.357580324795</v>
      </c>
      <c r="J4" s="57">
        <f>pl!J30</f>
        <v>5210.271778133103</v>
      </c>
      <c r="K4" s="57">
        <f>pl!K30</f>
        <v>8721.0591857280197</v>
      </c>
      <c r="L4" s="57">
        <f>pl!L30</f>
        <v>9035.5087690112778</v>
      </c>
      <c r="M4" s="57">
        <f>pl!M30</f>
        <v>10809.52840756701</v>
      </c>
      <c r="N4" s="57">
        <f>pl!N30</f>
        <v>12713.903353360092</v>
      </c>
      <c r="O4" s="57">
        <f>pl!O30</f>
        <v>14947.251255069146</v>
      </c>
      <c r="P4" s="57">
        <f>pl!P30</f>
        <v>17568.933173253638</v>
      </c>
    </row>
    <row r="5" spans="1:16" ht="15.75" customHeight="1">
      <c r="A5" s="89" t="s">
        <v>455</v>
      </c>
      <c r="B5" s="57">
        <f>pl!B31</f>
        <v>0</v>
      </c>
      <c r="C5" s="57">
        <f>pl!C31</f>
        <v>5248.6321004640595</v>
      </c>
      <c r="D5" s="57">
        <f>pl!D31</f>
        <v>4647.8027663124258</v>
      </c>
      <c r="E5" s="57">
        <f>pl!E31</f>
        <v>5286.3562015208008</v>
      </c>
      <c r="F5" s="57">
        <f>pl!F31</f>
        <v>4996.5007292604978</v>
      </c>
      <c r="G5" s="57">
        <f>pl!G31</f>
        <v>5196.7172947805802</v>
      </c>
      <c r="H5" s="57">
        <f>pl!H31</f>
        <v>5100.1196364377938</v>
      </c>
      <c r="I5" s="57">
        <f>pl!I31</f>
        <v>6168.1848343237507</v>
      </c>
      <c r="J5" s="57">
        <f>pl!J31</f>
        <v>4997.6617498928645</v>
      </c>
      <c r="K5" s="57">
        <f>pl!K31</f>
        <v>8499.4663871321136</v>
      </c>
      <c r="L5" s="57">
        <f>pl!L31</f>
        <v>9035.5087690112796</v>
      </c>
      <c r="M5" s="57">
        <f>pl!M31</f>
        <v>10809.52840756701</v>
      </c>
      <c r="N5" s="57">
        <f>pl!N31</f>
        <v>12713.903353360092</v>
      </c>
      <c r="O5" s="57">
        <f>pl!O31</f>
        <v>14947.251255069146</v>
      </c>
      <c r="P5" s="57">
        <f>pl!P31</f>
        <v>17568.933173253638</v>
      </c>
    </row>
    <row r="6" spans="1:16" ht="15.75" customHeight="1">
      <c r="A6" s="89" t="s">
        <v>456</v>
      </c>
      <c r="C6" s="57">
        <f>pl!C32</f>
        <v>4358.1794971321306</v>
      </c>
      <c r="D6" s="57">
        <f>pl!D32</f>
        <v>3553.4367778051428</v>
      </c>
      <c r="E6" s="57">
        <f>pl!E32</f>
        <v>4239.6316456868644</v>
      </c>
      <c r="F6" s="57">
        <f>pl!F32</f>
        <v>3484.3904394186984</v>
      </c>
      <c r="G6" s="57">
        <f>pl!G32</f>
        <v>3830.3499696594818</v>
      </c>
      <c r="H6" s="57">
        <f>pl!H32</f>
        <v>3929.642190222442</v>
      </c>
      <c r="I6" s="57">
        <f>pl!I32</f>
        <v>4176.2524646209658</v>
      </c>
      <c r="J6" s="57">
        <f>pl!J32</f>
        <v>3727.9940802590036</v>
      </c>
      <c r="K6" s="57">
        <f>pl!K32</f>
        <v>7231.4466681354124</v>
      </c>
      <c r="L6" s="57">
        <f>pl!L32</f>
        <v>6987.5669544537959</v>
      </c>
      <c r="M6" s="57">
        <f>pl!M32</f>
        <v>8595.0889234860078</v>
      </c>
      <c r="N6" s="57">
        <f>pl!N32</f>
        <v>10319.429939223302</v>
      </c>
      <c r="O6" s="57">
        <f>pl!O32</f>
        <v>12358.107152363036</v>
      </c>
      <c r="P6" s="57">
        <f>pl!P32</f>
        <v>14769.291654997522</v>
      </c>
    </row>
    <row r="7" spans="1:16">
      <c r="C7" s="3">
        <f>pl!C33</f>
        <v>0</v>
      </c>
      <c r="D7" s="3">
        <f>pl!D33</f>
        <v>0</v>
      </c>
      <c r="E7" s="3">
        <f>pl!E33</f>
        <v>0</v>
      </c>
      <c r="F7" s="3">
        <f>pl!F33</f>
        <v>0</v>
      </c>
      <c r="G7" s="3">
        <f>pl!G33</f>
        <v>0</v>
      </c>
      <c r="H7" s="3">
        <f>pl!H33</f>
        <v>0</v>
      </c>
      <c r="I7" s="3">
        <f>pl!I33</f>
        <v>0</v>
      </c>
      <c r="J7" s="3">
        <f>pl!J33</f>
        <v>0</v>
      </c>
      <c r="K7" s="3">
        <f>pl!K33</f>
        <v>0</v>
      </c>
      <c r="L7" s="3">
        <f>pl!L33</f>
        <v>0</v>
      </c>
      <c r="M7" s="3">
        <f>pl!M33</f>
        <v>0</v>
      </c>
      <c r="N7" s="3">
        <f>pl!N33</f>
        <v>0</v>
      </c>
      <c r="O7" s="3">
        <f>pl!O33</f>
        <v>0</v>
      </c>
      <c r="P7" s="3">
        <f>pl!P33</f>
        <v>0</v>
      </c>
    </row>
    <row r="8" spans="1:16" ht="15.75" customHeight="1">
      <c r="A8" s="87" t="s">
        <v>457</v>
      </c>
      <c r="C8" s="90">
        <f>pl!C34</f>
        <v>4894.0181868561986</v>
      </c>
      <c r="D8" s="90">
        <f>pl!D34</f>
        <v>4254.0044982491481</v>
      </c>
      <c r="E8" s="90">
        <f>pl!E34</f>
        <v>4868.9582289085401</v>
      </c>
      <c r="F8" s="90">
        <f>pl!F34</f>
        <v>4406.1239368982642</v>
      </c>
      <c r="G8" s="90">
        <f>pl!G34</f>
        <v>4815.1712033824979</v>
      </c>
      <c r="H8" s="90">
        <f>pl!H34</f>
        <v>4777.5993496474512</v>
      </c>
      <c r="I8" s="90">
        <f>pl!I34</f>
        <v>5657.5982930898363</v>
      </c>
      <c r="J8" s="90">
        <f>pl!J34</f>
        <v>4645.3092027616576</v>
      </c>
      <c r="K8" s="90">
        <f>pl!K34</f>
        <v>8150.6574136651825</v>
      </c>
      <c r="L8" s="90">
        <f>pl!L34</f>
        <v>8352.8614974921165</v>
      </c>
      <c r="M8" s="90">
        <f>pl!M34</f>
        <v>10071.381912873343</v>
      </c>
      <c r="N8" s="90">
        <f>pl!N34</f>
        <v>11915.745548647828</v>
      </c>
      <c r="O8" s="90">
        <f>pl!O34</f>
        <v>14084.203220833777</v>
      </c>
      <c r="P8" s="90">
        <f>pl!P34</f>
        <v>16635.719333834932</v>
      </c>
    </row>
    <row r="10" spans="1:16" ht="15.75" customHeight="1">
      <c r="A10" s="87" t="s">
        <v>458</v>
      </c>
      <c r="B10" s="91">
        <f>pl!M46</f>
        <v>0.11849598031301031</v>
      </c>
      <c r="D10" s="93"/>
      <c r="E10" s="92"/>
    </row>
    <row r="11" spans="1:16" ht="15.75" customHeight="1">
      <c r="A11" s="239" t="s">
        <v>459</v>
      </c>
      <c r="B11" s="92">
        <f>WACC!I15</f>
        <v>0.16369847118458966</v>
      </c>
    </row>
    <row r="12" spans="1:16">
      <c r="A12" s="240" t="s">
        <v>711</v>
      </c>
      <c r="B12" s="91">
        <f>6.5%</f>
        <v>6.5000000000000002E-2</v>
      </c>
    </row>
    <row r="13" spans="1:16" ht="13.2">
      <c r="A13" s="94" t="s">
        <v>137</v>
      </c>
      <c r="B13" s="91">
        <f>16.4408770745873%</f>
        <v>0.16440877074587298</v>
      </c>
    </row>
    <row r="14" spans="1:16" ht="13.2">
      <c r="A14" s="242"/>
      <c r="B14" s="91"/>
    </row>
    <row r="15" spans="1:16" ht="15.75" customHeight="1">
      <c r="A15" s="103" t="s">
        <v>486</v>
      </c>
    </row>
    <row r="17" spans="1:8" ht="15.75" customHeight="1">
      <c r="D17" s="88">
        <v>45376</v>
      </c>
      <c r="E17" s="88">
        <v>45377</v>
      </c>
      <c r="F17" s="88">
        <v>45378</v>
      </c>
      <c r="G17" s="88">
        <v>45379</v>
      </c>
      <c r="H17" s="88">
        <v>45380</v>
      </c>
    </row>
    <row r="18" spans="1:8">
      <c r="A18" s="53" t="s">
        <v>463</v>
      </c>
      <c r="D18" s="57">
        <f t="shared" ref="D18:H18" si="0">L8</f>
        <v>8352.8614974921165</v>
      </c>
      <c r="E18" s="57">
        <f t="shared" si="0"/>
        <v>10071.381912873343</v>
      </c>
      <c r="F18" s="57">
        <f t="shared" si="0"/>
        <v>11915.745548647828</v>
      </c>
      <c r="G18" s="57">
        <f t="shared" si="0"/>
        <v>14084.203220833777</v>
      </c>
      <c r="H18" s="57">
        <f t="shared" si="0"/>
        <v>16635.719333834932</v>
      </c>
    </row>
    <row r="19" spans="1:8">
      <c r="A19" s="53" t="s">
        <v>464</v>
      </c>
      <c r="B19" s="3" t="s">
        <v>487</v>
      </c>
      <c r="H19" s="3">
        <f>H18*(1+B10)/(B11-B10)</f>
        <v>411636.28034066531</v>
      </c>
    </row>
    <row r="20" spans="1:8">
      <c r="A20" s="53" t="s">
        <v>488</v>
      </c>
      <c r="D20" s="90">
        <f t="shared" ref="D20:G20" si="1">D18</f>
        <v>8352.8614974921165</v>
      </c>
      <c r="E20" s="90">
        <f t="shared" si="1"/>
        <v>10071.381912873343</v>
      </c>
      <c r="F20" s="90">
        <f t="shared" si="1"/>
        <v>11915.745548647828</v>
      </c>
      <c r="G20" s="90">
        <f t="shared" si="1"/>
        <v>14084.203220833777</v>
      </c>
      <c r="H20" s="90">
        <f>H18+H19</f>
        <v>428271.99967450026</v>
      </c>
    </row>
    <row r="21" spans="1:8">
      <c r="A21" s="3"/>
    </row>
    <row r="22" spans="1:8">
      <c r="A22" s="97" t="s">
        <v>467</v>
      </c>
      <c r="B22" s="97" t="s">
        <v>468</v>
      </c>
      <c r="C22" s="97" t="s">
        <v>489</v>
      </c>
      <c r="D22" s="97" t="s">
        <v>470</v>
      </c>
    </row>
    <row r="23" spans="1:8">
      <c r="A23" s="99">
        <v>45376</v>
      </c>
      <c r="B23" s="57">
        <f>D20</f>
        <v>8352.8614974921165</v>
      </c>
      <c r="C23" s="3">
        <f>1/(1+$B$11)^1</f>
        <v>0.85932913444669867</v>
      </c>
      <c r="D23" s="3">
        <f t="shared" ref="D23:D27" si="2">B23*C23</f>
        <v>7177.857240793056</v>
      </c>
    </row>
    <row r="24" spans="1:8">
      <c r="A24" s="99">
        <v>45377</v>
      </c>
      <c r="B24" s="57">
        <f>E20</f>
        <v>10071.381912873343</v>
      </c>
      <c r="C24" s="3">
        <f>1/(1+B11)^2</f>
        <v>0.73844656130891229</v>
      </c>
      <c r="D24" s="3">
        <f t="shared" si="2"/>
        <v>7437.1773411900958</v>
      </c>
    </row>
    <row r="25" spans="1:8">
      <c r="A25" s="99">
        <v>45378</v>
      </c>
      <c r="B25" s="57">
        <f>F20</f>
        <v>11915.745548647828</v>
      </c>
      <c r="C25" s="3">
        <f>1/(1+B11)^3</f>
        <v>0.6345686443647286</v>
      </c>
      <c r="D25" s="3">
        <f t="shared" si="2"/>
        <v>7561.3584994005014</v>
      </c>
    </row>
    <row r="26" spans="1:8">
      <c r="A26" s="99">
        <v>45379</v>
      </c>
      <c r="B26" s="57">
        <f>G20</f>
        <v>14084.203220833777</v>
      </c>
      <c r="C26" s="3">
        <f>1/(1+B11)^4</f>
        <v>0.54530332390895719</v>
      </c>
      <c r="D26" s="3">
        <f t="shared" si="2"/>
        <v>7680.1628309298994</v>
      </c>
    </row>
    <row r="27" spans="1:8">
      <c r="A27" s="99">
        <v>45380</v>
      </c>
      <c r="B27" s="57">
        <f>P8</f>
        <v>16635.719333834932</v>
      </c>
      <c r="C27" s="3">
        <f>1/(1+B11)^5</f>
        <v>0.46859503334559194</v>
      </c>
      <c r="D27" s="3">
        <f t="shared" si="2"/>
        <v>7795.4154559662884</v>
      </c>
    </row>
    <row r="28" spans="1:8">
      <c r="A28" s="99"/>
      <c r="B28" s="56"/>
      <c r="C28" s="53" t="s">
        <v>471</v>
      </c>
      <c r="D28" s="100">
        <f>SUM(D23:D27)</f>
        <v>37651.971368279839</v>
      </c>
    </row>
    <row r="31" spans="1:8" ht="13.2">
      <c r="A31" s="101" t="s">
        <v>490</v>
      </c>
      <c r="B31" s="102">
        <f>D28</f>
        <v>37651.971368279839</v>
      </c>
      <c r="C31" s="3" t="s">
        <v>479</v>
      </c>
    </row>
    <row r="32" spans="1:8" ht="13.2">
      <c r="A32" s="104" t="s">
        <v>480</v>
      </c>
      <c r="B32" s="57">
        <f>bs!K24</f>
        <v>1912</v>
      </c>
    </row>
    <row r="33" spans="1:5" ht="13.2">
      <c r="A33" s="101" t="s">
        <v>481</v>
      </c>
      <c r="B33" s="102">
        <f>B31-B32</f>
        <v>35739.971368279839</v>
      </c>
      <c r="C33" s="3" t="s">
        <v>479</v>
      </c>
    </row>
    <row r="34" spans="1:5" ht="13.2">
      <c r="A34" s="53" t="s">
        <v>482</v>
      </c>
      <c r="B34" s="3">
        <f>pl!K43</f>
        <v>27.920312952767315</v>
      </c>
      <c r="C34" s="3" t="s">
        <v>483</v>
      </c>
    </row>
    <row r="35" spans="1:5" ht="13.2">
      <c r="A35" s="101" t="s">
        <v>484</v>
      </c>
      <c r="B35" s="57">
        <f>B33/B34</f>
        <v>1280.0705861979775</v>
      </c>
    </row>
    <row r="36" spans="1:5" ht="13.2">
      <c r="B36" s="53"/>
    </row>
    <row r="37" spans="1:5" ht="13.2">
      <c r="B37" s="53"/>
    </row>
    <row r="38" spans="1:5" ht="13.2">
      <c r="A38" s="255" t="s">
        <v>712</v>
      </c>
      <c r="B38" s="244"/>
    </row>
    <row r="39" spans="1:5" ht="13.2">
      <c r="A39" s="245" t="s">
        <v>713</v>
      </c>
      <c r="B39" s="246">
        <f>P8*(1+B10)</f>
        <v>18606.985204509801</v>
      </c>
    </row>
    <row r="40" spans="1:5" ht="13.2">
      <c r="A40" s="245" t="s">
        <v>11</v>
      </c>
      <c r="B40" s="247">
        <f>B11</f>
        <v>0.16369847118458966</v>
      </c>
    </row>
    <row r="41" spans="1:5" ht="13.2">
      <c r="A41" s="248" t="s">
        <v>714</v>
      </c>
      <c r="B41" s="249">
        <f>B12</f>
        <v>6.5000000000000002E-2</v>
      </c>
      <c r="C41" s="56"/>
    </row>
    <row r="42" spans="1:5" ht="13.2">
      <c r="A42" s="248" t="s">
        <v>464</v>
      </c>
      <c r="B42" s="250">
        <f>B39/(B40-B41)</f>
        <v>188523.54024522129</v>
      </c>
      <c r="C42" s="56"/>
    </row>
    <row r="43" spans="1:5" ht="13.2">
      <c r="A43" s="243"/>
      <c r="B43" s="91"/>
      <c r="C43" s="56"/>
    </row>
    <row r="44" spans="1:5" ht="13.2">
      <c r="A44" s="256" t="s">
        <v>491</v>
      </c>
      <c r="B44" s="244"/>
      <c r="C44" s="56"/>
    </row>
    <row r="45" spans="1:5" ht="13.2">
      <c r="A45" s="251" t="s">
        <v>715</v>
      </c>
      <c r="B45" s="244">
        <f>SUM(D23:D27)</f>
        <v>37651.971368279839</v>
      </c>
    </row>
    <row r="46" spans="1:5" ht="13.2">
      <c r="A46" s="251" t="s">
        <v>492</v>
      </c>
      <c r="B46" s="244">
        <f>B42*C27</f>
        <v>88341.194627638513</v>
      </c>
    </row>
    <row r="47" spans="1:5" ht="13.2">
      <c r="A47" s="251" t="s">
        <v>493</v>
      </c>
      <c r="B47" s="244">
        <f>SUM(B45:B46)</f>
        <v>125993.16599591836</v>
      </c>
      <c r="D47" s="241"/>
      <c r="E47" s="91"/>
    </row>
    <row r="49" spans="1:6" ht="13.8">
      <c r="A49" s="252" t="s">
        <v>458</v>
      </c>
      <c r="B49" s="91">
        <f>B10</f>
        <v>0.11849598031301031</v>
      </c>
    </row>
    <row r="50" spans="1:6" ht="13.8">
      <c r="A50" s="253" t="s">
        <v>459</v>
      </c>
      <c r="B50" s="92">
        <f>B11</f>
        <v>0.16369847118458966</v>
      </c>
    </row>
    <row r="51" spans="1:6" ht="15.75" customHeight="1">
      <c r="A51" s="254" t="s">
        <v>711</v>
      </c>
      <c r="B51" s="91">
        <f>6.5%</f>
        <v>6.5000000000000002E-2</v>
      </c>
    </row>
    <row r="52" spans="1:6" ht="13.2">
      <c r="F52" s="63"/>
    </row>
    <row r="53" spans="1:6" ht="13.2">
      <c r="A53" s="262" t="s">
        <v>494</v>
      </c>
      <c r="B53" s="263"/>
      <c r="C53" s="263"/>
      <c r="D53" s="261"/>
      <c r="E53" s="261"/>
    </row>
    <row r="54" spans="1:6" ht="13.2">
      <c r="A54" s="257">
        <f>B47</f>
        <v>125993.16599591836</v>
      </c>
      <c r="B54" s="258">
        <v>0.14000000000000001</v>
      </c>
      <c r="C54" s="258">
        <v>0.16</v>
      </c>
      <c r="D54" s="258">
        <v>0.18</v>
      </c>
      <c r="E54" s="258">
        <v>0.2</v>
      </c>
    </row>
    <row r="55" spans="1:6" ht="13.2">
      <c r="A55" s="258">
        <v>0.04</v>
      </c>
      <c r="B55" s="259">
        <f t="dataTable" ref="B55:E59" dt2D="1" dtr="1" r1="B11" r2="B12"/>
        <v>136737.3624923545</v>
      </c>
      <c r="C55" s="259">
        <v>111843.62839545503</v>
      </c>
      <c r="D55" s="259">
        <v>94195.088899456096</v>
      </c>
      <c r="E55" s="259">
        <v>81063.904909223638</v>
      </c>
    </row>
    <row r="56" spans="1:6" ht="13.2">
      <c r="A56" s="258">
        <v>0.05</v>
      </c>
      <c r="B56" s="259">
        <v>147475.01255172017</v>
      </c>
      <c r="C56" s="259">
        <v>118555.01311779338</v>
      </c>
      <c r="D56" s="259">
        <v>98663.926657233562</v>
      </c>
      <c r="E56" s="259">
        <v>84179.625757779722</v>
      </c>
    </row>
    <row r="57" spans="1:6" ht="15.75" customHeight="1">
      <c r="A57" s="260">
        <v>6.5000000000000002E-2</v>
      </c>
      <c r="B57" s="259">
        <v>168950.31267045147</v>
      </c>
      <c r="C57" s="259">
        <v>131271.32101275024</v>
      </c>
      <c r="D57" s="259">
        <v>106824.41299752289</v>
      </c>
      <c r="E57" s="259">
        <v>89718.685044101672</v>
      </c>
    </row>
    <row r="58" spans="1:6" ht="15.75" customHeight="1">
      <c r="A58" s="258">
        <v>0.08</v>
      </c>
      <c r="B58" s="259">
        <v>201163.26284854847</v>
      </c>
      <c r="C58" s="259">
        <v>148756.24436831591</v>
      </c>
      <c r="D58" s="259">
        <v>117433.04523989902</v>
      </c>
      <c r="E58" s="259">
        <v>96642.509152004073</v>
      </c>
    </row>
    <row r="59" spans="1:6" ht="15.75" customHeight="1">
      <c r="A59" s="258">
        <v>0.09</v>
      </c>
      <c r="B59" s="259">
        <v>233376.21302664542</v>
      </c>
      <c r="C59" s="259">
        <v>164575.9369281134</v>
      </c>
      <c r="D59" s="259">
        <v>126470.02826118236</v>
      </c>
      <c r="E59" s="259">
        <v>102307.45614937878</v>
      </c>
    </row>
  </sheetData>
  <mergeCells count="3">
    <mergeCell ref="D1:H1"/>
    <mergeCell ref="L2:P2"/>
    <mergeCell ref="A53:C5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R39"/>
  <sheetViews>
    <sheetView workbookViewId="0"/>
  </sheetViews>
  <sheetFormatPr defaultColWidth="12.6640625" defaultRowHeight="15.75" customHeight="1"/>
  <cols>
    <col min="1" max="1" width="27.21875" customWidth="1"/>
    <col min="7" max="7" width="15.77734375" customWidth="1"/>
  </cols>
  <sheetData>
    <row r="1" spans="1:18">
      <c r="F1" s="227" t="s">
        <v>495</v>
      </c>
      <c r="G1" s="216"/>
      <c r="H1" s="216"/>
      <c r="I1" s="216"/>
      <c r="J1" s="216"/>
    </row>
    <row r="2" spans="1:18">
      <c r="L2" s="228" t="s">
        <v>452</v>
      </c>
      <c r="M2" s="216"/>
      <c r="N2" s="216"/>
      <c r="O2" s="216"/>
      <c r="P2" s="216"/>
      <c r="Q2" s="86"/>
      <c r="R2" s="86"/>
    </row>
    <row r="3" spans="1:18" ht="15.75" customHeight="1">
      <c r="A3" s="87" t="s">
        <v>453</v>
      </c>
      <c r="B3" s="10">
        <v>45366</v>
      </c>
      <c r="C3" s="10">
        <v>45367</v>
      </c>
      <c r="D3" s="10">
        <v>45368</v>
      </c>
      <c r="E3" s="10">
        <v>45369</v>
      </c>
      <c r="F3" s="10">
        <v>45370</v>
      </c>
      <c r="G3" s="10">
        <v>45371</v>
      </c>
      <c r="H3" s="10">
        <v>45372</v>
      </c>
      <c r="I3" s="10">
        <v>45373</v>
      </c>
      <c r="J3" s="10">
        <v>45374</v>
      </c>
      <c r="K3" s="10">
        <v>45375</v>
      </c>
      <c r="L3" s="88">
        <v>45376</v>
      </c>
      <c r="M3" s="88">
        <v>45377</v>
      </c>
      <c r="N3" s="88">
        <v>45378</v>
      </c>
      <c r="O3" s="88">
        <v>45379</v>
      </c>
      <c r="P3" s="88">
        <v>45380</v>
      </c>
    </row>
    <row r="4" spans="1:18" ht="15.75" customHeight="1">
      <c r="A4" s="87" t="s">
        <v>454</v>
      </c>
      <c r="C4" s="57">
        <f>pl!C30</f>
        <v>5075.2429629724065</v>
      </c>
      <c r="D4" s="57">
        <f>pl!D30</f>
        <v>4560.773950629874</v>
      </c>
      <c r="E4" s="57">
        <f>pl!E30</f>
        <v>5080.8868395179543</v>
      </c>
      <c r="F4" s="57">
        <f>pl!F30</f>
        <v>4737.4806420155983</v>
      </c>
      <c r="G4" s="57">
        <f>pl!G30</f>
        <v>5418.4463457074316</v>
      </c>
      <c r="H4" s="57">
        <f>pl!H30</f>
        <v>5303.0362222821177</v>
      </c>
      <c r="I4" s="57">
        <f>pl!I30</f>
        <v>6628.357580324795</v>
      </c>
      <c r="J4" s="57">
        <f>pl!J30</f>
        <v>5210.271778133103</v>
      </c>
      <c r="K4" s="57">
        <f>pl!K30</f>
        <v>8721.0591857280197</v>
      </c>
      <c r="L4" s="57">
        <f>pl!L30</f>
        <v>9035.5087690112778</v>
      </c>
      <c r="M4" s="57">
        <f>pl!M30</f>
        <v>10809.52840756701</v>
      </c>
      <c r="N4" s="57">
        <f>pl!N30</f>
        <v>12713.903353360092</v>
      </c>
      <c r="O4" s="57">
        <f>pl!O30</f>
        <v>14947.251255069146</v>
      </c>
      <c r="P4" s="57">
        <f>pl!P30</f>
        <v>17568.933173253638</v>
      </c>
    </row>
    <row r="5" spans="1:18" ht="15.75" customHeight="1">
      <c r="A5" s="89" t="s">
        <v>455</v>
      </c>
      <c r="C5" s="57">
        <f>pl!C31</f>
        <v>5248.6321004640595</v>
      </c>
      <c r="D5" s="57">
        <f>pl!D31</f>
        <v>4647.8027663124258</v>
      </c>
      <c r="E5" s="57">
        <f>pl!E31</f>
        <v>5286.3562015208008</v>
      </c>
      <c r="F5" s="57">
        <f>pl!F31</f>
        <v>4996.5007292604978</v>
      </c>
      <c r="G5" s="57">
        <f>pl!G31</f>
        <v>5196.7172947805802</v>
      </c>
      <c r="H5" s="57">
        <f>pl!H31</f>
        <v>5100.1196364377938</v>
      </c>
      <c r="I5" s="57">
        <f>pl!I31</f>
        <v>6168.1848343237507</v>
      </c>
      <c r="J5" s="57">
        <f>pl!J31</f>
        <v>4997.6617498928645</v>
      </c>
      <c r="K5" s="57">
        <f>pl!K31</f>
        <v>8499.4663871321136</v>
      </c>
      <c r="L5" s="57">
        <f>pl!L31</f>
        <v>9035.5087690112796</v>
      </c>
      <c r="M5" s="57">
        <f>pl!M31</f>
        <v>10809.52840756701</v>
      </c>
      <c r="N5" s="57">
        <f>pl!N31</f>
        <v>12713.903353360092</v>
      </c>
      <c r="O5" s="57">
        <f>pl!O31</f>
        <v>14947.251255069146</v>
      </c>
      <c r="P5" s="57">
        <f>pl!P31</f>
        <v>17568.933173253638</v>
      </c>
    </row>
    <row r="6" spans="1:18" ht="15.75" customHeight="1">
      <c r="A6" s="89" t="s">
        <v>456</v>
      </c>
      <c r="C6" s="57">
        <f>pl!C32</f>
        <v>4358.1794971321306</v>
      </c>
      <c r="D6" s="57">
        <f>pl!D32</f>
        <v>3553.4367778051428</v>
      </c>
      <c r="E6" s="57">
        <f>pl!E32</f>
        <v>4239.6316456868644</v>
      </c>
      <c r="F6" s="57">
        <f>pl!F32</f>
        <v>3484.3904394186984</v>
      </c>
      <c r="G6" s="57">
        <f>pl!G32</f>
        <v>3830.3499696594818</v>
      </c>
      <c r="H6" s="57">
        <f>pl!H32</f>
        <v>3929.642190222442</v>
      </c>
      <c r="I6" s="57">
        <f>pl!I32</f>
        <v>4176.2524646209658</v>
      </c>
      <c r="J6" s="57">
        <f>pl!J32</f>
        <v>3727.9940802590036</v>
      </c>
      <c r="K6" s="57">
        <f>pl!K32</f>
        <v>7231.4466681354124</v>
      </c>
      <c r="L6" s="57">
        <f>pl!L32</f>
        <v>6987.5669544537959</v>
      </c>
      <c r="M6" s="57">
        <f>pl!M32</f>
        <v>8595.0889234860078</v>
      </c>
      <c r="N6" s="57">
        <f>pl!N32</f>
        <v>10319.429939223302</v>
      </c>
      <c r="O6" s="57">
        <f>pl!O32</f>
        <v>12358.107152363036</v>
      </c>
      <c r="P6" s="57">
        <f>pl!P32</f>
        <v>14769.291654997522</v>
      </c>
    </row>
    <row r="8" spans="1:18" ht="15.75" customHeight="1">
      <c r="A8" s="87" t="s">
        <v>457</v>
      </c>
      <c r="C8" s="90">
        <f>pl!C34</f>
        <v>4894.0181868561986</v>
      </c>
      <c r="D8" s="90">
        <f>pl!D34</f>
        <v>4254.0044982491481</v>
      </c>
      <c r="E8" s="90">
        <f>pl!E34</f>
        <v>4868.9582289085401</v>
      </c>
      <c r="F8" s="90">
        <f>pl!F34</f>
        <v>4406.1239368982642</v>
      </c>
      <c r="G8" s="90">
        <f>pl!G34</f>
        <v>4815.1712033824979</v>
      </c>
      <c r="H8" s="90">
        <f>pl!H34</f>
        <v>4777.5993496474512</v>
      </c>
      <c r="I8" s="90">
        <f>pl!I34</f>
        <v>5657.5982930898363</v>
      </c>
      <c r="J8" s="90">
        <f>pl!J34</f>
        <v>4645.3092027616576</v>
      </c>
      <c r="K8" s="90">
        <f>pl!K34</f>
        <v>8150.6574136651825</v>
      </c>
      <c r="L8" s="90">
        <f>pl!L34</f>
        <v>8352.8614974921165</v>
      </c>
      <c r="M8" s="90">
        <f>pl!M34</f>
        <v>10071.381912873343</v>
      </c>
      <c r="N8" s="90">
        <f>pl!N34</f>
        <v>11915.745548647828</v>
      </c>
      <c r="O8" s="90">
        <f>pl!O34</f>
        <v>14084.203220833777</v>
      </c>
      <c r="P8" s="90">
        <f>pl!P34</f>
        <v>16635.719333834932</v>
      </c>
    </row>
    <row r="10" spans="1:18" ht="15.75" customHeight="1">
      <c r="A10" s="87" t="s">
        <v>458</v>
      </c>
      <c r="B10" s="91">
        <f>pl!M46</f>
        <v>0.11849598031301031</v>
      </c>
      <c r="C10" s="105"/>
    </row>
    <row r="11" spans="1:18" ht="15.75" customHeight="1">
      <c r="A11" s="89" t="s">
        <v>11</v>
      </c>
      <c r="B11" s="92">
        <f>WACC!I15</f>
        <v>0.16369847118458966</v>
      </c>
      <c r="C11" s="57"/>
    </row>
    <row r="12" spans="1:18" ht="15.75" customHeight="1">
      <c r="A12" s="89" t="s">
        <v>496</v>
      </c>
      <c r="B12" s="92">
        <f>WACC!M23</f>
        <v>0.16381040800560226</v>
      </c>
    </row>
    <row r="13" spans="1:18" ht="15.75" customHeight="1">
      <c r="A13" s="89" t="s">
        <v>497</v>
      </c>
      <c r="B13" s="91">
        <f>WACC!L16</f>
        <v>6.9680000000000006E-2</v>
      </c>
    </row>
    <row r="14" spans="1:18" ht="15.75" customHeight="1">
      <c r="A14" s="89" t="s">
        <v>498</v>
      </c>
      <c r="B14" s="53">
        <f>pl!B18</f>
        <v>0.25432097866103187</v>
      </c>
    </row>
    <row r="15" spans="1:18" ht="15.75" customHeight="1">
      <c r="B15" s="106"/>
      <c r="C15" s="106"/>
      <c r="D15" s="106"/>
      <c r="E15" s="106"/>
      <c r="F15" s="106"/>
      <c r="I15" s="106"/>
      <c r="J15" s="106"/>
      <c r="K15" s="106"/>
      <c r="L15" s="106"/>
      <c r="M15" s="106"/>
    </row>
    <row r="16" spans="1:18" ht="15.75" customHeight="1">
      <c r="B16" s="106"/>
      <c r="C16" s="106"/>
      <c r="D16" s="106"/>
      <c r="E16" s="106"/>
      <c r="F16" s="106"/>
      <c r="I16" s="106"/>
      <c r="J16" s="106"/>
      <c r="K16" s="106"/>
      <c r="L16" s="106"/>
      <c r="M16" s="106"/>
    </row>
    <row r="17" spans="1:13" ht="15.75" customHeight="1">
      <c r="B17" s="88">
        <v>45376</v>
      </c>
      <c r="C17" s="88">
        <v>45377</v>
      </c>
      <c r="D17" s="88">
        <v>45378</v>
      </c>
      <c r="E17" s="88">
        <v>45379</v>
      </c>
      <c r="F17" s="88">
        <v>45380</v>
      </c>
      <c r="I17" s="106"/>
      <c r="J17" s="106"/>
      <c r="K17" s="106"/>
      <c r="L17" s="106"/>
      <c r="M17" s="106"/>
    </row>
    <row r="18" spans="1:13">
      <c r="A18" s="107" t="s">
        <v>499</v>
      </c>
      <c r="B18" s="108">
        <f>pl!L34</f>
        <v>8352.8614974921165</v>
      </c>
      <c r="C18" s="108">
        <f>pl!M34</f>
        <v>10071.381912873343</v>
      </c>
      <c r="D18" s="108">
        <f>pl!N34</f>
        <v>11915.745548647828</v>
      </c>
      <c r="E18" s="108">
        <f>pl!O34</f>
        <v>14084.203220833777</v>
      </c>
      <c r="F18" s="108">
        <f>pl!P34</f>
        <v>16635.719333834932</v>
      </c>
    </row>
    <row r="19" spans="1:13">
      <c r="A19" s="107" t="s">
        <v>500</v>
      </c>
      <c r="B19" s="109"/>
      <c r="C19" s="109"/>
      <c r="D19" s="109"/>
      <c r="E19" s="109"/>
      <c r="F19" s="110">
        <f>(F18*(1+B10))/(B11-B10)</f>
        <v>411636.28034066531</v>
      </c>
    </row>
    <row r="20" spans="1:13">
      <c r="A20" s="107" t="s">
        <v>39</v>
      </c>
      <c r="B20" s="111">
        <f t="shared" ref="B20:E20" si="0">B18</f>
        <v>8352.8614974921165</v>
      </c>
      <c r="C20" s="111">
        <f t="shared" si="0"/>
        <v>10071.381912873343</v>
      </c>
      <c r="D20" s="111">
        <f t="shared" si="0"/>
        <v>11915.745548647828</v>
      </c>
      <c r="E20" s="111">
        <f t="shared" si="0"/>
        <v>14084.203220833777</v>
      </c>
      <c r="F20" s="111">
        <f>SUM(F18:F19)</f>
        <v>428271.99967450026</v>
      </c>
    </row>
    <row r="22" spans="1:13">
      <c r="A22" s="112" t="s">
        <v>501</v>
      </c>
      <c r="B22" s="113" t="s">
        <v>502</v>
      </c>
      <c r="C22" s="113" t="s">
        <v>461</v>
      </c>
      <c r="D22" s="113" t="s">
        <v>497</v>
      </c>
      <c r="E22" s="113" t="s">
        <v>503</v>
      </c>
      <c r="F22" s="113" t="s">
        <v>498</v>
      </c>
      <c r="G22" s="112" t="s">
        <v>504</v>
      </c>
    </row>
    <row r="23" spans="1:13" ht="15.75" customHeight="1">
      <c r="A23" s="88">
        <v>45376</v>
      </c>
      <c r="B23" s="114">
        <f t="array" ref="B23">NPV(B11,B20:F20)</f>
        <v>230542.68788076934</v>
      </c>
      <c r="C23" s="114">
        <f>WACC!L8*B23</f>
        <v>1456.2434768596474</v>
      </c>
      <c r="D23" s="115">
        <f>WACC!L16</f>
        <v>6.9680000000000006E-2</v>
      </c>
      <c r="E23" s="114">
        <f t="shared" ref="E23:E27" si="1">C23*D23</f>
        <v>101.47104546758024</v>
      </c>
      <c r="F23" s="116">
        <f>pl!B18</f>
        <v>0.25432097866103187</v>
      </c>
      <c r="G23" s="114">
        <f t="shared" ref="G23:G27" si="2">E23*F23</f>
        <v>25.806215589073069</v>
      </c>
    </row>
    <row r="24" spans="1:13" ht="15.75" customHeight="1">
      <c r="A24" s="88">
        <v>45377</v>
      </c>
      <c r="B24" s="117">
        <f t="array" ref="B24">NPV(B11,C20:F20)</f>
        <v>259929.31193214524</v>
      </c>
      <c r="C24" s="117">
        <f>WACC!L8*B24</f>
        <v>1641.8667120839843</v>
      </c>
      <c r="D24" s="118">
        <f>WACC!L16</f>
        <v>6.9680000000000006E-2</v>
      </c>
      <c r="E24" s="114">
        <f t="shared" si="1"/>
        <v>114.40527249801204</v>
      </c>
      <c r="F24" s="109">
        <f>pl!B18</f>
        <v>0.25432097866103187</v>
      </c>
      <c r="G24" s="114">
        <f t="shared" si="2"/>
        <v>29.095660865676457</v>
      </c>
    </row>
    <row r="25" spans="1:13" ht="15.75" customHeight="1">
      <c r="A25" s="88">
        <v>45378</v>
      </c>
      <c r="B25" s="117">
        <f t="array" ref="B25">NPV(B11,D20:F20)</f>
        <v>292407.96099862637</v>
      </c>
      <c r="C25" s="117">
        <f>WACC!L8*B25</f>
        <v>1847.0209994528275</v>
      </c>
      <c r="D25" s="118">
        <f>WACC!L16</f>
        <v>6.9680000000000006E-2</v>
      </c>
      <c r="E25" s="114">
        <f t="shared" si="1"/>
        <v>128.70042324187304</v>
      </c>
      <c r="F25" s="109">
        <f>pl!B18</f>
        <v>0.25432097866103187</v>
      </c>
      <c r="G25" s="114">
        <f t="shared" si="2"/>
        <v>32.73121759296216</v>
      </c>
    </row>
    <row r="26" spans="1:13" ht="15.75" customHeight="1">
      <c r="A26" s="88">
        <v>45379</v>
      </c>
      <c r="B26" s="117">
        <f t="array" ref="B26">NPV(B11,E20:F20)</f>
        <v>328358.95162765688</v>
      </c>
      <c r="C26" s="117">
        <f>WACC!L8*B26</f>
        <v>2074.1086424026821</v>
      </c>
      <c r="D26" s="118">
        <f>WACC!L16</f>
        <v>6.9680000000000006E-2</v>
      </c>
      <c r="E26" s="114">
        <f t="shared" si="1"/>
        <v>144.5238902026189</v>
      </c>
      <c r="F26" s="109">
        <f>pl!B18</f>
        <v>0.25432097866103187</v>
      </c>
      <c r="G26" s="114">
        <f t="shared" si="2"/>
        <v>36.755457196229557</v>
      </c>
    </row>
    <row r="27" spans="1:13" ht="15.75" customHeight="1">
      <c r="A27" s="88">
        <v>45380</v>
      </c>
      <c r="B27" s="117">
        <f t="array" ref="B27">NPV(B11,F20)</f>
        <v>368026.60678804514</v>
      </c>
      <c r="C27" s="117">
        <f>WACC!L8*B27</f>
        <v>2324.6729287855505</v>
      </c>
      <c r="D27" s="118">
        <f>WACC!L16</f>
        <v>6.9680000000000006E-2</v>
      </c>
      <c r="E27" s="114">
        <f t="shared" si="1"/>
        <v>161.98320967777718</v>
      </c>
      <c r="F27" s="109">
        <f>pl!B18</f>
        <v>0.25432097866103187</v>
      </c>
      <c r="G27" s="114">
        <f t="shared" si="2"/>
        <v>41.195728411907425</v>
      </c>
    </row>
    <row r="29" spans="1:13" ht="13.2">
      <c r="A29" s="119" t="s">
        <v>505</v>
      </c>
    </row>
    <row r="30" spans="1:13" ht="14.4">
      <c r="A30" s="109"/>
      <c r="B30" s="88">
        <v>45376</v>
      </c>
      <c r="C30" s="88">
        <v>45377</v>
      </c>
      <c r="D30" s="88">
        <v>45378</v>
      </c>
      <c r="E30" s="88">
        <v>45379</v>
      </c>
      <c r="F30" s="88">
        <v>45380</v>
      </c>
    </row>
    <row r="31" spans="1:13" ht="13.2">
      <c r="A31" s="109" t="s">
        <v>506</v>
      </c>
      <c r="B31" s="108">
        <f>B18+G23</f>
        <v>8378.6677130811895</v>
      </c>
      <c r="C31" s="108">
        <f>C18+G24</f>
        <v>10100.477573739019</v>
      </c>
      <c r="D31" s="108">
        <f>D18+G25</f>
        <v>11948.47676624079</v>
      </c>
      <c r="E31" s="108">
        <f>E18+G26</f>
        <v>14120.958678030007</v>
      </c>
      <c r="F31" s="108">
        <f>F18+G27</f>
        <v>16676.915062246841</v>
      </c>
    </row>
    <row r="32" spans="1:13" ht="13.2">
      <c r="A32" s="107" t="s">
        <v>507</v>
      </c>
      <c r="B32" s="109"/>
      <c r="C32" s="109"/>
      <c r="D32" s="109"/>
      <c r="E32" s="109"/>
      <c r="F32" s="109">
        <f>(F31*(1+B10))/(B12-B10)</f>
        <v>411636.28034066537</v>
      </c>
      <c r="I32" s="120"/>
    </row>
    <row r="33" spans="1:9" ht="13.2">
      <c r="A33" s="107" t="s">
        <v>508</v>
      </c>
      <c r="B33" s="111">
        <f t="shared" ref="B33:E33" si="3">B31</f>
        <v>8378.6677130811895</v>
      </c>
      <c r="C33" s="111">
        <f t="shared" si="3"/>
        <v>10100.477573739019</v>
      </c>
      <c r="D33" s="111">
        <f t="shared" si="3"/>
        <v>11948.47676624079</v>
      </c>
      <c r="E33" s="111">
        <f t="shared" si="3"/>
        <v>14120.958678030007</v>
      </c>
      <c r="F33" s="111">
        <f>F31+F32</f>
        <v>428313.19540291221</v>
      </c>
      <c r="I33" s="120"/>
    </row>
    <row r="35" spans="1:9" ht="13.2">
      <c r="A35" s="101" t="s">
        <v>502</v>
      </c>
      <c r="B35" s="108">
        <f t="array" ref="B35">NPV(B12,B33:F33)</f>
        <v>230542.68788076946</v>
      </c>
      <c r="C35" s="109" t="s">
        <v>479</v>
      </c>
      <c r="D35" s="109"/>
    </row>
    <row r="36" spans="1:9" ht="13.2">
      <c r="A36" s="107" t="s">
        <v>480</v>
      </c>
      <c r="B36" s="121">
        <f>bs!K24</f>
        <v>1912</v>
      </c>
      <c r="C36" s="109"/>
      <c r="D36" s="109"/>
    </row>
    <row r="37" spans="1:9" ht="13.2">
      <c r="A37" s="101" t="s">
        <v>481</v>
      </c>
      <c r="B37" s="108">
        <f>B35-B36</f>
        <v>228630.68788076946</v>
      </c>
      <c r="C37" s="109" t="s">
        <v>479</v>
      </c>
      <c r="D37" s="109"/>
    </row>
    <row r="38" spans="1:9" ht="13.2">
      <c r="A38" s="107" t="s">
        <v>482</v>
      </c>
      <c r="B38" s="109">
        <f>pl!K43</f>
        <v>27.920312952767315</v>
      </c>
      <c r="C38" s="109" t="s">
        <v>483</v>
      </c>
      <c r="D38" s="109"/>
    </row>
    <row r="39" spans="1:9" ht="13.2">
      <c r="A39" s="101" t="s">
        <v>484</v>
      </c>
      <c r="B39" s="108">
        <f>B37/B38</f>
        <v>8188.6864329759883</v>
      </c>
      <c r="C39" s="109"/>
      <c r="D39" s="109"/>
    </row>
  </sheetData>
  <mergeCells count="2">
    <mergeCell ref="F1:J1"/>
    <mergeCell ref="L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V119"/>
  <sheetViews>
    <sheetView workbookViewId="0"/>
  </sheetViews>
  <sheetFormatPr defaultColWidth="12.6640625" defaultRowHeight="15.75" customHeight="1"/>
  <cols>
    <col min="1" max="1" width="31.44140625" customWidth="1"/>
    <col min="17" max="17" width="29.44140625" customWidth="1"/>
  </cols>
  <sheetData>
    <row r="1" spans="1:22" ht="15.75" customHeight="1">
      <c r="A1" s="122" t="s">
        <v>25</v>
      </c>
      <c r="B1" s="6"/>
      <c r="C1" s="6"/>
      <c r="D1" s="6"/>
      <c r="E1" s="6"/>
      <c r="F1" s="6"/>
      <c r="G1" s="6"/>
      <c r="H1" s="7"/>
      <c r="I1" s="6"/>
      <c r="J1" s="123"/>
      <c r="K1" s="123"/>
      <c r="L1" s="6"/>
      <c r="M1" s="8" t="s">
        <v>26</v>
      </c>
      <c r="N1" s="6"/>
      <c r="O1" s="6"/>
      <c r="P1" s="6"/>
      <c r="Q1" s="6"/>
      <c r="R1" s="6"/>
      <c r="S1" s="6"/>
      <c r="T1" s="6"/>
      <c r="U1" s="6"/>
      <c r="V1" s="6"/>
    </row>
    <row r="2" spans="1:22" ht="15.75" customHeight="1">
      <c r="A2" s="122" t="s">
        <v>509</v>
      </c>
      <c r="B2" s="7"/>
      <c r="C2" s="7"/>
      <c r="D2" s="7"/>
      <c r="E2" s="7"/>
      <c r="F2" s="7"/>
      <c r="G2" s="7"/>
      <c r="H2" s="7"/>
      <c r="I2" s="7"/>
      <c r="J2" s="7"/>
      <c r="K2" s="7"/>
      <c r="L2" s="229" t="s">
        <v>510</v>
      </c>
      <c r="M2" s="216"/>
      <c r="N2" s="216"/>
      <c r="O2" s="216"/>
      <c r="P2" s="216"/>
      <c r="Q2" s="7"/>
      <c r="R2" s="7"/>
      <c r="S2" s="7"/>
      <c r="T2" s="7"/>
      <c r="U2" s="7"/>
      <c r="V2" s="7"/>
    </row>
    <row r="3" spans="1:22" ht="15.75" customHeight="1">
      <c r="A3" s="9" t="s">
        <v>102</v>
      </c>
      <c r="B3" s="10">
        <v>45366</v>
      </c>
      <c r="C3" s="10">
        <v>45367</v>
      </c>
      <c r="D3" s="10">
        <v>45368</v>
      </c>
      <c r="E3" s="10">
        <v>45369</v>
      </c>
      <c r="F3" s="10">
        <v>45370</v>
      </c>
      <c r="G3" s="10">
        <v>45371</v>
      </c>
      <c r="H3" s="10">
        <v>45372</v>
      </c>
      <c r="I3" s="10">
        <v>45373</v>
      </c>
      <c r="J3" s="10">
        <v>45374</v>
      </c>
      <c r="K3" s="10">
        <v>45375</v>
      </c>
      <c r="L3" s="88">
        <v>45376</v>
      </c>
      <c r="M3" s="88">
        <v>45377</v>
      </c>
      <c r="N3" s="88">
        <v>45378</v>
      </c>
      <c r="O3" s="88">
        <v>45379</v>
      </c>
      <c r="P3" s="88">
        <v>45380</v>
      </c>
      <c r="Q3" s="6" t="s">
        <v>511</v>
      </c>
      <c r="R3" s="6"/>
      <c r="S3" s="6"/>
      <c r="T3" s="6"/>
      <c r="U3" s="6"/>
      <c r="V3" s="6"/>
    </row>
    <row r="4" spans="1:22" ht="15.75" customHeight="1">
      <c r="A4" s="87" t="s">
        <v>512</v>
      </c>
      <c r="B4" s="124">
        <v>21595.439999999999</v>
      </c>
      <c r="C4" s="124">
        <v>22573.69</v>
      </c>
      <c r="D4" s="124">
        <v>21754.720000000001</v>
      </c>
      <c r="E4" s="124">
        <v>25209.93</v>
      </c>
      <c r="F4" s="124">
        <v>30357.63</v>
      </c>
      <c r="G4" s="124">
        <v>29918.65</v>
      </c>
      <c r="H4" s="124">
        <v>27741.08</v>
      </c>
      <c r="I4" s="124">
        <v>33144.71</v>
      </c>
      <c r="J4" s="124">
        <v>36455.379999999997</v>
      </c>
      <c r="K4" s="124">
        <v>44870.43</v>
      </c>
      <c r="L4" s="125">
        <f t="shared" ref="L4:P4" si="0">K4*(1+$D$63)</f>
        <v>48518.395958999994</v>
      </c>
      <c r="M4" s="125">
        <f t="shared" si="0"/>
        <v>52462.94155046669</v>
      </c>
      <c r="N4" s="125">
        <f t="shared" si="0"/>
        <v>56728.17869851963</v>
      </c>
      <c r="O4" s="125">
        <f t="shared" si="0"/>
        <v>61340.179626709272</v>
      </c>
      <c r="P4" s="125">
        <f t="shared" si="0"/>
        <v>66327.136230360731</v>
      </c>
      <c r="Q4" s="6" t="s">
        <v>513</v>
      </c>
      <c r="R4" s="6"/>
      <c r="S4" s="6"/>
      <c r="T4" s="6"/>
      <c r="U4" s="6"/>
      <c r="V4" s="6"/>
    </row>
    <row r="5" spans="1:22" ht="15.75" customHeight="1">
      <c r="A5" s="126" t="s">
        <v>514</v>
      </c>
      <c r="B5" s="127">
        <v>17467.04</v>
      </c>
      <c r="C5" s="127">
        <v>17780.740000000002</v>
      </c>
      <c r="D5" s="127">
        <v>17326.09</v>
      </c>
      <c r="E5" s="127">
        <v>20364.13</v>
      </c>
      <c r="F5" s="127">
        <v>25159.71</v>
      </c>
      <c r="G5" s="127">
        <v>24809.31</v>
      </c>
      <c r="H5" s="127">
        <v>22803.3</v>
      </c>
      <c r="I5" s="127">
        <v>27885.91</v>
      </c>
      <c r="J5" s="127">
        <v>29990.74</v>
      </c>
      <c r="K5" s="127">
        <v>36105.75</v>
      </c>
      <c r="L5" s="128">
        <f t="shared" ref="L5:P5" si="1">L4-L6</f>
        <v>38131.723291108334</v>
      </c>
      <c r="M5" s="128">
        <f t="shared" si="1"/>
        <v>40154.110068892041</v>
      </c>
      <c r="N5" s="128">
        <f t="shared" si="1"/>
        <v>42141.473476725361</v>
      </c>
      <c r="O5" s="128">
        <f t="shared" si="1"/>
        <v>44054.057093792711</v>
      </c>
      <c r="P5" s="128">
        <f t="shared" si="1"/>
        <v>45842.041914713089</v>
      </c>
      <c r="Q5" s="7" t="s">
        <v>515</v>
      </c>
      <c r="R5" s="7"/>
      <c r="S5" s="7"/>
      <c r="T5" s="7"/>
      <c r="U5" s="7"/>
      <c r="V5" s="7"/>
    </row>
    <row r="6" spans="1:22" ht="15.75" customHeight="1">
      <c r="A6" s="87" t="s">
        <v>516</v>
      </c>
      <c r="B6" s="124">
        <v>4128.3999999999996</v>
      </c>
      <c r="C6" s="124">
        <v>4792.95</v>
      </c>
      <c r="D6" s="124">
        <v>4428.63</v>
      </c>
      <c r="E6" s="124">
        <v>4845.8</v>
      </c>
      <c r="F6" s="124">
        <v>5197.92</v>
      </c>
      <c r="G6" s="124">
        <v>5109.34</v>
      </c>
      <c r="H6" s="124">
        <v>4937.78</v>
      </c>
      <c r="I6" s="124">
        <v>5258.8</v>
      </c>
      <c r="J6" s="124">
        <v>6464.64</v>
      </c>
      <c r="K6" s="124">
        <v>8764.68</v>
      </c>
      <c r="L6" s="129">
        <f t="shared" ref="L6:P6" si="2">K6*(1+L38)</f>
        <v>10386.67266789166</v>
      </c>
      <c r="M6" s="129">
        <f t="shared" si="2"/>
        <v>12308.831481574645</v>
      </c>
      <c r="N6" s="129">
        <f t="shared" si="2"/>
        <v>14586.705221794267</v>
      </c>
      <c r="O6" s="129">
        <f t="shared" si="2"/>
        <v>17286.122532916557</v>
      </c>
      <c r="P6" s="129">
        <f t="shared" si="2"/>
        <v>20485.094315647642</v>
      </c>
      <c r="Q6" s="6" t="s">
        <v>517</v>
      </c>
      <c r="R6" s="6"/>
      <c r="S6" s="6"/>
      <c r="T6" s="6"/>
      <c r="U6" s="6"/>
      <c r="V6" s="6"/>
    </row>
    <row r="7" spans="1:22" ht="15.75" customHeight="1">
      <c r="A7" s="126" t="s">
        <v>518</v>
      </c>
      <c r="B7" s="130">
        <v>228.5</v>
      </c>
      <c r="C7" s="127">
        <v>1194.1500000000001</v>
      </c>
      <c r="D7" s="127">
        <v>1467.61</v>
      </c>
      <c r="E7" s="127">
        <v>1403.72</v>
      </c>
      <c r="F7" s="127">
        <v>2027.83</v>
      </c>
      <c r="G7" s="127">
        <v>1832.38</v>
      </c>
      <c r="H7" s="127">
        <v>1569.68</v>
      </c>
      <c r="I7" s="127">
        <v>2671.3</v>
      </c>
      <c r="J7" s="127">
        <v>1702.7</v>
      </c>
      <c r="K7" s="127">
        <v>1700.49</v>
      </c>
      <c r="L7" s="128">
        <f t="shared" ref="L7:P7" si="3">L4*$L$39</f>
        <v>2746.4120029555393</v>
      </c>
      <c r="M7" s="128">
        <f t="shared" si="3"/>
        <v>2969.6952987958248</v>
      </c>
      <c r="N7" s="128">
        <f t="shared" si="3"/>
        <v>3211.1315265879252</v>
      </c>
      <c r="O7" s="128">
        <f t="shared" si="3"/>
        <v>3472.1965196995229</v>
      </c>
      <c r="P7" s="128">
        <f t="shared" si="3"/>
        <v>3754.486096751094</v>
      </c>
      <c r="Q7" s="7" t="s">
        <v>519</v>
      </c>
      <c r="R7" s="7"/>
      <c r="S7" s="7"/>
      <c r="T7" s="7"/>
      <c r="U7" s="7"/>
      <c r="V7" s="7"/>
    </row>
    <row r="8" spans="1:22" ht="15.75" customHeight="1">
      <c r="A8" s="126" t="s">
        <v>520</v>
      </c>
      <c r="B8" s="130">
        <v>267.45999999999998</v>
      </c>
      <c r="C8" s="130">
        <v>307.16000000000003</v>
      </c>
      <c r="D8" s="130">
        <v>307.29000000000002</v>
      </c>
      <c r="E8" s="130">
        <v>314.8</v>
      </c>
      <c r="F8" s="130">
        <v>265.69</v>
      </c>
      <c r="G8" s="130">
        <v>246.43</v>
      </c>
      <c r="H8" s="130">
        <v>259.37</v>
      </c>
      <c r="I8" s="130">
        <v>269.76</v>
      </c>
      <c r="J8" s="130">
        <v>285.85000000000002</v>
      </c>
      <c r="K8" s="130">
        <v>364.77</v>
      </c>
      <c r="L8" s="128">
        <f>bs!$L$64*bs!L10</f>
        <v>560.03698564910053</v>
      </c>
      <c r="M8" s="128">
        <f>bs!$L$64*bs!M10</f>
        <v>661.39847982199603</v>
      </c>
      <c r="N8" s="128">
        <f>bs!$L$64*bs!N10</f>
        <v>762.75997399489154</v>
      </c>
      <c r="O8" s="128">
        <f>bs!$L$64*bs!O10</f>
        <v>864.12146816778704</v>
      </c>
      <c r="P8" s="128">
        <f>bs!$L$64*bs!P10</f>
        <v>965.48296234068255</v>
      </c>
      <c r="Q8" s="7" t="s">
        <v>521</v>
      </c>
      <c r="R8" s="7"/>
      <c r="S8" s="7"/>
      <c r="T8" s="7"/>
      <c r="U8" s="7"/>
      <c r="V8" s="7"/>
    </row>
    <row r="9" spans="1:22" ht="15.75" customHeight="1">
      <c r="A9" s="126" t="s">
        <v>522</v>
      </c>
      <c r="B9" s="130">
        <v>6.49</v>
      </c>
      <c r="C9" s="130">
        <v>1.05</v>
      </c>
      <c r="D9" s="130">
        <v>1.4</v>
      </c>
      <c r="E9" s="130">
        <v>1.31</v>
      </c>
      <c r="F9" s="130">
        <v>4.4800000000000004</v>
      </c>
      <c r="G9" s="130">
        <v>3.16</v>
      </c>
      <c r="H9" s="130">
        <v>6.66</v>
      </c>
      <c r="I9" s="130">
        <v>8.66</v>
      </c>
      <c r="J9" s="130">
        <v>39.51</v>
      </c>
      <c r="K9" s="130">
        <v>60.36</v>
      </c>
      <c r="L9" s="128">
        <f>$L$42*bs!L6</f>
        <v>14.82656885086004</v>
      </c>
      <c r="M9" s="128">
        <f>$L$42*bs!M6</f>
        <v>16.164843807069783</v>
      </c>
      <c r="N9" s="128">
        <f>$L$42*bs!N6</f>
        <v>17.59230791995606</v>
      </c>
      <c r="O9" s="128">
        <f>$L$42*bs!O6</f>
        <v>19.116212267956676</v>
      </c>
      <c r="P9" s="128">
        <f>$L$42*bs!P6</f>
        <v>20.744397442186415</v>
      </c>
      <c r="Q9" s="7" t="s">
        <v>523</v>
      </c>
      <c r="R9" s="7"/>
      <c r="S9" s="7"/>
      <c r="T9" s="7"/>
      <c r="U9" s="7"/>
      <c r="V9" s="7"/>
    </row>
    <row r="10" spans="1:22" ht="15.75" customHeight="1">
      <c r="A10" s="87" t="s">
        <v>524</v>
      </c>
      <c r="B10" s="124">
        <v>4082.95</v>
      </c>
      <c r="C10" s="124">
        <v>5678.89</v>
      </c>
      <c r="D10" s="124">
        <v>5587.55</v>
      </c>
      <c r="E10" s="124">
        <v>5933.41</v>
      </c>
      <c r="F10" s="124">
        <v>6955.58</v>
      </c>
      <c r="G10" s="124">
        <v>6692.13</v>
      </c>
      <c r="H10" s="124">
        <v>6241.43</v>
      </c>
      <c r="I10" s="124">
        <v>7651.68</v>
      </c>
      <c r="J10" s="124">
        <v>7841.98</v>
      </c>
      <c r="K10" s="124">
        <v>10040.040000000001</v>
      </c>
      <c r="L10" s="129">
        <f t="shared" ref="L10:P10" si="4">L6+L7-L8-L9</f>
        <v>12558.22111634724</v>
      </c>
      <c r="M10" s="129">
        <f t="shared" si="4"/>
        <v>14600.963456741405</v>
      </c>
      <c r="N10" s="129">
        <f t="shared" si="4"/>
        <v>17017.484466467344</v>
      </c>
      <c r="O10" s="129">
        <f t="shared" si="4"/>
        <v>19875.081372180335</v>
      </c>
      <c r="P10" s="129">
        <f t="shared" si="4"/>
        <v>23253.353052615865</v>
      </c>
      <c r="Q10" s="7" t="s">
        <v>525</v>
      </c>
      <c r="R10" s="7"/>
      <c r="S10" s="7"/>
      <c r="T10" s="7"/>
      <c r="U10" s="7"/>
      <c r="V10" s="7"/>
    </row>
    <row r="11" spans="1:22" ht="15.75" customHeight="1">
      <c r="A11" s="126" t="s">
        <v>526</v>
      </c>
      <c r="B11" s="127">
        <v>1271.05</v>
      </c>
      <c r="C11" s="127">
        <v>1617.65</v>
      </c>
      <c r="D11" s="127">
        <v>1508.07</v>
      </c>
      <c r="E11" s="127">
        <v>1714.47</v>
      </c>
      <c r="F11" s="127">
        <v>2027.98</v>
      </c>
      <c r="G11" s="127">
        <v>1480.22</v>
      </c>
      <c r="H11" s="127">
        <v>1384.41</v>
      </c>
      <c r="I11" s="127">
        <v>1485.81</v>
      </c>
      <c r="J11" s="127">
        <v>1781.77</v>
      </c>
      <c r="K11" s="127">
        <v>2331.8000000000002</v>
      </c>
      <c r="L11" s="128">
        <f t="shared" ref="L11:P11" si="5">$K$18*L10</f>
        <v>3193.8190845510662</v>
      </c>
      <c r="M11" s="128">
        <f t="shared" si="5"/>
        <v>3713.3313157124371</v>
      </c>
      <c r="N11" s="128">
        <f t="shared" si="5"/>
        <v>4327.9033038608823</v>
      </c>
      <c r="O11" s="128">
        <f t="shared" si="5"/>
        <v>5054.6501455405469</v>
      </c>
      <c r="P11" s="128">
        <f t="shared" si="5"/>
        <v>5913.8155054917597</v>
      </c>
      <c r="Q11" s="7" t="s">
        <v>527</v>
      </c>
      <c r="R11" s="7"/>
      <c r="S11" s="7"/>
      <c r="T11" s="7"/>
      <c r="U11" s="7"/>
      <c r="V11" s="7"/>
    </row>
    <row r="12" spans="1:22" ht="15.75" customHeight="1">
      <c r="A12" s="87" t="s">
        <v>528</v>
      </c>
      <c r="B12" s="124">
        <v>3025.63</v>
      </c>
      <c r="C12" s="124">
        <v>4061.24</v>
      </c>
      <c r="D12" s="124">
        <v>4079.49</v>
      </c>
      <c r="E12" s="124">
        <v>4218.95</v>
      </c>
      <c r="F12" s="124">
        <v>4927.6099999999997</v>
      </c>
      <c r="G12" s="124">
        <v>5211.91</v>
      </c>
      <c r="H12" s="124">
        <v>4857.0200000000004</v>
      </c>
      <c r="I12" s="124">
        <v>6165.87</v>
      </c>
      <c r="J12" s="124">
        <v>6060.21</v>
      </c>
      <c r="K12" s="124">
        <v>7708.24</v>
      </c>
      <c r="L12" s="129">
        <f t="shared" ref="L12:P12" si="6">L10-L11</f>
        <v>9364.4020317961731</v>
      </c>
      <c r="M12" s="129">
        <f t="shared" si="6"/>
        <v>10887.632141028967</v>
      </c>
      <c r="N12" s="129">
        <f t="shared" si="6"/>
        <v>12689.581162606461</v>
      </c>
      <c r="O12" s="129">
        <f t="shared" si="6"/>
        <v>14820.431226639788</v>
      </c>
      <c r="P12" s="129">
        <f t="shared" si="6"/>
        <v>17339.537547124106</v>
      </c>
      <c r="Q12" s="6" t="s">
        <v>529</v>
      </c>
      <c r="R12" s="6"/>
      <c r="S12" s="6"/>
      <c r="T12" s="6"/>
      <c r="U12" s="6"/>
      <c r="V12" s="6"/>
    </row>
    <row r="13" spans="1:22" ht="15.75" customHeight="1">
      <c r="A13" s="131" t="s">
        <v>530</v>
      </c>
      <c r="B13" s="131">
        <v>104.55</v>
      </c>
      <c r="C13" s="131">
        <v>140.33000000000001</v>
      </c>
      <c r="D13" s="131">
        <v>140.96</v>
      </c>
      <c r="E13" s="131">
        <v>145.78</v>
      </c>
      <c r="F13" s="131">
        <v>170.27</v>
      </c>
      <c r="G13" s="131">
        <v>180.09</v>
      </c>
      <c r="H13" s="131">
        <v>167.83</v>
      </c>
      <c r="I13" s="131">
        <v>213.06</v>
      </c>
      <c r="J13" s="131">
        <v>214.14</v>
      </c>
      <c r="K13" s="131">
        <v>276.08</v>
      </c>
      <c r="L13" s="132">
        <f t="shared" ref="L13:P13" si="7">L12/L43</f>
        <v>335.39745946393566</v>
      </c>
      <c r="M13" s="132">
        <f t="shared" si="7"/>
        <v>389.95380028323939</v>
      </c>
      <c r="N13" s="132">
        <f t="shared" si="7"/>
        <v>454.49279827462448</v>
      </c>
      <c r="O13" s="132">
        <f t="shared" si="7"/>
        <v>530.81178752227652</v>
      </c>
      <c r="P13" s="132">
        <f t="shared" si="7"/>
        <v>621.03664727746195</v>
      </c>
      <c r="Q13" s="7"/>
      <c r="R13" s="7"/>
      <c r="S13" s="7"/>
      <c r="T13" s="7"/>
      <c r="U13" s="7"/>
      <c r="V13" s="7"/>
    </row>
    <row r="14" spans="1:22" ht="15.75" customHeight="1">
      <c r="A14" s="131" t="s">
        <v>531</v>
      </c>
      <c r="B14" s="131">
        <v>19.29</v>
      </c>
      <c r="C14" s="131">
        <v>17.14</v>
      </c>
      <c r="D14" s="131">
        <v>19.899999999999999</v>
      </c>
      <c r="E14" s="131">
        <v>18.829999999999998</v>
      </c>
      <c r="F14" s="131">
        <v>17.100000000000001</v>
      </c>
      <c r="G14" s="131">
        <v>11.23</v>
      </c>
      <c r="H14" s="131">
        <v>21.87</v>
      </c>
      <c r="I14" s="131">
        <v>17.149999999999999</v>
      </c>
      <c r="J14" s="131">
        <v>18.14</v>
      </c>
      <c r="K14" s="131">
        <v>33.14</v>
      </c>
      <c r="L14" s="132"/>
      <c r="M14" s="132"/>
      <c r="N14" s="132"/>
      <c r="O14" s="133"/>
      <c r="P14" s="133"/>
      <c r="Q14" s="7"/>
      <c r="R14" s="7"/>
      <c r="S14" s="7"/>
      <c r="T14" s="7"/>
      <c r="U14" s="7"/>
      <c r="V14" s="7"/>
    </row>
    <row r="15" spans="1:22" ht="15.75" customHeight="1">
      <c r="A15" s="134" t="s">
        <v>169</v>
      </c>
      <c r="B15" s="135">
        <v>2016.6</v>
      </c>
      <c r="C15" s="135">
        <v>2405.9499999999998</v>
      </c>
      <c r="D15" s="135">
        <v>2805.45</v>
      </c>
      <c r="E15" s="135">
        <v>2744.7</v>
      </c>
      <c r="F15" s="135">
        <v>2911.1</v>
      </c>
      <c r="G15" s="135">
        <v>2022.35</v>
      </c>
      <c r="H15" s="135">
        <v>3670.6</v>
      </c>
      <c r="I15" s="135">
        <v>3653</v>
      </c>
      <c r="J15" s="135">
        <v>3884.75</v>
      </c>
      <c r="K15" s="135">
        <v>9148.15</v>
      </c>
      <c r="L15" s="132"/>
      <c r="M15" s="132"/>
      <c r="N15" s="132"/>
      <c r="O15" s="135"/>
      <c r="P15" s="135"/>
      <c r="Q15" s="6"/>
      <c r="R15" s="6"/>
      <c r="S15" s="6"/>
      <c r="T15" s="6"/>
      <c r="U15" s="6"/>
      <c r="V15" s="6"/>
    </row>
    <row r="16" spans="1:22" ht="15.75" customHeight="1">
      <c r="A16" s="87" t="s">
        <v>532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ht="15.75" customHeight="1">
      <c r="A17" s="59" t="s">
        <v>533</v>
      </c>
      <c r="B17" s="59">
        <f t="shared" ref="B17:P17" si="8">B11/B10</f>
        <v>0.31130677573813054</v>
      </c>
      <c r="C17" s="59">
        <f t="shared" si="8"/>
        <v>0.28485320194615499</v>
      </c>
      <c r="D17" s="59">
        <f t="shared" si="8"/>
        <v>0.26989825594401839</v>
      </c>
      <c r="E17" s="59">
        <f t="shared" si="8"/>
        <v>0.28895188432958452</v>
      </c>
      <c r="F17" s="59">
        <f t="shared" si="8"/>
        <v>0.29156159515094354</v>
      </c>
      <c r="G17" s="59">
        <f t="shared" si="8"/>
        <v>0.22118817177789432</v>
      </c>
      <c r="H17" s="59">
        <f t="shared" si="8"/>
        <v>0.22180974552306124</v>
      </c>
      <c r="I17" s="59">
        <f t="shared" si="8"/>
        <v>0.19418088576626308</v>
      </c>
      <c r="J17" s="59">
        <f t="shared" si="8"/>
        <v>0.22720919971741832</v>
      </c>
      <c r="K17" s="59">
        <f t="shared" si="8"/>
        <v>0.23225007071684972</v>
      </c>
      <c r="L17" s="59">
        <f t="shared" si="8"/>
        <v>0.25432097866103187</v>
      </c>
      <c r="M17" s="59">
        <f t="shared" si="8"/>
        <v>0.25432097866103187</v>
      </c>
      <c r="N17" s="59">
        <f t="shared" si="8"/>
        <v>0.25432097866103187</v>
      </c>
      <c r="O17" s="59">
        <f t="shared" si="8"/>
        <v>0.25432097866103187</v>
      </c>
      <c r="P17" s="59">
        <f t="shared" si="8"/>
        <v>0.25432097866103187</v>
      </c>
      <c r="Q17" s="6"/>
      <c r="R17" s="6"/>
      <c r="S17" s="6"/>
      <c r="T17" s="6"/>
      <c r="U17" s="6"/>
      <c r="V17" s="6"/>
    </row>
    <row r="18" spans="1:22" ht="15.75" customHeight="1">
      <c r="A18" s="59" t="s">
        <v>534</v>
      </c>
      <c r="B18" s="59">
        <f>AVERAGE(B17:K17)</f>
        <v>0.25432097866103187</v>
      </c>
      <c r="C18" s="131">
        <f t="shared" ref="C18:P18" si="9">B18</f>
        <v>0.25432097866103187</v>
      </c>
      <c r="D18" s="131">
        <f t="shared" si="9"/>
        <v>0.25432097866103187</v>
      </c>
      <c r="E18" s="131">
        <f t="shared" si="9"/>
        <v>0.25432097866103187</v>
      </c>
      <c r="F18" s="131">
        <f t="shared" si="9"/>
        <v>0.25432097866103187</v>
      </c>
      <c r="G18" s="131">
        <f t="shared" si="9"/>
        <v>0.25432097866103187</v>
      </c>
      <c r="H18" s="131">
        <f t="shared" si="9"/>
        <v>0.25432097866103187</v>
      </c>
      <c r="I18" s="131">
        <f t="shared" si="9"/>
        <v>0.25432097866103187</v>
      </c>
      <c r="J18" s="131">
        <f t="shared" si="9"/>
        <v>0.25432097866103187</v>
      </c>
      <c r="K18" s="131">
        <f t="shared" si="9"/>
        <v>0.25432097866103187</v>
      </c>
      <c r="L18" s="131">
        <f t="shared" si="9"/>
        <v>0.25432097866103187</v>
      </c>
      <c r="M18" s="131">
        <f t="shared" si="9"/>
        <v>0.25432097866103187</v>
      </c>
      <c r="N18" s="131">
        <f t="shared" si="9"/>
        <v>0.25432097866103187</v>
      </c>
      <c r="O18" s="131">
        <f t="shared" si="9"/>
        <v>0.25432097866103187</v>
      </c>
      <c r="P18" s="131">
        <f t="shared" si="9"/>
        <v>0.25432097866103187</v>
      </c>
      <c r="Q18" s="7"/>
      <c r="R18" s="6"/>
      <c r="S18" s="6"/>
      <c r="T18" s="6"/>
      <c r="U18" s="6"/>
      <c r="V18" s="6"/>
    </row>
    <row r="19" spans="1:22" ht="15.75" customHeight="1">
      <c r="A19" s="59" t="s">
        <v>535</v>
      </c>
      <c r="B19" s="132">
        <f t="shared" ref="B19:P19" si="10">B10+B9</f>
        <v>4089.4399999999996</v>
      </c>
      <c r="C19" s="132">
        <f t="shared" si="10"/>
        <v>5679.9400000000005</v>
      </c>
      <c r="D19" s="132">
        <f t="shared" si="10"/>
        <v>5588.95</v>
      </c>
      <c r="E19" s="132">
        <f t="shared" si="10"/>
        <v>5934.72</v>
      </c>
      <c r="F19" s="132">
        <f t="shared" si="10"/>
        <v>6960.0599999999995</v>
      </c>
      <c r="G19" s="132">
        <f t="shared" si="10"/>
        <v>6695.29</v>
      </c>
      <c r="H19" s="132">
        <f t="shared" si="10"/>
        <v>6248.09</v>
      </c>
      <c r="I19" s="132">
        <f t="shared" si="10"/>
        <v>7660.34</v>
      </c>
      <c r="J19" s="132">
        <f t="shared" si="10"/>
        <v>7881.49</v>
      </c>
      <c r="K19" s="132">
        <f t="shared" si="10"/>
        <v>10100.400000000001</v>
      </c>
      <c r="L19" s="132">
        <f t="shared" si="10"/>
        <v>12573.0476851981</v>
      </c>
      <c r="M19" s="132">
        <f t="shared" si="10"/>
        <v>14617.128300548475</v>
      </c>
      <c r="N19" s="132">
        <f t="shared" si="10"/>
        <v>17035.0767743873</v>
      </c>
      <c r="O19" s="132">
        <f t="shared" si="10"/>
        <v>19894.197584448291</v>
      </c>
      <c r="P19" s="132">
        <f t="shared" si="10"/>
        <v>23274.097450058052</v>
      </c>
      <c r="R19" s="7"/>
      <c r="S19" s="7"/>
      <c r="T19" s="7"/>
      <c r="U19" s="7"/>
      <c r="V19" s="7"/>
    </row>
    <row r="20" spans="1:22" ht="15.75" customHeight="1">
      <c r="A20" s="59" t="s">
        <v>536</v>
      </c>
      <c r="B20" s="59">
        <f>1-B18</f>
        <v>0.74567902133896813</v>
      </c>
      <c r="C20" s="59">
        <f t="shared" ref="C20:P20" si="11">B20</f>
        <v>0.74567902133896813</v>
      </c>
      <c r="D20" s="59">
        <f t="shared" si="11"/>
        <v>0.74567902133896813</v>
      </c>
      <c r="E20" s="59">
        <f t="shared" si="11"/>
        <v>0.74567902133896813</v>
      </c>
      <c r="F20" s="59">
        <f t="shared" si="11"/>
        <v>0.74567902133896813</v>
      </c>
      <c r="G20" s="59">
        <f t="shared" si="11"/>
        <v>0.74567902133896813</v>
      </c>
      <c r="H20" s="59">
        <f t="shared" si="11"/>
        <v>0.74567902133896813</v>
      </c>
      <c r="I20" s="59">
        <f t="shared" si="11"/>
        <v>0.74567902133896813</v>
      </c>
      <c r="J20" s="59">
        <f t="shared" si="11"/>
        <v>0.74567902133896813</v>
      </c>
      <c r="K20" s="59">
        <f t="shared" si="11"/>
        <v>0.74567902133896813</v>
      </c>
      <c r="L20" s="59">
        <f t="shared" si="11"/>
        <v>0.74567902133896813</v>
      </c>
      <c r="M20" s="59">
        <f t="shared" si="11"/>
        <v>0.74567902133896813</v>
      </c>
      <c r="N20" s="59">
        <f t="shared" si="11"/>
        <v>0.74567902133896813</v>
      </c>
      <c r="O20" s="59">
        <f t="shared" si="11"/>
        <v>0.74567902133896813</v>
      </c>
      <c r="P20" s="59">
        <f t="shared" si="11"/>
        <v>0.74567902133896813</v>
      </c>
      <c r="R20" s="7"/>
      <c r="S20" s="7"/>
      <c r="T20" s="7"/>
      <c r="U20" s="7"/>
      <c r="V20" s="7"/>
    </row>
    <row r="21" spans="1:22" ht="15.75" customHeight="1">
      <c r="A21" s="59" t="s">
        <v>537</v>
      </c>
      <c r="B21" s="59">
        <f t="shared" ref="B21:P21" si="12">B19*B20</f>
        <v>3049.4096170244297</v>
      </c>
      <c r="C21" s="59">
        <f t="shared" si="12"/>
        <v>4235.4121004640592</v>
      </c>
      <c r="D21" s="59">
        <f t="shared" si="12"/>
        <v>4167.562766312426</v>
      </c>
      <c r="E21" s="59">
        <f t="shared" si="12"/>
        <v>4425.3962015208008</v>
      </c>
      <c r="F21" s="59">
        <f t="shared" si="12"/>
        <v>5189.970729260498</v>
      </c>
      <c r="G21" s="59">
        <f t="shared" si="12"/>
        <v>4992.5372947805799</v>
      </c>
      <c r="H21" s="59">
        <f t="shared" si="12"/>
        <v>4659.0696364377936</v>
      </c>
      <c r="I21" s="59">
        <f t="shared" si="12"/>
        <v>5712.1548343237509</v>
      </c>
      <c r="J21" s="59">
        <f t="shared" si="12"/>
        <v>5877.0617498928641</v>
      </c>
      <c r="K21" s="59">
        <f t="shared" si="12"/>
        <v>7531.656387132115</v>
      </c>
      <c r="L21" s="59">
        <f t="shared" si="12"/>
        <v>9375.4578931466986</v>
      </c>
      <c r="M21" s="59">
        <f t="shared" si="12"/>
        <v>10899.68592593912</v>
      </c>
      <c r="N21" s="59">
        <f t="shared" si="12"/>
        <v>12702.699377559307</v>
      </c>
      <c r="O21" s="59">
        <f t="shared" si="12"/>
        <v>14834.685785095466</v>
      </c>
      <c r="P21" s="59">
        <f t="shared" si="12"/>
        <v>17355.006209107061</v>
      </c>
      <c r="R21" s="7"/>
      <c r="S21" s="7"/>
      <c r="T21" s="7"/>
      <c r="U21" s="7"/>
      <c r="V21" s="7"/>
    </row>
    <row r="22" spans="1:22" ht="15.75" customHeight="1">
      <c r="A22" s="59" t="s">
        <v>538</v>
      </c>
      <c r="B22" s="59">
        <f t="shared" ref="B22:P22" si="13">B6*B20</f>
        <v>3078.4612716957959</v>
      </c>
      <c r="C22" s="59">
        <f t="shared" si="13"/>
        <v>3574.0022653266074</v>
      </c>
      <c r="D22" s="59">
        <f t="shared" si="13"/>
        <v>3302.3364842723945</v>
      </c>
      <c r="E22" s="59">
        <f t="shared" si="13"/>
        <v>3613.4114016043718</v>
      </c>
      <c r="F22" s="59">
        <f t="shared" si="13"/>
        <v>3875.9798985982493</v>
      </c>
      <c r="G22" s="59">
        <f t="shared" si="13"/>
        <v>3809.9276508880434</v>
      </c>
      <c r="H22" s="59">
        <f t="shared" si="13"/>
        <v>3681.9989579871299</v>
      </c>
      <c r="I22" s="59">
        <f t="shared" si="13"/>
        <v>3921.3768374173656</v>
      </c>
      <c r="J22" s="59">
        <f t="shared" si="13"/>
        <v>4820.5464285087473</v>
      </c>
      <c r="K22" s="59">
        <f t="shared" si="13"/>
        <v>6535.6380047492275</v>
      </c>
      <c r="L22" s="59">
        <f t="shared" si="13"/>
        <v>7745.1239099616623</v>
      </c>
      <c r="M22" s="59">
        <f t="shared" si="13"/>
        <v>9178.4374130068627</v>
      </c>
      <c r="N22" s="59">
        <f t="shared" si="13"/>
        <v>10877.000074347565</v>
      </c>
      <c r="O22" s="59">
        <f t="shared" si="13"/>
        <v>12889.898933090702</v>
      </c>
      <c r="P22" s="59">
        <f t="shared" si="13"/>
        <v>15275.305081328594</v>
      </c>
      <c r="R22" s="6"/>
      <c r="S22" s="6"/>
      <c r="T22" s="6"/>
      <c r="U22" s="6"/>
      <c r="V22" s="6"/>
    </row>
    <row r="23" spans="1:22" ht="15.75" customHeight="1">
      <c r="A23" s="59" t="s">
        <v>539</v>
      </c>
      <c r="B23" s="59">
        <f t="shared" ref="B23:P23" si="14">B9*B20</f>
        <v>4.8394568484899034</v>
      </c>
      <c r="C23" s="59">
        <f t="shared" si="14"/>
        <v>0.78296297240591661</v>
      </c>
      <c r="D23" s="59">
        <f t="shared" si="14"/>
        <v>1.0439506298745553</v>
      </c>
      <c r="E23" s="59">
        <f t="shared" si="14"/>
        <v>0.97683951795404833</v>
      </c>
      <c r="F23" s="59">
        <f t="shared" si="14"/>
        <v>3.3406420155985774</v>
      </c>
      <c r="G23" s="59">
        <f t="shared" si="14"/>
        <v>2.3563457074311396</v>
      </c>
      <c r="H23" s="59">
        <f t="shared" si="14"/>
        <v>4.9662222821175277</v>
      </c>
      <c r="I23" s="59">
        <f t="shared" si="14"/>
        <v>6.4575803247954644</v>
      </c>
      <c r="J23" s="59">
        <f t="shared" si="14"/>
        <v>29.46177813310263</v>
      </c>
      <c r="K23" s="59">
        <f t="shared" si="14"/>
        <v>45.009185728020114</v>
      </c>
      <c r="L23" s="59">
        <f t="shared" si="14"/>
        <v>11.055861350524143</v>
      </c>
      <c r="M23" s="59">
        <f t="shared" si="14"/>
        <v>12.053784910153075</v>
      </c>
      <c r="N23" s="59">
        <f t="shared" si="14"/>
        <v>13.118214952846612</v>
      </c>
      <c r="O23" s="59">
        <f t="shared" si="14"/>
        <v>14.254558455677911</v>
      </c>
      <c r="P23" s="59">
        <f t="shared" si="14"/>
        <v>15.46866198295616</v>
      </c>
      <c r="R23" s="6"/>
      <c r="S23" s="6"/>
      <c r="T23" s="6"/>
      <c r="U23" s="6"/>
      <c r="V23" s="6"/>
    </row>
    <row r="24" spans="1:22" ht="15.75" customHeight="1">
      <c r="A24" s="59" t="s">
        <v>540</v>
      </c>
      <c r="B24" s="59">
        <f t="shared" ref="B24:P24" si="15">B8</f>
        <v>267.45999999999998</v>
      </c>
      <c r="C24" s="59">
        <f t="shared" si="15"/>
        <v>307.16000000000003</v>
      </c>
      <c r="D24" s="59">
        <f t="shared" si="15"/>
        <v>307.29000000000002</v>
      </c>
      <c r="E24" s="59">
        <f t="shared" si="15"/>
        <v>314.8</v>
      </c>
      <c r="F24" s="59">
        <f t="shared" si="15"/>
        <v>265.69</v>
      </c>
      <c r="G24" s="59">
        <f t="shared" si="15"/>
        <v>246.43</v>
      </c>
      <c r="H24" s="59">
        <f t="shared" si="15"/>
        <v>259.37</v>
      </c>
      <c r="I24" s="59">
        <f t="shared" si="15"/>
        <v>269.76</v>
      </c>
      <c r="J24" s="59">
        <f t="shared" si="15"/>
        <v>285.85000000000002</v>
      </c>
      <c r="K24" s="59">
        <f t="shared" si="15"/>
        <v>364.77</v>
      </c>
      <c r="L24" s="132">
        <f t="shared" si="15"/>
        <v>560.03698564910053</v>
      </c>
      <c r="M24" s="132">
        <f t="shared" si="15"/>
        <v>661.39847982199603</v>
      </c>
      <c r="N24" s="132">
        <f t="shared" si="15"/>
        <v>762.75997399489154</v>
      </c>
      <c r="O24" s="132">
        <f t="shared" si="15"/>
        <v>864.12146816778704</v>
      </c>
      <c r="P24" s="132">
        <f t="shared" si="15"/>
        <v>965.48296234068255</v>
      </c>
      <c r="R24" s="7"/>
      <c r="S24" s="7"/>
      <c r="T24" s="7"/>
      <c r="U24" s="7"/>
      <c r="V24" s="7"/>
    </row>
    <row r="25" spans="1:22" ht="15.75" customHeight="1">
      <c r="A25" s="59" t="s">
        <v>541</v>
      </c>
      <c r="B25" s="59">
        <f t="shared" ref="B25:P25" si="16">B18*B24</f>
        <v>68.020688952679578</v>
      </c>
      <c r="C25" s="59">
        <f t="shared" si="16"/>
        <v>78.11723180552255</v>
      </c>
      <c r="D25" s="59">
        <f t="shared" si="16"/>
        <v>78.150293532748492</v>
      </c>
      <c r="E25" s="59">
        <f t="shared" si="16"/>
        <v>80.060244082492829</v>
      </c>
      <c r="F25" s="59">
        <f t="shared" si="16"/>
        <v>67.570540820449551</v>
      </c>
      <c r="G25" s="59">
        <f t="shared" si="16"/>
        <v>62.672318771438086</v>
      </c>
      <c r="H25" s="59">
        <f t="shared" si="16"/>
        <v>65.963232235311835</v>
      </c>
      <c r="I25" s="59">
        <f t="shared" si="16"/>
        <v>68.605627203599951</v>
      </c>
      <c r="J25" s="59">
        <f t="shared" si="16"/>
        <v>72.697651750255972</v>
      </c>
      <c r="K25" s="59">
        <f t="shared" si="16"/>
        <v>92.768663386184585</v>
      </c>
      <c r="L25" s="59">
        <f t="shared" si="16"/>
        <v>142.42915427665352</v>
      </c>
      <c r="M25" s="59">
        <f t="shared" si="16"/>
        <v>168.20750867324878</v>
      </c>
      <c r="N25" s="59">
        <f t="shared" si="16"/>
        <v>193.98586306984404</v>
      </c>
      <c r="O25" s="59">
        <f t="shared" si="16"/>
        <v>219.76421746643931</v>
      </c>
      <c r="P25" s="59">
        <f t="shared" si="16"/>
        <v>245.54257186303457</v>
      </c>
      <c r="R25" s="7"/>
      <c r="S25" s="7"/>
      <c r="T25" s="7"/>
      <c r="U25" s="7"/>
      <c r="V25" s="7"/>
    </row>
    <row r="26" spans="1:22" ht="15.75" customHeight="1">
      <c r="A26" s="59" t="s">
        <v>542</v>
      </c>
      <c r="B26" s="59">
        <f>bs!B57</f>
        <v>0</v>
      </c>
      <c r="C26" s="132">
        <f>bs!C57</f>
        <v>-625.0600000000004</v>
      </c>
      <c r="D26" s="132">
        <f>bs!D57</f>
        <v>-33.949999999999818</v>
      </c>
      <c r="E26" s="132">
        <f>bs!E57</f>
        <v>-109.16000000000008</v>
      </c>
      <c r="F26" s="132">
        <f>bs!F57</f>
        <v>-122.83999999999992</v>
      </c>
      <c r="G26" s="132">
        <f>bs!G57</f>
        <v>-52.75</v>
      </c>
      <c r="H26" s="132">
        <f>bs!H57</f>
        <v>-75.680000000000064</v>
      </c>
      <c r="I26" s="132">
        <f>bs!I57</f>
        <v>229.73000000000002</v>
      </c>
      <c r="J26" s="132">
        <f>bs!J57</f>
        <v>1014.2499999999998</v>
      </c>
      <c r="K26" s="132">
        <f>bs!K57</f>
        <v>324.96000000000004</v>
      </c>
      <c r="L26" s="132">
        <f>bs!L57</f>
        <v>899.98610978451916</v>
      </c>
      <c r="M26" s="132">
        <f>bs!M57</f>
        <v>751.55599819410509</v>
      </c>
      <c r="N26" s="132">
        <f>bs!N57</f>
        <v>751.555998194106</v>
      </c>
      <c r="O26" s="132">
        <f>bs!O57</f>
        <v>751.555998194106</v>
      </c>
      <c r="P26" s="132">
        <f>bs!P57</f>
        <v>751.555998194106</v>
      </c>
      <c r="R26" s="7"/>
      <c r="S26" s="7"/>
      <c r="T26" s="7"/>
      <c r="U26" s="7"/>
      <c r="V26" s="7"/>
    </row>
    <row r="27" spans="1:22" ht="15.75" customHeight="1">
      <c r="A27" s="59" t="s">
        <v>543</v>
      </c>
      <c r="B27" s="59"/>
      <c r="C27" s="136">
        <f>bs!C62</f>
        <v>-81</v>
      </c>
      <c r="D27" s="136">
        <f>bs!D62</f>
        <v>-139</v>
      </c>
      <c r="E27" s="136">
        <f>bs!E62</f>
        <v>-437</v>
      </c>
      <c r="F27" s="136">
        <f>bs!F62</f>
        <v>582</v>
      </c>
      <c r="G27" s="136">
        <f>bs!G62</f>
        <v>95</v>
      </c>
      <c r="H27" s="136">
        <f>bs!H62</f>
        <v>-106</v>
      </c>
      <c r="I27" s="136">
        <f>bs!I62</f>
        <v>-416</v>
      </c>
      <c r="J27" s="136">
        <f>bs!J62</f>
        <v>151</v>
      </c>
      <c r="K27" s="136">
        <f>bs!K62</f>
        <v>-928</v>
      </c>
      <c r="L27" s="59">
        <f>bs!L62</f>
        <v>0</v>
      </c>
      <c r="M27" s="59">
        <f>bs!M62</f>
        <v>0</v>
      </c>
      <c r="N27" s="59">
        <f>bs!N62</f>
        <v>0</v>
      </c>
      <c r="O27" s="59">
        <f>bs!O62</f>
        <v>0</v>
      </c>
      <c r="P27" s="59">
        <f>bs!P62</f>
        <v>0</v>
      </c>
      <c r="R27" s="7"/>
      <c r="S27" s="7"/>
      <c r="T27" s="7"/>
      <c r="U27" s="7"/>
      <c r="V27" s="7"/>
    </row>
    <row r="28" spans="1:22" ht="14.4">
      <c r="R28" s="7"/>
      <c r="S28" s="7"/>
      <c r="T28" s="7"/>
      <c r="U28" s="7"/>
      <c r="V28" s="7"/>
    </row>
    <row r="29" spans="1:22" ht="15.6">
      <c r="A29" s="87" t="s">
        <v>453</v>
      </c>
      <c r="B29" s="10">
        <v>45366</v>
      </c>
      <c r="C29" s="10">
        <v>45367</v>
      </c>
      <c r="D29" s="10">
        <v>45368</v>
      </c>
      <c r="E29" s="10">
        <v>45369</v>
      </c>
      <c r="F29" s="10">
        <v>45370</v>
      </c>
      <c r="G29" s="10">
        <v>45371</v>
      </c>
      <c r="H29" s="10">
        <v>45372</v>
      </c>
      <c r="I29" s="10">
        <v>45373</v>
      </c>
      <c r="J29" s="10">
        <v>45374</v>
      </c>
      <c r="K29" s="10">
        <v>45375</v>
      </c>
      <c r="L29" s="88">
        <v>45376</v>
      </c>
      <c r="M29" s="88">
        <v>45377</v>
      </c>
      <c r="N29" s="88">
        <v>45378</v>
      </c>
      <c r="O29" s="88">
        <v>45379</v>
      </c>
      <c r="P29" s="88">
        <v>45380</v>
      </c>
      <c r="R29" s="7"/>
      <c r="S29" s="7"/>
      <c r="T29" s="7"/>
      <c r="U29" s="7"/>
      <c r="V29" s="7"/>
    </row>
    <row r="30" spans="1:22" ht="15.6">
      <c r="A30" s="87" t="s">
        <v>454</v>
      </c>
      <c r="B30" s="124"/>
      <c r="C30" s="124">
        <f t="shared" ref="C30:P30" si="17">C12+C23+C24-C26-C27</f>
        <v>5075.2429629724065</v>
      </c>
      <c r="D30" s="124">
        <f t="shared" si="17"/>
        <v>4560.773950629874</v>
      </c>
      <c r="E30" s="124">
        <f t="shared" si="17"/>
        <v>5080.8868395179543</v>
      </c>
      <c r="F30" s="124">
        <f t="shared" si="17"/>
        <v>4737.4806420155983</v>
      </c>
      <c r="G30" s="124">
        <f t="shared" si="17"/>
        <v>5418.4463457074316</v>
      </c>
      <c r="H30" s="124">
        <f t="shared" si="17"/>
        <v>5303.0362222821177</v>
      </c>
      <c r="I30" s="124">
        <f t="shared" si="17"/>
        <v>6628.357580324795</v>
      </c>
      <c r="J30" s="124">
        <f t="shared" si="17"/>
        <v>5210.271778133103</v>
      </c>
      <c r="K30" s="124">
        <f t="shared" si="17"/>
        <v>8721.0591857280197</v>
      </c>
      <c r="L30" s="125">
        <f t="shared" si="17"/>
        <v>9035.5087690112778</v>
      </c>
      <c r="M30" s="125">
        <f t="shared" si="17"/>
        <v>10809.52840756701</v>
      </c>
      <c r="N30" s="125">
        <f t="shared" si="17"/>
        <v>12713.903353360092</v>
      </c>
      <c r="O30" s="125">
        <f t="shared" si="17"/>
        <v>14947.251255069146</v>
      </c>
      <c r="P30" s="125">
        <f t="shared" si="17"/>
        <v>17568.933173253638</v>
      </c>
      <c r="R30" s="7"/>
      <c r="S30" s="7"/>
      <c r="T30" s="7"/>
      <c r="U30" s="7"/>
      <c r="V30" s="7"/>
    </row>
    <row r="31" spans="1:22" ht="15.6">
      <c r="A31" s="89" t="s">
        <v>455</v>
      </c>
      <c r="B31" s="127"/>
      <c r="C31" s="124">
        <f t="shared" ref="C31:P31" si="18">C21+C24-C26-C27</f>
        <v>5248.6321004640595</v>
      </c>
      <c r="D31" s="124">
        <f t="shared" si="18"/>
        <v>4647.8027663124258</v>
      </c>
      <c r="E31" s="124">
        <f t="shared" si="18"/>
        <v>5286.3562015208008</v>
      </c>
      <c r="F31" s="124">
        <f t="shared" si="18"/>
        <v>4996.5007292604978</v>
      </c>
      <c r="G31" s="124">
        <f t="shared" si="18"/>
        <v>5196.7172947805802</v>
      </c>
      <c r="H31" s="124">
        <f t="shared" si="18"/>
        <v>5100.1196364377938</v>
      </c>
      <c r="I31" s="124">
        <f t="shared" si="18"/>
        <v>6168.1848343237507</v>
      </c>
      <c r="J31" s="124">
        <f t="shared" si="18"/>
        <v>4997.6617498928645</v>
      </c>
      <c r="K31" s="124">
        <f t="shared" si="18"/>
        <v>8499.4663871321136</v>
      </c>
      <c r="L31" s="129">
        <f t="shared" si="18"/>
        <v>9035.5087690112796</v>
      </c>
      <c r="M31" s="129">
        <f t="shared" si="18"/>
        <v>10809.52840756701</v>
      </c>
      <c r="N31" s="129">
        <f t="shared" si="18"/>
        <v>12713.903353360092</v>
      </c>
      <c r="O31" s="129">
        <f t="shared" si="18"/>
        <v>14947.251255069146</v>
      </c>
      <c r="P31" s="129">
        <f t="shared" si="18"/>
        <v>17568.933173253638</v>
      </c>
      <c r="R31" s="7"/>
      <c r="S31" s="7"/>
      <c r="T31" s="7"/>
      <c r="U31" s="7"/>
      <c r="V31" s="7"/>
    </row>
    <row r="32" spans="1:22" ht="15.6">
      <c r="A32" s="89" t="s">
        <v>456</v>
      </c>
      <c r="B32" s="124"/>
      <c r="C32" s="124">
        <f t="shared" ref="C32:P32" si="19">C22+C25-C26-C27</f>
        <v>4358.1794971321306</v>
      </c>
      <c r="D32" s="124">
        <f t="shared" si="19"/>
        <v>3553.4367778051428</v>
      </c>
      <c r="E32" s="124">
        <f t="shared" si="19"/>
        <v>4239.6316456868644</v>
      </c>
      <c r="F32" s="124">
        <f t="shared" si="19"/>
        <v>3484.3904394186984</v>
      </c>
      <c r="G32" s="124">
        <f t="shared" si="19"/>
        <v>3830.3499696594818</v>
      </c>
      <c r="H32" s="124">
        <f t="shared" si="19"/>
        <v>3929.642190222442</v>
      </c>
      <c r="I32" s="124">
        <f t="shared" si="19"/>
        <v>4176.2524646209658</v>
      </c>
      <c r="J32" s="124">
        <f t="shared" si="19"/>
        <v>3727.9940802590036</v>
      </c>
      <c r="K32" s="124">
        <f t="shared" si="19"/>
        <v>7231.4466681354124</v>
      </c>
      <c r="L32" s="129">
        <f t="shared" si="19"/>
        <v>6987.5669544537959</v>
      </c>
      <c r="M32" s="129">
        <f t="shared" si="19"/>
        <v>8595.0889234860078</v>
      </c>
      <c r="N32" s="129">
        <f t="shared" si="19"/>
        <v>10319.429939223302</v>
      </c>
      <c r="O32" s="129">
        <f t="shared" si="19"/>
        <v>12358.107152363036</v>
      </c>
      <c r="P32" s="129">
        <f t="shared" si="19"/>
        <v>14769.291654997522</v>
      </c>
      <c r="R32" s="7"/>
      <c r="S32" s="7"/>
      <c r="T32" s="7"/>
      <c r="U32" s="7"/>
      <c r="V32" s="7"/>
    </row>
    <row r="33" spans="1:22" ht="14.4">
      <c r="R33" s="7"/>
      <c r="S33" s="7"/>
      <c r="T33" s="7"/>
      <c r="U33" s="7"/>
      <c r="V33" s="7"/>
    </row>
    <row r="34" spans="1:22" ht="15.6">
      <c r="A34" s="87" t="s">
        <v>457</v>
      </c>
      <c r="B34" s="124"/>
      <c r="C34" s="124">
        <f t="shared" ref="C34:P34" si="20">AVERAGE(C30:C32)</f>
        <v>4894.0181868561986</v>
      </c>
      <c r="D34" s="124">
        <f t="shared" si="20"/>
        <v>4254.0044982491481</v>
      </c>
      <c r="E34" s="124">
        <f t="shared" si="20"/>
        <v>4868.9582289085401</v>
      </c>
      <c r="F34" s="124">
        <f t="shared" si="20"/>
        <v>4406.1239368982642</v>
      </c>
      <c r="G34" s="124">
        <f t="shared" si="20"/>
        <v>4815.1712033824979</v>
      </c>
      <c r="H34" s="124">
        <f t="shared" si="20"/>
        <v>4777.5993496474512</v>
      </c>
      <c r="I34" s="124">
        <f t="shared" si="20"/>
        <v>5657.5982930898363</v>
      </c>
      <c r="J34" s="124">
        <f t="shared" si="20"/>
        <v>4645.3092027616576</v>
      </c>
      <c r="K34" s="124">
        <f t="shared" si="20"/>
        <v>8150.6574136651825</v>
      </c>
      <c r="L34" s="129">
        <f t="shared" si="20"/>
        <v>8352.8614974921165</v>
      </c>
      <c r="M34" s="129">
        <f t="shared" si="20"/>
        <v>10071.381912873343</v>
      </c>
      <c r="N34" s="129">
        <f t="shared" si="20"/>
        <v>11915.745548647828</v>
      </c>
      <c r="O34" s="129">
        <f t="shared" si="20"/>
        <v>14084.203220833777</v>
      </c>
      <c r="P34" s="129">
        <f t="shared" si="20"/>
        <v>16635.719333834932</v>
      </c>
      <c r="R34" s="7"/>
      <c r="S34" s="7"/>
      <c r="T34" s="7"/>
      <c r="U34" s="7"/>
      <c r="V34" s="7"/>
    </row>
    <row r="36" spans="1:22" ht="15.6">
      <c r="A36" s="87" t="s">
        <v>544</v>
      </c>
      <c r="L36" s="87" t="s">
        <v>89</v>
      </c>
    </row>
    <row r="37" spans="1:22" ht="14.4">
      <c r="A37" s="131" t="s">
        <v>545</v>
      </c>
      <c r="B37" s="137">
        <v>0.47820000000000001</v>
      </c>
      <c r="C37" s="137">
        <v>0.39190000000000003</v>
      </c>
      <c r="D37" s="137">
        <v>0.3901</v>
      </c>
      <c r="E37" s="137">
        <v>0.41149999999999998</v>
      </c>
      <c r="F37" s="137">
        <v>0.3523</v>
      </c>
      <c r="G37" s="137">
        <v>0.6663</v>
      </c>
      <c r="H37" s="137">
        <v>0.83409999999999995</v>
      </c>
      <c r="I37" s="137">
        <v>0.65700000000000003</v>
      </c>
      <c r="J37" s="137">
        <v>0.65369999999999995</v>
      </c>
      <c r="K37" s="137">
        <v>0.28970000000000001</v>
      </c>
      <c r="L37" s="138">
        <f t="shared" ref="L37:L38" si="21">AVERAGE(B37:K37)</f>
        <v>0.51247999999999994</v>
      </c>
      <c r="M37" s="138">
        <f t="shared" ref="M37:P37" si="22">L37</f>
        <v>0.51247999999999994</v>
      </c>
      <c r="N37" s="138">
        <f t="shared" si="22"/>
        <v>0.51247999999999994</v>
      </c>
      <c r="O37" s="138">
        <f t="shared" si="22"/>
        <v>0.51247999999999994</v>
      </c>
      <c r="P37" s="138">
        <f t="shared" si="22"/>
        <v>0.51247999999999994</v>
      </c>
      <c r="Q37" s="7"/>
    </row>
    <row r="38" spans="1:22" ht="14.4">
      <c r="A38" s="131" t="s">
        <v>546</v>
      </c>
      <c r="B38" s="137">
        <f t="shared" ref="B38:K38" si="23">B6/B4</f>
        <v>0.19116998773815214</v>
      </c>
      <c r="C38" s="137">
        <f t="shared" si="23"/>
        <v>0.21232461329981939</v>
      </c>
      <c r="D38" s="137">
        <f t="shared" si="23"/>
        <v>0.20357099516794516</v>
      </c>
      <c r="E38" s="137">
        <f t="shared" si="23"/>
        <v>0.1922179077847499</v>
      </c>
      <c r="F38" s="137">
        <f t="shared" si="23"/>
        <v>0.17122285237681598</v>
      </c>
      <c r="G38" s="137">
        <f t="shared" si="23"/>
        <v>0.17077441662641862</v>
      </c>
      <c r="H38" s="137">
        <f t="shared" si="23"/>
        <v>0.17799523306230325</v>
      </c>
      <c r="I38" s="137">
        <f t="shared" si="23"/>
        <v>0.15866181963879003</v>
      </c>
      <c r="J38" s="137">
        <f t="shared" si="23"/>
        <v>0.17733020475990102</v>
      </c>
      <c r="K38" s="137">
        <f t="shared" si="23"/>
        <v>0.19533309576039276</v>
      </c>
      <c r="L38" s="138">
        <f t="shared" si="21"/>
        <v>0.18506011262152883</v>
      </c>
      <c r="M38" s="138">
        <f t="shared" ref="M38:P38" si="24">L38</f>
        <v>0.18506011262152883</v>
      </c>
      <c r="N38" s="138">
        <f t="shared" si="24"/>
        <v>0.18506011262152883</v>
      </c>
      <c r="O38" s="138">
        <f t="shared" si="24"/>
        <v>0.18506011262152883</v>
      </c>
      <c r="P38" s="138">
        <f t="shared" si="24"/>
        <v>0.18506011262152883</v>
      </c>
      <c r="Q38" s="7"/>
    </row>
    <row r="39" spans="1:22" ht="14.4">
      <c r="A39" s="131" t="s">
        <v>547</v>
      </c>
      <c r="B39" s="131"/>
      <c r="C39" s="131"/>
      <c r="D39" s="131"/>
      <c r="E39" s="131"/>
      <c r="F39" s="131"/>
      <c r="G39" s="138">
        <f t="shared" ref="G39:K39" si="25">G7/G4</f>
        <v>6.124541047139493E-2</v>
      </c>
      <c r="H39" s="138">
        <f t="shared" si="25"/>
        <v>5.6583233241099477E-2</v>
      </c>
      <c r="I39" s="138">
        <f t="shared" si="25"/>
        <v>8.0595063284608623E-2</v>
      </c>
      <c r="J39" s="138">
        <f t="shared" si="25"/>
        <v>4.6706412057699036E-2</v>
      </c>
      <c r="K39" s="138">
        <f t="shared" si="25"/>
        <v>3.7897787028116289E-2</v>
      </c>
      <c r="L39" s="138">
        <f>AVERAGE(G39:K39)</f>
        <v>5.6605581216583677E-2</v>
      </c>
      <c r="M39" s="131"/>
      <c r="N39" s="131"/>
      <c r="O39" s="131"/>
      <c r="P39" s="131"/>
      <c r="Q39" s="7"/>
    </row>
    <row r="40" spans="1:22" ht="14.4">
      <c r="A40" s="131" t="s">
        <v>548</v>
      </c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8">
        <f>bs!L64</f>
        <v>0.13940388504148249</v>
      </c>
      <c r="M40" s="131"/>
      <c r="N40" s="131"/>
      <c r="O40" s="131"/>
      <c r="P40" s="131"/>
      <c r="Q40" s="7"/>
    </row>
    <row r="41" spans="1:22" ht="14.4">
      <c r="A41" s="59" t="s">
        <v>549</v>
      </c>
      <c r="B41" s="59"/>
      <c r="C41" s="139">
        <f>C9/bs!C68</f>
        <v>9.1304347826086964E-3</v>
      </c>
      <c r="D41" s="139">
        <f>D9/bs!D68</f>
        <v>1.1764705882352941E-2</v>
      </c>
      <c r="E41" s="139">
        <f>E9/bs!E68</f>
        <v>1.0871369294605809E-2</v>
      </c>
      <c r="F41" s="139">
        <f>F9/bs!F68</f>
        <v>3.6422764227642283E-2</v>
      </c>
      <c r="G41" s="139">
        <f>G9/bs!G68</f>
        <v>2.5179282868525898E-2</v>
      </c>
      <c r="H41" s="139">
        <f>H9/bs!H68</f>
        <v>5.3927125506072877E-2</v>
      </c>
      <c r="I41" s="139">
        <f>I9/bs!I68</f>
        <v>7.0983606557377052E-2</v>
      </c>
      <c r="J41" s="140">
        <f>J9/bs!J68</f>
        <v>0.31991902834008096</v>
      </c>
      <c r="K41" s="139">
        <f>K9/bs!K68</f>
        <v>5.9292730844793716E-2</v>
      </c>
      <c r="L41" s="59"/>
      <c r="M41" s="59"/>
      <c r="N41" s="59"/>
      <c r="O41" s="131"/>
      <c r="P41" s="131"/>
      <c r="Q41" s="7"/>
    </row>
    <row r="42" spans="1:22" ht="14.4">
      <c r="A42" s="59" t="s">
        <v>550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139">
        <f>AVERAGE(C41:I41,K41)</f>
        <v>3.4696502495497404E-2</v>
      </c>
      <c r="M42" s="59"/>
      <c r="N42" s="59"/>
      <c r="O42" s="131"/>
      <c r="P42" s="131"/>
      <c r="Q42" s="7"/>
    </row>
    <row r="43" spans="1:22" ht="14.4">
      <c r="A43" s="59" t="s">
        <v>551</v>
      </c>
      <c r="B43" s="59"/>
      <c r="C43" s="59"/>
      <c r="D43" s="59"/>
      <c r="E43" s="59"/>
      <c r="F43" s="59"/>
      <c r="G43" s="59"/>
      <c r="H43" s="59"/>
      <c r="I43" s="59"/>
      <c r="J43" s="59"/>
      <c r="K43" s="59">
        <f>(K12)/K13</f>
        <v>27.920312952767315</v>
      </c>
      <c r="L43" s="59">
        <f t="shared" ref="L43:P43" si="26">K43</f>
        <v>27.920312952767315</v>
      </c>
      <c r="M43" s="59">
        <f t="shared" si="26"/>
        <v>27.920312952767315</v>
      </c>
      <c r="N43" s="59">
        <f t="shared" si="26"/>
        <v>27.920312952767315</v>
      </c>
      <c r="O43" s="59">
        <f t="shared" si="26"/>
        <v>27.920312952767315</v>
      </c>
      <c r="P43" s="59">
        <f t="shared" si="26"/>
        <v>27.920312952767315</v>
      </c>
      <c r="Q43" s="7"/>
    </row>
    <row r="44" spans="1:22" ht="14.4">
      <c r="O44" s="7"/>
      <c r="P44" s="7"/>
      <c r="Q44" s="7"/>
    </row>
    <row r="45" spans="1:22" ht="14.4">
      <c r="A45" s="53" t="s">
        <v>552</v>
      </c>
      <c r="D45" s="56">
        <f t="shared" ref="D45:P45" si="27">(D34-C34)/C34</f>
        <v>-0.13077468537528669</v>
      </c>
      <c r="E45" s="56">
        <f t="shared" si="27"/>
        <v>0.14455878711752493</v>
      </c>
      <c r="F45" s="56">
        <f t="shared" si="27"/>
        <v>-9.5058176770193431E-2</v>
      </c>
      <c r="G45" s="56">
        <f t="shared" si="27"/>
        <v>9.2836078227111027E-2</v>
      </c>
      <c r="H45" s="56">
        <f t="shared" si="27"/>
        <v>-7.8028074492250115E-3</v>
      </c>
      <c r="I45" s="56">
        <f t="shared" si="27"/>
        <v>0.1841927041260423</v>
      </c>
      <c r="J45" s="56">
        <f t="shared" si="27"/>
        <v>-0.17892558606795816</v>
      </c>
      <c r="K45" s="56">
        <f t="shared" si="27"/>
        <v>0.7545995450248133</v>
      </c>
      <c r="L45" s="56">
        <f t="shared" si="27"/>
        <v>2.4808315889700366E-2</v>
      </c>
      <c r="M45" s="56">
        <f t="shared" si="27"/>
        <v>0.20574032215154042</v>
      </c>
      <c r="N45" s="56">
        <f t="shared" si="27"/>
        <v>0.18312915265550608</v>
      </c>
      <c r="O45" s="56">
        <f t="shared" si="27"/>
        <v>0.18198254262252353</v>
      </c>
      <c r="P45" s="56">
        <f t="shared" si="27"/>
        <v>0.18116155191703534</v>
      </c>
      <c r="Q45" s="7"/>
    </row>
    <row r="46" spans="1:22" ht="14.4">
      <c r="J46" s="141"/>
      <c r="K46" s="142"/>
      <c r="L46" s="36" t="s">
        <v>553</v>
      </c>
      <c r="M46" s="143">
        <f>AVERAGE(D45:P45)</f>
        <v>0.11849598031301031</v>
      </c>
      <c r="N46" s="142"/>
      <c r="O46" s="7"/>
      <c r="P46" s="7"/>
      <c r="Q46" s="7"/>
    </row>
    <row r="47" spans="1:22" ht="14.4">
      <c r="J47" s="7"/>
      <c r="K47" s="7"/>
      <c r="L47" s="7" t="s">
        <v>554</v>
      </c>
      <c r="M47" s="7"/>
      <c r="N47" s="7"/>
      <c r="O47" s="7"/>
      <c r="P47" s="7"/>
      <c r="Q47" s="7"/>
    </row>
    <row r="48" spans="1:22" ht="14.4">
      <c r="G48" s="144"/>
      <c r="J48" s="7"/>
      <c r="K48" s="7"/>
      <c r="L48" s="7"/>
      <c r="M48" s="7"/>
      <c r="N48" s="7"/>
      <c r="O48" s="145"/>
      <c r="P48" s="7"/>
      <c r="Q48" s="7"/>
    </row>
    <row r="49" spans="1:17" ht="14.4">
      <c r="J49" s="7"/>
      <c r="K49" s="7"/>
      <c r="L49" s="7"/>
      <c r="M49" s="7"/>
      <c r="N49" s="7"/>
      <c r="O49" s="7"/>
      <c r="P49" s="7"/>
      <c r="Q49" s="7"/>
    </row>
    <row r="50" spans="1:17" ht="14.4">
      <c r="J50" s="7"/>
      <c r="K50" s="7"/>
      <c r="L50" s="7"/>
      <c r="M50" s="7"/>
      <c r="N50" s="7"/>
      <c r="O50" s="7"/>
      <c r="P50" s="7"/>
      <c r="Q50" s="7"/>
    </row>
    <row r="51" spans="1:17" ht="14.4">
      <c r="J51" s="7"/>
      <c r="K51" s="7"/>
      <c r="L51" s="7"/>
      <c r="M51" s="7"/>
      <c r="N51" s="7"/>
      <c r="O51" s="7"/>
      <c r="P51" s="7"/>
      <c r="Q51" s="7"/>
    </row>
    <row r="52" spans="1:17" ht="14.4">
      <c r="J52" s="7"/>
      <c r="K52" s="7"/>
      <c r="L52" s="7"/>
      <c r="M52" s="7"/>
      <c r="N52" s="7"/>
      <c r="O52" s="7"/>
      <c r="P52" s="7"/>
      <c r="Q52" s="7"/>
    </row>
    <row r="53" spans="1:17" ht="14.4">
      <c r="J53" s="7"/>
      <c r="K53" s="7"/>
      <c r="L53" s="7"/>
      <c r="M53" s="7"/>
      <c r="N53" s="7"/>
      <c r="O53" s="7"/>
      <c r="P53" s="7"/>
      <c r="Q53" s="7"/>
    </row>
    <row r="54" spans="1:17" ht="14.4">
      <c r="J54" s="7"/>
      <c r="K54" s="7"/>
      <c r="L54" s="7"/>
      <c r="M54" s="7"/>
      <c r="N54" s="7"/>
      <c r="O54" s="7"/>
      <c r="P54" s="7"/>
      <c r="Q54" s="7"/>
    </row>
    <row r="55" spans="1:17" ht="14.4">
      <c r="J55" s="7"/>
      <c r="K55" s="7"/>
      <c r="L55" s="7"/>
      <c r="M55" s="7"/>
      <c r="N55" s="7"/>
      <c r="O55" s="7"/>
      <c r="P55" s="7"/>
      <c r="Q55" s="7"/>
    </row>
    <row r="62" spans="1:17" ht="14.4">
      <c r="A62" s="146" t="s">
        <v>555</v>
      </c>
      <c r="B62" s="146" t="s">
        <v>556</v>
      </c>
      <c r="C62" s="146" t="s">
        <v>557</v>
      </c>
      <c r="D62" s="146" t="s">
        <v>558</v>
      </c>
      <c r="E62" s="146" t="s">
        <v>559</v>
      </c>
      <c r="F62" s="146" t="s">
        <v>560</v>
      </c>
      <c r="G62" s="146" t="s">
        <v>561</v>
      </c>
      <c r="H62" s="146" t="s">
        <v>562</v>
      </c>
    </row>
    <row r="63" spans="1:17" ht="14.4">
      <c r="A63" s="7" t="s">
        <v>563</v>
      </c>
      <c r="B63" s="77">
        <v>8.4599999999999995E-2</v>
      </c>
      <c r="C63" s="77">
        <v>0.109</v>
      </c>
      <c r="D63" s="147">
        <v>8.1299999999999997E-2</v>
      </c>
      <c r="E63" s="77">
        <v>0.17380000000000001</v>
      </c>
      <c r="F63" s="77">
        <v>0.23080000000000001</v>
      </c>
      <c r="G63" s="148">
        <v>0.23080000000000001</v>
      </c>
      <c r="H63" s="148">
        <v>8.1299999999999997E-2</v>
      </c>
    </row>
    <row r="64" spans="1:17" ht="14.4">
      <c r="A64" s="7" t="s">
        <v>546</v>
      </c>
      <c r="B64" s="77">
        <v>0.1837</v>
      </c>
      <c r="C64" s="77">
        <v>0.1782</v>
      </c>
      <c r="D64" s="77">
        <v>0.1774</v>
      </c>
      <c r="E64" s="77">
        <v>0.17899999999999999</v>
      </c>
      <c r="F64" s="77">
        <v>0.19789999999999999</v>
      </c>
      <c r="G64" s="148">
        <v>0.19789999999999999</v>
      </c>
      <c r="H64" s="148">
        <v>0.1774</v>
      </c>
    </row>
    <row r="65" spans="1:9" ht="14.4">
      <c r="A65" s="7" t="s">
        <v>564</v>
      </c>
      <c r="B65" s="7">
        <v>21.09</v>
      </c>
      <c r="C65" s="7">
        <v>21.96</v>
      </c>
      <c r="D65" s="7">
        <v>23.29</v>
      </c>
      <c r="E65" s="7">
        <v>26.67</v>
      </c>
      <c r="F65" s="7">
        <v>38.24</v>
      </c>
      <c r="G65" s="6">
        <v>38.24</v>
      </c>
      <c r="H65" s="6">
        <v>21.09</v>
      </c>
    </row>
    <row r="66" spans="1:9" ht="14.4">
      <c r="A66" s="7"/>
      <c r="B66" s="7"/>
      <c r="C66" s="7"/>
      <c r="D66" s="7"/>
      <c r="E66" s="7"/>
      <c r="F66" s="7"/>
      <c r="G66" s="7"/>
      <c r="H66" s="7"/>
      <c r="I66" s="7"/>
    </row>
    <row r="67" spans="1:9" ht="14.4">
      <c r="A67" s="141"/>
      <c r="B67" s="141"/>
      <c r="C67" s="141"/>
      <c r="D67" s="141"/>
      <c r="E67" s="141"/>
      <c r="F67" s="141"/>
      <c r="G67" s="141"/>
      <c r="H67" s="141"/>
      <c r="I67" s="141"/>
    </row>
    <row r="68" spans="1:9" ht="14.4">
      <c r="A68" s="7"/>
      <c r="B68" s="7"/>
      <c r="C68" s="7"/>
      <c r="D68" s="7"/>
      <c r="E68" s="7"/>
      <c r="F68" s="7"/>
      <c r="G68" s="7"/>
      <c r="H68" s="7"/>
      <c r="I68" s="7"/>
    </row>
    <row r="69" spans="1:9" ht="14.4">
      <c r="A69" s="9" t="s">
        <v>102</v>
      </c>
      <c r="B69" s="146" t="s">
        <v>565</v>
      </c>
      <c r="C69" s="146" t="s">
        <v>566</v>
      </c>
      <c r="D69" s="146" t="s">
        <v>567</v>
      </c>
      <c r="E69" s="7"/>
      <c r="F69" s="7"/>
      <c r="G69" s="7"/>
      <c r="H69" s="7"/>
      <c r="I69" s="7"/>
    </row>
    <row r="70" spans="1:9" ht="14.4">
      <c r="A70" s="6" t="s">
        <v>512</v>
      </c>
      <c r="B70" s="49">
        <v>46490.59</v>
      </c>
      <c r="C70" s="49">
        <v>55227.94</v>
      </c>
      <c r="D70" s="49">
        <v>48649.22</v>
      </c>
      <c r="E70" s="7"/>
      <c r="F70" s="7"/>
      <c r="G70" s="7"/>
      <c r="H70" s="7"/>
      <c r="I70" s="7"/>
    </row>
    <row r="71" spans="1:9" ht="14.4">
      <c r="A71" s="7" t="s">
        <v>514</v>
      </c>
      <c r="B71" s="45">
        <v>37290.86</v>
      </c>
      <c r="C71" s="45">
        <v>44299.23</v>
      </c>
      <c r="D71" s="45">
        <v>40019.040000000001</v>
      </c>
      <c r="E71" s="7"/>
      <c r="F71" s="7"/>
      <c r="G71" s="7"/>
      <c r="H71" s="7"/>
      <c r="I71" s="7"/>
    </row>
    <row r="72" spans="1:9" ht="14.4">
      <c r="A72" s="6" t="s">
        <v>568</v>
      </c>
      <c r="B72" s="49">
        <v>9199.73</v>
      </c>
      <c r="C72" s="49">
        <v>10928.71</v>
      </c>
      <c r="D72" s="49">
        <v>8630.18</v>
      </c>
      <c r="E72" s="7"/>
      <c r="F72" s="7"/>
      <c r="G72" s="7"/>
      <c r="H72" s="7"/>
      <c r="I72" s="7"/>
    </row>
    <row r="73" spans="1:9" ht="14.4">
      <c r="A73" s="7" t="s">
        <v>547</v>
      </c>
      <c r="B73" s="45">
        <v>1687.83</v>
      </c>
      <c r="C73" s="7" t="s">
        <v>569</v>
      </c>
      <c r="D73" s="7" t="s">
        <v>569</v>
      </c>
      <c r="E73" s="7"/>
      <c r="F73" s="7"/>
      <c r="G73" s="7"/>
      <c r="H73" s="7"/>
      <c r="I73" s="7"/>
    </row>
    <row r="74" spans="1:9" ht="14.4">
      <c r="A74" s="7" t="s">
        <v>570</v>
      </c>
      <c r="B74" s="7">
        <v>372.55</v>
      </c>
      <c r="C74" s="7">
        <v>372.55</v>
      </c>
      <c r="D74" s="7">
        <v>372.55</v>
      </c>
      <c r="E74" s="7"/>
      <c r="F74" s="7"/>
      <c r="G74" s="7"/>
      <c r="H74" s="7"/>
      <c r="I74" s="7"/>
    </row>
    <row r="75" spans="1:9" ht="14.4">
      <c r="A75" s="7" t="s">
        <v>571</v>
      </c>
      <c r="B75" s="7">
        <v>95.24</v>
      </c>
      <c r="C75" s="7">
        <v>95.24</v>
      </c>
      <c r="D75" s="7">
        <v>95.24</v>
      </c>
      <c r="E75" s="7"/>
      <c r="F75" s="7"/>
      <c r="G75" s="7"/>
      <c r="H75" s="7"/>
      <c r="I75" s="7"/>
    </row>
    <row r="76" spans="1:9" ht="14.4">
      <c r="A76" s="7" t="s">
        <v>572</v>
      </c>
      <c r="B76" s="45">
        <v>10419.77</v>
      </c>
      <c r="C76" s="45">
        <v>10460.92</v>
      </c>
      <c r="D76" s="45">
        <v>8162.39</v>
      </c>
      <c r="E76" s="7"/>
      <c r="F76" s="7"/>
      <c r="G76" s="7"/>
      <c r="H76" s="7"/>
      <c r="I76" s="7"/>
    </row>
    <row r="77" spans="1:9" ht="14.4">
      <c r="A77" s="7" t="s">
        <v>526</v>
      </c>
      <c r="B77" s="45">
        <v>2413.88</v>
      </c>
      <c r="C77" s="149">
        <v>0.23</v>
      </c>
      <c r="D77" s="149">
        <v>0.23</v>
      </c>
    </row>
    <row r="78" spans="1:9" ht="14.4">
      <c r="A78" s="6" t="s">
        <v>573</v>
      </c>
      <c r="B78" s="49">
        <v>8005.89</v>
      </c>
      <c r="C78" s="49">
        <v>8037.51</v>
      </c>
      <c r="D78" s="49">
        <v>6271.47</v>
      </c>
    </row>
    <row r="79" spans="1:9" ht="14.4">
      <c r="A79" s="7" t="s">
        <v>530</v>
      </c>
      <c r="B79" s="7">
        <v>286.68</v>
      </c>
      <c r="C79" s="7">
        <v>287.82</v>
      </c>
      <c r="D79" s="7">
        <v>224.58</v>
      </c>
    </row>
    <row r="80" spans="1:9" ht="14.4">
      <c r="A80" s="7" t="s">
        <v>574</v>
      </c>
      <c r="B80" s="7">
        <v>38.24</v>
      </c>
      <c r="C80" s="7">
        <v>38.24</v>
      </c>
      <c r="D80" s="7">
        <v>21.09</v>
      </c>
    </row>
    <row r="81" spans="1:4" ht="14.4">
      <c r="A81" s="6" t="s">
        <v>169</v>
      </c>
      <c r="B81" s="49">
        <v>10963.7</v>
      </c>
      <c r="C81" s="150">
        <v>11007</v>
      </c>
      <c r="D81" s="151">
        <v>4737.01</v>
      </c>
    </row>
    <row r="108" spans="1:6" ht="13.2">
      <c r="A108" s="41"/>
      <c r="B108" s="41"/>
      <c r="C108" s="41"/>
      <c r="D108" s="41"/>
      <c r="E108" s="41"/>
      <c r="F108" s="41"/>
    </row>
    <row r="109" spans="1:6" ht="14.4">
      <c r="A109" s="37"/>
      <c r="B109" s="152"/>
      <c r="C109" s="152"/>
      <c r="D109" s="152"/>
      <c r="E109" s="152"/>
      <c r="F109" s="152"/>
    </row>
    <row r="110" spans="1:6" ht="15.6">
      <c r="A110" s="153"/>
      <c r="B110" s="154"/>
      <c r="C110" s="154"/>
      <c r="D110" s="154"/>
      <c r="E110" s="154"/>
      <c r="F110" s="154"/>
    </row>
    <row r="111" spans="1:6" ht="15.6">
      <c r="A111" s="155"/>
      <c r="B111" s="154"/>
      <c r="C111" s="154"/>
      <c r="D111" s="154"/>
      <c r="E111" s="154"/>
      <c r="F111" s="154"/>
    </row>
    <row r="112" spans="1:6" ht="15.6">
      <c r="A112" s="153"/>
      <c r="B112" s="154"/>
      <c r="C112" s="154"/>
      <c r="D112" s="154"/>
      <c r="E112" s="154"/>
      <c r="F112" s="154"/>
    </row>
    <row r="113" spans="1:6" ht="15.6">
      <c r="A113" s="155"/>
      <c r="B113" s="154"/>
      <c r="C113" s="154"/>
      <c r="D113" s="154"/>
      <c r="E113" s="154"/>
      <c r="F113" s="154"/>
    </row>
    <row r="114" spans="1:6" ht="15.6">
      <c r="A114" s="155"/>
      <c r="B114" s="154"/>
      <c r="C114" s="154"/>
      <c r="D114" s="154"/>
      <c r="E114" s="154"/>
      <c r="F114" s="154"/>
    </row>
    <row r="115" spans="1:6" ht="15.6">
      <c r="A115" s="155"/>
      <c r="B115" s="154"/>
      <c r="C115" s="154"/>
      <c r="D115" s="154"/>
      <c r="E115" s="154"/>
      <c r="F115" s="154"/>
    </row>
    <row r="116" spans="1:6" ht="15.6">
      <c r="A116" s="153"/>
      <c r="B116" s="154"/>
      <c r="C116" s="154"/>
      <c r="D116" s="154"/>
      <c r="E116" s="154"/>
      <c r="F116" s="154"/>
    </row>
    <row r="117" spans="1:6" ht="15.6">
      <c r="A117" s="155"/>
      <c r="B117" s="154"/>
      <c r="C117" s="154"/>
      <c r="D117" s="154"/>
      <c r="E117" s="154"/>
      <c r="F117" s="154"/>
    </row>
    <row r="118" spans="1:6" ht="15.6">
      <c r="A118" s="153"/>
      <c r="B118" s="154"/>
      <c r="C118" s="154"/>
      <c r="D118" s="154"/>
      <c r="E118" s="154"/>
      <c r="F118" s="154"/>
    </row>
    <row r="119" spans="1:6" ht="13.2">
      <c r="A119" s="41"/>
      <c r="B119" s="41"/>
      <c r="C119" s="41"/>
      <c r="D119" s="41"/>
      <c r="E119" s="41"/>
      <c r="F119" s="41"/>
    </row>
  </sheetData>
  <mergeCells count="1">
    <mergeCell ref="L2:P2"/>
  </mergeCells>
  <hyperlinks>
    <hyperlink ref="M1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O42"/>
  <sheetViews>
    <sheetView workbookViewId="0"/>
  </sheetViews>
  <sheetFormatPr defaultColWidth="12.6640625" defaultRowHeight="15.75" customHeight="1"/>
  <cols>
    <col min="1" max="1" width="27.6640625" customWidth="1"/>
    <col min="2" max="2" width="14.33203125" customWidth="1"/>
    <col min="9" max="9" width="16.33203125" customWidth="1"/>
    <col min="10" max="10" width="15.6640625" customWidth="1"/>
    <col min="13" max="13" width="19.33203125" customWidth="1"/>
    <col min="16" max="17" width="16.109375" customWidth="1"/>
    <col min="24" max="24" width="13.77734375" customWidth="1"/>
    <col min="25" max="25" width="15.109375" customWidth="1"/>
  </cols>
  <sheetData>
    <row r="1" spans="1:15">
      <c r="A1" s="3"/>
    </row>
    <row r="2" spans="1:15">
      <c r="A2" s="3" t="s">
        <v>575</v>
      </c>
    </row>
    <row r="3" spans="1:15">
      <c r="A3" s="3"/>
      <c r="I3" s="156" t="s">
        <v>576</v>
      </c>
      <c r="J3" s="157">
        <v>2023</v>
      </c>
      <c r="K3" s="157">
        <v>2024</v>
      </c>
      <c r="L3" s="156"/>
      <c r="M3" s="156" t="s">
        <v>577</v>
      </c>
      <c r="N3" s="156">
        <v>2023</v>
      </c>
      <c r="O3" s="156">
        <v>2024</v>
      </c>
    </row>
    <row r="4" spans="1:15">
      <c r="A4" s="53"/>
      <c r="B4" s="53"/>
      <c r="C4" s="53"/>
      <c r="D4" s="53"/>
      <c r="E4" s="53"/>
      <c r="F4" s="53"/>
      <c r="G4" s="53"/>
      <c r="H4" s="53"/>
      <c r="I4" s="59"/>
      <c r="J4" s="158"/>
      <c r="K4" s="158"/>
      <c r="L4" s="2"/>
      <c r="M4" s="59"/>
      <c r="N4" s="59"/>
      <c r="O4" s="59"/>
    </row>
    <row r="5" spans="1:15">
      <c r="A5" s="159" t="s">
        <v>578</v>
      </c>
      <c r="B5" s="159">
        <v>2024</v>
      </c>
      <c r="C5" s="159">
        <v>2025</v>
      </c>
      <c r="D5" s="159">
        <v>2026</v>
      </c>
      <c r="E5" s="159">
        <v>2027</v>
      </c>
      <c r="F5" s="159">
        <v>2028</v>
      </c>
      <c r="G5" s="159">
        <v>2029</v>
      </c>
      <c r="H5" s="53"/>
      <c r="I5" s="59" t="s">
        <v>579</v>
      </c>
      <c r="J5" s="158">
        <f>bs!J11</f>
        <v>85.27</v>
      </c>
      <c r="K5" s="158">
        <f>bs!K11</f>
        <v>35.1</v>
      </c>
      <c r="L5" s="2"/>
      <c r="M5" s="59" t="s">
        <v>55</v>
      </c>
      <c r="N5" s="136">
        <f>bs!J20</f>
        <v>4121</v>
      </c>
      <c r="O5" s="136">
        <f>bs!K20</f>
        <v>5597</v>
      </c>
    </row>
    <row r="6" spans="1:15">
      <c r="A6" s="160" t="s">
        <v>509</v>
      </c>
      <c r="B6" s="59"/>
      <c r="C6" s="59"/>
      <c r="D6" s="59"/>
      <c r="E6" s="59"/>
      <c r="F6" s="59"/>
      <c r="G6" s="59"/>
      <c r="I6" s="59" t="s">
        <v>78</v>
      </c>
      <c r="J6" s="161">
        <f>bs!J41</f>
        <v>1564</v>
      </c>
      <c r="K6" s="161">
        <f>bs!K41</f>
        <v>1689</v>
      </c>
      <c r="L6" s="59"/>
      <c r="M6" s="59" t="s">
        <v>580</v>
      </c>
      <c r="N6" s="59">
        <f>bs!J21</f>
        <v>235</v>
      </c>
      <c r="O6" s="59">
        <f>bs!K21</f>
        <v>326</v>
      </c>
    </row>
    <row r="7" spans="1:15" ht="15.75" customHeight="1">
      <c r="A7" s="59" t="s">
        <v>512</v>
      </c>
      <c r="B7" s="162">
        <f>pl!K4</f>
        <v>44870.43</v>
      </c>
      <c r="C7" s="162">
        <f>pl!L4</f>
        <v>48518.395958999994</v>
      </c>
      <c r="D7" s="162">
        <f>pl!M4</f>
        <v>52462.94155046669</v>
      </c>
      <c r="E7" s="162">
        <f>pl!N4</f>
        <v>56728.17869851963</v>
      </c>
      <c r="F7" s="162">
        <f>pl!O4</f>
        <v>61340.179626709272</v>
      </c>
      <c r="G7" s="162">
        <f>pl!P4</f>
        <v>66327.136230360731</v>
      </c>
      <c r="H7" s="163"/>
      <c r="I7" s="59" t="s">
        <v>581</v>
      </c>
      <c r="J7" s="161">
        <f>bs!J42</f>
        <v>1752</v>
      </c>
      <c r="K7" s="161">
        <f>bs!K42</f>
        <v>2076</v>
      </c>
      <c r="L7" s="162"/>
      <c r="M7" s="162" t="s">
        <v>582</v>
      </c>
      <c r="N7" s="136">
        <f>bs!J22</f>
        <v>1294</v>
      </c>
      <c r="O7" s="136">
        <f>bs!K22</f>
        <v>2546</v>
      </c>
    </row>
    <row r="8" spans="1:15" ht="15.75" customHeight="1">
      <c r="A8" s="59" t="s">
        <v>583</v>
      </c>
      <c r="B8" s="162">
        <f>pl!K6</f>
        <v>8764.68</v>
      </c>
      <c r="C8" s="162">
        <f>pl!L6</f>
        <v>10386.67266789166</v>
      </c>
      <c r="D8" s="162">
        <f>pl!M6</f>
        <v>12308.831481574645</v>
      </c>
      <c r="E8" s="162">
        <f>pl!N6</f>
        <v>14586.705221794267</v>
      </c>
      <c r="F8" s="162">
        <f>pl!O6</f>
        <v>17286.122532916557</v>
      </c>
      <c r="G8" s="162">
        <f>pl!P6</f>
        <v>20485.094315647642</v>
      </c>
      <c r="H8" s="163"/>
      <c r="I8" s="59" t="s">
        <v>48</v>
      </c>
      <c r="J8" s="161">
        <f>bs!J45</f>
        <v>2001</v>
      </c>
      <c r="K8" s="161">
        <f>bs!K45</f>
        <v>3076</v>
      </c>
      <c r="L8" s="162"/>
      <c r="M8" s="164"/>
      <c r="N8" s="59"/>
      <c r="O8" s="59"/>
    </row>
    <row r="9" spans="1:15">
      <c r="A9" s="59" t="s">
        <v>584</v>
      </c>
      <c r="B9" s="132">
        <f>pl!K12</f>
        <v>7708.24</v>
      </c>
      <c r="C9" s="132">
        <f>pl!L12</f>
        <v>9364.4020317961731</v>
      </c>
      <c r="D9" s="132">
        <f>pl!M12</f>
        <v>10887.632141028967</v>
      </c>
      <c r="E9" s="132">
        <f>pl!N12</f>
        <v>12689.581162606461</v>
      </c>
      <c r="F9" s="132">
        <f>pl!O12</f>
        <v>14820.431226639788</v>
      </c>
      <c r="G9" s="132">
        <f>pl!P12</f>
        <v>17339.537547124106</v>
      </c>
      <c r="I9" s="59" t="s">
        <v>62</v>
      </c>
      <c r="J9" s="158">
        <f>bs!J30</f>
        <v>170</v>
      </c>
      <c r="K9" s="158">
        <f>bs!K30</f>
        <v>168</v>
      </c>
      <c r="L9" s="59"/>
      <c r="M9" s="59"/>
      <c r="N9" s="59"/>
      <c r="O9" s="59"/>
    </row>
    <row r="10" spans="1:15">
      <c r="A10" s="59" t="s">
        <v>585</v>
      </c>
      <c r="B10" s="59">
        <f>pl!K21</f>
        <v>7531.656387132115</v>
      </c>
      <c r="C10" s="59">
        <f>pl!L21</f>
        <v>9375.4578931466986</v>
      </c>
      <c r="D10" s="59">
        <f>pl!M21</f>
        <v>10899.68592593912</v>
      </c>
      <c r="E10" s="59">
        <f>pl!N21</f>
        <v>12702.699377559307</v>
      </c>
      <c r="F10" s="59">
        <f>pl!O21</f>
        <v>14834.685785095466</v>
      </c>
      <c r="G10" s="59">
        <f>pl!P21</f>
        <v>17355.006209107061</v>
      </c>
      <c r="I10" s="59" t="s">
        <v>63</v>
      </c>
      <c r="J10" s="161">
        <f>bs!J31</f>
        <v>1299</v>
      </c>
      <c r="K10" s="161">
        <f>bs!K31</f>
        <v>1421</v>
      </c>
      <c r="L10" s="59"/>
      <c r="M10" s="59"/>
      <c r="N10" s="59"/>
      <c r="O10" s="59"/>
    </row>
    <row r="11" spans="1:15">
      <c r="A11" s="59"/>
      <c r="B11" s="59"/>
      <c r="C11" s="59"/>
      <c r="D11" s="59"/>
      <c r="E11" s="59"/>
      <c r="F11" s="59"/>
      <c r="G11" s="59"/>
      <c r="I11" s="59" t="s">
        <v>586</v>
      </c>
      <c r="J11" s="161">
        <f>bs!J32</f>
        <v>1472</v>
      </c>
      <c r="K11" s="161">
        <f>bs!K32</f>
        <v>1690</v>
      </c>
      <c r="L11" s="59"/>
      <c r="M11" s="59"/>
      <c r="N11" s="59"/>
      <c r="O11" s="59"/>
    </row>
    <row r="12" spans="1:15">
      <c r="A12" s="160" t="s">
        <v>27</v>
      </c>
      <c r="B12" s="59"/>
      <c r="C12" s="165"/>
      <c r="D12" s="59"/>
      <c r="E12" s="59"/>
      <c r="F12" s="59"/>
      <c r="G12" s="59"/>
      <c r="I12" s="59" t="s">
        <v>65</v>
      </c>
      <c r="J12" s="161">
        <f>bs!J33</f>
        <v>1483</v>
      </c>
      <c r="K12" s="161">
        <f>bs!K33</f>
        <v>1703</v>
      </c>
      <c r="L12" s="59"/>
      <c r="M12" s="59"/>
      <c r="N12" s="59"/>
      <c r="O12" s="59"/>
    </row>
    <row r="13" spans="1:15">
      <c r="A13" s="166" t="s">
        <v>587</v>
      </c>
      <c r="B13" s="167">
        <f>K18-O18</f>
        <v>4452.1000000000004</v>
      </c>
      <c r="C13" s="168">
        <f>bs!L11+bs!L13</f>
        <v>9427.7848154291132</v>
      </c>
      <c r="D13" s="132">
        <f>bs!M13+bs!M11</f>
        <v>10207.730551725457</v>
      </c>
      <c r="E13" s="169">
        <f>bs!N11+bs!N13</f>
        <v>11049.098145729515</v>
      </c>
      <c r="F13" s="169">
        <f>bs!O11+bs!O13</f>
        <v>11956.881194472919</v>
      </c>
      <c r="G13" s="169">
        <f>bs!P11+bs!P13</f>
        <v>12936.479274425981</v>
      </c>
      <c r="I13" s="59" t="s">
        <v>66</v>
      </c>
      <c r="J13" s="158">
        <f>bs!J34</f>
        <v>84</v>
      </c>
      <c r="K13" s="158">
        <f>bs!K34</f>
        <v>94</v>
      </c>
      <c r="L13" s="59"/>
      <c r="M13" s="59"/>
      <c r="N13" s="59"/>
      <c r="O13" s="59"/>
    </row>
    <row r="14" spans="1:15">
      <c r="A14" s="59" t="s">
        <v>588</v>
      </c>
      <c r="B14" s="59">
        <f>O26-K26</f>
        <v>748</v>
      </c>
      <c r="C14" s="59"/>
      <c r="D14" s="59"/>
      <c r="E14" s="59"/>
      <c r="F14" s="59"/>
      <c r="G14" s="59"/>
      <c r="I14" s="59" t="s">
        <v>68</v>
      </c>
      <c r="J14" s="158">
        <f>bs!J36</f>
        <v>745</v>
      </c>
      <c r="K14" s="158">
        <f>bs!K36</f>
        <v>758</v>
      </c>
      <c r="L14" s="59"/>
      <c r="M14" s="59"/>
      <c r="N14" s="59"/>
      <c r="O14" s="59"/>
    </row>
    <row r="15" spans="1:15">
      <c r="A15" s="59" t="s">
        <v>589</v>
      </c>
      <c r="B15" s="136">
        <f>B13-B14</f>
        <v>3704.1000000000004</v>
      </c>
      <c r="C15" s="59"/>
      <c r="D15" s="59"/>
      <c r="E15" s="59"/>
      <c r="F15" s="59"/>
      <c r="G15" s="59"/>
      <c r="I15" s="59" t="s">
        <v>69</v>
      </c>
      <c r="J15" s="158">
        <f>bs!J37</f>
        <v>131</v>
      </c>
      <c r="K15" s="158">
        <f>bs!K37</f>
        <v>141</v>
      </c>
      <c r="L15" s="59"/>
      <c r="M15" s="59"/>
      <c r="N15" s="59"/>
      <c r="O15" s="59"/>
    </row>
    <row r="16" spans="1:15">
      <c r="A16" s="59" t="s">
        <v>590</v>
      </c>
      <c r="B16" s="132">
        <f>(B8-(J29*B13))</f>
        <v>8035.8780364390886</v>
      </c>
      <c r="C16" s="132">
        <f>(C8-(J29*C13))</f>
        <v>8843.3587069486257</v>
      </c>
      <c r="D16" s="132">
        <f>(D8-(J29*D13))</f>
        <v>10637.841595992961</v>
      </c>
      <c r="E16" s="132">
        <f>(E8-(J29*E13))</f>
        <v>12777.984747369861</v>
      </c>
      <c r="F16" s="132">
        <f>(F8-(J29*F13))</f>
        <v>15328.79936124557</v>
      </c>
      <c r="G16" s="132">
        <f>(G8-(J29*G13))</f>
        <v>18367.412435912978</v>
      </c>
      <c r="I16" s="59" t="s">
        <v>70</v>
      </c>
      <c r="J16" s="158">
        <f>bs!J38</f>
        <v>70</v>
      </c>
      <c r="K16" s="158">
        <f>bs!K38</f>
        <v>70</v>
      </c>
      <c r="L16" s="59"/>
      <c r="M16" s="59"/>
      <c r="N16" s="59"/>
      <c r="O16" s="59"/>
    </row>
    <row r="17" spans="1:15">
      <c r="A17" s="59" t="s">
        <v>591</v>
      </c>
      <c r="B17" s="59">
        <f>I33</f>
        <v>40926.471845757318</v>
      </c>
      <c r="C17" s="59"/>
      <c r="D17" s="59"/>
      <c r="E17" s="59"/>
      <c r="F17" s="59"/>
      <c r="G17" s="59"/>
      <c r="I17" s="59"/>
      <c r="J17" s="59"/>
      <c r="K17" s="59"/>
      <c r="L17" s="59"/>
      <c r="M17" s="59"/>
      <c r="N17" s="59"/>
      <c r="O17" s="59"/>
    </row>
    <row r="18" spans="1:15">
      <c r="A18" s="59" t="s">
        <v>592</v>
      </c>
      <c r="B18" s="59"/>
      <c r="C18" s="59"/>
      <c r="D18" s="59"/>
      <c r="E18" s="59"/>
      <c r="F18" s="59"/>
      <c r="G18" s="59">
        <f>I36</f>
        <v>395698.03439229546</v>
      </c>
      <c r="I18" s="59" t="s">
        <v>39</v>
      </c>
      <c r="J18" s="59">
        <f t="shared" ref="J18:K18" si="0">SUM(J5:J16)</f>
        <v>10856.27</v>
      </c>
      <c r="K18" s="59">
        <f t="shared" si="0"/>
        <v>12921.1</v>
      </c>
      <c r="L18" s="59"/>
      <c r="M18" s="59" t="s">
        <v>508</v>
      </c>
      <c r="N18" s="136">
        <f t="shared" ref="N18:O18" si="1">SUM(N5:N7)</f>
        <v>5650</v>
      </c>
      <c r="O18" s="136">
        <f t="shared" si="1"/>
        <v>8469</v>
      </c>
    </row>
    <row r="19" spans="1:15">
      <c r="A19" s="59" t="s">
        <v>593</v>
      </c>
      <c r="B19" s="59">
        <f>J38</f>
        <v>188396.98434798856</v>
      </c>
      <c r="C19" s="59"/>
      <c r="D19" s="59"/>
      <c r="E19" s="59"/>
      <c r="F19" s="59"/>
      <c r="G19" s="59"/>
    </row>
    <row r="20" spans="1:15">
      <c r="A20" s="59" t="s">
        <v>594</v>
      </c>
      <c r="B20" s="136">
        <f>SUM(B13, B17, B19)</f>
        <v>233775.55619374587</v>
      </c>
      <c r="C20" s="59"/>
      <c r="D20" s="59"/>
      <c r="E20" s="59"/>
      <c r="F20" s="59"/>
      <c r="G20" s="59"/>
    </row>
    <row r="21" spans="1:15">
      <c r="A21" s="59" t="s">
        <v>481</v>
      </c>
      <c r="B21" s="136">
        <f>B20-B14</f>
        <v>233027.55619374587</v>
      </c>
      <c r="C21" s="59"/>
      <c r="D21" s="59"/>
      <c r="E21" s="59"/>
      <c r="F21" s="59"/>
      <c r="G21" s="59"/>
      <c r="I21" s="156" t="s">
        <v>595</v>
      </c>
      <c r="J21" s="156">
        <v>2023</v>
      </c>
      <c r="K21" s="156">
        <v>2024</v>
      </c>
      <c r="L21" s="156"/>
      <c r="M21" s="156" t="s">
        <v>596</v>
      </c>
      <c r="N21" s="156">
        <v>2023</v>
      </c>
      <c r="O21" s="156">
        <v>2024</v>
      </c>
    </row>
    <row r="22" spans="1:15">
      <c r="A22" s="59" t="s">
        <v>597</v>
      </c>
      <c r="B22" s="59">
        <f>pl!K43</f>
        <v>27.920312952767315</v>
      </c>
      <c r="C22" s="59"/>
      <c r="D22" s="59"/>
      <c r="E22" s="59"/>
      <c r="F22" s="59"/>
      <c r="G22" s="59"/>
      <c r="I22" s="59"/>
      <c r="J22" s="59"/>
      <c r="K22" s="59"/>
      <c r="L22" s="59"/>
      <c r="M22" s="59"/>
      <c r="N22" s="59"/>
      <c r="O22" s="59"/>
    </row>
    <row r="23" spans="1:15">
      <c r="A23" s="170" t="s">
        <v>598</v>
      </c>
      <c r="B23" s="171">
        <f>B21/B22</f>
        <v>8346.165624574398</v>
      </c>
      <c r="C23" s="170"/>
      <c r="D23" s="170"/>
      <c r="E23" s="170"/>
      <c r="F23" s="170"/>
      <c r="G23" s="170"/>
      <c r="I23" s="59" t="s">
        <v>73</v>
      </c>
      <c r="J23" s="59">
        <f>bs!J43</f>
        <v>690</v>
      </c>
      <c r="K23" s="59">
        <f>bs!K43</f>
        <v>955</v>
      </c>
      <c r="L23" s="59"/>
      <c r="M23" s="59" t="s">
        <v>599</v>
      </c>
      <c r="N23" s="59">
        <f>bs!J25</f>
        <v>124</v>
      </c>
      <c r="O23" s="59">
        <f>bs!K25</f>
        <v>759</v>
      </c>
    </row>
    <row r="24" spans="1:15">
      <c r="A24" s="59" t="s">
        <v>600</v>
      </c>
      <c r="B24" s="172">
        <v>11374</v>
      </c>
      <c r="C24" s="59"/>
      <c r="D24" s="59"/>
      <c r="E24" s="59"/>
      <c r="F24" s="59"/>
      <c r="G24" s="59"/>
      <c r="I24" s="59" t="s">
        <v>601</v>
      </c>
      <c r="J24" s="59">
        <f>bs!J44</f>
        <v>19</v>
      </c>
      <c r="K24" s="59">
        <f>bs!K44</f>
        <v>209</v>
      </c>
      <c r="L24" s="59"/>
      <c r="M24" s="59" t="s">
        <v>602</v>
      </c>
      <c r="N24" s="59">
        <f>bs!J26</f>
        <v>0</v>
      </c>
      <c r="O24" s="136">
        <f>bs!K26</f>
        <v>1153</v>
      </c>
    </row>
    <row r="25" spans="1:15">
      <c r="A25" s="3"/>
      <c r="I25" s="59"/>
      <c r="J25" s="59"/>
      <c r="K25" s="59"/>
      <c r="L25" s="59"/>
      <c r="M25" s="59"/>
      <c r="N25" s="59"/>
      <c r="O25" s="59"/>
    </row>
    <row r="26" spans="1:15">
      <c r="A26" s="3"/>
      <c r="I26" s="59" t="s">
        <v>39</v>
      </c>
      <c r="J26" s="59">
        <f t="shared" ref="J26:K26" si="2">SUM(J23:J24)</f>
        <v>709</v>
      </c>
      <c r="K26" s="59">
        <f t="shared" si="2"/>
        <v>1164</v>
      </c>
      <c r="L26" s="59"/>
      <c r="M26" s="59" t="s">
        <v>39</v>
      </c>
      <c r="N26" s="59">
        <f t="shared" ref="N26:O26" si="3">SUM(N23:N24)</f>
        <v>124</v>
      </c>
      <c r="O26" s="59">
        <f t="shared" si="3"/>
        <v>1912</v>
      </c>
    </row>
    <row r="29" spans="1:15" ht="13.2">
      <c r="I29" s="156" t="s">
        <v>603</v>
      </c>
      <c r="J29" s="173">
        <f>WACC!I15</f>
        <v>0.16369847118458966</v>
      </c>
      <c r="K29" s="59">
        <v>0.16</v>
      </c>
      <c r="M29" s="156" t="s">
        <v>604</v>
      </c>
      <c r="N29" s="139">
        <f>pl!M46</f>
        <v>0.11849598031301031</v>
      </c>
      <c r="O29" s="59">
        <v>0.11849999999999999</v>
      </c>
    </row>
    <row r="30" spans="1:15" ht="13.2">
      <c r="A30" s="3" t="s">
        <v>605</v>
      </c>
    </row>
    <row r="32" spans="1:15" ht="13.2">
      <c r="A32" s="3" t="s">
        <v>606</v>
      </c>
      <c r="I32" s="156" t="s">
        <v>591</v>
      </c>
      <c r="J32" s="59">
        <v>2029</v>
      </c>
      <c r="K32" s="59">
        <v>2028</v>
      </c>
      <c r="L32" s="59">
        <v>2027</v>
      </c>
      <c r="M32" s="59">
        <v>2026</v>
      </c>
      <c r="N32" s="59">
        <v>2025</v>
      </c>
    </row>
    <row r="33" spans="1:14" ht="13.2">
      <c r="I33" s="59">
        <f>SUM(J33:N33)</f>
        <v>40926.471845757318</v>
      </c>
      <c r="J33" s="59">
        <f>G16/(1+K29)^5</f>
        <v>8744.9641202188486</v>
      </c>
      <c r="K33" s="59">
        <f>F16/(1+K29)^4</f>
        <v>8465.9594284118357</v>
      </c>
      <c r="L33" s="59">
        <f>E16/(1+K29)^3</f>
        <v>8186.3139807968391</v>
      </c>
      <c r="M33" s="59">
        <f>D16/(1+K29)^2</f>
        <v>7905.6492241327005</v>
      </c>
      <c r="N33" s="59">
        <f>C16/(1+K29)</f>
        <v>7623.5850921970914</v>
      </c>
    </row>
    <row r="34" spans="1:14" ht="13.2">
      <c r="A34" s="3" t="s">
        <v>607</v>
      </c>
    </row>
    <row r="35" spans="1:14" ht="13.2">
      <c r="I35" s="156" t="s">
        <v>464</v>
      </c>
      <c r="J35" s="59" t="s">
        <v>608</v>
      </c>
      <c r="K35" s="59" t="s">
        <v>609</v>
      </c>
    </row>
    <row r="36" spans="1:14" ht="13.2">
      <c r="A36" s="3" t="s">
        <v>610</v>
      </c>
      <c r="I36" s="59">
        <f>K36/J36</f>
        <v>395698.03439229546</v>
      </c>
      <c r="J36" s="59">
        <f>(1+O29)*(K29-O29)</f>
        <v>4.6417750000000015E-2</v>
      </c>
      <c r="K36" s="132">
        <f>G16</f>
        <v>18367.412435912978</v>
      </c>
    </row>
    <row r="38" spans="1:14" ht="13.2">
      <c r="A38" s="3" t="s">
        <v>611</v>
      </c>
      <c r="I38" s="156" t="s">
        <v>492</v>
      </c>
      <c r="J38" s="59">
        <f>G18/(1+K29)^5</f>
        <v>188396.98434798856</v>
      </c>
    </row>
    <row r="40" spans="1:14" ht="13.2">
      <c r="A40" s="3" t="s">
        <v>612</v>
      </c>
    </row>
    <row r="41" spans="1:14" ht="13.2">
      <c r="A41" s="3"/>
    </row>
    <row r="42" spans="1:14" ht="13.2">
      <c r="A42" s="3" t="s">
        <v>613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B2:J22"/>
  <sheetViews>
    <sheetView workbookViewId="0"/>
  </sheetViews>
  <sheetFormatPr defaultColWidth="12.6640625" defaultRowHeight="15.75" customHeight="1"/>
  <cols>
    <col min="4" max="4" width="17.44140625" customWidth="1"/>
    <col min="5" max="5" width="16.77734375" customWidth="1"/>
    <col min="6" max="6" width="19.109375" customWidth="1"/>
    <col min="8" max="8" width="35" customWidth="1"/>
  </cols>
  <sheetData>
    <row r="2" spans="2:10">
      <c r="B2" s="230" t="s">
        <v>614</v>
      </c>
      <c r="C2" s="216"/>
      <c r="D2" s="216"/>
      <c r="E2" s="216"/>
      <c r="F2" s="216"/>
    </row>
    <row r="3" spans="2:10" ht="15.75" customHeight="1">
      <c r="B3" s="174" t="s">
        <v>615</v>
      </c>
      <c r="C3" s="174" t="s">
        <v>616</v>
      </c>
      <c r="D3" s="175" t="s">
        <v>617</v>
      </c>
      <c r="E3" s="174" t="s">
        <v>618</v>
      </c>
      <c r="F3" s="175" t="s">
        <v>619</v>
      </c>
      <c r="H3" s="3" t="s">
        <v>620</v>
      </c>
      <c r="I3" s="56">
        <f>((C4/C21)^(1/16))-1</f>
        <v>9.050773266525769E-2</v>
      </c>
    </row>
    <row r="4" spans="2:10">
      <c r="B4" s="176">
        <v>45457</v>
      </c>
      <c r="C4" s="177">
        <v>80</v>
      </c>
      <c r="D4" s="178" t="s">
        <v>621</v>
      </c>
      <c r="E4" s="176">
        <v>45457</v>
      </c>
      <c r="F4" s="178" t="s">
        <v>622</v>
      </c>
      <c r="H4" s="3" t="s">
        <v>623</v>
      </c>
      <c r="I4" s="3">
        <f>C4*(1+I3)</f>
        <v>87.240618613220619</v>
      </c>
      <c r="J4" s="3" t="s">
        <v>624</v>
      </c>
    </row>
    <row r="5" spans="2:10">
      <c r="B5" s="176">
        <v>45107</v>
      </c>
      <c r="C5" s="177">
        <v>140</v>
      </c>
      <c r="D5" s="178" t="s">
        <v>621</v>
      </c>
      <c r="E5" s="176">
        <v>45107</v>
      </c>
      <c r="F5" s="178" t="s">
        <v>622</v>
      </c>
      <c r="H5" s="3" t="s">
        <v>625</v>
      </c>
      <c r="I5" s="56">
        <f>WACC!M20</f>
        <v>0.16440877074587254</v>
      </c>
    </row>
    <row r="6" spans="2:10">
      <c r="B6" s="176">
        <v>44742</v>
      </c>
      <c r="C6" s="177">
        <v>140</v>
      </c>
      <c r="D6" s="178" t="s">
        <v>621</v>
      </c>
      <c r="E6" s="179">
        <v>44743</v>
      </c>
      <c r="F6" s="178" t="s">
        <v>622</v>
      </c>
      <c r="H6" s="3" t="s">
        <v>626</v>
      </c>
      <c r="I6" s="3">
        <f>I4/(I5-I3)</f>
        <v>1180.505996655342</v>
      </c>
      <c r="J6" s="3" t="s">
        <v>627</v>
      </c>
    </row>
    <row r="7" spans="2:10">
      <c r="B7" s="179">
        <v>44385</v>
      </c>
      <c r="C7" s="177">
        <v>140</v>
      </c>
      <c r="D7" s="178" t="s">
        <v>621</v>
      </c>
      <c r="E7" s="177" t="s">
        <v>569</v>
      </c>
      <c r="F7" s="178" t="s">
        <v>622</v>
      </c>
      <c r="H7" s="3" t="s">
        <v>628</v>
      </c>
      <c r="I7" s="3">
        <f>pl!L43</f>
        <v>27.920312952767315</v>
      </c>
      <c r="J7" s="3" t="s">
        <v>629</v>
      </c>
    </row>
    <row r="8" spans="2:10">
      <c r="B8" s="179">
        <v>43893</v>
      </c>
      <c r="C8" s="177">
        <v>120</v>
      </c>
      <c r="D8" s="178" t="s">
        <v>630</v>
      </c>
      <c r="E8" s="179">
        <v>43894</v>
      </c>
      <c r="F8" s="178" t="s">
        <v>622</v>
      </c>
      <c r="H8" s="180" t="s">
        <v>631</v>
      </c>
      <c r="I8" s="102">
        <f>I6*I7</f>
        <v>32960.096869235633</v>
      </c>
      <c r="J8" s="3" t="s">
        <v>629</v>
      </c>
    </row>
    <row r="9" spans="2:10">
      <c r="B9" s="176">
        <v>43657</v>
      </c>
      <c r="C9" s="177">
        <v>60</v>
      </c>
      <c r="D9" s="178" t="s">
        <v>621</v>
      </c>
      <c r="E9" s="177" t="s">
        <v>569</v>
      </c>
      <c r="F9" s="178" t="s">
        <v>622</v>
      </c>
      <c r="H9" s="181" t="s">
        <v>632</v>
      </c>
      <c r="I9" s="33">
        <f>'DCF CCF'!B36</f>
        <v>1912</v>
      </c>
      <c r="J9" s="3" t="s">
        <v>629</v>
      </c>
    </row>
    <row r="10" spans="2:10">
      <c r="B10" s="179">
        <v>43286</v>
      </c>
      <c r="C10" s="177">
        <v>60</v>
      </c>
      <c r="D10" s="178" t="s">
        <v>621</v>
      </c>
      <c r="E10" s="177" t="s">
        <v>569</v>
      </c>
      <c r="F10" s="178" t="s">
        <v>622</v>
      </c>
      <c r="H10" s="182" t="s">
        <v>633</v>
      </c>
      <c r="I10" s="102">
        <f>I8-I9</f>
        <v>31048.096869235633</v>
      </c>
    </row>
    <row r="11" spans="2:10">
      <c r="B11" s="179">
        <v>42922</v>
      </c>
      <c r="C11" s="177">
        <v>55</v>
      </c>
      <c r="D11" s="178" t="s">
        <v>621</v>
      </c>
      <c r="E11" s="177" t="s">
        <v>569</v>
      </c>
      <c r="F11" s="178" t="s">
        <v>622</v>
      </c>
      <c r="H11" s="180" t="s">
        <v>634</v>
      </c>
      <c r="I11" s="102">
        <f>I10/I7</f>
        <v>1112.0253888901452</v>
      </c>
    </row>
    <row r="12" spans="2:10">
      <c r="B12" s="176">
        <v>42565</v>
      </c>
      <c r="C12" s="177">
        <v>5</v>
      </c>
      <c r="D12" s="178" t="s">
        <v>621</v>
      </c>
      <c r="E12" s="177" t="s">
        <v>569</v>
      </c>
      <c r="F12" s="178" t="s">
        <v>622</v>
      </c>
      <c r="H12" s="3" t="s">
        <v>635</v>
      </c>
      <c r="I12" s="3">
        <v>11374</v>
      </c>
    </row>
    <row r="13" spans="2:10">
      <c r="B13" s="176">
        <v>42445</v>
      </c>
      <c r="C13" s="177">
        <v>50</v>
      </c>
      <c r="D13" s="178" t="s">
        <v>630</v>
      </c>
      <c r="E13" s="176">
        <v>42446</v>
      </c>
      <c r="F13" s="178" t="s">
        <v>622</v>
      </c>
      <c r="H13" s="3" t="s">
        <v>636</v>
      </c>
    </row>
    <row r="14" spans="2:10">
      <c r="B14" s="179">
        <v>42194</v>
      </c>
      <c r="C14" s="177">
        <v>50</v>
      </c>
      <c r="D14" s="178" t="s">
        <v>621</v>
      </c>
      <c r="E14" s="177" t="s">
        <v>569</v>
      </c>
      <c r="F14" s="178" t="s">
        <v>622</v>
      </c>
    </row>
    <row r="15" spans="2:10">
      <c r="B15" s="179">
        <v>41823</v>
      </c>
      <c r="C15" s="177">
        <v>50</v>
      </c>
      <c r="D15" s="178" t="s">
        <v>621</v>
      </c>
      <c r="E15" s="177" t="s">
        <v>569</v>
      </c>
      <c r="F15" s="178" t="s">
        <v>622</v>
      </c>
    </row>
    <row r="16" spans="2:10">
      <c r="B16" s="179">
        <v>41459</v>
      </c>
      <c r="C16" s="177">
        <v>45</v>
      </c>
      <c r="D16" s="178" t="s">
        <v>621</v>
      </c>
      <c r="E16" s="177" t="s">
        <v>569</v>
      </c>
      <c r="F16" s="178" t="s">
        <v>622</v>
      </c>
    </row>
    <row r="17" spans="2:6">
      <c r="B17" s="179">
        <v>41095</v>
      </c>
      <c r="C17" s="177">
        <v>45</v>
      </c>
      <c r="D17" s="178" t="s">
        <v>621</v>
      </c>
      <c r="E17" s="177" t="s">
        <v>569</v>
      </c>
      <c r="F17" s="178" t="s">
        <v>622</v>
      </c>
    </row>
    <row r="18" spans="2:6">
      <c r="B18" s="176">
        <v>40723</v>
      </c>
      <c r="C18" s="177">
        <v>40</v>
      </c>
      <c r="D18" s="178" t="s">
        <v>621</v>
      </c>
      <c r="E18" s="177" t="s">
        <v>569</v>
      </c>
      <c r="F18" s="178" t="s">
        <v>622</v>
      </c>
    </row>
    <row r="19" spans="2:6">
      <c r="B19" s="179">
        <v>40367</v>
      </c>
      <c r="C19" s="177">
        <v>40</v>
      </c>
      <c r="D19" s="178" t="s">
        <v>621</v>
      </c>
      <c r="E19" s="177" t="s">
        <v>569</v>
      </c>
      <c r="F19" s="178" t="s">
        <v>622</v>
      </c>
    </row>
    <row r="20" spans="2:6">
      <c r="B20" s="179">
        <v>39996</v>
      </c>
      <c r="C20" s="177">
        <v>22</v>
      </c>
      <c r="D20" s="178" t="s">
        <v>621</v>
      </c>
      <c r="E20" s="177" t="s">
        <v>569</v>
      </c>
      <c r="F20" s="178" t="s">
        <v>622</v>
      </c>
    </row>
    <row r="21" spans="2:6">
      <c r="B21" s="176">
        <v>39626</v>
      </c>
      <c r="C21" s="177">
        <v>20</v>
      </c>
      <c r="D21" s="178" t="s">
        <v>621</v>
      </c>
      <c r="E21" s="177" t="s">
        <v>569</v>
      </c>
      <c r="F21" s="178" t="s">
        <v>622</v>
      </c>
    </row>
    <row r="22" spans="2:6">
      <c r="B22" s="183" t="s">
        <v>637</v>
      </c>
    </row>
  </sheetData>
  <mergeCells count="1">
    <mergeCell ref="B2:F2"/>
  </mergeCells>
  <hyperlinks>
    <hyperlink ref="B22" r:id="rId1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B1:H21"/>
  <sheetViews>
    <sheetView workbookViewId="0"/>
  </sheetViews>
  <sheetFormatPr defaultColWidth="12.6640625" defaultRowHeight="15.75" customHeight="1"/>
  <cols>
    <col min="2" max="2" width="37.6640625" customWidth="1"/>
  </cols>
  <sheetData>
    <row r="1" spans="2:8">
      <c r="B1" s="231" t="s">
        <v>638</v>
      </c>
      <c r="C1" s="216"/>
      <c r="D1" s="216"/>
      <c r="E1" s="216"/>
      <c r="F1" s="216"/>
      <c r="G1" s="216"/>
      <c r="H1" s="216"/>
    </row>
    <row r="2" spans="2:8" ht="15.75" customHeight="1">
      <c r="C2" s="88">
        <v>45376</v>
      </c>
      <c r="D2" s="88">
        <v>45377</v>
      </c>
      <c r="E2" s="88">
        <v>45378</v>
      </c>
      <c r="F2" s="88">
        <v>45379</v>
      </c>
      <c r="G2" s="88">
        <v>45380</v>
      </c>
      <c r="H2" s="88">
        <v>45381</v>
      </c>
    </row>
    <row r="3" spans="2:8">
      <c r="B3" s="3" t="s">
        <v>639</v>
      </c>
      <c r="C3" s="57">
        <f>pl!L19</f>
        <v>12573.0476851981</v>
      </c>
      <c r="D3" s="57">
        <f>pl!M19</f>
        <v>14617.128300548475</v>
      </c>
      <c r="E3" s="57">
        <f>pl!N19</f>
        <v>17035.0767743873</v>
      </c>
      <c r="F3" s="57">
        <f>pl!O19</f>
        <v>19894.197584448291</v>
      </c>
      <c r="G3" s="57">
        <f>pl!P19</f>
        <v>23274.097450058052</v>
      </c>
    </row>
    <row r="4" spans="2:8">
      <c r="B4" s="3" t="s">
        <v>640</v>
      </c>
      <c r="C4" s="102">
        <f>(1-pl!L17)</f>
        <v>0.74567902133896813</v>
      </c>
      <c r="D4" s="102">
        <f>(1-pl!M17)</f>
        <v>0.74567902133896813</v>
      </c>
      <c r="E4" s="102">
        <f>(1-pl!N17)</f>
        <v>0.74567902133896813</v>
      </c>
      <c r="F4" s="102">
        <f>(1-pl!O17)</f>
        <v>0.74567902133896813</v>
      </c>
      <c r="G4" s="102">
        <f>(1-pl!P17)</f>
        <v>0.74567902133896813</v>
      </c>
    </row>
    <row r="5" spans="2:8">
      <c r="B5" s="3" t="s">
        <v>641</v>
      </c>
      <c r="C5" s="102">
        <f t="shared" ref="C5:G5" si="0">C3*C4</f>
        <v>9375.4578931466986</v>
      </c>
      <c r="D5" s="102">
        <f t="shared" si="0"/>
        <v>10899.68592593912</v>
      </c>
      <c r="E5" s="102">
        <f t="shared" si="0"/>
        <v>12702.699377559307</v>
      </c>
      <c r="F5" s="102">
        <f t="shared" si="0"/>
        <v>14834.685785095466</v>
      </c>
      <c r="G5" s="102">
        <f t="shared" si="0"/>
        <v>17355.006209107061</v>
      </c>
    </row>
    <row r="6" spans="2:8">
      <c r="B6" s="3" t="s">
        <v>642</v>
      </c>
      <c r="C6" s="57">
        <f>pl!L8</f>
        <v>560.03698564910053</v>
      </c>
      <c r="D6" s="57">
        <f>pl!M8</f>
        <v>661.39847982199603</v>
      </c>
      <c r="E6" s="57">
        <f>pl!N8</f>
        <v>762.75997399489154</v>
      </c>
      <c r="F6" s="57">
        <f>pl!O8</f>
        <v>864.12146816778704</v>
      </c>
      <c r="G6" s="57">
        <f>pl!P8</f>
        <v>965.48296234068255</v>
      </c>
    </row>
    <row r="7" spans="2:8">
      <c r="B7" s="3" t="s">
        <v>643</v>
      </c>
      <c r="C7" s="57">
        <f>bs!L57</f>
        <v>899.98610978451916</v>
      </c>
      <c r="D7" s="57">
        <f>bs!M57</f>
        <v>751.55599819410509</v>
      </c>
      <c r="E7" s="57">
        <f>bs!N57</f>
        <v>751.555998194106</v>
      </c>
      <c r="F7" s="57">
        <f>bs!O57</f>
        <v>751.555998194106</v>
      </c>
      <c r="G7" s="57">
        <f>bs!P57</f>
        <v>751.555998194106</v>
      </c>
    </row>
    <row r="8" spans="2:8">
      <c r="B8" s="3" t="s">
        <v>644</v>
      </c>
      <c r="C8" s="56">
        <f t="shared" ref="C8:G8" si="1">C6/C7</f>
        <v>0.6222729212822945</v>
      </c>
      <c r="D8" s="56">
        <f t="shared" si="1"/>
        <v>0.88003885460465181</v>
      </c>
      <c r="E8" s="56">
        <f t="shared" si="1"/>
        <v>1.0149077059164018</v>
      </c>
      <c r="F8" s="56">
        <f t="shared" si="1"/>
        <v>1.1497765572281529</v>
      </c>
      <c r="G8" s="56">
        <f t="shared" si="1"/>
        <v>1.2846454085399039</v>
      </c>
    </row>
    <row r="9" spans="2:8">
      <c r="B9" s="3" t="s">
        <v>11</v>
      </c>
      <c r="C9" s="63">
        <f>WACC!$I$15</f>
        <v>0.16369847118458966</v>
      </c>
      <c r="D9" s="63">
        <f>WACC!$I$15</f>
        <v>0.16369847118458966</v>
      </c>
      <c r="E9" s="63">
        <f>WACC!$I$15</f>
        <v>0.16369847118458966</v>
      </c>
      <c r="F9" s="63">
        <f>WACC!$I$15</f>
        <v>0.16369847118458966</v>
      </c>
      <c r="G9" s="63">
        <f>WACC!$I$15</f>
        <v>0.16369847118458966</v>
      </c>
    </row>
    <row r="10" spans="2:8">
      <c r="B10" s="3" t="s">
        <v>645</v>
      </c>
      <c r="C10" s="3">
        <f t="shared" ref="C10:G10" si="2">(C8-C9)*C7</f>
        <v>412.71063539000846</v>
      </c>
      <c r="D10" s="3">
        <f t="shared" si="2"/>
        <v>538.3699119080128</v>
      </c>
      <c r="E10" s="3">
        <f t="shared" si="2"/>
        <v>639.73140608090807</v>
      </c>
      <c r="F10" s="3">
        <f t="shared" si="2"/>
        <v>741.09290025380369</v>
      </c>
      <c r="G10" s="3">
        <f t="shared" si="2"/>
        <v>842.4543944266992</v>
      </c>
      <c r="H10" s="31">
        <f>G10*(1+G13)</f>
        <v>978.2276121202118</v>
      </c>
    </row>
    <row r="12" spans="2:8">
      <c r="B12" s="3" t="s">
        <v>646</v>
      </c>
      <c r="D12" s="56">
        <f t="shared" ref="D12:G12" si="3">(D10-C10)/C10</f>
        <v>0.30447307566779147</v>
      </c>
      <c r="E12" s="56">
        <f t="shared" si="3"/>
        <v>0.18827481241227714</v>
      </c>
      <c r="F12" s="56">
        <f t="shared" si="3"/>
        <v>0.15844383003462587</v>
      </c>
      <c r="G12" s="56">
        <f t="shared" si="3"/>
        <v>0.1367729931540054</v>
      </c>
    </row>
    <row r="13" spans="2:8">
      <c r="B13" s="3" t="s">
        <v>647</v>
      </c>
      <c r="G13" s="56">
        <f>AVERAGE(E12:G12)</f>
        <v>0.16116387853363612</v>
      </c>
    </row>
    <row r="15" spans="2:8">
      <c r="B15" s="3" t="s">
        <v>464</v>
      </c>
      <c r="G15" s="3">
        <f>H10/(WACC!I15-G13)</f>
        <v>385950.62277648092</v>
      </c>
    </row>
    <row r="16" spans="2:8">
      <c r="B16" s="3" t="s">
        <v>648</v>
      </c>
      <c r="C16" s="53">
        <f t="shared" ref="C16:F16" si="4">C10</f>
        <v>412.71063539000846</v>
      </c>
      <c r="D16" s="53">
        <f t="shared" si="4"/>
        <v>538.3699119080128</v>
      </c>
      <c r="E16" s="53">
        <f t="shared" si="4"/>
        <v>639.73140608090807</v>
      </c>
      <c r="F16" s="53">
        <f t="shared" si="4"/>
        <v>741.09290025380369</v>
      </c>
      <c r="G16" s="53">
        <f>G10+G15</f>
        <v>386793.07717090764</v>
      </c>
    </row>
    <row r="17" spans="2:4">
      <c r="B17" s="101" t="s">
        <v>471</v>
      </c>
      <c r="C17" s="57">
        <f t="array" ref="C17">NPV(C9,C16:G16)</f>
        <v>182811.60049094091</v>
      </c>
      <c r="D17" s="3" t="s">
        <v>629</v>
      </c>
    </row>
    <row r="18" spans="2:4">
      <c r="B18" s="53" t="s">
        <v>480</v>
      </c>
      <c r="C18" s="33">
        <f>DDM!I9</f>
        <v>1912</v>
      </c>
    </row>
    <row r="19" spans="2:4">
      <c r="B19" s="101" t="s">
        <v>481</v>
      </c>
      <c r="C19" s="57">
        <f>C17-C18</f>
        <v>180899.60049094091</v>
      </c>
    </row>
    <row r="20" spans="2:4">
      <c r="B20" s="53" t="s">
        <v>649</v>
      </c>
      <c r="C20" s="3">
        <f>DDM!I7</f>
        <v>27.920312952767315</v>
      </c>
    </row>
    <row r="21" spans="2:4">
      <c r="B21" s="101" t="s">
        <v>575</v>
      </c>
      <c r="C21" s="57">
        <f>C19/C20</f>
        <v>6479.1394278770467</v>
      </c>
    </row>
  </sheetData>
  <mergeCells count="1">
    <mergeCell ref="B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Q21"/>
  <sheetViews>
    <sheetView workbookViewId="0"/>
  </sheetViews>
  <sheetFormatPr defaultColWidth="12.6640625" defaultRowHeight="15.75" customHeight="1"/>
  <cols>
    <col min="1" max="1" width="34.109375" customWidth="1"/>
    <col min="2" max="4" width="12.6640625" hidden="1"/>
    <col min="5" max="5" width="12.6640625" hidden="1" customWidth="1"/>
    <col min="6" max="10" width="12.6640625" hidden="1"/>
  </cols>
  <sheetData>
    <row r="1" spans="1:17">
      <c r="E1" s="184"/>
      <c r="F1" s="185"/>
      <c r="G1" s="185"/>
    </row>
    <row r="2" spans="1:17">
      <c r="M2" s="53" t="s">
        <v>650</v>
      </c>
    </row>
    <row r="4" spans="1:17">
      <c r="L4" s="3" t="s">
        <v>651</v>
      </c>
      <c r="M4" s="3" t="s">
        <v>651</v>
      </c>
      <c r="N4" s="3" t="s">
        <v>651</v>
      </c>
      <c r="O4" s="3" t="s">
        <v>651</v>
      </c>
      <c r="P4" s="3" t="s">
        <v>651</v>
      </c>
    </row>
    <row r="5" spans="1:17">
      <c r="B5" s="186" t="s">
        <v>652</v>
      </c>
      <c r="C5" s="186" t="s">
        <v>653</v>
      </c>
      <c r="D5" s="186" t="s">
        <v>654</v>
      </c>
      <c r="E5" s="186" t="s">
        <v>655</v>
      </c>
      <c r="F5" s="186" t="s">
        <v>656</v>
      </c>
      <c r="G5" s="186" t="s">
        <v>657</v>
      </c>
      <c r="H5" s="186" t="s">
        <v>658</v>
      </c>
      <c r="I5" s="186" t="s">
        <v>659</v>
      </c>
      <c r="J5" s="186" t="s">
        <v>660</v>
      </c>
      <c r="K5" s="186" t="s">
        <v>661</v>
      </c>
      <c r="L5" s="186" t="s">
        <v>662</v>
      </c>
      <c r="M5" s="186" t="s">
        <v>663</v>
      </c>
      <c r="N5" s="186" t="s">
        <v>664</v>
      </c>
      <c r="O5" s="186" t="s">
        <v>665</v>
      </c>
      <c r="P5" s="186" t="s">
        <v>666</v>
      </c>
      <c r="Q5" s="3" t="s">
        <v>592</v>
      </c>
    </row>
    <row r="6" spans="1:17">
      <c r="A6" s="187" t="s">
        <v>639</v>
      </c>
      <c r="B6" s="57">
        <f>pl!B10+pl!B9</f>
        <v>4089.4399999999996</v>
      </c>
      <c r="C6" s="57">
        <f>pl!C10+pl!C9</f>
        <v>5679.9400000000005</v>
      </c>
      <c r="D6" s="57">
        <f>pl!D10+pl!D9</f>
        <v>5588.95</v>
      </c>
      <c r="E6" s="57">
        <f>pl!E10+pl!E9</f>
        <v>5934.72</v>
      </c>
      <c r="F6" s="57">
        <f>pl!F10+pl!F9</f>
        <v>6960.0599999999995</v>
      </c>
      <c r="G6" s="57">
        <f>pl!G10+pl!G9</f>
        <v>6695.29</v>
      </c>
      <c r="H6" s="57">
        <f>pl!H10+pl!H9</f>
        <v>6248.09</v>
      </c>
      <c r="I6" s="57">
        <f>pl!I10+pl!I9</f>
        <v>7660.34</v>
      </c>
      <c r="J6" s="57">
        <f>pl!J10+pl!J9</f>
        <v>7881.49</v>
      </c>
      <c r="K6" s="57">
        <f>pl!K10+pl!K9</f>
        <v>10100.400000000001</v>
      </c>
      <c r="L6" s="57">
        <f>pl!L10+pl!L9</f>
        <v>12573.0476851981</v>
      </c>
      <c r="M6" s="57">
        <f>pl!M10+pl!M9</f>
        <v>14617.128300548475</v>
      </c>
      <c r="N6" s="57">
        <f>pl!N10+pl!N9</f>
        <v>17035.0767743873</v>
      </c>
      <c r="O6" s="57">
        <f>pl!O10+pl!O9</f>
        <v>19894.197584448291</v>
      </c>
      <c r="P6" s="57">
        <f>pl!P10+pl!P9</f>
        <v>23274.097450058052</v>
      </c>
    </row>
    <row r="7" spans="1:17">
      <c r="A7" s="187" t="s">
        <v>536</v>
      </c>
      <c r="B7" s="3">
        <f>pl!B20</f>
        <v>0.74567902133896813</v>
      </c>
      <c r="C7" s="3">
        <f>pl!C20</f>
        <v>0.74567902133896813</v>
      </c>
      <c r="D7" s="3">
        <f>pl!D20</f>
        <v>0.74567902133896813</v>
      </c>
      <c r="E7" s="3">
        <f>pl!E20</f>
        <v>0.74567902133896813</v>
      </c>
      <c r="F7" s="3">
        <f>pl!F20</f>
        <v>0.74567902133896813</v>
      </c>
      <c r="G7" s="3">
        <f>pl!G20</f>
        <v>0.74567902133896813</v>
      </c>
      <c r="H7" s="3">
        <f>pl!H20</f>
        <v>0.74567902133896813</v>
      </c>
      <c r="I7" s="3">
        <f>pl!I20</f>
        <v>0.74567902133896813</v>
      </c>
      <c r="J7" s="3">
        <f>pl!J20</f>
        <v>0.74567902133896813</v>
      </c>
      <c r="K7" s="3">
        <f>pl!K20</f>
        <v>0.74567902133896813</v>
      </c>
      <c r="L7" s="3">
        <f>pl!L20</f>
        <v>0.74567902133896813</v>
      </c>
      <c r="M7" s="3">
        <f>pl!M20</f>
        <v>0.74567902133896813</v>
      </c>
      <c r="N7" s="3">
        <f>pl!N20</f>
        <v>0.74567902133896813</v>
      </c>
      <c r="O7" s="3">
        <f>pl!O20</f>
        <v>0.74567902133896813</v>
      </c>
      <c r="P7" s="3">
        <f>pl!P20</f>
        <v>0.74567902133896813</v>
      </c>
    </row>
    <row r="8" spans="1:17">
      <c r="A8" s="187" t="s">
        <v>667</v>
      </c>
      <c r="B8" s="3">
        <f t="shared" ref="B8:P8" si="0">B6*B7</f>
        <v>3049.4096170244297</v>
      </c>
      <c r="C8" s="3">
        <f t="shared" si="0"/>
        <v>4235.4121004640592</v>
      </c>
      <c r="D8" s="3">
        <f t="shared" si="0"/>
        <v>4167.562766312426</v>
      </c>
      <c r="E8" s="3">
        <f t="shared" si="0"/>
        <v>4425.3962015208008</v>
      </c>
      <c r="F8" s="3">
        <f t="shared" si="0"/>
        <v>5189.970729260498</v>
      </c>
      <c r="G8" s="3">
        <f t="shared" si="0"/>
        <v>4992.5372947805799</v>
      </c>
      <c r="H8" s="3">
        <f t="shared" si="0"/>
        <v>4659.0696364377936</v>
      </c>
      <c r="I8" s="3">
        <f t="shared" si="0"/>
        <v>5712.1548343237509</v>
      </c>
      <c r="J8" s="3">
        <f t="shared" si="0"/>
        <v>5877.0617498928641</v>
      </c>
      <c r="K8" s="3">
        <f t="shared" si="0"/>
        <v>7531.656387132115</v>
      </c>
      <c r="L8" s="3">
        <f t="shared" si="0"/>
        <v>9375.4578931466986</v>
      </c>
      <c r="M8" s="3">
        <f t="shared" si="0"/>
        <v>10899.68592593912</v>
      </c>
      <c r="N8" s="3">
        <f t="shared" si="0"/>
        <v>12702.699377559307</v>
      </c>
      <c r="O8" s="3">
        <f t="shared" si="0"/>
        <v>14834.685785095466</v>
      </c>
      <c r="P8" s="3">
        <f t="shared" si="0"/>
        <v>17355.006209107061</v>
      </c>
    </row>
    <row r="9" spans="1:17">
      <c r="A9" s="187" t="s">
        <v>668</v>
      </c>
      <c r="B9" s="3">
        <f>bs!B6+bs!B4</f>
        <v>401.72</v>
      </c>
      <c r="C9" s="3">
        <f>bs!C6+bs!C4</f>
        <v>407.23</v>
      </c>
      <c r="D9" s="3">
        <f>bs!D6+bs!D4</f>
        <v>409.27</v>
      </c>
      <c r="E9" s="3">
        <f>bs!E6+bs!E4</f>
        <v>410.14</v>
      </c>
      <c r="F9" s="3">
        <f>bs!F6+bs!F4</f>
        <v>413.89</v>
      </c>
      <c r="G9" s="3">
        <f>bs!G6+bs!G4</f>
        <v>414.96000000000004</v>
      </c>
      <c r="H9" s="3">
        <f>bs!H6+bs!H4</f>
        <v>410.83</v>
      </c>
      <c r="I9" s="3">
        <f>bs!I6+bs!I4</f>
        <v>412.14</v>
      </c>
      <c r="J9" s="3">
        <f>bs!J6+bs!J4</f>
        <v>407.19</v>
      </c>
      <c r="K9" s="57">
        <f>bs!K4+bs!K6</f>
        <v>2190.92</v>
      </c>
      <c r="L9" s="57">
        <f>bs!L4+bs!L6</f>
        <v>706.50171211735528</v>
      </c>
      <c r="M9" s="57">
        <f>bs!M4+bs!M6</f>
        <v>745.0726013988733</v>
      </c>
      <c r="N9" s="57">
        <f>bs!N4+bs!N6</f>
        <v>786.21404247269675</v>
      </c>
      <c r="O9" s="57">
        <f>bs!O4+bs!O6</f>
        <v>830.13502119954023</v>
      </c>
      <c r="P9" s="57">
        <f>bs!P4+bs!P6</f>
        <v>877.06151399059422</v>
      </c>
    </row>
    <row r="10" spans="1:17">
      <c r="A10" s="187" t="s">
        <v>11</v>
      </c>
      <c r="B10" s="63">
        <f>WACC!$I$15</f>
        <v>0.16369847118458966</v>
      </c>
      <c r="C10" s="63">
        <f>WACC!$I$15</f>
        <v>0.16369847118458966</v>
      </c>
      <c r="D10" s="63">
        <f>WACC!$I$15</f>
        <v>0.16369847118458966</v>
      </c>
      <c r="E10" s="63">
        <f>WACC!$I$15</f>
        <v>0.16369847118458966</v>
      </c>
      <c r="F10" s="63">
        <f>WACC!$I$15</f>
        <v>0.16369847118458966</v>
      </c>
      <c r="G10" s="63">
        <f>WACC!$I$15</f>
        <v>0.16369847118458966</v>
      </c>
      <c r="H10" s="63">
        <f>WACC!$I$15</f>
        <v>0.16369847118458966</v>
      </c>
      <c r="I10" s="63">
        <f>WACC!$I$15</f>
        <v>0.16369847118458966</v>
      </c>
      <c r="J10" s="63">
        <f>WACC!$I$15</f>
        <v>0.16369847118458966</v>
      </c>
      <c r="K10" s="63">
        <f>WACC!$I$15</f>
        <v>0.16369847118458966</v>
      </c>
      <c r="L10" s="63">
        <f>WACC!$I$15</f>
        <v>0.16369847118458966</v>
      </c>
      <c r="M10" s="63">
        <f>WACC!$I$15</f>
        <v>0.16369847118458966</v>
      </c>
      <c r="N10" s="63">
        <f>WACC!$I$15</f>
        <v>0.16369847118458966</v>
      </c>
      <c r="O10" s="63">
        <f>WACC!$I$15</f>
        <v>0.16369847118458966</v>
      </c>
      <c r="P10" s="63">
        <f>WACC!$I$15</f>
        <v>0.16369847118458966</v>
      </c>
    </row>
    <row r="11" spans="1:17">
      <c r="A11" s="187" t="s">
        <v>22</v>
      </c>
      <c r="B11" s="3">
        <f t="shared" ref="B11:P11" si="1">B8-(B9*B10)</f>
        <v>2983.6486671801563</v>
      </c>
      <c r="C11" s="3">
        <f t="shared" si="1"/>
        <v>4168.7491720435592</v>
      </c>
      <c r="D11" s="3">
        <f t="shared" si="1"/>
        <v>4100.5658930107093</v>
      </c>
      <c r="E11" s="3">
        <f t="shared" si="1"/>
        <v>4358.256910549153</v>
      </c>
      <c r="F11" s="3">
        <f t="shared" si="1"/>
        <v>5122.2175690219083</v>
      </c>
      <c r="G11" s="3">
        <f t="shared" si="1"/>
        <v>4924.6089771778225</v>
      </c>
      <c r="H11" s="3">
        <f t="shared" si="1"/>
        <v>4591.8173935210289</v>
      </c>
      <c r="I11" s="3">
        <f t="shared" si="1"/>
        <v>5644.6881464097341</v>
      </c>
      <c r="J11" s="3">
        <f t="shared" si="1"/>
        <v>5810.4053694112108</v>
      </c>
      <c r="K11" s="102">
        <f t="shared" si="1"/>
        <v>7173.0061326443738</v>
      </c>
      <c r="L11" s="102">
        <f t="shared" si="1"/>
        <v>9259.8046429837923</v>
      </c>
      <c r="M11" s="102">
        <f t="shared" si="1"/>
        <v>10777.7186801686</v>
      </c>
      <c r="N11" s="102">
        <f t="shared" si="1"/>
        <v>12573.997340782671</v>
      </c>
      <c r="O11" s="102">
        <f t="shared" si="1"/>
        <v>14698.793951248314</v>
      </c>
      <c r="P11" s="102">
        <f t="shared" si="1"/>
        <v>17211.432580131961</v>
      </c>
      <c r="Q11" s="3">
        <f>(P11*(1+L13))/(L14-L13)</f>
        <v>463879.21303319506</v>
      </c>
    </row>
    <row r="13" spans="1:17" ht="15.75" customHeight="1">
      <c r="A13" s="87" t="s">
        <v>458</v>
      </c>
      <c r="B13" s="53">
        <f>pl!M49</f>
        <v>0</v>
      </c>
      <c r="K13" s="56">
        <f>pl!M46</f>
        <v>0.11849598031301031</v>
      </c>
      <c r="L13" s="188">
        <v>0.11849999999999999</v>
      </c>
    </row>
    <row r="14" spans="1:17">
      <c r="A14" s="3" t="s">
        <v>11</v>
      </c>
      <c r="K14" s="63">
        <f>'DCF WACC'!B11</f>
        <v>0.16369847118458966</v>
      </c>
      <c r="L14" s="3">
        <v>0.16</v>
      </c>
    </row>
    <row r="15" spans="1:17">
      <c r="A15" s="3" t="s">
        <v>669</v>
      </c>
      <c r="K15" s="57">
        <f t="array" ref="K15">NPV(K10,L11:P11)</f>
        <v>39975.546676793201</v>
      </c>
    </row>
    <row r="16" spans="1:17">
      <c r="A16" s="3" t="s">
        <v>670</v>
      </c>
      <c r="K16" s="3">
        <f>Q11/(1+K14)^5</f>
        <v>217371.495299617</v>
      </c>
    </row>
    <row r="17" spans="1:11">
      <c r="A17" s="180" t="s">
        <v>671</v>
      </c>
      <c r="K17" s="57">
        <f>K15+K16+K9</f>
        <v>259537.96197641021</v>
      </c>
    </row>
    <row r="18" spans="1:11">
      <c r="A18" s="57" t="s">
        <v>672</v>
      </c>
      <c r="K18" s="33">
        <f>bs!K24</f>
        <v>1912</v>
      </c>
    </row>
    <row r="19" spans="1:11">
      <c r="A19" s="180" t="s">
        <v>673</v>
      </c>
      <c r="K19" s="57">
        <f>K17-K18</f>
        <v>257625.96197641021</v>
      </c>
    </row>
    <row r="20" spans="1:11">
      <c r="A20" s="3" t="s">
        <v>674</v>
      </c>
      <c r="K20" s="3">
        <f>'DCF APV'!B49</f>
        <v>27.920312952767315</v>
      </c>
    </row>
    <row r="21" spans="1:11">
      <c r="A21" s="3" t="s">
        <v>675</v>
      </c>
      <c r="K21" s="60">
        <f>K19/K20</f>
        <v>9227.1874750198913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  <pageSetUpPr fitToPage="1"/>
  </sheetPr>
  <dimension ref="B2:Q33"/>
  <sheetViews>
    <sheetView workbookViewId="0"/>
  </sheetViews>
  <sheetFormatPr defaultColWidth="12.6640625" defaultRowHeight="15.75" customHeight="1"/>
  <cols>
    <col min="3" max="3" width="13.33203125" customWidth="1"/>
    <col min="4" max="4" width="16.44140625" customWidth="1"/>
    <col min="10" max="10" width="2.77734375" customWidth="1"/>
    <col min="14" max="14" width="2.77734375" customWidth="1"/>
  </cols>
  <sheetData>
    <row r="2" spans="2:17" ht="15.75" customHeight="1">
      <c r="B2" s="189"/>
      <c r="C2" s="232" t="s">
        <v>676</v>
      </c>
      <c r="D2" s="233"/>
      <c r="E2" s="233"/>
      <c r="F2" s="233"/>
      <c r="G2" s="233"/>
      <c r="H2" s="233"/>
      <c r="I2" s="233"/>
      <c r="J2" s="189"/>
      <c r="K2" s="234" t="s">
        <v>677</v>
      </c>
      <c r="L2" s="216"/>
      <c r="M2" s="216"/>
      <c r="N2" s="189"/>
      <c r="O2" s="234" t="s">
        <v>678</v>
      </c>
      <c r="P2" s="216"/>
      <c r="Q2" s="216"/>
    </row>
    <row r="3" spans="2:17" ht="15.75" customHeight="1">
      <c r="B3" s="191" t="s">
        <v>679</v>
      </c>
      <c r="C3" s="192" t="s">
        <v>680</v>
      </c>
      <c r="D3" s="192" t="s">
        <v>681</v>
      </c>
      <c r="E3" s="192" t="s">
        <v>682</v>
      </c>
      <c r="F3" s="192" t="s">
        <v>461</v>
      </c>
      <c r="G3" s="192" t="s">
        <v>683</v>
      </c>
      <c r="H3" s="192" t="s">
        <v>672</v>
      </c>
      <c r="I3" s="192" t="s">
        <v>684</v>
      </c>
      <c r="J3" s="189"/>
      <c r="K3" s="192" t="s">
        <v>685</v>
      </c>
      <c r="L3" s="192" t="s">
        <v>686</v>
      </c>
      <c r="M3" s="192" t="s">
        <v>584</v>
      </c>
      <c r="N3" s="189"/>
      <c r="O3" s="192" t="s">
        <v>687</v>
      </c>
      <c r="P3" s="192" t="s">
        <v>688</v>
      </c>
      <c r="Q3" s="192" t="s">
        <v>689</v>
      </c>
    </row>
    <row r="4" spans="2:17" ht="15.75" customHeight="1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2:17" ht="15.75" customHeight="1">
      <c r="B5" s="193" t="s">
        <v>690</v>
      </c>
      <c r="C5" s="194">
        <f>'Data for Relative Valuation'!D3</f>
        <v>10847.6</v>
      </c>
      <c r="D5" s="194">
        <f>'Data for Relative Valuation'!H3</f>
        <v>27.93</v>
      </c>
      <c r="E5" s="195">
        <f t="shared" ref="E5:E9" si="0">C5*D5</f>
        <v>302973.46799999999</v>
      </c>
      <c r="F5" s="194">
        <f>'Data for Relative Valuation'!G3</f>
        <v>1911.74</v>
      </c>
      <c r="G5" s="194">
        <f>'Data for Relative Valuation'!I3</f>
        <v>955.32</v>
      </c>
      <c r="H5" s="196">
        <f t="shared" ref="H5:H9" si="1">F5-G5</f>
        <v>956.42</v>
      </c>
      <c r="I5" s="195">
        <f t="shared" ref="I5:I9" si="2">E5+H5</f>
        <v>303929.88799999998</v>
      </c>
      <c r="J5" s="193"/>
      <c r="K5" s="195">
        <f>'Data for Relative Valuation'!F3</f>
        <v>46490.59</v>
      </c>
      <c r="L5" s="195">
        <f>'Data for Relative Valuation'!K3</f>
        <v>9199.73</v>
      </c>
      <c r="M5" s="195">
        <f>'Data for Relative Valuation'!L3</f>
        <v>8005.89</v>
      </c>
      <c r="N5" s="193"/>
      <c r="O5" s="197">
        <f t="shared" ref="O5:O9" si="3">I5/K5</f>
        <v>6.5374495785061022</v>
      </c>
      <c r="P5" s="197">
        <f t="shared" ref="P5:P9" si="4">I5/L5</f>
        <v>33.036826950356151</v>
      </c>
      <c r="Q5" s="197">
        <f t="shared" ref="Q5:Q9" si="5">E5/M5</f>
        <v>37.84382098679847</v>
      </c>
    </row>
    <row r="6" spans="2:17" ht="15.75" customHeight="1">
      <c r="B6" s="198" t="str">
        <f>'Data for Relative Valuation'!C4</f>
        <v>TVS Motor Co.</v>
      </c>
      <c r="C6" s="199">
        <f>'Data for Relative Valuation'!D4</f>
        <v>2765.1</v>
      </c>
      <c r="D6" s="78">
        <f>'Data for Relative Valuation'!H4</f>
        <v>47.51</v>
      </c>
      <c r="E6" s="200">
        <f t="shared" si="0"/>
        <v>131369.90099999998</v>
      </c>
      <c r="F6" s="78">
        <f>'Data for Relative Valuation'!G4</f>
        <v>26005.7</v>
      </c>
      <c r="G6" s="78">
        <f>'Data for Relative Valuation'!I4</f>
        <v>2425.73</v>
      </c>
      <c r="H6" s="201">
        <f t="shared" si="1"/>
        <v>23579.97</v>
      </c>
      <c r="I6" s="200">
        <f t="shared" si="2"/>
        <v>154949.87099999998</v>
      </c>
      <c r="J6" s="7"/>
      <c r="K6" s="199">
        <f>'Data for Relative Valuation'!F4</f>
        <v>40496.089999999997</v>
      </c>
      <c r="L6" s="199">
        <f>'Data for Relative Valuation'!K4</f>
        <v>5742.92</v>
      </c>
      <c r="M6" s="200">
        <f>'Data for Relative Valuation'!L4</f>
        <v>1821.89</v>
      </c>
      <c r="N6" s="7"/>
      <c r="O6" s="202">
        <f t="shared" si="3"/>
        <v>3.8262921432661772</v>
      </c>
      <c r="P6" s="203">
        <f t="shared" si="4"/>
        <v>26.981025506188487</v>
      </c>
      <c r="Q6" s="203">
        <f t="shared" si="5"/>
        <v>72.106384578651827</v>
      </c>
    </row>
    <row r="7" spans="2:17" ht="15.75" customHeight="1">
      <c r="B7" s="198" t="str">
        <f>'Data for Relative Valuation'!C5</f>
        <v>Hero Motocorp</v>
      </c>
      <c r="C7" s="199">
        <f>'Data for Relative Valuation'!D5</f>
        <v>5745.3</v>
      </c>
      <c r="D7" s="78">
        <f>'Data for Relative Valuation'!H5</f>
        <v>20</v>
      </c>
      <c r="E7" s="200">
        <f t="shared" si="0"/>
        <v>114906</v>
      </c>
      <c r="F7" s="78">
        <f>'Data for Relative Valuation'!G5</f>
        <v>606.41</v>
      </c>
      <c r="G7" s="78">
        <f>'Data for Relative Valuation'!I5</f>
        <v>696.47</v>
      </c>
      <c r="H7" s="201">
        <f t="shared" si="1"/>
        <v>-90.060000000000059</v>
      </c>
      <c r="I7" s="200">
        <f t="shared" si="2"/>
        <v>114815.94</v>
      </c>
      <c r="J7" s="7"/>
      <c r="K7" s="199">
        <f>'Data for Relative Valuation'!F5</f>
        <v>39148.400000000001</v>
      </c>
      <c r="L7" s="199">
        <f>'Data for Relative Valuation'!K5</f>
        <v>5470.57</v>
      </c>
      <c r="M7" s="200">
        <f>'Data for Relative Valuation'!L5</f>
        <v>4073.83</v>
      </c>
      <c r="N7" s="7"/>
      <c r="O7" s="202">
        <f t="shared" si="3"/>
        <v>2.9328386345291251</v>
      </c>
      <c r="P7" s="203">
        <f t="shared" si="4"/>
        <v>20.987929959766536</v>
      </c>
      <c r="Q7" s="203">
        <f t="shared" si="5"/>
        <v>28.205889789215554</v>
      </c>
    </row>
    <row r="8" spans="2:17" ht="15.75" customHeight="1">
      <c r="B8" s="198" t="str">
        <f>'Data for Relative Valuation'!C6</f>
        <v>Eicher Motors</v>
      </c>
      <c r="C8" s="199">
        <f>'Data for Relative Valuation'!D6</f>
        <v>4737.2</v>
      </c>
      <c r="D8" s="78">
        <f>'Data for Relative Valuation'!H6</f>
        <v>27.41</v>
      </c>
      <c r="E8" s="200">
        <f t="shared" si="0"/>
        <v>129846.652</v>
      </c>
      <c r="F8" s="199">
        <f>'Data for Relative Valuation'!G6</f>
        <v>419.44</v>
      </c>
      <c r="G8" s="199">
        <f>'Data for Relative Valuation'!I6</f>
        <v>146.31</v>
      </c>
      <c r="H8" s="200">
        <f t="shared" si="1"/>
        <v>273.13</v>
      </c>
      <c r="I8" s="200">
        <f t="shared" si="2"/>
        <v>130119.78200000001</v>
      </c>
      <c r="J8" s="7"/>
      <c r="K8" s="199">
        <f>'Data for Relative Valuation'!F6</f>
        <v>16942.46</v>
      </c>
      <c r="L8" s="199">
        <f>'Data for Relative Valuation'!K6</f>
        <v>4471.5</v>
      </c>
      <c r="M8" s="200">
        <f>'Data for Relative Valuation'!L6</f>
        <v>4184.13</v>
      </c>
      <c r="N8" s="7"/>
      <c r="O8" s="202">
        <f t="shared" si="3"/>
        <v>7.6800997021683992</v>
      </c>
      <c r="P8" s="203">
        <f t="shared" si="4"/>
        <v>29.099805881695183</v>
      </c>
      <c r="Q8" s="203">
        <f t="shared" si="5"/>
        <v>31.033130423767904</v>
      </c>
    </row>
    <row r="9" spans="2:17" ht="15.75" customHeight="1">
      <c r="B9" s="198" t="str">
        <f>'Data for Relative Valuation'!C7</f>
        <v>Atul Auto</v>
      </c>
      <c r="C9" s="78">
        <f>'Data for Relative Valuation'!D7</f>
        <v>660.75</v>
      </c>
      <c r="D9" s="78">
        <f>'Data for Relative Valuation'!H7</f>
        <v>2.78</v>
      </c>
      <c r="E9" s="200">
        <f t="shared" si="0"/>
        <v>1836.8849999999998</v>
      </c>
      <c r="F9" s="199">
        <f>'Data for Relative Valuation'!G7</f>
        <v>144.46</v>
      </c>
      <c r="G9" s="199">
        <f>'Data for Relative Valuation'!I7</f>
        <v>22.26</v>
      </c>
      <c r="H9" s="200">
        <f t="shared" si="1"/>
        <v>122.2</v>
      </c>
      <c r="I9" s="200">
        <f t="shared" si="2"/>
        <v>1959.0849999999998</v>
      </c>
      <c r="J9" s="7"/>
      <c r="K9" s="199">
        <f>'Data for Relative Valuation'!F7</f>
        <v>602.72</v>
      </c>
      <c r="L9" s="199">
        <f>'Data for Relative Valuation'!K7</f>
        <v>51.77</v>
      </c>
      <c r="M9" s="200">
        <f>'Data for Relative Valuation'!L7</f>
        <v>17.239999999999998</v>
      </c>
      <c r="N9" s="7"/>
      <c r="O9" s="202">
        <f t="shared" si="3"/>
        <v>3.2504064905760548</v>
      </c>
      <c r="P9" s="203">
        <f t="shared" si="4"/>
        <v>37.842090013521336</v>
      </c>
      <c r="Q9" s="203">
        <f t="shared" si="5"/>
        <v>106.54785382830626</v>
      </c>
    </row>
    <row r="10" spans="2:17" ht="15.75" customHeight="1">
      <c r="B10" s="7"/>
      <c r="C10" s="199"/>
      <c r="D10" s="78"/>
      <c r="E10" s="199"/>
      <c r="F10" s="78"/>
      <c r="G10" s="78"/>
      <c r="H10" s="78"/>
      <c r="I10" s="199"/>
      <c r="J10" s="7"/>
      <c r="K10" s="199"/>
      <c r="L10" s="199"/>
      <c r="M10" s="199"/>
      <c r="N10" s="7"/>
      <c r="O10" s="78"/>
      <c r="P10" s="78"/>
      <c r="Q10" s="78"/>
    </row>
    <row r="11" spans="2:17" ht="15.75" customHeight="1">
      <c r="B11" s="7"/>
      <c r="C11" s="78"/>
      <c r="D11" s="78"/>
      <c r="E11" s="199"/>
      <c r="F11" s="78"/>
      <c r="G11" s="78"/>
      <c r="H11" s="78"/>
      <c r="I11" s="199"/>
      <c r="J11" s="7"/>
      <c r="K11" s="199"/>
      <c r="L11" s="199"/>
      <c r="M11" s="199"/>
      <c r="N11" s="7"/>
      <c r="O11" s="78"/>
      <c r="P11" s="78"/>
      <c r="Q11" s="78"/>
    </row>
    <row r="12" spans="2:17" ht="15.75" customHeight="1">
      <c r="B12" s="7"/>
      <c r="C12" s="78"/>
      <c r="D12" s="78"/>
      <c r="E12" s="199"/>
      <c r="F12" s="199"/>
      <c r="G12" s="199"/>
      <c r="H12" s="199"/>
      <c r="I12" s="199"/>
      <c r="J12" s="7"/>
      <c r="K12" s="199"/>
      <c r="L12" s="199"/>
      <c r="M12" s="78"/>
      <c r="N12" s="7"/>
      <c r="O12" s="78"/>
      <c r="P12" s="78"/>
      <c r="Q12" s="78"/>
    </row>
    <row r="13" spans="2:17" ht="15.75" customHeight="1">
      <c r="B13" s="7"/>
      <c r="C13" s="78"/>
      <c r="D13" s="78"/>
      <c r="E13" s="199"/>
      <c r="F13" s="78"/>
      <c r="G13" s="78"/>
      <c r="H13" s="78"/>
      <c r="I13" s="199"/>
      <c r="J13" s="7"/>
      <c r="K13" s="199"/>
      <c r="L13" s="78"/>
      <c r="M13" s="78"/>
      <c r="N13" s="7"/>
      <c r="O13" s="78"/>
      <c r="P13" s="78"/>
      <c r="Q13" s="78"/>
    </row>
    <row r="14" spans="2:17" ht="15.75" customHeight="1">
      <c r="B14" s="7"/>
      <c r="C14" s="78"/>
      <c r="D14" s="78"/>
      <c r="E14" s="199"/>
      <c r="F14" s="78"/>
      <c r="G14" s="78"/>
      <c r="H14" s="78"/>
      <c r="I14" s="199"/>
      <c r="J14" s="7"/>
      <c r="K14" s="199"/>
      <c r="L14" s="78"/>
      <c r="M14" s="78"/>
      <c r="N14" s="7"/>
      <c r="O14" s="78"/>
      <c r="P14" s="78"/>
      <c r="Q14" s="78"/>
    </row>
    <row r="15" spans="2:17" ht="15.75" customHeight="1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2:17" ht="15.75" customHeight="1">
      <c r="B16" s="193" t="s">
        <v>171</v>
      </c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7">
        <f t="shared" ref="O16:Q16" si="6">MAX(O5:O9)</f>
        <v>7.6800997021683992</v>
      </c>
      <c r="P16" s="197">
        <f t="shared" si="6"/>
        <v>37.842090013521336</v>
      </c>
      <c r="Q16" s="197">
        <f t="shared" si="6"/>
        <v>106.54785382830626</v>
      </c>
    </row>
    <row r="17" spans="2:17" ht="15.75" customHeight="1">
      <c r="B17" s="193" t="s">
        <v>691</v>
      </c>
      <c r="C17" s="193"/>
      <c r="D17" s="193"/>
      <c r="E17" s="193"/>
      <c r="F17" s="193"/>
      <c r="G17" s="193"/>
      <c r="H17" s="193"/>
      <c r="I17" s="193"/>
      <c r="J17" s="193"/>
      <c r="K17" s="193"/>
      <c r="L17" s="193"/>
      <c r="M17" s="193"/>
      <c r="N17" s="193"/>
      <c r="O17" s="197">
        <f t="shared" ref="O17:Q17" si="7">QUARTILE(O5:O9,3)</f>
        <v>6.5374495785061022</v>
      </c>
      <c r="P17" s="197">
        <f t="shared" si="7"/>
        <v>33.036826950356151</v>
      </c>
      <c r="Q17" s="197">
        <f t="shared" si="7"/>
        <v>72.106384578651827</v>
      </c>
    </row>
    <row r="18" spans="2:17" ht="15.75" customHeight="1">
      <c r="B18" s="204" t="s">
        <v>89</v>
      </c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205">
        <f t="shared" ref="O18:Q18" si="8">AVERAGE(O5:O9)</f>
        <v>4.8454173098091715</v>
      </c>
      <c r="P18" s="205">
        <f t="shared" si="8"/>
        <v>29.589535662305536</v>
      </c>
      <c r="Q18" s="205">
        <f t="shared" si="8"/>
        <v>55.147415921347999</v>
      </c>
    </row>
    <row r="19" spans="2:17" ht="15.75" customHeight="1">
      <c r="B19" s="204" t="s">
        <v>692</v>
      </c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205">
        <f t="shared" ref="O19:Q19" si="9">MEDIAN(O5:O9)</f>
        <v>3.8262921432661772</v>
      </c>
      <c r="P19" s="205">
        <f t="shared" si="9"/>
        <v>29.099805881695183</v>
      </c>
      <c r="Q19" s="205">
        <f t="shared" si="9"/>
        <v>37.84382098679847</v>
      </c>
    </row>
    <row r="20" spans="2:17" ht="15.75" customHeight="1">
      <c r="B20" s="193" t="s">
        <v>693</v>
      </c>
      <c r="C20" s="193"/>
      <c r="D20" s="193"/>
      <c r="E20" s="193"/>
      <c r="F20" s="193"/>
      <c r="G20" s="193"/>
      <c r="H20" s="193"/>
      <c r="I20" s="193"/>
      <c r="J20" s="193"/>
      <c r="K20" s="193"/>
      <c r="L20" s="193"/>
      <c r="M20" s="193"/>
      <c r="N20" s="193"/>
      <c r="O20" s="197">
        <f t="shared" ref="O20:Q20" si="10">QUARTILE(O5:O9,1)</f>
        <v>3.2504064905760548</v>
      </c>
      <c r="P20" s="197">
        <f t="shared" si="10"/>
        <v>26.981025506188487</v>
      </c>
      <c r="Q20" s="197">
        <f t="shared" si="10"/>
        <v>31.033130423767904</v>
      </c>
    </row>
    <row r="21" spans="2:17" ht="15.75" customHeight="1">
      <c r="B21" s="193" t="s">
        <v>172</v>
      </c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7">
        <f t="shared" ref="O21:Q21" si="11">MIN(O5:O9)</f>
        <v>2.9328386345291251</v>
      </c>
      <c r="P21" s="197">
        <f t="shared" si="11"/>
        <v>20.987929959766536</v>
      </c>
      <c r="Q21" s="197">
        <f t="shared" si="11"/>
        <v>28.205889789215554</v>
      </c>
    </row>
    <row r="22" spans="2:17" ht="15.75" customHeight="1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2:17" ht="15.75" customHeight="1">
      <c r="B23" s="235" t="s">
        <v>694</v>
      </c>
      <c r="C23" s="216"/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92" t="s">
        <v>687</v>
      </c>
      <c r="P23" s="190" t="s">
        <v>688</v>
      </c>
      <c r="Q23" s="192" t="s">
        <v>689</v>
      </c>
    </row>
    <row r="24" spans="2:17" ht="15.75" customHeight="1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2:17" ht="15.75" customHeight="1">
      <c r="B25" s="236" t="s">
        <v>695</v>
      </c>
      <c r="C25" s="21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199">
        <f t="shared" ref="O25:P25" si="12">O19*K5</f>
        <v>177886.57925280908</v>
      </c>
      <c r="P25" s="199">
        <f t="shared" si="12"/>
        <v>267710.35716400761</v>
      </c>
      <c r="Q25" s="199">
        <f>Q27+Q26</f>
        <v>303929.88799999998</v>
      </c>
    </row>
    <row r="26" spans="2:17" ht="15.75" customHeight="1">
      <c r="B26" s="7" t="s">
        <v>672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8">
        <f>H5</f>
        <v>956.42</v>
      </c>
      <c r="P26" s="201">
        <f>H5</f>
        <v>956.42</v>
      </c>
      <c r="Q26" s="78">
        <f>H5</f>
        <v>956.42</v>
      </c>
    </row>
    <row r="27" spans="2:17" ht="15.75" customHeight="1">
      <c r="B27" s="7" t="s">
        <v>696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199">
        <f t="shared" ref="O27:P27" si="13">O25-O26</f>
        <v>176930.15925280907</v>
      </c>
      <c r="P27" s="199">
        <f t="shared" si="13"/>
        <v>266753.93716400763</v>
      </c>
      <c r="Q27" s="199">
        <f>Q19*M5</f>
        <v>302973.46799999999</v>
      </c>
    </row>
    <row r="28" spans="2:17" ht="14.4">
      <c r="B28" s="7" t="s">
        <v>681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8">
        <f>D5</f>
        <v>27.93</v>
      </c>
      <c r="P28" s="78">
        <f>D5</f>
        <v>27.93</v>
      </c>
      <c r="Q28" s="78">
        <f>D5</f>
        <v>27.93</v>
      </c>
    </row>
    <row r="29" spans="2:17" ht="14.4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2:17" ht="14.4">
      <c r="B30" s="237" t="s">
        <v>697</v>
      </c>
      <c r="C30" s="216"/>
      <c r="D30" s="193"/>
      <c r="E30" s="193"/>
      <c r="F30" s="193"/>
      <c r="G30" s="193"/>
      <c r="H30" s="193"/>
      <c r="I30" s="193"/>
      <c r="J30" s="193"/>
      <c r="K30" s="193"/>
      <c r="L30" s="193"/>
      <c r="M30" s="193"/>
      <c r="N30" s="193"/>
      <c r="O30" s="206">
        <f t="shared" ref="O30:Q30" si="14">O27/O28</f>
        <v>6334.7711869963859</v>
      </c>
      <c r="P30" s="206">
        <f t="shared" si="14"/>
        <v>9550.8033356250489</v>
      </c>
      <c r="Q30" s="207">
        <f t="shared" si="14"/>
        <v>10847.6</v>
      </c>
    </row>
    <row r="31" spans="2:17" ht="14.4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2:17" ht="14.4">
      <c r="B32" s="238"/>
      <c r="C32" s="216"/>
      <c r="D32" s="216"/>
      <c r="E32" s="7"/>
      <c r="F32" s="7"/>
      <c r="G32" s="7"/>
      <c r="H32" s="7"/>
      <c r="I32" s="7"/>
      <c r="J32" s="7"/>
      <c r="K32" s="7"/>
      <c r="L32" s="7"/>
      <c r="M32" s="7"/>
      <c r="N32" s="7"/>
      <c r="O32" s="208" t="str">
        <f t="shared" ref="O32:Q32" si="15">IF(O30&gt;$C$5,"Undervalued","Overvalued")</f>
        <v>Overvalued</v>
      </c>
      <c r="P32" s="208" t="str">
        <f t="shared" si="15"/>
        <v>Overvalued</v>
      </c>
      <c r="Q32" s="208" t="str">
        <f t="shared" si="15"/>
        <v>Overvalued</v>
      </c>
    </row>
    <row r="33" spans="2:14" ht="14.4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</sheetData>
  <mergeCells count="7">
    <mergeCell ref="B30:C30"/>
    <mergeCell ref="B32:D32"/>
    <mergeCell ref="C2:I2"/>
    <mergeCell ref="K2:M2"/>
    <mergeCell ref="O2:Q2"/>
    <mergeCell ref="B23:C23"/>
    <mergeCell ref="B25:C25"/>
  </mergeCells>
  <printOptions gridLines="1"/>
  <pageMargins left="0.25" right="0.25" top="0.75" bottom="0.75" header="0" footer="0"/>
  <pageSetup paperSize="9" fitToHeight="0" pageOrder="overThenDown" orientation="landscape" cellComments="atEnd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B1:L7"/>
  <sheetViews>
    <sheetView workbookViewId="0"/>
  </sheetViews>
  <sheetFormatPr defaultColWidth="12.6640625" defaultRowHeight="15.75" customHeight="1"/>
  <cols>
    <col min="4" max="4" width="16" customWidth="1"/>
    <col min="8" max="8" width="15.88671875" customWidth="1"/>
  </cols>
  <sheetData>
    <row r="1" spans="2:12">
      <c r="B1" s="209" t="s">
        <v>698</v>
      </c>
    </row>
    <row r="2" spans="2:12">
      <c r="B2" s="210" t="s">
        <v>699</v>
      </c>
      <c r="C2" s="210" t="s">
        <v>700</v>
      </c>
      <c r="D2" s="211" t="s">
        <v>701</v>
      </c>
      <c r="E2" s="212" t="s">
        <v>702</v>
      </c>
      <c r="F2" s="211" t="s">
        <v>512</v>
      </c>
      <c r="G2" s="211" t="s">
        <v>461</v>
      </c>
      <c r="H2" s="211" t="s">
        <v>703</v>
      </c>
      <c r="I2" s="211" t="s">
        <v>704</v>
      </c>
      <c r="J2" s="211" t="s">
        <v>705</v>
      </c>
      <c r="K2" s="67" t="s">
        <v>686</v>
      </c>
      <c r="L2" s="212" t="s">
        <v>706</v>
      </c>
    </row>
    <row r="3" spans="2:12">
      <c r="B3" s="213">
        <v>1</v>
      </c>
      <c r="C3" s="210" t="s">
        <v>690</v>
      </c>
      <c r="D3" s="214">
        <v>10847.6</v>
      </c>
      <c r="E3" s="214">
        <v>303007.21999999997</v>
      </c>
      <c r="F3" s="214">
        <v>46490.59</v>
      </c>
      <c r="G3" s="214">
        <v>1911.74</v>
      </c>
      <c r="H3" s="214">
        <v>27.93</v>
      </c>
      <c r="I3" s="214">
        <v>955.32</v>
      </c>
      <c r="J3" s="214">
        <v>303963.64</v>
      </c>
      <c r="K3" s="214">
        <v>9199.73</v>
      </c>
      <c r="L3" s="214">
        <v>8005.89</v>
      </c>
    </row>
    <row r="4" spans="2:12">
      <c r="B4" s="213">
        <v>2</v>
      </c>
      <c r="C4" s="210" t="s">
        <v>707</v>
      </c>
      <c r="D4" s="214">
        <v>2765.1</v>
      </c>
      <c r="E4" s="214">
        <v>131427.20000000001</v>
      </c>
      <c r="F4" s="214">
        <v>40496.089999999997</v>
      </c>
      <c r="G4" s="214">
        <v>26005.7</v>
      </c>
      <c r="H4" s="214">
        <v>47.51</v>
      </c>
      <c r="I4" s="214">
        <v>2425.73</v>
      </c>
      <c r="J4" s="214">
        <v>155007.17000000001</v>
      </c>
      <c r="K4" s="214">
        <v>5742.92</v>
      </c>
      <c r="L4" s="214">
        <v>1821.89</v>
      </c>
    </row>
    <row r="5" spans="2:12">
      <c r="B5" s="213">
        <v>3</v>
      </c>
      <c r="C5" s="210" t="s">
        <v>708</v>
      </c>
      <c r="D5" s="214">
        <v>5745.3</v>
      </c>
      <c r="E5" s="214">
        <v>114941.6</v>
      </c>
      <c r="F5" s="214">
        <v>39148.400000000001</v>
      </c>
      <c r="G5" s="214">
        <v>606.41</v>
      </c>
      <c r="H5" s="214">
        <v>20</v>
      </c>
      <c r="I5" s="214">
        <v>696.47</v>
      </c>
      <c r="J5" s="214">
        <v>114851.54</v>
      </c>
      <c r="K5" s="214">
        <v>5470.57</v>
      </c>
      <c r="L5" s="214">
        <v>4073.83</v>
      </c>
    </row>
    <row r="6" spans="2:12">
      <c r="B6" s="213">
        <v>4</v>
      </c>
      <c r="C6" s="210" t="s">
        <v>709</v>
      </c>
      <c r="D6" s="214">
        <v>4737.2</v>
      </c>
      <c r="E6" s="214">
        <v>129840.35</v>
      </c>
      <c r="F6" s="214">
        <v>16942.46</v>
      </c>
      <c r="G6" s="214">
        <v>419.44</v>
      </c>
      <c r="H6" s="214">
        <v>27.41</v>
      </c>
      <c r="I6" s="214">
        <v>146.31</v>
      </c>
      <c r="J6" s="214">
        <v>130113.48</v>
      </c>
      <c r="K6" s="214">
        <v>4471.5</v>
      </c>
      <c r="L6" s="214">
        <v>4184.13</v>
      </c>
    </row>
    <row r="7" spans="2:12">
      <c r="B7" s="213">
        <v>5</v>
      </c>
      <c r="C7" s="210" t="s">
        <v>710</v>
      </c>
      <c r="D7" s="214">
        <v>660.75</v>
      </c>
      <c r="E7" s="214">
        <v>1841.62</v>
      </c>
      <c r="F7" s="214">
        <v>602.72</v>
      </c>
      <c r="G7" s="214">
        <v>144.46</v>
      </c>
      <c r="H7" s="214">
        <v>2.78</v>
      </c>
      <c r="I7" s="214">
        <v>22.26</v>
      </c>
      <c r="J7" s="214">
        <v>1963.82</v>
      </c>
      <c r="K7" s="214">
        <v>51.77</v>
      </c>
      <c r="L7" s="214">
        <v>17.239999999999998</v>
      </c>
    </row>
  </sheetData>
  <hyperlinks>
    <hyperlink ref="B2" r:id="rId1" xr:uid="{00000000-0004-0000-0F00-000000000000}"/>
    <hyperlink ref="C2" r:id="rId2" xr:uid="{00000000-0004-0000-0F00-000001000000}"/>
    <hyperlink ref="D2" r:id="rId3" xr:uid="{00000000-0004-0000-0F00-000002000000}"/>
    <hyperlink ref="E2" r:id="rId4" xr:uid="{00000000-0004-0000-0F00-000003000000}"/>
    <hyperlink ref="F2" r:id="rId5" xr:uid="{00000000-0004-0000-0F00-000004000000}"/>
    <hyperlink ref="G2" r:id="rId6" xr:uid="{00000000-0004-0000-0F00-000005000000}"/>
    <hyperlink ref="H2" r:id="rId7" xr:uid="{00000000-0004-0000-0F00-000006000000}"/>
    <hyperlink ref="I2" r:id="rId8" xr:uid="{00000000-0004-0000-0F00-000007000000}"/>
    <hyperlink ref="J2" r:id="rId9" xr:uid="{00000000-0004-0000-0F00-000008000000}"/>
    <hyperlink ref="L2" r:id="rId10" xr:uid="{00000000-0004-0000-0F00-000009000000}"/>
    <hyperlink ref="C3" r:id="rId11" xr:uid="{00000000-0004-0000-0F00-00000A000000}"/>
    <hyperlink ref="C4" r:id="rId12" xr:uid="{00000000-0004-0000-0F00-00000B000000}"/>
    <hyperlink ref="C5" r:id="rId13" xr:uid="{00000000-0004-0000-0F00-00000C000000}"/>
    <hyperlink ref="C6" r:id="rId14" xr:uid="{00000000-0004-0000-0F00-00000D000000}"/>
    <hyperlink ref="C7" r:id="rId15" xr:uid="{00000000-0004-0000-0F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Introduction</vt:lpstr>
      <vt:lpstr>bs</vt:lpstr>
      <vt:lpstr>cf</vt:lpstr>
      <vt:lpstr>WACC</vt:lpstr>
      <vt:lpstr>5 year monthly stock price data</vt:lpstr>
      <vt:lpstr>daily 1 yr stockprices</vt:lpstr>
      <vt:lpstr>DCF APV</vt:lpstr>
      <vt:lpstr>DCF WACC</vt:lpstr>
      <vt:lpstr>DCF CCF</vt:lpstr>
      <vt:lpstr>pl</vt:lpstr>
      <vt:lpstr>Residual income model</vt:lpstr>
      <vt:lpstr>DDM</vt:lpstr>
      <vt:lpstr>CFROI</vt:lpstr>
      <vt:lpstr>EVA</vt:lpstr>
      <vt:lpstr>Relative Valuation</vt:lpstr>
      <vt:lpstr>Data for Relative 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Chitralekha Chedurupalli</cp:lastModifiedBy>
  <dcterms:modified xsi:type="dcterms:W3CDTF">2024-09-20T19:16:57Z</dcterms:modified>
</cp:coreProperties>
</file>