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 tabRatio="894" activeTab="8"/>
  </bookViews>
  <sheets>
    <sheet name="深度分析要求" sheetId="1" r:id="rId1"/>
    <sheet name="1要点分析" sheetId="2" r:id="rId2"/>
    <sheet name="2竞品分析" sheetId="5" r:id="rId3"/>
    <sheet name="3核心关键词" sheetId="6" r:id="rId4"/>
    <sheet name="4卡位" sheetId="4" r:id="rId5"/>
    <sheet name="5定价策略" sheetId="8" r:id="rId6"/>
    <sheet name="6测评方案" sheetId="7" r:id="rId7"/>
    <sheet name="7流量方案" sheetId="3" r:id="rId8"/>
    <sheet name="8推广计划表" sheetId="10" r:id="rId9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<sst xmlns="http://schemas.openxmlformats.org/spreadsheetml/2006/main" count="1012" uniqueCount="681">
  <si>
    <t>深度分析维度</t>
  </si>
  <si>
    <t>要点</t>
  </si>
  <si>
    <t>解决方案</t>
  </si>
  <si>
    <t>备注</t>
  </si>
  <si>
    <t>1.补充swot分析</t>
  </si>
  <si>
    <t>sheet1</t>
  </si>
  <si>
    <t>补充：产品体验</t>
  </si>
  <si>
    <t xml:space="preserve"> 整个产品的重量是偏重的，噪音比其他的产品要大，在18KPA的吸力下，阻力会稍微大一些，比较难推动产品进行清洁；外观比较时尚，还有尘杯的拉环设计比较人性化
</t>
  </si>
  <si>
    <t>2.产品的定位</t>
  </si>
  <si>
    <t xml:space="preserve"> 定位的是年轻的白领一组（注重生活品质），以及家庭主妇（收入在中上的家庭）</t>
  </si>
  <si>
    <t>补充：竞品分析</t>
  </si>
  <si>
    <t>sheet2</t>
  </si>
  <si>
    <t>3.核心关键词调研</t>
  </si>
  <si>
    <t>sheet3</t>
  </si>
  <si>
    <t>4.产品的五个亮点。</t>
  </si>
  <si>
    <t xml:space="preserve">1.尘杯拉环
2.过滤系统（待确认）
3.吸力（虚标）（要求说明书上面不要说）
4.地刷
5.配件（宠物毛刷，清洁刷，扁吸）
6.外观
7.灵活地刷
</t>
  </si>
  <si>
    <t>人无我有，人有我优</t>
  </si>
  <si>
    <t>5.产品：卡位多少？主关键词卡位？自然位，广告位</t>
  </si>
  <si>
    <t>sheet4</t>
  </si>
  <si>
    <t>销量反推排名和卡位（市场情况、大盘、产品定位）</t>
  </si>
  <si>
    <t>6.定价策略：LD价格，DOTD价格。</t>
  </si>
  <si>
    <t>sheet5</t>
  </si>
  <si>
    <t>由于考虑到做LD，产品的售价不能时时调动，所以策略是固定住价格，再做利润空间的调整</t>
  </si>
  <si>
    <t>7.推品的，达到卡位，投入多少？</t>
  </si>
  <si>
    <t>新品期</t>
  </si>
  <si>
    <t>8.测评比例，站内广告比例，站外广告比例</t>
  </si>
  <si>
    <t>sheet6</t>
  </si>
  <si>
    <t>不考虑测评，做父子变体，重点是广告的投入</t>
  </si>
  <si>
    <t>9.测评方案，各个阶段的测评方案</t>
  </si>
  <si>
    <t>10.流量方案：搜索流量，关联，店铺，站内，站外</t>
  </si>
  <si>
    <t>sheet7</t>
  </si>
  <si>
    <t>20个流量入口</t>
  </si>
  <si>
    <t>11.站外配合方案：渠道，时间点，作用，价格，数量</t>
  </si>
  <si>
    <t xml:space="preserve"> 产品状态：做父子变体，让listing有五个以上review
渠道：
（1）红人这一块，初步的预订是 做一个youtube的开箱视频（提前准备好视频需求）
（2）deal活动这一块，初步的预期是pep波兰， 和topmydeal，只是topmydeal要审核，不一定上
（3）其他的个别的小渠道也会发几个
时间点：开售第二周，持续时间一周
作用：推新品，冲销量，提升排名
价格：售价169.99，折扣空间35%，折后价格110.49欧
数量：15pcs/day</t>
  </si>
  <si>
    <t>渠道
时间点
作用
价格
数量</t>
  </si>
  <si>
    <t>12.备货计划：财务审核备货计划审核。</t>
  </si>
  <si>
    <t xml:space="preserve"> 开售第一个月，预计销量是350pcs，德国的发货到上架时间预留25天，备货则是一周两次调拨。
第一周调拨：
首批的数量是150pcs，第二波是200pcs（在预售前一个月开始调拨，保证在预定的开售时间做好所有的准备工作，包括商品上架、listing完善、测评需求已经提交等）
第四周调拨：
预计上一次调拨的刚入库，为下个月预留多一些库存，首批数量150pcs，第二波是150pcs（结合订单销量表以及后台的库存报表进行备货发货）
</t>
  </si>
  <si>
    <t>目标销量--反推发货计划</t>
  </si>
  <si>
    <t>13.防御措施：异常处理方案。（变杀虫剂，变狗，被审核）</t>
  </si>
  <si>
    <t xml:space="preserve"> 出现的问题，以及我们的应对方案：
1、找原因，找不出原因，开case；
2、用模板上传我们的listing信息，在上传的报错信息中，我们可以得知自己的哪个模块是有问题的，将信息进行修改，上传成功之后，listing也相应的恢复了；
3、listing回不来，则重新建一个链接
</t>
  </si>
  <si>
    <t>要点分析</t>
  </si>
  <si>
    <t xml:space="preserve"> 产品内部因素
VS
市场外部因素
</t>
  </si>
  <si>
    <t xml:space="preserve"> S（strength）
1、21.6 V 高清锂电池
2、电动地刷上有指示灯，6个LED灯，LED灯更多，可扩大视野看到更广的视野
3、伸缩软管，伸缩比3:1
4、吸力7Kpa~~18Kpa
5、充电时间3-5H 
6、功率200W
7、2.53kg（低于平均重量是2.8kg）</t>
  </si>
  <si>
    <t xml:space="preserve"> W（weakness）
1、使用时间10~25min，时间比较短
2、82dB出风过滤网前有消音棉或者消音毡（竞品都在80以内）</t>
  </si>
  <si>
    <t xml:space="preserve"> O（opportunity）
1、市场规模，德国市场的吸尘器小类目容量是5.7W左右，
2、新品占比2%，review数量只有100左右的，还是可以冲到best20以内（占比1%）
2、市场平均售价为179欧"
3、7月1号开始，亚马逊直接扣税，一些人没办法偷税漏税
4、经济在复苏，购买力增强</t>
  </si>
  <si>
    <t xml:space="preserve">  优势S+机会O
亚马逊无偷税漏税的机会，让所有的卖家回到了同一个起跑线上，大家的成本有所提升。对手可能会提升售价来弥补成本，所以我们也有了更多的折扣空间。结合优势和机会，将内容展示在我们的五点和A+上
1、21.6 V 高清锂电池的电压高于竞品14.8V的，是一个优势
2、相对于市面上的竞品，电刷头前方LED只有3~4个，而我们的产品有6个
3、伸缩软管的伸缩比3:1，可以前后180度摆动，左右90度转动
4、功率目前是可以达到市面的最高200W
5、吸力有18KPA，处于中间阶段</t>
  </si>
  <si>
    <t xml:space="preserve"> 劣势W+机会O
我们的运行时间，在竞品中是算比较短的，而且噪音的水平高于行业的平均值。但我们可以把产品做高端，搭配各种附件，增加更多的附加价值。
思考：
如何取长补短，将这些劣势的参数表达的委婉一些。eg：可以描述我们的电机刷头出风过滤网前有消音棉或者消音毡，可以降噪，但是参数可以不罗列</t>
  </si>
  <si>
    <t xml:space="preserve"> T（threats）
1、没有测评资源
2、广告预算受到控制
3、新品的价格区间在59.99~129.99，目前我们的定价是比这个区间高</t>
  </si>
  <si>
    <t xml:space="preserve"> 优势S+威胁T
目前的测评受限制，广告预算要控制，还有目前预计的定价169.99是高于新品价格的。
思考：
新品的定位是跑趋势，所以会注重把销量提升上去；
对于测评的话，可以用做父子变体来增加review数量；
对于广告的话，针对之前的吸尘器已有的精准小词或长尾词去打，而不是没有目标的乱花钱</t>
  </si>
  <si>
    <t xml:space="preserve"> 优势S+威胁T
思考：
对于自己的产品劣势，我们可以用自己的售后服务去加强，在文案中体现售后服务；在QA中以更专业的口吻去回复Q；不要害怕去暴露自己产品的缺点，因为过于掩饰或者夸大其词的话，会导致来差评的几率更高</t>
  </si>
  <si>
    <r>
      <rPr>
        <b/>
        <sz val="11"/>
        <color theme="1"/>
        <rFont val="宋体"/>
        <charset val="134"/>
      </rPr>
      <t>市场情况</t>
    </r>
  </si>
  <si>
    <r>
      <rPr>
        <b/>
        <sz val="11"/>
        <color theme="1"/>
        <rFont val="宋体"/>
        <charset val="134"/>
      </rPr>
      <t>图片</t>
    </r>
  </si>
  <si>
    <r>
      <rPr>
        <b/>
        <sz val="11"/>
        <color theme="1"/>
        <rFont val="宋体"/>
        <charset val="134"/>
      </rPr>
      <t>品牌</t>
    </r>
  </si>
  <si>
    <t>ORFELD</t>
  </si>
  <si>
    <t xml:space="preserve"> Tineco </t>
  </si>
  <si>
    <t xml:space="preserve"> Hoover </t>
  </si>
  <si>
    <t xml:space="preserve"> Orfeld </t>
  </si>
  <si>
    <t>AEG</t>
  </si>
  <si>
    <t xml:space="preserve"> Philips</t>
  </si>
  <si>
    <t xml:space="preserve"> VOSFEEL  </t>
  </si>
  <si>
    <t xml:space="preserve"> Tineco  </t>
  </si>
  <si>
    <t xml:space="preserve"> Aokin  </t>
  </si>
  <si>
    <r>
      <rPr>
        <b/>
        <sz val="11"/>
        <color theme="1"/>
        <rFont val="宋体"/>
        <charset val="134"/>
      </rPr>
      <t>型号</t>
    </r>
  </si>
  <si>
    <t>3923 BLDC Motor</t>
  </si>
  <si>
    <t xml:space="preserve"> Tineco A10 </t>
  </si>
  <si>
    <t xml:space="preserve"> HF122RH</t>
  </si>
  <si>
    <t>EV679</t>
  </si>
  <si>
    <t>EV660</t>
  </si>
  <si>
    <t xml:space="preserve"> CX7-2-I360</t>
  </si>
  <si>
    <t xml:space="preserve"> XC7042 </t>
  </si>
  <si>
    <t>Z10</t>
  </si>
  <si>
    <t xml:space="preserve"> A10</t>
  </si>
  <si>
    <t xml:space="preserve"> Rot1</t>
  </si>
  <si>
    <t>ASIN</t>
  </si>
  <si>
    <t xml:space="preserve"> B07STYMV56</t>
  </si>
  <si>
    <t xml:space="preserve"> B07VJGQFJK</t>
  </si>
  <si>
    <t xml:space="preserve"> B08GKRR67Q</t>
  </si>
  <si>
    <t xml:space="preserve"> B0918P2K8D</t>
  </si>
  <si>
    <t xml:space="preserve"> B0748MVY6S</t>
  </si>
  <si>
    <t xml:space="preserve"> B07ZHV3XHD</t>
  </si>
  <si>
    <t>B08SBY23F1</t>
  </si>
  <si>
    <t>B08CXKWS8T</t>
  </si>
  <si>
    <t>B07WCTN2VQ</t>
  </si>
  <si>
    <r>
      <rPr>
        <b/>
        <sz val="11"/>
        <color theme="1"/>
        <rFont val="宋体"/>
        <charset val="134"/>
      </rPr>
      <t>价格</t>
    </r>
  </si>
  <si>
    <r>
      <rPr>
        <b/>
        <sz val="11"/>
        <color theme="1"/>
        <rFont val="宋体"/>
        <charset val="134"/>
      </rPr>
      <t>排名</t>
    </r>
  </si>
  <si>
    <r>
      <rPr>
        <sz val="11"/>
        <color theme="1"/>
        <rFont val="宋体"/>
        <charset val="134"/>
      </rPr>
      <t>大类</t>
    </r>
    <r>
      <rPr>
        <sz val="11"/>
        <color theme="1"/>
        <rFont val="Calibri"/>
        <charset val="134"/>
      </rPr>
      <t>11,792</t>
    </r>
    <r>
      <rPr>
        <sz val="11"/>
        <color theme="1"/>
        <rFont val="宋体"/>
        <charset val="134"/>
      </rPr>
      <t>小类</t>
    </r>
    <r>
      <rPr>
        <sz val="11"/>
        <color theme="1"/>
        <rFont val="Calibri"/>
        <charset val="134"/>
      </rPr>
      <t>39</t>
    </r>
  </si>
  <si>
    <r>
      <rPr>
        <sz val="11"/>
        <color theme="1"/>
        <rFont val="宋体"/>
        <charset val="134"/>
      </rPr>
      <t>大类</t>
    </r>
    <r>
      <rPr>
        <sz val="11"/>
        <color theme="1"/>
        <rFont val="Calibri"/>
        <charset val="134"/>
      </rPr>
      <t>445</t>
    </r>
    <r>
      <rPr>
        <sz val="11"/>
        <color theme="1"/>
        <rFont val="宋体"/>
        <charset val="134"/>
      </rPr>
      <t>，小类</t>
    </r>
    <r>
      <rPr>
        <sz val="11"/>
        <color theme="1"/>
        <rFont val="Calibri"/>
        <charset val="134"/>
      </rPr>
      <t>2</t>
    </r>
  </si>
  <si>
    <r>
      <rPr>
        <sz val="11"/>
        <color theme="1"/>
        <rFont val="宋体"/>
        <charset val="134"/>
      </rPr>
      <t>大类</t>
    </r>
    <r>
      <rPr>
        <sz val="11"/>
        <color theme="1"/>
        <rFont val="Calibri"/>
        <charset val="134"/>
      </rPr>
      <t>825</t>
    </r>
    <r>
      <rPr>
        <sz val="11"/>
        <color theme="1"/>
        <rFont val="宋体"/>
        <charset val="134"/>
      </rPr>
      <t>小类</t>
    </r>
    <r>
      <rPr>
        <sz val="11"/>
        <color theme="1"/>
        <rFont val="Calibri"/>
        <charset val="134"/>
      </rPr>
      <t>3</t>
    </r>
  </si>
  <si>
    <r>
      <rPr>
        <sz val="11"/>
        <color theme="1"/>
        <rFont val="宋体"/>
        <charset val="134"/>
      </rPr>
      <t>大类</t>
    </r>
    <r>
      <rPr>
        <sz val="11"/>
        <color theme="1"/>
        <rFont val="Calibri"/>
        <charset val="134"/>
      </rPr>
      <t>1484</t>
    </r>
    <r>
      <rPr>
        <sz val="11"/>
        <color theme="1"/>
        <rFont val="宋体"/>
        <charset val="134"/>
      </rPr>
      <t>小类</t>
    </r>
    <r>
      <rPr>
        <sz val="11"/>
        <color theme="1"/>
        <rFont val="Calibri"/>
        <charset val="134"/>
      </rPr>
      <t>9</t>
    </r>
  </si>
  <si>
    <r>
      <rPr>
        <sz val="11"/>
        <color theme="1"/>
        <rFont val="宋体"/>
        <charset val="134"/>
      </rPr>
      <t>大类</t>
    </r>
    <r>
      <rPr>
        <sz val="11"/>
        <color theme="1"/>
        <rFont val="Calibri"/>
        <charset val="134"/>
      </rPr>
      <t>8202</t>
    </r>
    <r>
      <rPr>
        <sz val="11"/>
        <color theme="1"/>
        <rFont val="宋体"/>
        <charset val="134"/>
      </rPr>
      <t>小类</t>
    </r>
    <r>
      <rPr>
        <sz val="11"/>
        <color theme="1"/>
        <rFont val="Calibri"/>
        <charset val="134"/>
      </rPr>
      <t>35</t>
    </r>
  </si>
  <si>
    <r>
      <rPr>
        <b/>
        <sz val="11"/>
        <color theme="1"/>
        <rFont val="宋体"/>
        <charset val="134"/>
      </rPr>
      <t>标题</t>
    </r>
  </si>
  <si>
    <t xml:space="preserve"> Tineco Akku Staubsauger Akkustaubsauger A10 Hero Leichter 2 in 1 kabellos Handstaubsauger 17KPa Saugleistung beutellos, mit LED Elektrobürste Staubsauger, 24 Monate Garantie (Blau, A10 Hero)</t>
  </si>
  <si>
    <t xml:space="preserve"> Hoover H-FREE 100 HOME Akku-Staubsauger, 2-in-1, großer Staubbehälter, integrierte Staubbürste, bis zu 40 Min. Laufzeit, motorisierte LED-Bodendüse, beutellos, kabellos, Modell: HF122RH</t>
  </si>
  <si>
    <t xml:space="preserve"> ORFELD Akku Staubsauger, 18000Pa Staubsauger Kabellos 4 in 1, Superleichter Staubsauger, Bis zu 50 Minuten, mit doppeltem Digitalmotor für tief sauberes ganzes Haus [Energieklasse A+++]</t>
  </si>
  <si>
    <t xml:space="preserve"> ORFELD Akku Staubsauger, Kabelloser Staubsauger 4 in 1 Kann Mehrere Oberflächen Reinigen, 40 Minuten Laufzeit, Niedriger Schwerpunkt, Stabstaubsauger Faltbarer für Harte Böden, Teppiche und Tierhaare</t>
  </si>
  <si>
    <t xml:space="preserve"> AEG Ergorapido CX7-2-I360 2in1 Akku-Staubsauger / beutellos / Tierhaardüse und Zubehörset / bis zu 45 Min. Laufzeit / freistehend / 180° Drehgelenk / Bürstenreinigungsfunktion / LED-Lichter / blau</t>
  </si>
  <si>
    <t xml:space="preserve"> Philips XC7042/01 SpeedPro Max kabelloser Staubsauger 7000 Series (Akkusauger, 360°-Saugdüse, 65 Min. Akkulaufzeit) rot mit Ersatzfilter FC5005/01</t>
  </si>
  <si>
    <t xml:space="preserve"> VOSFEEL Z10 Akku Staubsauger Kabellos 170W 18000Pa 4 in 1 LED-burste fur Hartboden Teppich Auto (170W)</t>
  </si>
  <si>
    <t xml:space="preserve"> Tineco Akku Staubsauger Akkustaubsauger A10 Dash Leichter 2 in 1 kabellos Handstaubsauger 17KPa Saugleistung beutellos, mit LED Elektrobürste Staubsauger, 24 Monate Garantie (Violett, A10 Dash)</t>
  </si>
  <si>
    <t xml:space="preserve"> Aokin Akku Staubsauger 18000Pa Handstaubsauger, staubsauger kabellos, 2200mAh Lithum-ion mit Second Gear Strong Suction LED-Frontlichter, Perfekt für Tierhaare Hartboden Teppich [Energieklasse A+++]</t>
  </si>
  <si>
    <r>
      <rPr>
        <b/>
        <sz val="11"/>
        <color theme="1"/>
        <rFont val="宋体"/>
        <charset val="134"/>
      </rPr>
      <t>评论数</t>
    </r>
  </si>
  <si>
    <r>
      <rPr>
        <b/>
        <sz val="11"/>
        <color theme="1"/>
        <rFont val="Calibri"/>
        <charset val="134"/>
      </rPr>
      <t>Keepa</t>
    </r>
    <r>
      <rPr>
        <b/>
        <sz val="11"/>
        <color theme="1"/>
        <rFont val="宋体"/>
        <charset val="134"/>
      </rPr>
      <t>分析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</si>
  <si>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、一个月做一次</t>
    </r>
    <r>
      <rPr>
        <sz val="11"/>
        <color theme="1"/>
        <rFont val="Calibri"/>
        <charset val="134"/>
      </rPr>
      <t>LD</t>
    </r>
    <r>
      <rPr>
        <sz val="11"/>
        <color theme="1"/>
        <rFont val="宋体"/>
        <charset val="134"/>
      </rPr>
      <t>，价格最低为</t>
    </r>
    <r>
      <rPr>
        <sz val="11"/>
        <color theme="1"/>
        <rFont val="Calibri"/>
        <charset val="134"/>
      </rPr>
      <t>139.30</t>
    </r>
    <r>
      <rPr>
        <sz val="11"/>
        <color theme="1"/>
        <rFont val="宋体"/>
        <charset val="134"/>
      </rPr>
      <t>欧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、没有大规模合并父子变体的趋势，但是在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月底的时候，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数量从</t>
    </r>
    <r>
      <rPr>
        <sz val="11"/>
        <color theme="1"/>
        <rFont val="Calibri"/>
        <charset val="134"/>
      </rPr>
      <t>3000</t>
    </r>
    <r>
      <rPr>
        <sz val="11"/>
        <color theme="1"/>
        <rFont val="宋体"/>
        <charset val="134"/>
      </rPr>
      <t>掉到了</t>
    </r>
    <r>
      <rPr>
        <sz val="11"/>
        <color theme="1"/>
        <rFont val="Calibri"/>
        <charset val="134"/>
      </rPr>
      <t>2600
3</t>
    </r>
    <r>
      <rPr>
        <sz val="11"/>
        <color theme="1"/>
        <rFont val="宋体"/>
        <charset val="134"/>
      </rPr>
      <t>、星级变化</t>
    </r>
    <r>
      <rPr>
        <sz val="11"/>
        <color theme="1"/>
        <rFont val="Calibri"/>
        <charset val="134"/>
      </rPr>
      <t>4.5-4.4-4.3-4.2</t>
    </r>
    <r>
      <rPr>
        <sz val="11"/>
        <color theme="1"/>
        <rFont val="宋体"/>
        <charset val="134"/>
      </rPr>
      <t>（目前）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</si>
  <si>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、大规模的做过父子变体，第一次绑过</t>
    </r>
    <r>
      <rPr>
        <sz val="11"/>
        <color theme="1"/>
        <rFont val="Calibri"/>
        <charset val="134"/>
      </rPr>
      <t>500</t>
    </r>
    <r>
      <rPr>
        <sz val="11"/>
        <color theme="1"/>
        <rFont val="宋体"/>
        <charset val="134"/>
      </rPr>
      <t>个，还经历了三次的父子变体</t>
    </r>
    <r>
      <rPr>
        <sz val="11"/>
        <color theme="1"/>
        <rFont val="Calibri"/>
        <charset val="134"/>
      </rPr>
      <t>“</t>
    </r>
    <r>
      <rPr>
        <sz val="11"/>
        <color theme="1"/>
        <rFont val="宋体"/>
        <charset val="134"/>
      </rPr>
      <t>相聚</t>
    </r>
    <r>
      <rPr>
        <sz val="11"/>
        <color theme="1"/>
        <rFont val="Calibri"/>
        <charset val="134"/>
      </rPr>
      <t>”</t>
    </r>
    <r>
      <rPr>
        <sz val="11"/>
        <color theme="1"/>
        <rFont val="宋体"/>
        <charset val="134"/>
      </rPr>
      <t>又</t>
    </r>
    <r>
      <rPr>
        <sz val="11"/>
        <color theme="1"/>
        <rFont val="Calibri"/>
        <charset val="134"/>
      </rPr>
      <t>“</t>
    </r>
    <r>
      <rPr>
        <sz val="11"/>
        <color theme="1"/>
        <rFont val="宋体"/>
        <charset val="134"/>
      </rPr>
      <t>分离</t>
    </r>
    <r>
      <rPr>
        <sz val="11"/>
        <color theme="1"/>
        <rFont val="Calibri"/>
        <charset val="134"/>
      </rPr>
      <t>”
2</t>
    </r>
    <r>
      <rPr>
        <sz val="11"/>
        <color theme="1"/>
        <rFont val="宋体"/>
        <charset val="134"/>
      </rPr>
      <t>、价格的调整比较频繁，最高价格</t>
    </r>
    <r>
      <rPr>
        <sz val="11"/>
        <color theme="1"/>
        <rFont val="Calibri"/>
        <charset val="134"/>
      </rPr>
      <t>239.</t>
    </r>
    <r>
      <rPr>
        <sz val="11"/>
        <color theme="1"/>
        <rFont val="宋体"/>
        <charset val="134"/>
      </rPr>
      <t>最低价格</t>
    </r>
    <r>
      <rPr>
        <sz val="11"/>
        <color theme="1"/>
        <rFont val="Calibri"/>
        <charset val="134"/>
      </rPr>
      <t>99</t>
    </r>
    <r>
      <rPr>
        <sz val="11"/>
        <color theme="1"/>
        <rFont val="宋体"/>
        <charset val="134"/>
      </rPr>
      <t>，做站内活动不频繁，今年以来没有做过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</si>
  <si>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6.22</t>
    </r>
    <r>
      <rPr>
        <sz val="11"/>
        <color theme="1"/>
        <rFont val="宋体"/>
        <charset val="134"/>
      </rPr>
      <t>号做了</t>
    </r>
    <r>
      <rPr>
        <sz val="11"/>
        <color theme="1"/>
        <rFont val="Calibri"/>
        <charset val="134"/>
      </rPr>
      <t>LD</t>
    </r>
    <r>
      <rPr>
        <sz val="11"/>
        <color theme="1"/>
        <rFont val="宋体"/>
        <charset val="134"/>
      </rPr>
      <t>活动，活动价格</t>
    </r>
    <r>
      <rPr>
        <sz val="11"/>
        <color theme="1"/>
        <rFont val="Calibri"/>
        <charset val="134"/>
      </rPr>
      <t>91.2</t>
    </r>
    <r>
      <rPr>
        <sz val="11"/>
        <color theme="1"/>
        <rFont val="宋体"/>
        <charset val="134"/>
      </rPr>
      <t>欧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、星级从</t>
    </r>
    <r>
      <rPr>
        <sz val="11"/>
        <color theme="1"/>
        <rFont val="Calibri"/>
        <charset val="134"/>
      </rPr>
      <t>43--4.2.</t>
    </r>
    <r>
      <rPr>
        <sz val="11"/>
        <color theme="1"/>
        <rFont val="宋体"/>
        <charset val="134"/>
      </rPr>
      <t>，变体被拆从</t>
    </r>
    <r>
      <rPr>
        <sz val="11"/>
        <color theme="1"/>
        <rFont val="Calibri"/>
        <charset val="134"/>
      </rPr>
      <t>1957--1735</t>
    </r>
    <r>
      <rPr>
        <sz val="11"/>
        <color theme="1"/>
        <rFont val="宋体"/>
        <charset val="134"/>
      </rPr>
      <t>个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</si>
  <si>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7.5</t>
    </r>
    <r>
      <rPr>
        <sz val="11"/>
        <color theme="1"/>
        <rFont val="宋体"/>
        <charset val="134"/>
      </rPr>
      <t>号</t>
    </r>
    <r>
      <rPr>
        <sz val="11"/>
        <color theme="1"/>
        <rFont val="Calibri"/>
        <charset val="134"/>
      </rPr>
      <t>~7.12</t>
    </r>
    <r>
      <rPr>
        <sz val="11"/>
        <color theme="1"/>
        <rFont val="宋体"/>
        <charset val="134"/>
      </rPr>
      <t>号做了</t>
    </r>
    <r>
      <rPr>
        <sz val="11"/>
        <color theme="1"/>
        <rFont val="Calibri"/>
        <charset val="134"/>
      </rPr>
      <t>BD</t>
    </r>
    <r>
      <rPr>
        <sz val="11"/>
        <color theme="1"/>
        <rFont val="宋体"/>
        <charset val="134"/>
      </rPr>
      <t>活动，几天之后做了为期两天的</t>
    </r>
    <r>
      <rPr>
        <sz val="11"/>
        <color theme="1"/>
        <rFont val="Calibri"/>
        <charset val="134"/>
      </rPr>
      <t>LD</t>
    </r>
    <r>
      <rPr>
        <sz val="11"/>
        <color theme="1"/>
        <rFont val="宋体"/>
        <charset val="134"/>
      </rPr>
      <t>，成交价</t>
    </r>
    <r>
      <rPr>
        <sz val="11"/>
        <color theme="1"/>
        <rFont val="Calibri"/>
        <charset val="134"/>
      </rPr>
      <t>84.39</t>
    </r>
    <r>
      <rPr>
        <sz val="11"/>
        <color theme="1"/>
        <rFont val="宋体"/>
        <charset val="134"/>
      </rPr>
      <t>欧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7.16</t>
    </r>
    <r>
      <rPr>
        <sz val="11"/>
        <color theme="1"/>
        <rFont val="宋体"/>
        <charset val="134"/>
      </rPr>
      <t>号变体被拆，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从</t>
    </r>
    <r>
      <rPr>
        <sz val="11"/>
        <color theme="1"/>
        <rFont val="Calibri"/>
        <charset val="134"/>
      </rPr>
      <t>429</t>
    </r>
    <r>
      <rPr>
        <sz val="11"/>
        <color theme="1"/>
        <rFont val="宋体"/>
        <charset val="134"/>
      </rPr>
      <t>变成</t>
    </r>
    <r>
      <rPr>
        <sz val="11"/>
        <color theme="1"/>
        <rFont val="Calibri"/>
        <charset val="134"/>
      </rPr>
      <t>388</t>
    </r>
    <r>
      <rPr>
        <sz val="11"/>
        <color theme="1"/>
        <rFont val="宋体"/>
        <charset val="134"/>
      </rPr>
      <t>，暂时页面在</t>
    </r>
    <r>
      <rPr>
        <sz val="11"/>
        <color theme="1"/>
        <rFont val="Calibri"/>
        <charset val="134"/>
      </rPr>
      <t>best</t>
    </r>
    <r>
      <rPr>
        <sz val="11"/>
        <color theme="1"/>
        <rFont val="宋体"/>
        <charset val="134"/>
      </rPr>
      <t>上无法显示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</si>
  <si>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天内在三个网站内推广过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月中旬之后，把价格从</t>
    </r>
    <r>
      <rPr>
        <sz val="11"/>
        <color theme="1"/>
        <rFont val="Calibri"/>
        <charset val="134"/>
      </rPr>
      <t>195</t>
    </r>
    <r>
      <rPr>
        <sz val="11"/>
        <color theme="1"/>
        <rFont val="宋体"/>
        <charset val="134"/>
      </rPr>
      <t>涨到了</t>
    </r>
    <r>
      <rPr>
        <sz val="11"/>
        <color theme="1"/>
        <rFont val="Calibri"/>
        <charset val="134"/>
      </rPr>
      <t>259</t>
    </r>
    <r>
      <rPr>
        <sz val="11"/>
        <color theme="1"/>
        <rFont val="宋体"/>
        <charset val="134"/>
      </rPr>
      <t>欧，排名和星级都比较稳定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、捆绑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接近</t>
    </r>
    <r>
      <rPr>
        <sz val="11"/>
        <color theme="1"/>
        <rFont val="Calibri"/>
        <charset val="134"/>
      </rPr>
      <t>1k</t>
    </r>
    <r>
      <rPr>
        <sz val="11"/>
        <color theme="1"/>
        <rFont val="宋体"/>
        <charset val="134"/>
      </rPr>
      <t>个，掉了之后又重新被合并上了，之后的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涨速没有明显的断崖式变化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</si>
  <si>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、价格变动比较频繁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、最近半个月没有做站外推广活动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、站内的</t>
    </r>
    <r>
      <rPr>
        <sz val="11"/>
        <color theme="1"/>
        <rFont val="Calibri"/>
        <charset val="134"/>
      </rPr>
      <t>deal</t>
    </r>
    <r>
      <rPr>
        <sz val="11"/>
        <color theme="1"/>
        <rFont val="宋体"/>
        <charset val="134"/>
      </rPr>
      <t>活动最近三个月都没有申报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</si>
  <si>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、价格调动比较频繁，范围在</t>
    </r>
    <r>
      <rPr>
        <sz val="11"/>
        <color theme="1"/>
        <rFont val="Calibri"/>
        <charset val="134"/>
      </rPr>
      <t>89.99~119.99
2</t>
    </r>
    <r>
      <rPr>
        <sz val="11"/>
        <color theme="1"/>
        <rFont val="宋体"/>
        <charset val="134"/>
      </rPr>
      <t>、被拆分过变体，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之前掉了</t>
    </r>
    <r>
      <rPr>
        <sz val="11"/>
        <color theme="1"/>
        <rFont val="Calibri"/>
        <charset val="134"/>
      </rPr>
      <t>70</t>
    </r>
    <r>
      <rPr>
        <sz val="11"/>
        <color theme="1"/>
        <rFont val="宋体"/>
        <charset val="134"/>
      </rPr>
      <t>个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</si>
  <si>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、价格区间在</t>
    </r>
    <r>
      <rPr>
        <sz val="11"/>
        <color theme="1"/>
        <rFont val="Calibri"/>
        <charset val="134"/>
      </rPr>
      <t>119.2-199.99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6.20</t>
    </r>
    <r>
      <rPr>
        <sz val="11"/>
        <color theme="1"/>
        <rFont val="宋体"/>
        <charset val="134"/>
      </rPr>
      <t>号做过</t>
    </r>
    <r>
      <rPr>
        <sz val="11"/>
        <color theme="1"/>
        <rFont val="Calibri"/>
        <charset val="134"/>
      </rPr>
      <t>deal</t>
    </r>
    <r>
      <rPr>
        <sz val="11"/>
        <color theme="1"/>
        <rFont val="宋体"/>
        <charset val="134"/>
      </rPr>
      <t>活动，价格低至</t>
    </r>
    <r>
      <rPr>
        <sz val="11"/>
        <color theme="1"/>
        <rFont val="Calibri"/>
        <charset val="134"/>
      </rPr>
      <t>119.2
2</t>
    </r>
    <r>
      <rPr>
        <sz val="11"/>
        <color theme="1"/>
        <rFont val="宋体"/>
        <charset val="134"/>
      </rPr>
      <t>、被拆分过变体，掉了</t>
    </r>
    <r>
      <rPr>
        <sz val="11"/>
        <color theme="1"/>
        <rFont val="Calibri"/>
        <charset val="134"/>
      </rPr>
      <t>2500</t>
    </r>
    <r>
      <rPr>
        <sz val="11"/>
        <color theme="1"/>
        <rFont val="宋体"/>
        <charset val="134"/>
      </rPr>
      <t>个，最近两天合上了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、星级从</t>
    </r>
    <r>
      <rPr>
        <sz val="11"/>
        <color theme="1"/>
        <rFont val="Calibri"/>
        <charset val="134"/>
      </rPr>
      <t>4.2</t>
    </r>
    <r>
      <rPr>
        <sz val="11"/>
        <color theme="1"/>
        <rFont val="宋体"/>
        <charset val="134"/>
      </rPr>
      <t>到了</t>
    </r>
    <r>
      <rPr>
        <sz val="11"/>
        <color theme="1"/>
        <rFont val="Calibri"/>
        <charset val="134"/>
      </rPr>
      <t>4.1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</si>
  <si>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、价格区间在</t>
    </r>
    <r>
      <rPr>
        <sz val="11"/>
        <color theme="1"/>
        <rFont val="Calibri"/>
        <charset val="134"/>
      </rPr>
      <t>89.99~92.99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月</t>
    </r>
    <r>
      <rPr>
        <sz val="11"/>
        <color theme="1"/>
        <rFont val="Calibri"/>
        <charset val="134"/>
      </rPr>
      <t>25</t>
    </r>
    <r>
      <rPr>
        <sz val="11"/>
        <color theme="1"/>
        <rFont val="宋体"/>
        <charset val="134"/>
      </rPr>
      <t>号做了</t>
    </r>
    <r>
      <rPr>
        <sz val="11"/>
        <color theme="1"/>
        <rFont val="Calibri"/>
        <charset val="134"/>
      </rPr>
      <t>deal</t>
    </r>
    <r>
      <rPr>
        <sz val="11"/>
        <color theme="1"/>
        <rFont val="宋体"/>
        <charset val="134"/>
      </rPr>
      <t>，活动价格是</t>
    </r>
    <r>
      <rPr>
        <sz val="11"/>
        <color theme="1"/>
        <rFont val="Calibri"/>
        <charset val="134"/>
      </rPr>
      <t>79.99</t>
    </r>
    <r>
      <rPr>
        <sz val="11"/>
        <color theme="1"/>
        <rFont val="宋体"/>
        <charset val="134"/>
      </rPr>
      <t>，基本一个月会做两次</t>
    </r>
    <r>
      <rPr>
        <sz val="11"/>
        <color theme="1"/>
        <rFont val="Calibri"/>
        <charset val="134"/>
      </rPr>
      <t>deal</t>
    </r>
    <r>
      <rPr>
        <sz val="11"/>
        <color theme="1"/>
        <rFont val="宋体"/>
        <charset val="134"/>
      </rPr>
      <t>活动，持续时间为两天</t>
    </r>
  </si>
  <si>
    <r>
      <rPr>
        <b/>
        <sz val="11"/>
        <color theme="1"/>
        <rFont val="宋体"/>
        <charset val="134"/>
      </rPr>
      <t>产品参数</t>
    </r>
  </si>
  <si>
    <r>
      <rPr>
        <b/>
        <sz val="11"/>
        <color theme="1"/>
        <rFont val="宋体"/>
        <charset val="134"/>
      </rPr>
      <t>电机功率</t>
    </r>
  </si>
  <si>
    <t>200W</t>
  </si>
  <si>
    <t xml:space="preserve"> 350W</t>
  </si>
  <si>
    <t>22W</t>
  </si>
  <si>
    <t>120W</t>
  </si>
  <si>
    <t>180W</t>
  </si>
  <si>
    <t>600W</t>
  </si>
  <si>
    <t>170W</t>
  </si>
  <si>
    <t>300W</t>
  </si>
  <si>
    <r>
      <rPr>
        <b/>
        <sz val="11"/>
        <color theme="1"/>
        <rFont val="宋体"/>
        <charset val="134"/>
      </rPr>
      <t>吸力</t>
    </r>
  </si>
  <si>
    <t>7~18KPA</t>
  </si>
  <si>
    <t xml:space="preserve"> 17000pa</t>
  </si>
  <si>
    <t xml:space="preserve"> 8 KPa / 18 kPa </t>
  </si>
  <si>
    <t xml:space="preserve"> 7 KPa </t>
  </si>
  <si>
    <t xml:space="preserve"> 18000 Pa </t>
  </si>
  <si>
    <t xml:space="preserve"> 18000Pa</t>
  </si>
  <si>
    <r>
      <rPr>
        <b/>
        <sz val="11"/>
        <color theme="1"/>
        <rFont val="宋体"/>
        <charset val="134"/>
      </rPr>
      <t>噪音水平</t>
    </r>
  </si>
  <si>
    <t xml:space="preserve"> 70dB</t>
  </si>
  <si>
    <t>72dB</t>
  </si>
  <si>
    <t>65dB</t>
  </si>
  <si>
    <t>79dB</t>
  </si>
  <si>
    <t xml:space="preserve"> 72 dB </t>
  </si>
  <si>
    <t>70dB</t>
  </si>
  <si>
    <r>
      <rPr>
        <b/>
        <sz val="11"/>
        <color theme="1"/>
        <rFont val="宋体"/>
        <charset val="134"/>
      </rPr>
      <t>充电时间</t>
    </r>
  </si>
  <si>
    <t>3~5H</t>
  </si>
  <si>
    <t>无</t>
  </si>
  <si>
    <r>
      <rPr>
        <sz val="11"/>
        <color theme="1"/>
        <rFont val="Calibri"/>
        <charset val="134"/>
      </rPr>
      <t>6H</t>
    </r>
    <r>
      <rPr>
        <sz val="11"/>
        <color theme="1"/>
        <rFont val="宋体"/>
        <charset val="134"/>
      </rPr>
      <t>（从买家评论得知）</t>
    </r>
  </si>
  <si>
    <t>3~5h</t>
  </si>
  <si>
    <t>4h</t>
  </si>
  <si>
    <r>
      <rPr>
        <b/>
        <sz val="11"/>
        <color theme="1"/>
        <rFont val="宋体"/>
        <charset val="134"/>
      </rPr>
      <t>工作时间</t>
    </r>
  </si>
  <si>
    <t>10~25MIN</t>
  </si>
  <si>
    <t>25min</t>
  </si>
  <si>
    <t>18~40min</t>
  </si>
  <si>
    <t>50min</t>
  </si>
  <si>
    <t>40min</t>
  </si>
  <si>
    <t>16~45min</t>
  </si>
  <si>
    <t>65min</t>
  </si>
  <si>
    <t xml:space="preserve">40min </t>
  </si>
  <si>
    <t>15~30min</t>
  </si>
  <si>
    <r>
      <rPr>
        <b/>
        <sz val="11"/>
        <color theme="1"/>
        <rFont val="宋体"/>
        <charset val="134"/>
      </rPr>
      <t>重量</t>
    </r>
  </si>
  <si>
    <t>2.53kg</t>
  </si>
  <si>
    <t xml:space="preserve"> 2.35 kg</t>
  </si>
  <si>
    <t>2.6kg</t>
  </si>
  <si>
    <t>1.98kg</t>
  </si>
  <si>
    <t>2.5kg</t>
  </si>
  <si>
    <t>3kg</t>
  </si>
  <si>
    <t>1.05kg</t>
  </si>
  <si>
    <t>1.3kg</t>
  </si>
  <si>
    <t>2.3kg</t>
  </si>
  <si>
    <r>
      <rPr>
        <b/>
        <sz val="11"/>
        <color theme="1"/>
        <rFont val="宋体"/>
        <charset val="134"/>
      </rPr>
      <t>尺寸</t>
    </r>
  </si>
  <si>
    <t>111 x 25 x 22.8cm</t>
  </si>
  <si>
    <t xml:space="preserve"> 1.10 Meter x 26.50 cm x 21.10 cm</t>
  </si>
  <si>
    <t>26x23.4x11.2cm</t>
  </si>
  <si>
    <t xml:space="preserve"> 109.2 x 24.5 x 27.8cm</t>
  </si>
  <si>
    <t xml:space="preserve"> 26.1 x 20.7 x 118.2cm</t>
  </si>
  <si>
    <t xml:space="preserve"> 26.50  x 14.50  x 114 cm</t>
  </si>
  <si>
    <t xml:space="preserve"> 24 x 24 x 75cm</t>
  </si>
  <si>
    <t xml:space="preserve"> 43.5 x 34 x 19 cm</t>
  </si>
  <si>
    <t xml:space="preserve"> 23.60  x 11.0  x 21.1cm</t>
  </si>
  <si>
    <t xml:space="preserve"> 11 x 23.00  x 20.00cm</t>
  </si>
  <si>
    <r>
      <rPr>
        <b/>
        <sz val="11"/>
        <color theme="1"/>
        <rFont val="Calibri"/>
        <charset val="134"/>
      </rPr>
      <t xml:space="preserve"> </t>
    </r>
    <r>
      <rPr>
        <b/>
        <sz val="11"/>
        <color theme="1"/>
        <rFont val="宋体"/>
        <charset val="134"/>
      </rPr>
      <t>包含的组件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</si>
  <si>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纸托、珍株棉袋、胶袋</t>
    </r>
  </si>
  <si>
    <r>
      <rPr>
        <sz val="11"/>
        <color theme="1"/>
        <rFont val="Calibri"/>
        <charset val="134"/>
      </rPr>
      <t xml:space="preserve"> 1 x </t>
    </r>
    <r>
      <rPr>
        <sz val="11"/>
        <color theme="1"/>
        <rFont val="宋体"/>
        <charset val="134"/>
      </rPr>
      <t>全尺寸多功能</t>
    </r>
    <r>
      <rPr>
        <sz val="11"/>
        <color theme="1"/>
        <rFont val="Calibri"/>
        <charset val="134"/>
      </rPr>
      <t xml:space="preserve"> LED </t>
    </r>
    <r>
      <rPr>
        <sz val="11"/>
        <color theme="1"/>
        <rFont val="宋体"/>
        <charset val="134"/>
      </rPr>
      <t>电动刷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迷你涡轮刷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二合一尘刷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缝隙喷嘴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预过滤器清洁工具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壁挂支架和用户手册</t>
    </r>
    <r>
      <rPr>
        <sz val="11"/>
        <color theme="1"/>
        <rFont val="Calibri"/>
        <charset val="134"/>
      </rPr>
      <t xml:space="preserve">
1 </t>
    </r>
    <r>
      <rPr>
        <sz val="11"/>
        <color theme="1"/>
        <rFont val="宋体"/>
        <charset val="134"/>
      </rPr>
      <t>个适配器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用户手册</t>
    </r>
    <r>
      <rPr>
        <sz val="11"/>
        <color theme="1"/>
        <rFont val="Calibri"/>
        <charset val="134"/>
      </rPr>
      <t xml:space="preserve"> (DE / FR / ES / IT)
1 x </t>
    </r>
    <r>
      <rPr>
        <sz val="11"/>
        <color theme="1"/>
        <rFont val="宋体"/>
        <charset val="134"/>
      </rPr>
      <t>头发清洁工具</t>
    </r>
  </si>
  <si>
    <t xml:space="preserve"> 带强力地板滚轮的电动 LED 地板吸嘴（适用于所有楼层）、拉出式家具刷和巧妙收纳在手柄中的缝隙吸嘴、壁挂支架</t>
  </si>
  <si>
    <r>
      <rPr>
        <sz val="11"/>
        <color theme="1"/>
        <rFont val="宋体"/>
        <charset val="134"/>
      </rPr>
      <t>吸嘴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毛刷</t>
    </r>
  </si>
  <si>
    <r>
      <rPr>
        <sz val="11"/>
        <color theme="1"/>
        <rFont val="Calibri"/>
        <charset val="134"/>
      </rPr>
      <t xml:space="preserve"> 1x CX7</t>
    </r>
    <r>
      <rPr>
        <sz val="11"/>
        <color theme="1"/>
        <rFont val="宋体"/>
        <charset val="134"/>
      </rPr>
      <t>、电动吸尘刷、缝隙吸嘴、吸水软管、家具刷、充电站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一体式家具刷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迷你缝隙吸嘴、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个过滤器（在设备中）</t>
    </r>
    <r>
      <rPr>
        <sz val="11"/>
        <color theme="1"/>
        <rFont val="Calibri"/>
        <charset val="134"/>
      </rPr>
      <t>//</t>
    </r>
    <r>
      <rPr>
        <sz val="11"/>
        <color theme="1"/>
        <rFont val="宋体"/>
        <charset val="134"/>
      </rPr>
      <t>推荐配件：扩展套件</t>
    </r>
    <r>
      <rPr>
        <sz val="11"/>
        <color theme="1"/>
        <rFont val="Calibri"/>
        <charset val="134"/>
      </rPr>
      <t>AKIT14</t>
    </r>
    <r>
      <rPr>
        <sz val="11"/>
        <color theme="1"/>
        <rFont val="宋体"/>
        <charset val="134"/>
      </rPr>
      <t>、床垫吸嘴</t>
    </r>
    <r>
      <rPr>
        <sz val="11"/>
        <color theme="1"/>
        <rFont val="Calibri"/>
        <charset val="134"/>
      </rPr>
      <t xml:space="preserve">AZE128 , </t>
    </r>
    <r>
      <rPr>
        <sz val="11"/>
        <color theme="1"/>
        <rFont val="宋体"/>
        <charset val="134"/>
      </rPr>
      <t>过滤器组</t>
    </r>
    <r>
      <rPr>
        <sz val="11"/>
        <color theme="1"/>
        <rFont val="Calibri"/>
        <charset val="134"/>
      </rPr>
      <t xml:space="preserve"> AEF150</t>
    </r>
  </si>
  <si>
    <r>
      <rPr>
        <sz val="11"/>
        <color theme="1"/>
        <rFont val="宋体"/>
        <charset val="134"/>
      </rPr>
      <t>吸尘器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过滤网套装</t>
    </r>
  </si>
  <si>
    <r>
      <rPr>
        <sz val="11"/>
        <color theme="1"/>
        <rFont val="Calibri"/>
        <charset val="134"/>
      </rPr>
      <t xml:space="preserve"> -</t>
    </r>
    <r>
      <rPr>
        <sz val="11"/>
        <color theme="1"/>
        <rFont val="宋体"/>
        <charset val="134"/>
      </rPr>
      <t>包含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个</t>
    </r>
    <r>
      <rPr>
        <sz val="11"/>
        <color theme="1"/>
        <rFont val="Calibri"/>
        <charset val="134"/>
      </rPr>
      <t>HEPA</t>
    </r>
    <r>
      <rPr>
        <sz val="11"/>
        <color theme="1"/>
        <rFont val="宋体"/>
        <charset val="134"/>
      </rPr>
      <t>过滤网、壁挂支架、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个不同使用场景的刷头和一个收纳袋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</si>
  <si>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无绳吸尘器、带</t>
    </r>
    <r>
      <rPr>
        <sz val="11"/>
        <color theme="1"/>
        <rFont val="Calibri"/>
        <charset val="134"/>
      </rPr>
      <t xml:space="preserve"> LED </t>
    </r>
    <r>
      <rPr>
        <sz val="11"/>
        <color theme="1"/>
        <rFont val="宋体"/>
        <charset val="134"/>
      </rPr>
      <t>照明的大型电动多功能刷、缝隙吸嘴、二合一尘刷、单电池充电器</t>
    </r>
    <r>
      <rPr>
        <sz val="11"/>
        <color theme="1"/>
        <rFont val="Calibri"/>
        <charset val="134"/>
      </rPr>
      <t xml:space="preserve"> + </t>
    </r>
    <r>
      <rPr>
        <sz val="11"/>
        <color theme="1"/>
        <rFont val="宋体"/>
        <charset val="134"/>
      </rPr>
      <t>壁挂支架和操作说明</t>
    </r>
  </si>
  <si>
    <r>
      <rPr>
        <sz val="11"/>
        <color theme="1"/>
        <rFont val="Calibri"/>
        <charset val="134"/>
      </rPr>
      <t xml:space="preserve"> 1 x </t>
    </r>
    <r>
      <rPr>
        <sz val="11"/>
        <color theme="1"/>
        <rFont val="宋体"/>
        <charset val="134"/>
      </rPr>
      <t>充电站</t>
    </r>
    <r>
      <rPr>
        <sz val="11"/>
        <color theme="1"/>
        <rFont val="Calibri"/>
        <charset val="134"/>
      </rPr>
      <t xml:space="preserve">
1 x </t>
    </r>
    <r>
      <rPr>
        <sz val="11"/>
        <color theme="1"/>
        <rFont val="宋体"/>
        <charset val="134"/>
      </rPr>
      <t>用户手册</t>
    </r>
  </si>
  <si>
    <r>
      <rPr>
        <b/>
        <sz val="11"/>
        <color theme="1"/>
        <rFont val="宋体"/>
        <charset val="134"/>
      </rPr>
      <t>各自的卖点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宋体"/>
        <charset val="134"/>
      </rPr>
      <t>优势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</si>
  <si>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 xml:space="preserve">21.6 V </t>
    </r>
    <r>
      <rPr>
        <sz val="11"/>
        <color theme="1"/>
        <rFont val="宋体"/>
        <charset val="134"/>
      </rPr>
      <t>高清锂电池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、电动地刷上有指示灯，</t>
    </r>
    <r>
      <rPr>
        <sz val="11"/>
        <color theme="1"/>
        <rFont val="Calibri"/>
        <charset val="134"/>
      </rPr>
      <t>4/6</t>
    </r>
    <r>
      <rPr>
        <sz val="11"/>
        <color theme="1"/>
        <rFont val="宋体"/>
        <charset val="134"/>
      </rPr>
      <t>个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灯，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灯更多，可扩大视野看到更广的视野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、伸缩软管伸缩比</t>
    </r>
    <r>
      <rPr>
        <sz val="11"/>
        <color theme="1"/>
        <rFont val="Calibri"/>
        <charset val="134"/>
      </rPr>
      <t>3:1</t>
    </r>
    <r>
      <rPr>
        <sz val="11"/>
        <color theme="1"/>
        <rFont val="宋体"/>
        <charset val="134"/>
      </rPr>
      <t>，电动刷灵活</t>
    </r>
    <r>
      <rPr>
        <sz val="11"/>
        <color theme="1"/>
        <rFont val="Calibri"/>
        <charset val="134"/>
      </rPr>
      <t xml:space="preserve">
4</t>
    </r>
    <r>
      <rPr>
        <sz val="11"/>
        <color theme="1"/>
        <rFont val="宋体"/>
        <charset val="134"/>
      </rPr>
      <t>、吸力</t>
    </r>
    <r>
      <rPr>
        <sz val="11"/>
        <color theme="1"/>
        <rFont val="Calibri"/>
        <charset val="134"/>
      </rPr>
      <t>7Kpa~~15Kpa</t>
    </r>
    <r>
      <rPr>
        <sz val="11"/>
        <color theme="1"/>
        <rFont val="宋体"/>
        <charset val="134"/>
      </rPr>
      <t>（中间阶段）</t>
    </r>
    <r>
      <rPr>
        <sz val="11"/>
        <color theme="1"/>
        <rFont val="Calibri"/>
        <charset val="134"/>
      </rPr>
      <t xml:space="preserve">
5</t>
    </r>
    <r>
      <rPr>
        <sz val="11"/>
        <color theme="1"/>
        <rFont val="宋体"/>
        <charset val="134"/>
      </rPr>
      <t>、充电时间</t>
    </r>
    <r>
      <rPr>
        <sz val="11"/>
        <color theme="1"/>
        <rFont val="Calibri"/>
        <charset val="134"/>
      </rPr>
      <t>3-5H 
6</t>
    </r>
    <r>
      <rPr>
        <sz val="11"/>
        <color theme="1"/>
        <rFont val="宋体"/>
        <charset val="134"/>
      </rPr>
      <t>、功率</t>
    </r>
    <r>
      <rPr>
        <sz val="11"/>
        <color theme="1"/>
        <rFont val="Calibri"/>
        <charset val="134"/>
      </rPr>
      <t>200W
7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2.53kg</t>
    </r>
    <r>
      <rPr>
        <sz val="11"/>
        <color theme="1"/>
        <rFont val="宋体"/>
        <charset val="134"/>
      </rPr>
      <t>（低于平均重量是</t>
    </r>
    <r>
      <rPr>
        <sz val="11"/>
        <color theme="1"/>
        <rFont val="Calibri"/>
        <charset val="134"/>
      </rPr>
      <t>2.8kg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</si>
  <si>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级吸力高达</t>
    </r>
    <r>
      <rPr>
        <sz val="11"/>
        <color theme="1"/>
        <rFont val="Calibri"/>
        <charset val="134"/>
      </rPr>
      <t>17KPa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10-25 </t>
    </r>
    <r>
      <rPr>
        <sz val="11"/>
        <color theme="1"/>
        <rFont val="宋体"/>
        <charset val="134"/>
      </rPr>
      <t>分钟运行时间；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21.6 </t>
    </r>
    <r>
      <rPr>
        <sz val="11"/>
        <color theme="1"/>
        <rFont val="宋体"/>
        <charset val="134"/>
      </rPr>
      <t>伏</t>
    </r>
    <r>
      <rPr>
        <sz val="11"/>
        <color theme="1"/>
        <rFont val="Calibri"/>
        <charset val="134"/>
      </rPr>
      <t xml:space="preserve"> 2000mAh </t>
    </r>
    <r>
      <rPr>
        <sz val="11"/>
        <color theme="1"/>
        <rFont val="宋体"/>
        <charset val="134"/>
      </rPr>
      <t>可拆卸锂离子电池；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70 </t>
    </r>
    <r>
      <rPr>
        <sz val="11"/>
        <color theme="1"/>
        <rFont val="宋体"/>
        <charset val="134"/>
      </rPr>
      <t>分贝安静运行；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350W </t>
    </r>
    <r>
      <rPr>
        <sz val="11"/>
        <color theme="1"/>
        <rFont val="宋体"/>
        <charset val="134"/>
      </rPr>
      <t>令人印象深刻的电机功率；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无绳和无袋；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♦</t>
    </r>
    <r>
      <rPr>
        <sz val="11"/>
        <color theme="1"/>
        <rFont val="Calibri"/>
        <charset val="134"/>
      </rPr>
      <t xml:space="preserve"> 24 </t>
    </r>
    <r>
      <rPr>
        <sz val="11"/>
        <color theme="1"/>
        <rFont val="宋体"/>
        <charset val="134"/>
      </rPr>
      <t>个月保修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</si>
  <si>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、运行时间</t>
    </r>
    <r>
      <rPr>
        <sz val="11"/>
        <color theme="1"/>
        <rFont val="Calibri"/>
        <charset val="134"/>
      </rPr>
      <t>40min
2</t>
    </r>
    <r>
      <rPr>
        <sz val="11"/>
        <color theme="1"/>
        <rFont val="宋体"/>
        <charset val="134"/>
      </rPr>
      <t>、尘杯器有</t>
    </r>
    <r>
      <rPr>
        <sz val="11"/>
        <color theme="1"/>
        <rFont val="Calibri"/>
        <charset val="134"/>
      </rPr>
      <t>0.9L</t>
    </r>
    <r>
      <rPr>
        <sz val="11"/>
        <color theme="1"/>
        <rFont val="宋体"/>
        <charset val="134"/>
      </rPr>
      <t>，大于其他竞品</t>
    </r>
  </si>
  <si>
    <r>
      <rPr>
        <sz val="11"/>
        <color theme="1"/>
        <rFont val="Calibri"/>
        <charset val="134"/>
      </rPr>
      <t>1.</t>
    </r>
    <r>
      <rPr>
        <sz val="11"/>
        <color theme="1"/>
        <rFont val="宋体"/>
        <charset val="134"/>
      </rPr>
      <t>续航时间长，充满电可以使用</t>
    </r>
    <r>
      <rPr>
        <sz val="11"/>
        <color theme="1"/>
        <rFont val="Calibri"/>
        <charset val="134"/>
      </rPr>
      <t>50min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EV-679)
2.</t>
    </r>
    <r>
      <rPr>
        <sz val="11"/>
        <color theme="1"/>
        <rFont val="宋体"/>
        <charset val="134"/>
      </rPr>
      <t>吸力强劲，达到</t>
    </r>
    <r>
      <rPr>
        <sz val="11"/>
        <color theme="1"/>
        <rFont val="Calibri"/>
        <charset val="134"/>
      </rPr>
      <t>18Kpa</t>
    </r>
    <r>
      <rPr>
        <sz val="11"/>
        <color theme="1"/>
        <rFont val="宋体"/>
        <charset val="134"/>
      </rPr>
      <t>以上</t>
    </r>
    <r>
      <rPr>
        <sz val="11"/>
        <color theme="1"/>
        <rFont val="Calibri"/>
        <charset val="134"/>
      </rPr>
      <t>(EV-679)
3.</t>
    </r>
    <r>
      <rPr>
        <sz val="11"/>
        <color theme="1"/>
        <rFont val="宋体"/>
        <charset val="134"/>
      </rPr>
      <t>快充，</t>
    </r>
    <r>
      <rPr>
        <sz val="11"/>
        <color theme="1"/>
        <rFont val="Calibri"/>
        <charset val="134"/>
      </rPr>
      <t>4-5H</t>
    </r>
    <r>
      <rPr>
        <sz val="11"/>
        <color theme="1"/>
        <rFont val="宋体"/>
        <charset val="134"/>
      </rPr>
      <t>即可充满电</t>
    </r>
    <r>
      <rPr>
        <sz val="11"/>
        <color theme="1"/>
        <rFont val="Calibri"/>
        <charset val="134"/>
      </rPr>
      <t xml:space="preserve">
4.</t>
    </r>
    <r>
      <rPr>
        <sz val="11"/>
        <color theme="1"/>
        <rFont val="宋体"/>
        <charset val="134"/>
      </rPr>
      <t>多种配件，适用于多种场景，（吸嘴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吸牛奶，积水等液体；扁吸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集中吸力，吸砂石或细小的垃圾时使用；毛刷可用于家里缝隙等比较狭窄的地方）</t>
    </r>
    <r>
      <rPr>
        <sz val="11"/>
        <color theme="1"/>
        <rFont val="Calibri"/>
        <charset val="134"/>
      </rPr>
      <t xml:space="preserve">
5.</t>
    </r>
    <r>
      <rPr>
        <sz val="11"/>
        <color theme="1"/>
        <rFont val="宋体"/>
        <charset val="134"/>
      </rPr>
      <t>噪音相对较小</t>
    </r>
    <r>
      <rPr>
        <sz val="11"/>
        <color theme="1"/>
        <rFont val="Calibri"/>
        <charset val="134"/>
      </rPr>
      <t xml:space="preserve">    
6.679</t>
    </r>
    <r>
      <rPr>
        <sz val="11"/>
        <color theme="1"/>
        <rFont val="宋体"/>
        <charset val="134"/>
      </rPr>
      <t>有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显示灯，只有</t>
    </r>
    <r>
      <rPr>
        <sz val="11"/>
        <color theme="1"/>
        <rFont val="Calibri"/>
        <charset val="134"/>
      </rPr>
      <t>1.98kg</t>
    </r>
    <r>
      <rPr>
        <sz val="11"/>
        <color theme="1"/>
        <rFont val="宋体"/>
        <charset val="134"/>
      </rPr>
      <t>（参数书上写）更加轻便</t>
    </r>
    <r>
      <rPr>
        <sz val="11"/>
        <color theme="1"/>
        <rFont val="Calibri"/>
        <charset val="134"/>
      </rPr>
      <t xml:space="preserve">    
</t>
    </r>
  </si>
  <si>
    <r>
      <rPr>
        <sz val="11"/>
        <color theme="1"/>
        <rFont val="Calibri"/>
        <charset val="134"/>
      </rPr>
      <t xml:space="preserve"> 1.</t>
    </r>
    <r>
      <rPr>
        <sz val="11"/>
        <color theme="1"/>
        <rFont val="宋体"/>
        <charset val="134"/>
      </rPr>
      <t>续航时间长，充满电可以使用</t>
    </r>
    <r>
      <rPr>
        <sz val="11"/>
        <color theme="1"/>
        <rFont val="Calibri"/>
        <charset val="134"/>
      </rPr>
      <t>40min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EV-660)
2.</t>
    </r>
    <r>
      <rPr>
        <sz val="11"/>
        <color theme="1"/>
        <rFont val="宋体"/>
        <charset val="134"/>
      </rPr>
      <t>低重心，运行稳定</t>
    </r>
    <r>
      <rPr>
        <sz val="11"/>
        <color theme="1"/>
        <rFont val="Calibri"/>
        <charset val="134"/>
      </rPr>
      <t xml:space="preserve">
3.</t>
    </r>
    <r>
      <rPr>
        <sz val="11"/>
        <color theme="1"/>
        <rFont val="宋体"/>
        <charset val="134"/>
      </rPr>
      <t>折叠设计，不需要弯腰</t>
    </r>
    <r>
      <rPr>
        <sz val="11"/>
        <color theme="1"/>
        <rFont val="Calibri"/>
        <charset val="134"/>
      </rPr>
      <t xml:space="preserve">
4.</t>
    </r>
    <r>
      <rPr>
        <sz val="11"/>
        <color theme="1"/>
        <rFont val="宋体"/>
        <charset val="134"/>
      </rPr>
      <t>多种配件，适用于多种场景，（吸嘴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吸牛奶，积水等液体；扁吸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集中吸力，吸砂石或细小的垃圾时使用；毛刷可用于家里缝隙等比较狭窄的地方）</t>
    </r>
    <r>
      <rPr>
        <sz val="11"/>
        <color theme="1"/>
        <rFont val="Calibri"/>
        <charset val="134"/>
      </rPr>
      <t xml:space="preserve">
5.</t>
    </r>
    <r>
      <rPr>
        <sz val="11"/>
        <color theme="1"/>
        <rFont val="宋体"/>
        <charset val="134"/>
      </rPr>
      <t>噪音相对较小</t>
    </r>
    <r>
      <rPr>
        <sz val="11"/>
        <color theme="1"/>
        <rFont val="Calibri"/>
        <charset val="134"/>
      </rPr>
      <t xml:space="preserve">    
6.660</t>
    </r>
    <r>
      <rPr>
        <sz val="11"/>
        <color theme="1"/>
        <rFont val="宋体"/>
        <charset val="134"/>
      </rPr>
      <t>可以直立，不需要在墙上打孔挂住</t>
    </r>
    <r>
      <rPr>
        <sz val="11"/>
        <color theme="1"/>
        <rFont val="Calibri"/>
        <charset val="134"/>
      </rPr>
      <t xml:space="preserve">
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</si>
  <si>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、二合一功能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、有高低两档不同的吸力模式，清洁时间分别为</t>
    </r>
    <r>
      <rPr>
        <sz val="11"/>
        <color theme="1"/>
        <rFont val="Calibri"/>
        <charset val="134"/>
      </rPr>
      <t>16min</t>
    </r>
    <r>
      <rPr>
        <sz val="11"/>
        <color theme="1"/>
        <rFont val="宋体"/>
        <charset val="134"/>
      </rPr>
      <t>和</t>
    </r>
    <r>
      <rPr>
        <sz val="11"/>
        <color theme="1"/>
        <rFont val="Calibri"/>
        <charset val="134"/>
      </rPr>
      <t>45min
3</t>
    </r>
    <r>
      <rPr>
        <sz val="11"/>
        <color theme="1"/>
        <rFont val="宋体"/>
        <charset val="134"/>
      </rPr>
      <t>、带</t>
    </r>
    <r>
      <rPr>
        <sz val="11"/>
        <color theme="1"/>
        <rFont val="Calibri"/>
        <charset val="134"/>
      </rPr>
      <t xml:space="preserve"> LED </t>
    </r>
    <r>
      <rPr>
        <sz val="11"/>
        <color theme="1"/>
        <rFont val="宋体"/>
        <charset val="134"/>
      </rPr>
      <t>前灯的电动电动吸刷可提供最佳视野</t>
    </r>
    <r>
      <rPr>
        <sz val="11"/>
        <color theme="1"/>
        <rFont val="Calibri"/>
        <charset val="134"/>
      </rPr>
      <t xml:space="preserve">
4</t>
    </r>
    <r>
      <rPr>
        <sz val="11"/>
        <color theme="1"/>
        <rFont val="宋体"/>
        <charset val="134"/>
      </rPr>
      <t>、配件多，过滤组，吸嘴，尘刷，家居刷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</si>
  <si>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、在经济模式下提供长达</t>
    </r>
    <r>
      <rPr>
        <sz val="11"/>
        <color theme="1"/>
        <rFont val="Calibri"/>
        <charset val="134"/>
      </rPr>
      <t xml:space="preserve"> 65 </t>
    </r>
    <r>
      <rPr>
        <sz val="11"/>
        <color theme="1"/>
        <rFont val="宋体"/>
        <charset val="134"/>
      </rPr>
      <t>分钟的工作时间，在正常模式下长达</t>
    </r>
    <r>
      <rPr>
        <sz val="11"/>
        <color theme="1"/>
        <rFont val="Calibri"/>
        <charset val="134"/>
      </rPr>
      <t xml:space="preserve"> 30 </t>
    </r>
    <r>
      <rPr>
        <sz val="11"/>
        <color theme="1"/>
        <rFont val="宋体"/>
        <charset val="134"/>
      </rPr>
      <t>分钟，在涡轮增压模式下工作时间长达</t>
    </r>
    <r>
      <rPr>
        <sz val="11"/>
        <color theme="1"/>
        <rFont val="Calibri"/>
        <charset val="134"/>
      </rPr>
      <t xml:space="preserve"> 21 </t>
    </r>
    <r>
      <rPr>
        <sz val="11"/>
        <color theme="1"/>
        <rFont val="宋体"/>
        <charset val="134"/>
      </rPr>
      <t>分钟。（多模式清洁）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、二合一，手持式吸尘器和无线电池吸尘器同时使用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360</t>
    </r>
    <r>
      <rPr>
        <sz val="11"/>
        <color theme="1"/>
        <rFont val="宋体"/>
        <charset val="134"/>
      </rPr>
      <t>度吸嘴，清洁每个角落</t>
    </r>
    <r>
      <rPr>
        <sz val="11"/>
        <color theme="1"/>
        <rFont val="Calibri"/>
        <charset val="134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灯甚至显示隐藏的灰尘</t>
    </r>
    <r>
      <rPr>
        <sz val="11"/>
        <color theme="1"/>
        <rFont val="Calibri"/>
        <charset val="134"/>
      </rPr>
      <t xml:space="preserve">
</t>
    </r>
  </si>
  <si>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、图片卖点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主图、清洁不同杂物、机器全长、过滤系统、使用场景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壁挂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充电、全家福</t>
    </r>
    <r>
      <rPr>
        <sz val="11"/>
        <color theme="1"/>
        <rFont val="Calibri"/>
        <charset val="134"/>
      </rPr>
      <t xml:space="preserve">
2</t>
    </r>
    <r>
      <rPr>
        <sz val="11"/>
        <color theme="1"/>
        <rFont val="宋体"/>
        <charset val="134"/>
      </rPr>
      <t>、独特地刷</t>
    </r>
    <r>
      <rPr>
        <sz val="11"/>
        <color theme="1"/>
        <rFont val="Calibri"/>
        <charset val="134"/>
      </rPr>
      <t xml:space="preserve">
3</t>
    </r>
    <r>
      <rPr>
        <sz val="11"/>
        <color theme="1"/>
        <rFont val="宋体"/>
        <charset val="134"/>
      </rPr>
      <t>、适用于短毛地毯</t>
    </r>
    <r>
      <rPr>
        <sz val="11"/>
        <color theme="1"/>
        <rFont val="Calibri"/>
        <charset val="134"/>
      </rPr>
      <t xml:space="preserve">
4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18KPA</t>
    </r>
    <r>
      <rPr>
        <sz val="11"/>
        <color theme="1"/>
        <rFont val="宋体"/>
        <charset val="134"/>
      </rPr>
      <t>，两档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</si>
  <si>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卖点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除尘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尘螨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毛发</t>
    </r>
    <r>
      <rPr>
        <sz val="11"/>
        <color theme="1"/>
        <rFont val="Calibri"/>
        <charset val="134"/>
      </rPr>
      <t xml:space="preserve">)
</t>
    </r>
    <r>
      <rPr>
        <sz val="11"/>
        <color theme="1"/>
        <rFont val="宋体"/>
        <charset val="134"/>
      </rPr>
      <t>配件使用场景</t>
    </r>
    <r>
      <rPr>
        <sz val="11"/>
        <color theme="1"/>
        <rFont val="Calibri"/>
        <charset val="134"/>
      </rPr>
      <t xml:space="preserve">
4</t>
    </r>
    <r>
      <rPr>
        <sz val="11"/>
        <color theme="1"/>
        <rFont val="宋体"/>
        <charset val="134"/>
      </rPr>
      <t>级过滤拆解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全家福</t>
    </r>
    <r>
      <rPr>
        <sz val="11"/>
        <color theme="1"/>
        <rFont val="Calibri"/>
        <charset val="134"/>
      </rPr>
      <t xml:space="preserve">
1.3KG</t>
    </r>
    <r>
      <rPr>
        <sz val="11"/>
        <color theme="1"/>
        <rFont val="宋体"/>
        <charset val="134"/>
      </rPr>
      <t>轻松托举</t>
    </r>
    <r>
      <rPr>
        <sz val="11"/>
        <color theme="1"/>
        <rFont val="Calibri"/>
        <charset val="134"/>
      </rPr>
      <t xml:space="preserve">
300W</t>
    </r>
    <r>
      <rPr>
        <sz val="11"/>
        <color theme="1"/>
        <rFont val="宋体"/>
        <charset val="134"/>
      </rPr>
      <t>无刷电机</t>
    </r>
    <r>
      <rPr>
        <sz val="11"/>
        <color theme="1"/>
        <rFont val="Calibri"/>
        <charset val="134"/>
      </rPr>
      <t>\17KPA</t>
    </r>
    <r>
      <rPr>
        <sz val="11"/>
        <color theme="1"/>
        <rFont val="宋体"/>
        <charset val="134"/>
      </rPr>
      <t>吸力</t>
    </r>
    <r>
      <rPr>
        <sz val="11"/>
        <color theme="1"/>
        <rFont val="Calibri"/>
        <charset val="134"/>
      </rPr>
      <t xml:space="preserve">
25</t>
    </r>
    <r>
      <rPr>
        <sz val="11"/>
        <color theme="1"/>
        <rFont val="宋体"/>
        <charset val="134"/>
      </rPr>
      <t>分钟使用时长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低噪音</t>
    </r>
    <r>
      <rPr>
        <sz val="11"/>
        <color theme="1"/>
        <rFont val="Calibri"/>
        <charset val="134"/>
      </rPr>
      <t>72 dB
LED</t>
    </r>
    <r>
      <rPr>
        <sz val="11"/>
        <color theme="1"/>
        <rFont val="宋体"/>
        <charset val="134"/>
      </rPr>
      <t>前灯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轻便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配件详情</t>
    </r>
  </si>
  <si>
    <r>
      <rPr>
        <sz val="11"/>
        <color theme="1"/>
        <rFont val="Calibri"/>
        <charset val="134"/>
      </rPr>
      <t xml:space="preserve">  </t>
    </r>
    <r>
      <rPr>
        <sz val="11"/>
        <color theme="1"/>
        <rFont val="宋体"/>
        <charset val="134"/>
      </rPr>
      <t>➤无刷电机吸力高达</t>
    </r>
    <r>
      <rPr>
        <sz val="11"/>
        <color theme="1"/>
        <rFont val="Calibri"/>
        <charset val="134"/>
      </rPr>
      <t>18KPa</t>
    </r>
    <r>
      <rPr>
        <sz val="11"/>
        <color theme="1"/>
        <rFont val="宋体"/>
        <charset val="134"/>
      </rPr>
      <t>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➤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个吸力等级；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➤耐用的可拆卸电池；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➤改进的声学；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➤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134"/>
      </rPr>
      <t>级过滤系统；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➤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电刷</t>
    </r>
  </si>
  <si>
    <r>
      <rPr>
        <b/>
        <sz val="11"/>
        <color theme="1"/>
        <rFont val="宋体"/>
        <charset val="134"/>
      </rPr>
      <t>总结</t>
    </r>
    <r>
      <rPr>
        <b/>
        <sz val="11"/>
        <color theme="1"/>
        <rFont val="Calibri"/>
        <charset val="134"/>
      </rPr>
      <t xml:space="preserve"> </t>
    </r>
  </si>
  <si>
    <r>
      <rPr>
        <sz val="11"/>
        <color theme="1"/>
        <rFont val="宋体"/>
        <charset val="134"/>
      </rPr>
      <t>对比了竞品，我们的产品噪音相对较高，吸力不是很突出，处于一般水平；重量是在平均水平</t>
    </r>
    <r>
      <rPr>
        <sz val="11"/>
        <color theme="1"/>
        <rFont val="Calibri"/>
        <charset val="134"/>
      </rPr>
      <t>2.8kg</t>
    </r>
    <r>
      <rPr>
        <sz val="11"/>
        <color theme="1"/>
        <rFont val="宋体"/>
        <charset val="134"/>
      </rPr>
      <t>以下，但是不轻盈，没有突出优势；运行时间处于一般的水平；最大的优势是外观比较美观</t>
    </r>
  </si>
  <si>
    <t>功率是目前已有产品中最大的，噪音相对比较低，可以替换的配件多</t>
  </si>
  <si>
    <r>
      <rPr>
        <sz val="11"/>
        <color theme="1"/>
        <rFont val="宋体"/>
        <charset val="134"/>
      </rPr>
      <t>该产品强调突出自己的</t>
    </r>
    <r>
      <rPr>
        <sz val="11"/>
        <color theme="1"/>
        <rFont val="Calibri"/>
        <charset val="134"/>
      </rPr>
      <t>0.9L</t>
    </r>
    <r>
      <rPr>
        <sz val="11"/>
        <color theme="1"/>
        <rFont val="宋体"/>
        <charset val="134"/>
      </rPr>
      <t>大集尘杯，运行时间可以达到</t>
    </r>
    <r>
      <rPr>
        <sz val="11"/>
        <color theme="1"/>
        <rFont val="Calibri"/>
        <charset val="134"/>
      </rPr>
      <t>40min</t>
    </r>
    <r>
      <rPr>
        <sz val="11"/>
        <color theme="1"/>
        <rFont val="宋体"/>
        <charset val="134"/>
      </rPr>
      <t>，避开了自己重量相对较重，以及一些吸力方面的参数描述（没有竞争优势的参数指标都会避开，取长补短）</t>
    </r>
  </si>
  <si>
    <r>
      <rPr>
        <sz val="11"/>
        <color theme="1"/>
        <rFont val="宋体"/>
        <charset val="134"/>
      </rPr>
      <t>续航时长是竞品中最长的，达到了</t>
    </r>
    <r>
      <rPr>
        <sz val="11"/>
        <color theme="1"/>
        <rFont val="Calibri"/>
        <charset val="134"/>
      </rPr>
      <t>50min</t>
    </r>
    <r>
      <rPr>
        <sz val="11"/>
        <color theme="1"/>
        <rFont val="宋体"/>
        <charset val="134"/>
      </rPr>
      <t>，非常的轻</t>
    </r>
    <r>
      <rPr>
        <sz val="11"/>
        <color theme="1"/>
        <rFont val="Calibri"/>
        <charset val="134"/>
      </rPr>
      <t>1.23kg</t>
    </r>
    <r>
      <rPr>
        <sz val="11"/>
        <color theme="1"/>
        <rFont val="宋体"/>
        <charset val="134"/>
      </rPr>
      <t>，加上噪音特别的小</t>
    </r>
  </si>
  <si>
    <t>折叠设计，容易收纳；可以直立放置，不占地方</t>
  </si>
  <si>
    <r>
      <rPr>
        <sz val="11"/>
        <color theme="1"/>
        <rFont val="宋体"/>
        <charset val="134"/>
      </rPr>
      <t>续航时间较长</t>
    </r>
    <r>
      <rPr>
        <sz val="11"/>
        <color theme="1"/>
        <rFont val="Calibri"/>
        <charset val="134"/>
      </rPr>
      <t>45min</t>
    </r>
    <r>
      <rPr>
        <sz val="11"/>
        <color theme="1"/>
        <rFont val="宋体"/>
        <charset val="134"/>
      </rPr>
      <t>，配件多，</t>
    </r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是目前最多的一个产品，且差评绿较低</t>
    </r>
  </si>
  <si>
    <r>
      <rPr>
        <sz val="11"/>
        <color theme="1"/>
        <rFont val="宋体"/>
        <charset val="134"/>
      </rPr>
      <t>比</t>
    </r>
    <r>
      <rPr>
        <sz val="11"/>
        <color theme="1"/>
        <rFont val="Calibri"/>
        <charset val="134"/>
      </rPr>
      <t>679</t>
    </r>
    <r>
      <rPr>
        <sz val="11"/>
        <color theme="1"/>
        <rFont val="宋体"/>
        <charset val="134"/>
      </rPr>
      <t>的续航时间还要长，伸缩软管可以让吸尘器摆动</t>
    </r>
    <r>
      <rPr>
        <sz val="11"/>
        <color theme="1"/>
        <rFont val="Calibri"/>
        <charset val="134"/>
      </rPr>
      <t>360</t>
    </r>
    <r>
      <rPr>
        <sz val="11"/>
        <color theme="1"/>
        <rFont val="宋体"/>
        <charset val="134"/>
      </rPr>
      <t>度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</si>
  <si>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好评点是安静轻巧易于操作，但是吸尘器必须将电缆插入电池才能充电、续航时间短、吸力很快下降、材质很廉价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</si>
  <si>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清洁效果好</t>
    </r>
    <r>
      <rPr>
        <sz val="11"/>
        <color theme="1"/>
        <rFont val="Calibri"/>
        <charset val="134"/>
      </rPr>
      <t>\</t>
    </r>
    <r>
      <rPr>
        <sz val="11"/>
        <color theme="1"/>
        <rFont val="宋体"/>
        <charset val="134"/>
      </rPr>
      <t>电池拆解方便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安静轻巧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易于操作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有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灯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配件丰富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一键开启持续模式</t>
    </r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</si>
  <si>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带</t>
    </r>
    <r>
      <rPr>
        <sz val="11"/>
        <color theme="1"/>
        <rFont val="Calibri"/>
        <charset val="134"/>
      </rPr>
      <t>LED</t>
    </r>
    <r>
      <rPr>
        <sz val="11"/>
        <color theme="1"/>
        <rFont val="宋体"/>
        <charset val="134"/>
      </rPr>
      <t>灯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二合一无线</t>
    </r>
    <r>
      <rPr>
        <sz val="11"/>
        <color theme="1"/>
        <rFont val="Calibri"/>
        <charset val="134"/>
      </rPr>
      <t xml:space="preserve">
18KPa/2</t>
    </r>
    <r>
      <rPr>
        <sz val="11"/>
        <color theme="1"/>
        <rFont val="宋体"/>
        <charset val="134"/>
      </rPr>
      <t>级吸力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工作时间</t>
    </r>
    <r>
      <rPr>
        <sz val="11"/>
        <color theme="1"/>
        <rFont val="Calibri"/>
        <charset val="134"/>
      </rPr>
      <t>15-30</t>
    </r>
    <r>
      <rPr>
        <sz val="11"/>
        <color theme="1"/>
        <rFont val="宋体"/>
        <charset val="134"/>
      </rPr>
      <t>分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旋风抽吸技术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低噪音设计</t>
    </r>
  </si>
  <si>
    <t>对比优点</t>
  </si>
  <si>
    <r>
      <rPr>
        <sz val="11"/>
        <color theme="1"/>
        <rFont val="Calibri"/>
        <charset val="134"/>
      </rPr>
      <t>300W</t>
    </r>
    <r>
      <rPr>
        <sz val="11"/>
        <color theme="1"/>
        <rFont val="宋体"/>
        <charset val="134"/>
      </rPr>
      <t>的大功率电机</t>
    </r>
  </si>
  <si>
    <t>0.9L大集尘杯</t>
  </si>
  <si>
    <r>
      <rPr>
        <sz val="11"/>
        <color theme="1"/>
        <rFont val="宋体"/>
        <charset val="134"/>
      </rPr>
      <t>轻盈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噪音小</t>
    </r>
  </si>
  <si>
    <t>折叠和直立设计</t>
  </si>
  <si>
    <r>
      <rPr>
        <sz val="11"/>
        <color theme="1"/>
        <rFont val="Calibri"/>
        <charset val="134"/>
      </rPr>
      <t>review</t>
    </r>
    <r>
      <rPr>
        <sz val="11"/>
        <color theme="1"/>
        <rFont val="宋体"/>
        <charset val="134"/>
      </rPr>
      <t>在一万以上</t>
    </r>
  </si>
  <si>
    <r>
      <rPr>
        <sz val="11"/>
        <color theme="1"/>
        <rFont val="宋体"/>
        <charset val="134"/>
      </rPr>
      <t>续航时间</t>
    </r>
    <r>
      <rPr>
        <sz val="11"/>
        <color theme="1"/>
        <rFont val="Calibri"/>
        <charset val="134"/>
      </rPr>
      <t>65min</t>
    </r>
  </si>
  <si>
    <r>
      <rPr>
        <sz val="11"/>
        <color theme="1"/>
        <rFont val="宋体"/>
        <charset val="134"/>
      </rPr>
      <t>只有</t>
    </r>
    <r>
      <rPr>
        <sz val="11"/>
        <color theme="1"/>
        <rFont val="Calibri"/>
        <charset val="134"/>
      </rPr>
      <t>1.05kg</t>
    </r>
    <r>
      <rPr>
        <sz val="11"/>
        <color theme="1"/>
        <rFont val="宋体"/>
        <charset val="134"/>
      </rPr>
      <t>的重量</t>
    </r>
  </si>
  <si>
    <r>
      <rPr>
        <sz val="11"/>
        <color theme="1"/>
        <rFont val="宋体"/>
        <charset val="134"/>
      </rPr>
      <t>功率达到了</t>
    </r>
    <r>
      <rPr>
        <sz val="11"/>
        <color theme="1"/>
        <rFont val="Calibri"/>
        <charset val="134"/>
      </rPr>
      <t>300W</t>
    </r>
  </si>
  <si>
    <t>价格优势</t>
  </si>
  <si>
    <r>
      <rPr>
        <b/>
        <sz val="10"/>
        <color rgb="FF000000"/>
        <rFont val="微软雅黑"/>
        <charset val="134"/>
      </rPr>
      <t>关键词分组</t>
    </r>
  </si>
  <si>
    <r>
      <rPr>
        <b/>
        <sz val="10"/>
        <color rgb="FF000000"/>
        <rFont val="微软雅黑"/>
        <charset val="134"/>
      </rPr>
      <t>关键词</t>
    </r>
  </si>
  <si>
    <t>月点击量</t>
  </si>
  <si>
    <t>月搜索量</t>
  </si>
  <si>
    <r>
      <rPr>
        <b/>
        <sz val="10"/>
        <color rgb="FF000000"/>
        <rFont val="微软雅黑"/>
        <charset val="134"/>
      </rPr>
      <t>搜索频率排名</t>
    </r>
  </si>
  <si>
    <t>点击率</t>
  </si>
  <si>
    <t>精准度</t>
  </si>
  <si>
    <t>商品词</t>
  </si>
  <si>
    <t>上位/近义词</t>
  </si>
  <si>
    <t>修饰词</t>
  </si>
  <si>
    <t>品牌词</t>
  </si>
  <si>
    <t>单个商品词</t>
  </si>
  <si>
    <t>组装核心词</t>
  </si>
  <si>
    <t>核心大词</t>
  </si>
  <si>
    <t>staubsauger</t>
  </si>
  <si>
    <t>Akku-Staubsauger</t>
  </si>
  <si>
    <t>Staubsauger</t>
  </si>
  <si>
    <t>bis zu</t>
  </si>
  <si>
    <t>Stabstaubsauger</t>
  </si>
  <si>
    <t>Akku Staubsauger</t>
  </si>
  <si>
    <t>akku staubsauger</t>
  </si>
  <si>
    <t>精准</t>
  </si>
  <si>
    <t>Akkusauger</t>
  </si>
  <si>
    <t>Handstaubsauger</t>
  </si>
  <si>
    <t>kabelloser</t>
  </si>
  <si>
    <t>Bosch</t>
  </si>
  <si>
    <t>Akkustaubsauger</t>
  </si>
  <si>
    <t>Kabelloser Staubsauger</t>
  </si>
  <si>
    <t>staubsauger akku</t>
  </si>
  <si>
    <t>beutellos</t>
  </si>
  <si>
    <t>Philips</t>
  </si>
  <si>
    <t>Staubsauger Kabellos</t>
  </si>
  <si>
    <t>长尾词</t>
  </si>
  <si>
    <t>staubsauger beutellos</t>
  </si>
  <si>
    <t>Min.</t>
  </si>
  <si>
    <t>BISSELL</t>
  </si>
  <si>
    <t>Akku Staubsauger Kabellos</t>
  </si>
  <si>
    <t>staubsauger kabellos</t>
  </si>
  <si>
    <t>Stielstaubsauger</t>
  </si>
  <si>
    <t>Laufzeit</t>
  </si>
  <si>
    <t>Tineco</t>
  </si>
  <si>
    <t>Kabelloser Akkusauger</t>
  </si>
  <si>
    <t>kabelloser staubsauger</t>
  </si>
  <si>
    <t>Saugwischer</t>
  </si>
  <si>
    <t>Shark</t>
  </si>
  <si>
    <t>Kabelloser Akkustaubsauger</t>
  </si>
  <si>
    <t>akku staubsauger testsieger 2020</t>
  </si>
  <si>
    <t xml:space="preserve"> </t>
  </si>
  <si>
    <t>JASHEN</t>
  </si>
  <si>
    <t>Kabelloser Stabstaubsauger</t>
  </si>
  <si>
    <t>freistehend</t>
  </si>
  <si>
    <t>Akku Stabstaubsauger</t>
  </si>
  <si>
    <t>Akku</t>
  </si>
  <si>
    <t>ONEDAY</t>
  </si>
  <si>
    <t>Beutellos Staubsauger akku</t>
  </si>
  <si>
    <t>Saugleistung</t>
  </si>
  <si>
    <t>HONITURE</t>
  </si>
  <si>
    <t>Beutellos Stabstaubsauger Kabelloser</t>
  </si>
  <si>
    <t>LED-Frontlichter</t>
  </si>
  <si>
    <t>Hoover</t>
  </si>
  <si>
    <t>Beutellos Stabstaubsauger akku</t>
  </si>
  <si>
    <t>2in1</t>
  </si>
  <si>
    <t>INSE</t>
  </si>
  <si>
    <t>180°</t>
  </si>
  <si>
    <t>MIC</t>
  </si>
  <si>
    <t>Makita</t>
  </si>
  <si>
    <t>Drehgelenk</t>
  </si>
  <si>
    <t>Rowenta</t>
  </si>
  <si>
    <t>Bürstenreinigungsfunktion</t>
  </si>
  <si>
    <t>Anker</t>
  </si>
  <si>
    <t>Tierhaardüse</t>
  </si>
  <si>
    <t>eufy</t>
  </si>
  <si>
    <t>Hartböden</t>
  </si>
  <si>
    <t>Deerma</t>
  </si>
  <si>
    <t>hohe</t>
  </si>
  <si>
    <t>Proscenic</t>
  </si>
  <si>
    <t>alle</t>
  </si>
  <si>
    <t>VOSFEEL</t>
  </si>
  <si>
    <t>Teppiche</t>
  </si>
  <si>
    <t>Homtiky</t>
  </si>
  <si>
    <t>lange</t>
  </si>
  <si>
    <t>Aokin</t>
  </si>
  <si>
    <t>Tierhaare</t>
  </si>
  <si>
    <t>Dreame</t>
  </si>
  <si>
    <t>Fugendüse</t>
  </si>
  <si>
    <t>SWEETLF</t>
  </si>
  <si>
    <t>Bodenarten</t>
  </si>
  <si>
    <t>WOWGO</t>
  </si>
  <si>
    <t>Supkitdin</t>
  </si>
  <si>
    <t>Grundig</t>
  </si>
  <si>
    <t>Zubehörset</t>
  </si>
  <si>
    <t>ANMO</t>
  </si>
  <si>
    <t>PWRHERO</t>
  </si>
  <si>
    <t>Abnehmbarer</t>
  </si>
  <si>
    <t>Deenkee</t>
  </si>
  <si>
    <t>3-in-1</t>
  </si>
  <si>
    <t>Dibea</t>
  </si>
  <si>
    <t>Starke</t>
  </si>
  <si>
    <t>WOVIDA</t>
  </si>
  <si>
    <t>Lithium</t>
  </si>
  <si>
    <t>Czemo</t>
  </si>
  <si>
    <t>Akkulaufzeit</t>
  </si>
  <si>
    <t>Greenote</t>
  </si>
  <si>
    <t>Multiflächen-Bodenreiniger</t>
  </si>
  <si>
    <t>ONSON</t>
  </si>
  <si>
    <t>Saugt</t>
  </si>
  <si>
    <t>Muzili</t>
  </si>
  <si>
    <t>wischt</t>
  </si>
  <si>
    <t>Casdon</t>
  </si>
  <si>
    <t>360°-Saugdüse</t>
  </si>
  <si>
    <t>Dyson</t>
  </si>
  <si>
    <t>Hosome</t>
  </si>
  <si>
    <t>Anti</t>
  </si>
  <si>
    <t>HCBOO</t>
  </si>
  <si>
    <t>Hair</t>
  </si>
  <si>
    <t>APOSEN</t>
  </si>
  <si>
    <t>leichtes</t>
  </si>
  <si>
    <t>HomeVac</t>
  </si>
  <si>
    <t>Power</t>
  </si>
  <si>
    <t>Severin</t>
  </si>
  <si>
    <t>Pa</t>
  </si>
  <si>
    <t>MooSoo</t>
  </si>
  <si>
    <t>Elite</t>
  </si>
  <si>
    <t>Hygiene-Filter</t>
  </si>
  <si>
    <t>Laresar</t>
  </si>
  <si>
    <t>Ladezeit</t>
  </si>
  <si>
    <t>BuTure</t>
  </si>
  <si>
    <t>Tierhaar-Staubsauger</t>
  </si>
  <si>
    <t>Womow</t>
  </si>
  <si>
    <t>Elektrobürste</t>
  </si>
  <si>
    <t>DENNOV</t>
  </si>
  <si>
    <t>Wandhalterung</t>
  </si>
  <si>
    <t>DN</t>
  </si>
  <si>
    <t>Dreamee</t>
  </si>
  <si>
    <t>Auto</t>
  </si>
  <si>
    <t>OUTON</t>
  </si>
  <si>
    <t>JUCJET</t>
  </si>
  <si>
    <t>17000Pa</t>
  </si>
  <si>
    <t>Yissvic</t>
  </si>
  <si>
    <t>Saugkraft</t>
  </si>
  <si>
    <t>Sonic</t>
  </si>
  <si>
    <t>Roborock</t>
  </si>
  <si>
    <t>Haus</t>
  </si>
  <si>
    <t>Ladestation</t>
  </si>
  <si>
    <t>6in1</t>
  </si>
  <si>
    <t>doppelter</t>
  </si>
  <si>
    <t>zwei</t>
  </si>
  <si>
    <t>Aufladen</t>
  </si>
  <si>
    <t>Auto/Haus/Tierhaare</t>
  </si>
  <si>
    <t>Zyklon</t>
  </si>
  <si>
    <t>leise</t>
  </si>
  <si>
    <t>Staubbehälter</t>
  </si>
  <si>
    <t>Smarter</t>
  </si>
  <si>
    <t>Staubbürste</t>
  </si>
  <si>
    <t>HEPA-Filter</t>
  </si>
  <si>
    <t>Amazon</t>
  </si>
  <si>
    <t>Doppelakku</t>
  </si>
  <si>
    <t>Einzelakku</t>
  </si>
  <si>
    <t>Einem</t>
  </si>
  <si>
    <t>25KPa</t>
  </si>
  <si>
    <t>26000Pa</t>
  </si>
  <si>
    <t>23000Pa</t>
  </si>
  <si>
    <t>Ersatzfilter</t>
  </si>
  <si>
    <t>Wischfunktion</t>
  </si>
  <si>
    <t>Böden</t>
  </si>
  <si>
    <t>Allergy</t>
  </si>
  <si>
    <t>产品周期</t>
  </si>
  <si>
    <t>按照测评方案中的OKR表，预估一个月的销量是286pcs，每天出单15pcs</t>
  </si>
  <si>
    <t>投入广告</t>
  </si>
  <si>
    <r>
      <rPr>
        <sz val="11"/>
        <rFont val="Calibri"/>
        <charset val="134"/>
      </rPr>
      <t xml:space="preserve"> </t>
    </r>
    <r>
      <rPr>
        <sz val="11"/>
        <rFont val="新宋体"/>
        <charset val="134"/>
      </rPr>
      <t>以过去</t>
    </r>
    <r>
      <rPr>
        <sz val="11"/>
        <rFont val="Calibri"/>
        <charset val="134"/>
      </rPr>
      <t>30</t>
    </r>
    <r>
      <rPr>
        <sz val="11"/>
        <rFont val="新宋体"/>
        <charset val="134"/>
      </rPr>
      <t>天为一个维度，查看已有同类产品的广告数据情况：</t>
    </r>
    <r>
      <rPr>
        <sz val="11"/>
        <rFont val="Calibri"/>
        <charset val="134"/>
      </rPr>
      <t xml:space="preserve">
C10A</t>
    </r>
    <r>
      <rPr>
        <sz val="11"/>
        <rFont val="新宋体"/>
        <charset val="134"/>
      </rPr>
      <t>：</t>
    </r>
    <r>
      <rPr>
        <sz val="11"/>
        <rFont val="Calibri"/>
        <charset val="134"/>
      </rPr>
      <t xml:space="preserve">
</t>
    </r>
    <r>
      <rPr>
        <sz val="11"/>
        <rFont val="新宋体"/>
        <charset val="134"/>
      </rPr>
      <t>曝光量</t>
    </r>
    <r>
      <rPr>
        <sz val="11"/>
        <rFont val="Calibri"/>
        <charset val="134"/>
      </rPr>
      <t>232W</t>
    </r>
    <r>
      <rPr>
        <sz val="11"/>
        <rFont val="新宋体"/>
        <charset val="134"/>
      </rPr>
      <t>，点击量</t>
    </r>
    <r>
      <rPr>
        <sz val="11"/>
        <rFont val="Calibri"/>
        <charset val="134"/>
      </rPr>
      <t>0.87W</t>
    </r>
    <r>
      <rPr>
        <sz val="11"/>
        <rFont val="新宋体"/>
        <charset val="134"/>
      </rPr>
      <t>，</t>
    </r>
    <r>
      <rPr>
        <sz val="11"/>
        <rFont val="Calibri"/>
        <charset val="134"/>
      </rPr>
      <t>CPC</t>
    </r>
    <r>
      <rPr>
        <sz val="11"/>
        <rFont val="新宋体"/>
        <charset val="134"/>
      </rPr>
      <t>为</t>
    </r>
    <r>
      <rPr>
        <sz val="11"/>
        <rFont val="Calibri"/>
        <charset val="134"/>
      </rPr>
      <t>2.18</t>
    </r>
    <r>
      <rPr>
        <sz val="11"/>
        <rFont val="新宋体"/>
        <charset val="134"/>
      </rPr>
      <t>欧，</t>
    </r>
    <r>
      <rPr>
        <sz val="11"/>
        <rFont val="Calibri"/>
        <charset val="134"/>
      </rPr>
      <t>ACOS=16.47%</t>
    </r>
    <r>
      <rPr>
        <sz val="11"/>
        <rFont val="新宋体"/>
        <charset val="134"/>
      </rPr>
      <t>，广告转化</t>
    </r>
    <r>
      <rPr>
        <sz val="11"/>
        <rFont val="Calibri"/>
        <charset val="134"/>
      </rPr>
      <t xml:space="preserve">10%
V20:
</t>
    </r>
    <r>
      <rPr>
        <sz val="11"/>
        <rFont val="新宋体"/>
        <charset val="134"/>
      </rPr>
      <t>曝光量</t>
    </r>
    <r>
      <rPr>
        <sz val="11"/>
        <rFont val="Calibri"/>
        <charset val="134"/>
      </rPr>
      <t>376W</t>
    </r>
    <r>
      <rPr>
        <sz val="11"/>
        <rFont val="新宋体"/>
        <charset val="134"/>
      </rPr>
      <t>，点击量</t>
    </r>
    <r>
      <rPr>
        <sz val="11"/>
        <rFont val="Calibri"/>
        <charset val="134"/>
      </rPr>
      <t>1.9W</t>
    </r>
    <r>
      <rPr>
        <sz val="11"/>
        <rFont val="新宋体"/>
        <charset val="134"/>
      </rPr>
      <t>，</t>
    </r>
    <r>
      <rPr>
        <sz val="11"/>
        <rFont val="Calibri"/>
        <charset val="134"/>
      </rPr>
      <t>CPC</t>
    </r>
    <r>
      <rPr>
        <sz val="11"/>
        <rFont val="新宋体"/>
        <charset val="134"/>
      </rPr>
      <t>为</t>
    </r>
    <r>
      <rPr>
        <sz val="11"/>
        <rFont val="Calibri"/>
        <charset val="134"/>
      </rPr>
      <t>1.96</t>
    </r>
    <r>
      <rPr>
        <sz val="11"/>
        <rFont val="新宋体"/>
        <charset val="134"/>
      </rPr>
      <t>欧，</t>
    </r>
    <r>
      <rPr>
        <sz val="11"/>
        <rFont val="Calibri"/>
        <charset val="134"/>
      </rPr>
      <t>ACOS=26.32%</t>
    </r>
    <r>
      <rPr>
        <sz val="11"/>
        <rFont val="新宋体"/>
        <charset val="134"/>
      </rPr>
      <t>，广告转化</t>
    </r>
    <r>
      <rPr>
        <sz val="11"/>
        <rFont val="Calibri"/>
        <charset val="134"/>
      </rPr>
      <t>6.9%
660</t>
    </r>
    <r>
      <rPr>
        <sz val="11"/>
        <rFont val="新宋体"/>
        <charset val="134"/>
      </rPr>
      <t>：</t>
    </r>
    <r>
      <rPr>
        <sz val="11"/>
        <rFont val="Calibri"/>
        <charset val="134"/>
      </rPr>
      <t xml:space="preserve">
</t>
    </r>
    <r>
      <rPr>
        <sz val="11"/>
        <rFont val="新宋体"/>
        <charset val="134"/>
      </rPr>
      <t>曝光量</t>
    </r>
    <r>
      <rPr>
        <sz val="11"/>
        <rFont val="Calibri"/>
        <charset val="134"/>
      </rPr>
      <t>14W</t>
    </r>
    <r>
      <rPr>
        <sz val="11"/>
        <rFont val="新宋体"/>
        <charset val="134"/>
      </rPr>
      <t>，点击量</t>
    </r>
    <r>
      <rPr>
        <sz val="11"/>
        <rFont val="Calibri"/>
        <charset val="134"/>
      </rPr>
      <t>675</t>
    </r>
    <r>
      <rPr>
        <sz val="11"/>
        <rFont val="新宋体"/>
        <charset val="134"/>
      </rPr>
      <t>，</t>
    </r>
    <r>
      <rPr>
        <sz val="11"/>
        <rFont val="Calibri"/>
        <charset val="134"/>
      </rPr>
      <t>CPC</t>
    </r>
    <r>
      <rPr>
        <sz val="11"/>
        <rFont val="新宋体"/>
        <charset val="134"/>
      </rPr>
      <t>为</t>
    </r>
    <r>
      <rPr>
        <sz val="11"/>
        <rFont val="Calibri"/>
        <charset val="134"/>
      </rPr>
      <t>1.18</t>
    </r>
    <r>
      <rPr>
        <sz val="11"/>
        <rFont val="新宋体"/>
        <charset val="134"/>
      </rPr>
      <t>欧，</t>
    </r>
    <r>
      <rPr>
        <sz val="11"/>
        <rFont val="Calibri"/>
        <charset val="134"/>
      </rPr>
      <t>ACOS=11.59%</t>
    </r>
    <r>
      <rPr>
        <sz val="11"/>
        <rFont val="新宋体"/>
        <charset val="134"/>
      </rPr>
      <t>，广告转化</t>
    </r>
    <r>
      <rPr>
        <sz val="11"/>
        <rFont val="Calibri"/>
        <charset val="134"/>
      </rPr>
      <t>11.9%
679</t>
    </r>
    <r>
      <rPr>
        <sz val="11"/>
        <rFont val="新宋体"/>
        <charset val="134"/>
      </rPr>
      <t>：</t>
    </r>
    <r>
      <rPr>
        <sz val="11"/>
        <rFont val="Calibri"/>
        <charset val="134"/>
      </rPr>
      <t xml:space="preserve">
</t>
    </r>
    <r>
      <rPr>
        <sz val="11"/>
        <rFont val="新宋体"/>
        <charset val="134"/>
      </rPr>
      <t>曝光量</t>
    </r>
    <r>
      <rPr>
        <sz val="11"/>
        <rFont val="Calibri"/>
        <charset val="134"/>
      </rPr>
      <t>668W</t>
    </r>
    <r>
      <rPr>
        <sz val="11"/>
        <rFont val="新宋体"/>
        <charset val="134"/>
      </rPr>
      <t>，点击量</t>
    </r>
    <r>
      <rPr>
        <sz val="11"/>
        <rFont val="Calibri"/>
        <charset val="134"/>
      </rPr>
      <t>3.12W</t>
    </r>
    <r>
      <rPr>
        <sz val="11"/>
        <rFont val="新宋体"/>
        <charset val="134"/>
      </rPr>
      <t>，</t>
    </r>
    <r>
      <rPr>
        <sz val="11"/>
        <rFont val="Calibri"/>
        <charset val="134"/>
      </rPr>
      <t>CPC</t>
    </r>
    <r>
      <rPr>
        <sz val="11"/>
        <rFont val="新宋体"/>
        <charset val="134"/>
      </rPr>
      <t>为</t>
    </r>
    <r>
      <rPr>
        <sz val="11"/>
        <rFont val="Calibri"/>
        <charset val="134"/>
      </rPr>
      <t>1.65</t>
    </r>
    <r>
      <rPr>
        <sz val="11"/>
        <rFont val="新宋体"/>
        <charset val="134"/>
      </rPr>
      <t>欧，</t>
    </r>
    <r>
      <rPr>
        <sz val="11"/>
        <rFont val="Calibri"/>
        <charset val="134"/>
      </rPr>
      <t>ACOS=20.21%</t>
    </r>
    <r>
      <rPr>
        <sz val="11"/>
        <rFont val="新宋体"/>
        <charset val="134"/>
      </rPr>
      <t>，广告转化</t>
    </r>
    <r>
      <rPr>
        <sz val="11"/>
        <rFont val="Calibri"/>
        <charset val="134"/>
      </rPr>
      <t xml:space="preserve">7%
</t>
    </r>
    <r>
      <rPr>
        <sz val="11"/>
        <rFont val="新宋体"/>
        <charset val="134"/>
      </rPr>
      <t>每天</t>
    </r>
    <r>
      <rPr>
        <sz val="11"/>
        <rFont val="Calibri"/>
        <charset val="134"/>
      </rPr>
      <t>80</t>
    </r>
    <r>
      <rPr>
        <sz val="11"/>
        <rFont val="新宋体"/>
        <charset val="134"/>
      </rPr>
      <t>欧，前</t>
    </r>
    <r>
      <rPr>
        <sz val="11"/>
        <rFont val="Calibri"/>
        <charset val="134"/>
      </rPr>
      <t>4</t>
    </r>
    <r>
      <rPr>
        <sz val="11"/>
        <rFont val="新宋体"/>
        <charset val="134"/>
      </rPr>
      <t>天不开广告，先在测评单的推动下跑一个销量趋势，第五天开启广告，增加产品的曝光和点击，预计月度广告占比</t>
    </r>
    <r>
      <rPr>
        <sz val="11"/>
        <rFont val="Calibri"/>
        <charset val="134"/>
      </rPr>
      <t>5.36%</t>
    </r>
    <r>
      <rPr>
        <sz val="11"/>
        <rFont val="新宋体"/>
        <charset val="134"/>
      </rPr>
      <t>。</t>
    </r>
    <r>
      <rPr>
        <sz val="11"/>
        <rFont val="Calibri"/>
        <charset val="134"/>
      </rPr>
      <t xml:space="preserve">
</t>
    </r>
    <r>
      <rPr>
        <sz val="11"/>
        <rFont val="新宋体"/>
        <charset val="134"/>
      </rPr>
      <t>按照同类产品的表现情况，设</t>
    </r>
    <r>
      <rPr>
        <sz val="11"/>
        <rFont val="Calibri"/>
        <charset val="134"/>
      </rPr>
      <t>3923</t>
    </r>
    <r>
      <rPr>
        <sz val="11"/>
        <rFont val="新宋体"/>
        <charset val="134"/>
      </rPr>
      <t>的广告转化为</t>
    </r>
    <r>
      <rPr>
        <sz val="11"/>
        <rFont val="Calibri"/>
        <charset val="134"/>
      </rPr>
      <t>7%</t>
    </r>
    <r>
      <rPr>
        <sz val="11"/>
        <rFont val="新宋体"/>
        <charset val="134"/>
      </rPr>
      <t>，</t>
    </r>
    <r>
      <rPr>
        <sz val="11"/>
        <rFont val="Calibri"/>
        <charset val="134"/>
      </rPr>
      <t>ACOS</t>
    </r>
    <r>
      <rPr>
        <sz val="11"/>
        <rFont val="新宋体"/>
        <charset val="134"/>
      </rPr>
      <t>在</t>
    </r>
    <r>
      <rPr>
        <sz val="11"/>
        <rFont val="Calibri"/>
        <charset val="134"/>
      </rPr>
      <t>20%</t>
    </r>
    <r>
      <rPr>
        <sz val="11"/>
        <rFont val="新宋体"/>
        <charset val="134"/>
      </rPr>
      <t>，若单价在</t>
    </r>
    <r>
      <rPr>
        <sz val="11"/>
        <rFont val="Calibri"/>
        <charset val="134"/>
      </rPr>
      <t>139.99~169.99</t>
    </r>
    <r>
      <rPr>
        <sz val="11"/>
        <rFont val="新宋体"/>
        <charset val="134"/>
      </rPr>
      <t>之间，则依据</t>
    </r>
    <r>
      <rPr>
        <sz val="11"/>
        <rFont val="Calibri"/>
        <charset val="134"/>
      </rPr>
      <t xml:space="preserve">
ACOS=CPC/(CR*</t>
    </r>
    <r>
      <rPr>
        <sz val="11"/>
        <rFont val="新宋体"/>
        <charset val="134"/>
      </rPr>
      <t>单价），得到</t>
    </r>
    <r>
      <rPr>
        <sz val="11"/>
        <rFont val="Calibri"/>
        <charset val="134"/>
      </rPr>
      <t>CPC=1.96~2.38</t>
    </r>
    <r>
      <rPr>
        <sz val="11"/>
        <rFont val="新宋体"/>
        <charset val="134"/>
      </rPr>
      <t>，取</t>
    </r>
    <r>
      <rPr>
        <sz val="11"/>
        <rFont val="Calibri"/>
        <charset val="134"/>
      </rPr>
      <t>CPC=2</t>
    </r>
    <r>
      <rPr>
        <sz val="11"/>
        <rFont val="新宋体"/>
        <charset val="134"/>
      </rPr>
      <t>欧</t>
    </r>
    <r>
      <rPr>
        <sz val="11"/>
        <rFont val="Calibri"/>
        <charset val="134"/>
      </rPr>
      <t xml:space="preserve">
</t>
    </r>
    <r>
      <rPr>
        <sz val="11"/>
        <rFont val="新宋体"/>
        <charset val="134"/>
      </rPr>
      <t>预算</t>
    </r>
    <r>
      <rPr>
        <sz val="11"/>
        <rFont val="Calibri"/>
        <charset val="134"/>
      </rPr>
      <t>=CPC*click</t>
    </r>
    <r>
      <rPr>
        <sz val="11"/>
        <rFont val="新宋体"/>
        <charset val="134"/>
      </rPr>
      <t>，得出</t>
    </r>
    <r>
      <rPr>
        <sz val="11"/>
        <rFont val="Calibri"/>
        <charset val="134"/>
      </rPr>
      <t>click=40,
CR=order/click</t>
    </r>
    <r>
      <rPr>
        <sz val="11"/>
        <rFont val="新宋体"/>
        <charset val="134"/>
      </rPr>
      <t>，得出</t>
    </r>
    <r>
      <rPr>
        <sz val="11"/>
        <rFont val="Calibri"/>
        <charset val="134"/>
      </rPr>
      <t>order=3</t>
    </r>
    <r>
      <rPr>
        <sz val="11"/>
        <rFont val="新宋体"/>
        <charset val="134"/>
      </rPr>
      <t>单</t>
    </r>
    <r>
      <rPr>
        <sz val="11"/>
        <rFont val="Calibri"/>
        <charset val="134"/>
      </rPr>
      <t xml:space="preserve">
</t>
    </r>
  </si>
  <si>
    <t>测评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</si>
  <si>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预估新品期三个月的销量是</t>
    </r>
    <r>
      <rPr>
        <sz val="11"/>
        <color theme="1"/>
        <rFont val="Calibri"/>
        <charset val="134"/>
      </rPr>
      <t>1000</t>
    </r>
    <r>
      <rPr>
        <sz val="11"/>
        <color theme="1"/>
        <rFont val="宋体"/>
        <charset val="134"/>
      </rPr>
      <t>件，测评占比</t>
    </r>
    <r>
      <rPr>
        <sz val="11"/>
        <color theme="1"/>
        <rFont val="Calibri"/>
        <charset val="134"/>
      </rPr>
      <t>5%</t>
    </r>
    <r>
      <rPr>
        <sz val="11"/>
        <color theme="1"/>
        <rFont val="宋体"/>
        <charset val="134"/>
      </rPr>
      <t>，测评数量</t>
    </r>
    <r>
      <rPr>
        <sz val="11"/>
        <color theme="1"/>
        <rFont val="Calibri"/>
        <charset val="134"/>
      </rPr>
      <t xml:space="preserve">50pcs
</t>
    </r>
    <r>
      <rPr>
        <sz val="11"/>
        <color theme="1"/>
        <rFont val="宋体"/>
        <charset val="134"/>
      </rPr>
      <t>测评的节奏是从开售第一天开始：</t>
    </r>
    <r>
      <rPr>
        <sz val="11"/>
        <color theme="1"/>
        <rFont val="Calibri"/>
        <charset val="134"/>
      </rPr>
      <t xml:space="preserve">1-2-3-4-5-6-7-8-10-4-4
</t>
    </r>
    <r>
      <rPr>
        <sz val="11"/>
        <color theme="1"/>
        <rFont val="宋体"/>
        <charset val="134"/>
      </rPr>
      <t>开售的前九天是测评出单；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开售第五天开启的广告，跑数据，同时关注自己跑出来的关键词是否精准，销量趋势和广告数据两手抓</t>
    </r>
  </si>
  <si>
    <t>站外</t>
  </si>
  <si>
    <r>
      <rPr>
        <sz val="11"/>
        <color theme="1"/>
        <rFont val="宋体"/>
        <charset val="134"/>
      </rPr>
      <t>德国站的站外效果不好，暂时不考虑站外的活动</t>
    </r>
  </si>
  <si>
    <t>做父子变体</t>
  </si>
  <si>
    <t>看德国是否有可用变体；或者将美国那边的转移到德国过来，做父子变体</t>
  </si>
  <si>
    <t>卡位多少</t>
  </si>
  <si>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一个月销量</t>
    </r>
    <r>
      <rPr>
        <sz val="11"/>
        <color theme="1"/>
        <rFont val="Calibri"/>
        <charset val="134"/>
      </rPr>
      <t>300</t>
    </r>
    <r>
      <rPr>
        <sz val="11"/>
        <color theme="1"/>
        <rFont val="宋体"/>
        <charset val="134"/>
      </rPr>
      <t>左右，预计可以到达大类</t>
    </r>
    <r>
      <rPr>
        <sz val="11"/>
        <color theme="1"/>
        <rFont val="Calibri"/>
        <charset val="134"/>
      </rPr>
      <t>11068</t>
    </r>
    <r>
      <rPr>
        <sz val="11"/>
        <color theme="1"/>
        <rFont val="宋体"/>
        <charset val="134"/>
      </rPr>
      <t>，小类</t>
    </r>
    <r>
      <rPr>
        <sz val="11"/>
        <color theme="1"/>
        <rFont val="Calibri"/>
        <charset val="134"/>
      </rPr>
      <t>40</t>
    </r>
  </si>
  <si>
    <t>主关键词卡位</t>
  </si>
  <si>
    <t>CPC=2欧广告位可以达到第一页，通过广告拉升，预计8月底自然页的在前两页</t>
  </si>
  <si>
    <t>总结</t>
  </si>
  <si>
    <t>投入以及产出</t>
  </si>
  <si>
    <t>广告花费</t>
  </si>
  <si>
    <t xml:space="preserve"> 投入广告费19096元，广告占比5.2%。
</t>
  </si>
  <si>
    <t>测评增加review，计划回评+做父子变体将review涨到100个，星级在4.6以上。测评的另一个作用是前期拉升销量，跑销量趋势。以及看我们的产品是否存在什么质量问题，及时进行调整，减少差评和不必要的售后争端。
通过做一周的站外推广，提高站内的大类排名，大类排名3541，小类排名20，预计一天出单15~20pcs。
广告投入之后带来的直接效果是增加曝光和点击，提升转化率到10%，在开售一个月内提升自然排位到前两页。新品期第一个月，预计广告出单3pcs/day；第二个月，随着广告组的流量越来越精准，广告的花费会下降，转化提升，CPC能够降低到1.5左右（参考相似参数C10A）
设ACOS=15%，CPC=1.5，预算是80欧/day，转化率10%
预算=CPC*click，得出click=54
CR=order/click，得出order=5单
广告总出单5*30=150，
若第二个月平均每天出单15：
总单量15*30=450，广告单占比33%
若第三个月平均每天出单20：
总单量20*30=600，广告单占比25%</t>
  </si>
  <si>
    <t>测评花费</t>
  </si>
  <si>
    <t xml:space="preserve"> 投入测评费用56128元，测评占比为15.83%。
</t>
  </si>
  <si>
    <t>站外花费</t>
  </si>
  <si>
    <r>
      <rPr>
        <sz val="11"/>
        <color rgb="FF000000"/>
        <rFont val="Calibri"/>
        <charset val="134"/>
      </rPr>
      <t xml:space="preserve"> plan A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deal</t>
    </r>
    <r>
      <rPr>
        <sz val="11"/>
        <color rgb="FF000000"/>
        <rFont val="宋体"/>
        <charset val="134"/>
      </rPr>
      <t>渠道的话估计</t>
    </r>
    <r>
      <rPr>
        <sz val="11"/>
        <color rgb="FF000000"/>
        <rFont val="Calibri"/>
        <charset val="134"/>
      </rPr>
      <t>100</t>
    </r>
    <r>
      <rPr>
        <sz val="11"/>
        <color rgb="FF000000"/>
        <rFont val="宋体"/>
        <charset val="134"/>
      </rPr>
      <t>欧以内，折合人民币</t>
    </r>
    <r>
      <rPr>
        <sz val="11"/>
        <color rgb="FF000000"/>
        <rFont val="Calibri"/>
        <charset val="134"/>
      </rPr>
      <t>780</t>
    </r>
    <r>
      <rPr>
        <sz val="11"/>
        <color rgb="FF000000"/>
        <rFont val="宋体"/>
        <charset val="134"/>
      </rPr>
      <t>元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备注：每个渠道预估花费</t>
    </r>
    <r>
      <rPr>
        <sz val="11"/>
        <color rgb="FF000000"/>
        <rFont val="Calibri"/>
        <charset val="134"/>
      </rPr>
      <t>35~50</t>
    </r>
    <r>
      <rPr>
        <sz val="11"/>
        <color rgb="FF000000"/>
        <rFont val="宋体"/>
        <charset val="134"/>
      </rPr>
      <t>欧，建议同时发两三个</t>
    </r>
    <r>
      <rPr>
        <sz val="11"/>
        <color rgb="FF000000"/>
        <rFont val="Calibri"/>
        <charset val="134"/>
      </rPr>
      <t xml:space="preserve">
plan B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deal+</t>
    </r>
    <r>
      <rPr>
        <sz val="11"/>
        <color rgb="FF000000"/>
        <rFont val="宋体"/>
        <charset val="134"/>
      </rPr>
      <t>红人视频营销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个，预估花费</t>
    </r>
    <r>
      <rPr>
        <sz val="11"/>
        <color rgb="FF000000"/>
        <rFont val="Calibri"/>
        <charset val="134"/>
      </rPr>
      <t>6000</t>
    </r>
    <r>
      <rPr>
        <sz val="11"/>
        <color rgb="FF000000"/>
        <rFont val="宋体"/>
        <charset val="134"/>
      </rPr>
      <t>元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宋体"/>
        <charset val="134"/>
      </rPr>
      <t>德国的红人是泛欧最贵的，一般三五千观看量的红人基本就三五百欧一个视频（当</t>
    </r>
    <r>
      <rPr>
        <sz val="11"/>
        <color rgb="FF000000"/>
        <rFont val="Calibri"/>
        <charset val="134"/>
      </rPr>
      <t>deal</t>
    </r>
    <r>
      <rPr>
        <sz val="11"/>
        <color rgb="FF000000"/>
        <rFont val="宋体"/>
        <charset val="134"/>
      </rPr>
      <t>渠道带来的单量没有达到目标销量</t>
    </r>
    <r>
      <rPr>
        <sz val="11"/>
        <color rgb="FF000000"/>
        <rFont val="Calibri"/>
        <charset val="134"/>
      </rPr>
      <t>15pcs</t>
    </r>
    <r>
      <rPr>
        <sz val="11"/>
        <color rgb="FF000000"/>
        <rFont val="宋体"/>
        <charset val="134"/>
      </rPr>
      <t>时候，可以考虑做红人营销）</t>
    </r>
    <r>
      <rPr>
        <sz val="11"/>
        <color rgb="FF000000"/>
        <rFont val="Calibri"/>
        <charset val="134"/>
      </rPr>
      <t xml:space="preserve">
</t>
    </r>
  </si>
  <si>
    <t>DOTD</t>
  </si>
  <si>
    <t>LD</t>
  </si>
  <si>
    <t>正常售价</t>
  </si>
  <si>
    <t xml:space="preserve">asin </t>
  </si>
  <si>
    <r>
      <rPr>
        <b/>
        <sz val="11"/>
        <color theme="1"/>
        <rFont val="宋体"/>
        <charset val="134"/>
      </rPr>
      <t>竞品型号</t>
    </r>
  </si>
  <si>
    <t>成交价</t>
  </si>
  <si>
    <t>139.99~169.99</t>
  </si>
  <si>
    <t>数量</t>
  </si>
  <si>
    <t>汇率</t>
  </si>
  <si>
    <t>营业收入</t>
  </si>
  <si>
    <t>促销折扣费</t>
  </si>
  <si>
    <t>促销比率</t>
  </si>
  <si>
    <t>销售退款</t>
  </si>
  <si>
    <t>退款率</t>
  </si>
  <si>
    <t xml:space="preserve"> 11.0  x 26.50 x 21.10 cm</t>
  </si>
  <si>
    <t>其他收入汇总</t>
  </si>
  <si>
    <t xml:space="preserve"> 从不同的参数上看，tineco的产品可以作为我们的对标竞品。
tineco的这两款自相对比，总体上的参数只是在功率上有50W的差距，其他参数差别不大，但是差价却是50欧，一个走高端路线，另一个走中端路线，从产品销量表现上看，两者是不分伯仲；
tineco与我们的3923进行对比，从吸力上面分析，我们的18KPA更加有优势，劣势在于功率上面，我们的只有200W，其他的参数基本不存在太大的差距，我们的价格完全可以在149.99~199.99之间。</t>
  </si>
  <si>
    <t>一、销售收入</t>
  </si>
  <si>
    <t>销收占比</t>
  </si>
  <si>
    <t>采购成本</t>
  </si>
  <si>
    <t>采购单价RMB</t>
  </si>
  <si>
    <t>采购占比 40%</t>
  </si>
  <si>
    <t>头程运费</t>
  </si>
  <si>
    <t>头程占比 6%</t>
  </si>
  <si>
    <t>二程运费</t>
  </si>
  <si>
    <t>二程占比</t>
  </si>
  <si>
    <t>存货损耗</t>
  </si>
  <si>
    <t>损耗占比</t>
  </si>
  <si>
    <t>退回成本</t>
  </si>
  <si>
    <t>退回成本3%</t>
  </si>
  <si>
    <t>产品总成本</t>
  </si>
  <si>
    <t>产品占比 49%</t>
  </si>
  <si>
    <t>二、销售毛利</t>
  </si>
  <si>
    <t>亚马逊佣金</t>
  </si>
  <si>
    <t>亚马逊佣金 15%</t>
  </si>
  <si>
    <t>FBA 配送费 10%</t>
  </si>
  <si>
    <t>退回费用</t>
  </si>
  <si>
    <t>平台占比 25%</t>
  </si>
  <si>
    <t>AMPS费/合仓费等</t>
  </si>
  <si>
    <t>AMPS费/合仓费等1%</t>
  </si>
  <si>
    <t>服务费合计</t>
  </si>
  <si>
    <t>服务费占比 27%</t>
  </si>
  <si>
    <t>移除费用</t>
  </si>
  <si>
    <t>fba仓储费</t>
  </si>
  <si>
    <t>fba仓占比 1%</t>
  </si>
  <si>
    <t>fba超量费</t>
  </si>
  <si>
    <t>海外仓仓储费 0.5%</t>
  </si>
  <si>
    <t>仓储费合计</t>
  </si>
  <si>
    <t>仓储费占比 1.5%</t>
  </si>
  <si>
    <t>广告成本</t>
  </si>
  <si>
    <t>广告占比5%</t>
  </si>
  <si>
    <t>测评占比5%</t>
  </si>
  <si>
    <t>维护</t>
  </si>
  <si>
    <t>维护0.5%</t>
  </si>
  <si>
    <t>推广费</t>
  </si>
  <si>
    <t>推广费0.5%</t>
  </si>
  <si>
    <t>营销费合计</t>
  </si>
  <si>
    <t>营销占比 16%</t>
  </si>
  <si>
    <t>其他合计费用</t>
  </si>
  <si>
    <t>其他费用占比 2.5%</t>
  </si>
  <si>
    <t>各类总费用</t>
  </si>
  <si>
    <t>总费用占比 46%</t>
  </si>
  <si>
    <t>VAT税金</t>
  </si>
  <si>
    <t>VAT税金占比</t>
  </si>
  <si>
    <t>三、营业利润</t>
  </si>
  <si>
    <t>利润率 15%</t>
  </si>
  <si>
    <t>单个利润</t>
  </si>
  <si>
    <t>149的定价可以保障DOTD有4%推广费的前提下做到不亏本，尽可能的冲量；</t>
  </si>
  <si>
    <t>139的定价可以做到LD有足够的毛利率；</t>
  </si>
  <si>
    <t>科目</t>
  </si>
  <si>
    <t>字段</t>
  </si>
  <si>
    <t>KPI</t>
  </si>
  <si>
    <t>合计</t>
  </si>
  <si>
    <t>基础值</t>
  </si>
  <si>
    <t>指标-</t>
  </si>
  <si>
    <t>单价</t>
  </si>
  <si>
    <t>参考销量指标</t>
  </si>
  <si>
    <t>营收额</t>
  </si>
  <si>
    <t>指标</t>
  </si>
  <si>
    <t>比率</t>
  </si>
  <si>
    <t>收入增长率</t>
  </si>
  <si>
    <t>/</t>
  </si>
  <si>
    <t>收益类</t>
  </si>
  <si>
    <t>产品费</t>
  </si>
  <si>
    <t>比率-</t>
  </si>
  <si>
    <t>1产品费</t>
  </si>
  <si>
    <t>服务费</t>
  </si>
  <si>
    <t>仓储费</t>
  </si>
  <si>
    <t>营销费</t>
  </si>
  <si>
    <t>广告占比4%</t>
  </si>
  <si>
    <t>DSP展示费</t>
  </si>
  <si>
    <t>DSP占比5%</t>
  </si>
  <si>
    <t>2税金</t>
  </si>
  <si>
    <t>其他费</t>
  </si>
  <si>
    <t>3各类费</t>
  </si>
  <si>
    <t>4收益类</t>
  </si>
  <si>
    <t>头程单价</t>
  </si>
  <si>
    <t>二程单价</t>
  </si>
  <si>
    <t>FBA运费单价</t>
  </si>
  <si>
    <t>折扣空间</t>
  </si>
  <si>
    <t>流量入口</t>
  </si>
  <si>
    <t>流量来源</t>
  </si>
  <si>
    <t>方案</t>
  </si>
  <si>
    <t>自然搜索流量</t>
  </si>
  <si>
    <t>关键词搜索</t>
  </si>
  <si>
    <t>在标题、五点、QA、A+文案中都要尽量去埋词，词的选择可以查看【3核心关键词】一栏；还有后台的ST入口，将精准的词埋在我们的产品中，让亚马逊的机器识别我们的产品，把词和产品进行关联</t>
  </si>
  <si>
    <t>广告流量</t>
  </si>
  <si>
    <t>SP</t>
  </si>
  <si>
    <t>自动手动广告开启前，一定要否定无效流量；关键词要精准</t>
  </si>
  <si>
    <t>SB</t>
  </si>
  <si>
    <t>最常用的该类型是SBV广告，视频要控制好长度1min内，表达出我们的卖点，结合“宣传片+卖点细节展示”，可以向玄天提交我们的新品视频需求，用于我们的详情页“宣传视频”，和QA里面的回复“操作视频”（视频的需求详情可以后期斟酌）</t>
  </si>
  <si>
    <t>SD</t>
  </si>
  <si>
    <t>类目和商品投放，主要在商品的详情页中显示，有10个位置可以选择</t>
  </si>
  <si>
    <t>站内推广流量</t>
  </si>
  <si>
    <t>付费活动，看后台有无申报资格</t>
  </si>
  <si>
    <t>BD</t>
  </si>
  <si>
    <t>只能通过招商经理渠道去申请</t>
  </si>
  <si>
    <t>很难申请，新品一般不考虑</t>
  </si>
  <si>
    <t>COUPON</t>
  </si>
  <si>
    <t>定价定高一点，目前在新品期的预留折扣空间是35欧；上升期可以重点放在利润上，降低折扣空间为30欧</t>
  </si>
  <si>
    <t>OUTLET</t>
  </si>
  <si>
    <t>针对冗余产品</t>
  </si>
  <si>
    <t>类目节点流量</t>
  </si>
  <si>
    <t>要精准，(参考660和679的类目途径）Household Cleaning Tools &amp; Vacuums&lt;Vacuums&lt;Stick Vacuums &amp; Electric Brooms</t>
  </si>
  <si>
    <t>各类榜单流量</t>
  </si>
  <si>
    <t>best seller</t>
  </si>
  <si>
    <t>工业类目可以节约2个点佣金，不抢其他节点bs；若不能到工业类目，可以尝试进中央吸尘器类目拿bs标。</t>
  </si>
  <si>
    <t>new release</t>
  </si>
  <si>
    <t>德国吸尘器无</t>
  </si>
  <si>
    <t>most wished</t>
  </si>
  <si>
    <t>可以提交心愿单，前期每天计划上30个看效果，有变化则加大需求量到50个</t>
  </si>
  <si>
    <t>gift idea</t>
  </si>
  <si>
    <t>可以提交加购，时刻关注榜单情况，前期也是每天提交30个，一周提交两次，有效果之后可以加大需求量到50个</t>
  </si>
  <si>
    <t>关联流量</t>
  </si>
  <si>
    <t>看了又看</t>
  </si>
  <si>
    <t>买了又买</t>
  </si>
  <si>
    <t>一起购买的关联流量，把新品加到orfeld排名靠前的产品中，增加其曝光</t>
  </si>
  <si>
    <t>品牌关联</t>
  </si>
  <si>
    <t xml:space="preserve"> 针对在orfeld热销款式
1、在A+页面引流
2、把新品加到其页面下的new model板块
3、在热销款式上做促销code，买一可以优惠新品5%~10%</t>
  </si>
  <si>
    <t>广告关联</t>
  </si>
  <si>
    <t xml:space="preserve"> 自己品牌的流量闭环，投放orfeld在售的产品asin</t>
  </si>
  <si>
    <t>相似产品关联</t>
  </si>
  <si>
    <t>打其他吸尘器的asin广告，尽可能形成一定的关联。</t>
  </si>
  <si>
    <t>4星级及以上</t>
  </si>
  <si>
    <t>保持自己的产品在四星以上，同时打其他吸尘器的asin广告，尽可能形成一定的关联。让自己的产品出现在他们的下面。</t>
  </si>
  <si>
    <t>序号</t>
  </si>
  <si>
    <t>类目</t>
  </si>
  <si>
    <t>指标名称</t>
  </si>
  <si>
    <t>工作内容&amp;事项-O</t>
  </si>
  <si>
    <t>结果呈现/输出载体-KR</t>
  </si>
  <si>
    <t>时间节点</t>
  </si>
  <si>
    <t>具体动作-ACTION（Plan A)</t>
  </si>
  <si>
    <t>具体动作-ACTION（Plan B)</t>
  </si>
  <si>
    <t>时间起</t>
  </si>
  <si>
    <t>时间止</t>
  </si>
  <si>
    <t>结果偏差</t>
  </si>
  <si>
    <t>结果-RESULT</t>
  </si>
  <si>
    <t>改善方案</t>
  </si>
  <si>
    <t>W1(8/2~8/8)</t>
  </si>
  <si>
    <t>业务指标</t>
  </si>
  <si>
    <t>3923产品销收&amp;利润</t>
  </si>
  <si>
    <t>M8W1目标销售&amp;利润</t>
  </si>
  <si>
    <t>3923预计产品销量</t>
  </si>
  <si>
    <t xml:space="preserve"> 在测评之前确认产品的详情信息都准备ok，包括listing内容还有产品已经上架；测评的节奏是从开售第一天开始：1-2-3-4-5-6-7-8
开售的前九天是测评出单；提升自然排名</t>
  </si>
  <si>
    <t>3923产品预计成交价</t>
  </si>
  <si>
    <t>做35欧的coupon，预计成交价 是34.99欧</t>
  </si>
  <si>
    <t>3923产品目标折扣占比</t>
  </si>
  <si>
    <t>35/169.99=20%</t>
  </si>
  <si>
    <t>3923产品目标广告占比</t>
  </si>
  <si>
    <t>开售第五天开启广告，广告预算前期可以用少一些，50欧以内，将这部分费用挪到其他的时间段</t>
  </si>
  <si>
    <t>优化指标</t>
  </si>
  <si>
    <t>3923产品转化率</t>
  </si>
  <si>
    <t xml:space="preserve">M8W1目标产品转化率 </t>
  </si>
  <si>
    <t>参数+A+</t>
  </si>
  <si>
    <t>listing 文案+A+更新</t>
  </si>
  <si>
    <t>DEAL</t>
  </si>
  <si>
    <t>绑定C10G获得DEAL提报资格</t>
  </si>
  <si>
    <t>服务商操作报DEAL</t>
  </si>
  <si>
    <t>3923产品CTR</t>
  </si>
  <si>
    <t xml:space="preserve">M8W1目标产品CTR </t>
  </si>
  <si>
    <t>首图</t>
  </si>
  <si>
    <t>图片更新</t>
  </si>
  <si>
    <t>标题</t>
  </si>
  <si>
    <t>标题更新</t>
  </si>
  <si>
    <t>W2(8/9~8/15)</t>
  </si>
  <si>
    <t>M8W2目标销售&amp;利润</t>
  </si>
  <si>
    <t>测评：接着上一周-10-4-4，目的是提升关键词自然排名</t>
  </si>
  <si>
    <t>做new model 挂在CX11下面</t>
  </si>
  <si>
    <t>前期重点做节奏在节奏稳步上升的前提下降低coupon力度至30欧，成交价139.99欧</t>
  </si>
  <si>
    <t>销量不满足：维持30欧coupon</t>
  </si>
  <si>
    <t xml:space="preserve">3923产品目标折扣占比 </t>
  </si>
  <si>
    <t>30欧coupon，折扣占比17.6%</t>
  </si>
  <si>
    <t>第一天9%，后逐渐降低广告花费</t>
  </si>
  <si>
    <t>M8W2目标产品转化率</t>
  </si>
  <si>
    <t>评论</t>
  </si>
  <si>
    <t>找汤姆猫催评，回评</t>
  </si>
  <si>
    <t>vine计划提交</t>
  </si>
  <si>
    <t>流量</t>
  </si>
  <si>
    <t>申请加购+心愿榜各100个</t>
  </si>
  <si>
    <t>闭环（精准流量）</t>
  </si>
  <si>
    <t>将链接加进660、679、V20  VC818 CX11 C10A的A+对比</t>
  </si>
  <si>
    <t>QA</t>
  </si>
  <si>
    <t>QA-10对</t>
  </si>
  <si>
    <t>M8W2目标产品CTR 0.5%</t>
  </si>
  <si>
    <t>评分</t>
  </si>
  <si>
    <t>绑定一条种子</t>
  </si>
  <si>
    <t>绑两条</t>
  </si>
  <si>
    <t>W3(8/16~8/22)</t>
  </si>
  <si>
    <t>M8W3目标销售&amp;利润</t>
  </si>
  <si>
    <t>目标销量是每天15单</t>
  </si>
  <si>
    <t xml:space="preserve">3923产品预计成交价 </t>
  </si>
  <si>
    <t>coupon设置不高于30欧，LD期间不设置coupon，成交价139.99</t>
  </si>
  <si>
    <t>测试30欧力度拆分成coupon+外挂code观察转化变化情况</t>
  </si>
  <si>
    <t>coupon设置力度：30欧，折扣占比17.6%</t>
  </si>
  <si>
    <t>销量满足的情况：coupon设置力度减小到：25欧</t>
  </si>
  <si>
    <t>LD活动期间减少广告花费至10%，平时广告花费控制在15%以内</t>
  </si>
  <si>
    <t>调低转化低于5%的广告组的竞价至不花钱，广告倾斜转化好的</t>
  </si>
  <si>
    <t>M8W3目标产品转化率</t>
  </si>
  <si>
    <t>流量（精准）</t>
  </si>
  <si>
    <t>广告否词（结合其他同类产品的无效流量数据操作）</t>
  </si>
  <si>
    <t>催评，前两页无差评</t>
  </si>
  <si>
    <t>出现异常：提交首页无差评需求+增加好评点赞</t>
  </si>
  <si>
    <t>参数</t>
  </si>
  <si>
    <t>检查保持listing参数无误</t>
  </si>
  <si>
    <t>站外推广</t>
  </si>
  <si>
    <t>预计每天出单是15pcs</t>
  </si>
  <si>
    <t>站外推广的销量没有跟上，则考虑做PD单，推动</t>
  </si>
  <si>
    <t xml:space="preserve">M8W3目标产品CTR </t>
  </si>
  <si>
    <t>开始催评稳住评分</t>
  </si>
  <si>
    <t>加绑种子评论1-2条</t>
  </si>
  <si>
    <t>广告竞价</t>
  </si>
  <si>
    <t xml:space="preserve"> 1、对于曝光和点击都少的词或asin，采取加大5%竞价的方式，给它更多的表现机会
2、对于曝光多，点击少的词，可以保留，定位为增加产品曝光
3、对于曝光多，点击多，但是没有转化的词，降低10%的竞价，继续观察是否要关闭
4、对于转化好的词，要时刻跟进，查看我们的产品在这个词下面的坑位情况
（以上操作都会事先和青龙沟通）</t>
  </si>
  <si>
    <t xml:space="preserve"> 调整之后发现流量异常，或者下降10%，要看是否自己调整的竞价幅度太大，降低竞价的调整幅度，把5%和10%改成3%和5%</t>
  </si>
  <si>
    <t>广告预算</t>
  </si>
  <si>
    <t>对于acos太高或者有点击多但是完全没有订单的广告组进行将预算，把更多的预算分配到转化好的广告组中</t>
  </si>
  <si>
    <t>广告否词</t>
  </si>
  <si>
    <t>每周两次否词，安排在周一和周四，否定无效流量（和我们的产品不相关）</t>
  </si>
  <si>
    <t xml:space="preserve"> 调整之后发现曝光异常减少，那么要去看否定的词是否影响了原来的流量</t>
  </si>
  <si>
    <t>W4(8/23~8/29)</t>
  </si>
  <si>
    <t>M8W4目标销售&amp;利润</t>
  </si>
  <si>
    <t>目标销量是每天15单，BD活动</t>
  </si>
  <si>
    <t>设置10欧coupon,单量在计划基础上每天需多出4单</t>
  </si>
  <si>
    <t>用活动价销收不再额外设置优惠活动</t>
  </si>
  <si>
    <t xml:space="preserve">3923产品目标折扣占比  </t>
  </si>
  <si>
    <t>不设置coupon</t>
  </si>
  <si>
    <t xml:space="preserve">3923产品目标广告占比 </t>
  </si>
  <si>
    <t>广告预算只放计划销收的5.6%</t>
  </si>
  <si>
    <t>M8W4目标产品转化率</t>
  </si>
  <si>
    <t>广告否词两次</t>
  </si>
  <si>
    <t>前两页无差评</t>
  </si>
  <si>
    <t>若出现：首页无差评需求</t>
  </si>
  <si>
    <t>首页无不利内容
上视频</t>
  </si>
  <si>
    <t>若出现不利内容：点赞将其他内容顶上来</t>
  </si>
  <si>
    <t xml:space="preserve">M8W4目标产品CTR </t>
  </si>
  <si>
    <t>催评（测评单）
站内索评</t>
  </si>
  <si>
    <t>日常操作（与第二周一样）</t>
  </si>
  <si>
    <t>W5(8/30~8/31)</t>
  </si>
  <si>
    <t>提前提报本周LD活动（活动时间不一定落在本月）</t>
  </si>
  <si>
    <t>设置25欧coupon或者20欧coupon+外挂5欧code</t>
  </si>
  <si>
    <t>coupon降低至25欧，成交价为144.99欧</t>
  </si>
  <si>
    <t>coupon降低至20欧</t>
  </si>
  <si>
    <t>coupon降低至25欧，折扣占比是14.7%</t>
  </si>
  <si>
    <t>广告预算设置计划销收金额的5.56%</t>
  </si>
  <si>
    <t>前两页无差评
top评论和vine评论点赞点上来</t>
  </si>
  <si>
    <t>若首页出现不利内容：首页无差评需求+好评点赞量增加</t>
  </si>
  <si>
    <t>星级</t>
  </si>
  <si>
    <t xml:space="preserve"> 通过将之前测评的产品抓紧回评来稀释低星级评分</t>
  </si>
  <si>
    <t>M8W4目标产品CTR</t>
  </si>
  <si>
    <t>订单索评</t>
  </si>
  <si>
    <t>加绑种子评论1-2条稳住评分</t>
  </si>
  <si>
    <t>加词</t>
  </si>
  <si>
    <t>下载一周广告报告，看是否有之前没有加入的高度相关词，有就加，没有就先不操作</t>
  </si>
  <si>
    <t>否词</t>
  </si>
  <si>
    <t>下载一周广告报告，看是否有之前没有否定的无效流量或者是低效流量，有就否定，没有就先不操作</t>
  </si>
  <si>
    <t>预算</t>
  </si>
  <si>
    <t>预算不设限，新品一般优先跑数据，而且新品一般很难跑掉高预算</t>
  </si>
  <si>
    <t>竞价</t>
  </si>
  <si>
    <t xml:space="preserve"> 比最高建议竞价高0.01，优先跑数据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</si>
</sst>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0_);[Red]\(0.00\)"/>
    <numFmt numFmtId="179" formatCode="m/d;@"/>
    <numFmt numFmtId="180" formatCode="0.00_);\(0.00\)"/>
    <numFmt numFmtId="181" formatCode="#,##0.00%"/>
    <numFmt numFmtId="182" formatCode="#,##0.00\ &quot;€&quot;;\-#,##0.00\ &quot;€&quot;"/>
  </numFmts>
  <fonts count="44">
    <font>
      <sz val="11"/>
      <color theme="1"/>
      <name val="宋体"/>
      <charset val="134"/>
      <scheme val="minor"/>
    </font>
    <font>
      <b/>
      <sz val="10"/>
      <color theme="1"/>
      <name val="新宋体"/>
      <charset val="134"/>
    </font>
    <font>
      <b/>
      <sz val="11"/>
      <color theme="0"/>
      <name val="宋体"/>
      <charset val="134"/>
      <scheme val="minor"/>
    </font>
    <font>
      <sz val="11"/>
      <name val="新宋体"/>
      <charset val="134"/>
    </font>
    <font>
      <sz val="12"/>
      <name val="宋体"/>
      <charset val="134"/>
    </font>
    <font>
      <sz val="11"/>
      <color theme="1"/>
      <name val="新宋体"/>
      <charset val="134"/>
    </font>
    <font>
      <sz val="11"/>
      <color rgb="FF000000"/>
      <name val="新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rgb="FF417FF9"/>
      <name val="新宋体"/>
      <charset val="134"/>
    </font>
    <font>
      <b/>
      <sz val="11"/>
      <color theme="1"/>
      <name val="新宋体"/>
      <charset val="134"/>
    </font>
    <font>
      <sz val="11"/>
      <color theme="1"/>
      <name val="Calibri"/>
      <charset val="134"/>
    </font>
    <font>
      <sz val="10"/>
      <name val="微软雅黑"/>
      <charset val="134"/>
    </font>
    <font>
      <b/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b/>
      <sz val="10"/>
      <color rgb="FF000000"/>
      <name val="微软雅黑"/>
      <charset val="134"/>
    </font>
    <font>
      <sz val="11"/>
      <color indexed="8"/>
      <name val="宋体"/>
      <charset val="134"/>
      <scheme val="minor"/>
    </font>
    <font>
      <sz val="10.5"/>
      <color rgb="FF0F111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9" tint="0.39948728904080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49339274269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">
        <color rgb="FFE51AF2"/>
      </left>
      <right style="dashDot">
        <color rgb="FFE51AF2"/>
      </right>
      <top style="dashDot">
        <color rgb="FFE51AF2"/>
      </top>
      <bottom style="dashDot">
        <color rgb="FFE51AF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0" borderId="2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1" borderId="32" applyNumberFormat="0" applyAlignment="0" applyProtection="0">
      <alignment vertical="center"/>
    </xf>
    <xf numFmtId="0" fontId="34" fillId="32" borderId="33" applyNumberFormat="0" applyAlignment="0" applyProtection="0">
      <alignment vertical="center"/>
    </xf>
    <xf numFmtId="0" fontId="35" fillId="32" borderId="32" applyNumberFormat="0" applyAlignment="0" applyProtection="0">
      <alignment vertical="center"/>
    </xf>
    <xf numFmtId="0" fontId="36" fillId="33" borderId="34" applyNumberFormat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176" fontId="1" fillId="4" borderId="3" xfId="0" applyNumberFormat="1" applyFont="1" applyFill="1" applyBorder="1" applyAlignment="1">
      <alignment horizontal="left" vertical="center" wrapText="1"/>
    </xf>
    <xf numFmtId="177" fontId="1" fillId="4" borderId="3" xfId="0" applyNumberFormat="1" applyFont="1" applyFill="1" applyBorder="1" applyAlignment="1">
      <alignment horizontal="center" vertical="center" wrapText="1"/>
    </xf>
    <xf numFmtId="177" fontId="1" fillId="4" borderId="3" xfId="0" applyNumberFormat="1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 wrapText="1"/>
    </xf>
    <xf numFmtId="176" fontId="1" fillId="4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center" vertical="center" wrapText="1"/>
    </xf>
    <xf numFmtId="176" fontId="1" fillId="5" borderId="3" xfId="0" applyNumberFormat="1" applyFont="1" applyFill="1" applyBorder="1" applyAlignment="1">
      <alignment horizontal="left" vertical="center" wrapText="1"/>
    </xf>
    <xf numFmtId="177" fontId="1" fillId="5" borderId="3" xfId="0" applyNumberFormat="1" applyFont="1" applyFill="1" applyBorder="1" applyAlignment="1">
      <alignment horizontal="center" vertical="center" wrapText="1"/>
    </xf>
    <xf numFmtId="177" fontId="1" fillId="5" borderId="3" xfId="0" applyNumberFormat="1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center" vertical="center" wrapText="1"/>
    </xf>
    <xf numFmtId="176" fontId="1" fillId="5" borderId="4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176" fontId="1" fillId="7" borderId="2" xfId="0" applyNumberFormat="1" applyFont="1" applyFill="1" applyBorder="1" applyAlignment="1">
      <alignment horizontal="center" vertical="center" wrapText="1"/>
    </xf>
    <xf numFmtId="176" fontId="1" fillId="7" borderId="3" xfId="0" applyNumberFormat="1" applyFont="1" applyFill="1" applyBorder="1" applyAlignment="1">
      <alignment horizontal="left" vertical="center" wrapText="1"/>
    </xf>
    <xf numFmtId="177" fontId="1" fillId="7" borderId="3" xfId="0" applyNumberFormat="1" applyFont="1" applyFill="1" applyBorder="1" applyAlignment="1">
      <alignment horizontal="center" vertical="center" wrapText="1"/>
    </xf>
    <xf numFmtId="177" fontId="1" fillId="7" borderId="3" xfId="0" applyNumberFormat="1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176" fontId="1" fillId="7" borderId="4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4" fillId="0" borderId="11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176" fontId="3" fillId="0" borderId="3" xfId="0" applyNumberFormat="1" applyFont="1" applyFill="1" applyBorder="1" applyAlignment="1">
      <alignment horizontal="right" vertical="center"/>
    </xf>
    <xf numFmtId="0" fontId="6" fillId="0" borderId="11" xfId="0" applyNumberFormat="1" applyFont="1" applyFill="1" applyBorder="1" applyAlignment="1">
      <alignment horizontal="left" vertical="center"/>
    </xf>
    <xf numFmtId="0" fontId="6" fillId="10" borderId="11" xfId="0" applyNumberFormat="1" applyFont="1" applyFill="1" applyBorder="1" applyAlignment="1">
      <alignment horizontal="left" vertical="center"/>
    </xf>
    <xf numFmtId="0" fontId="6" fillId="0" borderId="11" xfId="0" applyNumberFormat="1" applyFont="1" applyFill="1" applyBorder="1" applyAlignment="1">
      <alignment horizontal="right" vertical="center"/>
    </xf>
    <xf numFmtId="178" fontId="6" fillId="11" borderId="11" xfId="0" applyNumberFormat="1" applyFont="1" applyFill="1" applyBorder="1" applyAlignment="1">
      <alignment horizontal="left" vertical="center"/>
    </xf>
    <xf numFmtId="178" fontId="6" fillId="10" borderId="11" xfId="0" applyNumberFormat="1" applyFont="1" applyFill="1" applyBorder="1" applyAlignment="1">
      <alignment horizontal="left" vertical="center"/>
    </xf>
    <xf numFmtId="178" fontId="7" fillId="11" borderId="11" xfId="0" applyNumberFormat="1" applyFont="1" applyFill="1" applyBorder="1" applyAlignment="1">
      <alignment vertical="center"/>
    </xf>
    <xf numFmtId="10" fontId="3" fillId="12" borderId="3" xfId="3" applyNumberFormat="1" applyFont="1" applyFill="1" applyBorder="1" applyAlignment="1">
      <alignment horizontal="center" vertical="center"/>
    </xf>
    <xf numFmtId="0" fontId="3" fillId="0" borderId="3" xfId="3" applyNumberFormat="1" applyFont="1" applyBorder="1" applyAlignment="1">
      <alignment horizontal="right" vertical="center"/>
    </xf>
    <xf numFmtId="10" fontId="3" fillId="0" borderId="3" xfId="3" applyNumberFormat="1" applyFont="1" applyBorder="1" applyAlignment="1">
      <alignment horizontal="right" vertical="center"/>
    </xf>
    <xf numFmtId="0" fontId="6" fillId="0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10" fontId="3" fillId="0" borderId="11" xfId="3" applyNumberFormat="1" applyFont="1" applyBorder="1" applyAlignment="1">
      <alignment horizontal="right" vertical="center"/>
    </xf>
    <xf numFmtId="10" fontId="3" fillId="0" borderId="2" xfId="3" applyNumberFormat="1" applyFont="1" applyBorder="1" applyAlignment="1">
      <alignment horizontal="right" vertical="center"/>
    </xf>
    <xf numFmtId="0" fontId="4" fillId="10" borderId="0" xfId="0" applyFont="1" applyFill="1" applyAlignment="1">
      <alignment vertical="center"/>
    </xf>
    <xf numFmtId="10" fontId="3" fillId="0" borderId="1" xfId="3" applyNumberFormat="1" applyFont="1" applyBorder="1" applyAlignment="1">
      <alignment horizontal="right" vertical="center"/>
    </xf>
    <xf numFmtId="0" fontId="5" fillId="17" borderId="3" xfId="0" applyFont="1" applyFill="1" applyBorder="1" applyAlignment="1">
      <alignment horizontal="left" vertical="center"/>
    </xf>
    <xf numFmtId="180" fontId="3" fillId="0" borderId="3" xfId="3" applyNumberFormat="1" applyFont="1" applyBorder="1" applyAlignment="1">
      <alignment horizontal="right" vertical="center"/>
    </xf>
    <xf numFmtId="0" fontId="5" fillId="0" borderId="11" xfId="0" applyFont="1" applyFill="1" applyBorder="1" applyAlignment="1">
      <alignment horizontal="left" vertical="center"/>
    </xf>
    <xf numFmtId="176" fontId="3" fillId="0" borderId="11" xfId="0" applyNumberFormat="1" applyFont="1" applyFill="1" applyBorder="1" applyAlignment="1">
      <alignment horizontal="right" vertical="center"/>
    </xf>
    <xf numFmtId="0" fontId="5" fillId="13" borderId="2" xfId="0" applyFont="1" applyFill="1" applyBorder="1" applyAlignment="1">
      <alignment horizontal="left" vertical="center"/>
    </xf>
    <xf numFmtId="176" fontId="3" fillId="0" borderId="12" xfId="0" applyNumberFormat="1" applyFont="1" applyFill="1" applyBorder="1" applyAlignment="1">
      <alignment horizontal="right" vertical="center"/>
    </xf>
    <xf numFmtId="0" fontId="6" fillId="0" borderId="13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Alignment="1">
      <alignment horizontal="right" vertical="center"/>
    </xf>
    <xf numFmtId="178" fontId="6" fillId="11" borderId="11" xfId="0" applyNumberFormat="1" applyFont="1" applyFill="1" applyBorder="1" applyAlignment="1">
      <alignment horizontal="right" vertical="center"/>
    </xf>
    <xf numFmtId="178" fontId="8" fillId="11" borderId="11" xfId="0" applyNumberFormat="1" applyFont="1" applyFill="1" applyBorder="1" applyAlignment="1">
      <alignment vertical="center"/>
    </xf>
    <xf numFmtId="0" fontId="3" fillId="0" borderId="12" xfId="0" applyNumberFormat="1" applyFont="1" applyFill="1" applyBorder="1" applyAlignment="1">
      <alignment horizontal="right" vertical="center"/>
    </xf>
    <xf numFmtId="10" fontId="3" fillId="0" borderId="12" xfId="3" applyNumberFormat="1" applyFont="1" applyBorder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0" fontId="9" fillId="0" borderId="3" xfId="3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>
      <alignment horizontal="right" vertical="center"/>
    </xf>
    <xf numFmtId="0" fontId="10" fillId="17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4" fillId="15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left" vertical="top"/>
    </xf>
    <xf numFmtId="0" fontId="12" fillId="0" borderId="14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15" borderId="3" xfId="0" applyNumberFormat="1" applyFont="1" applyFill="1" applyBorder="1" applyAlignment="1">
      <alignment horizontal="left" vertical="center"/>
    </xf>
    <xf numFmtId="0" fontId="3" fillId="0" borderId="3" xfId="3" applyNumberFormat="1" applyFont="1" applyBorder="1" applyAlignment="1">
      <alignment horizontal="center" vertical="center"/>
    </xf>
    <xf numFmtId="0" fontId="13" fillId="18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176" fontId="5" fillId="15" borderId="3" xfId="0" applyNumberFormat="1" applyFont="1" applyFill="1" applyBorder="1" applyAlignment="1">
      <alignment horizontal="left" vertical="center"/>
    </xf>
    <xf numFmtId="176" fontId="3" fillId="0" borderId="3" xfId="3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10" fontId="3" fillId="0" borderId="3" xfId="3" applyNumberFormat="1" applyFont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5" fillId="19" borderId="3" xfId="0" applyFont="1" applyFill="1" applyBorder="1" applyAlignment="1">
      <alignment horizontal="left" vertical="center"/>
    </xf>
    <xf numFmtId="176" fontId="3" fillId="19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5" fillId="20" borderId="3" xfId="0" applyFont="1" applyFill="1" applyBorder="1" applyAlignment="1">
      <alignment horizontal="left" vertical="center"/>
    </xf>
    <xf numFmtId="176" fontId="3" fillId="21" borderId="3" xfId="0" applyNumberFormat="1" applyFont="1" applyFill="1" applyBorder="1" applyAlignment="1">
      <alignment horizontal="center" vertical="center"/>
    </xf>
    <xf numFmtId="10" fontId="3" fillId="20" borderId="3" xfId="3" applyNumberFormat="1" applyFont="1" applyFill="1" applyBorder="1" applyAlignment="1">
      <alignment horizontal="center" vertical="center"/>
    </xf>
    <xf numFmtId="176" fontId="3" fillId="10" borderId="3" xfId="0" applyNumberFormat="1" applyFont="1" applyFill="1" applyBorder="1" applyAlignment="1">
      <alignment horizontal="center" vertical="center"/>
    </xf>
    <xf numFmtId="10" fontId="3" fillId="0" borderId="11" xfId="3" applyNumberFormat="1" applyFont="1" applyBorder="1" applyAlignment="1">
      <alignment horizontal="center" vertical="center"/>
    </xf>
    <xf numFmtId="176" fontId="3" fillId="15" borderId="3" xfId="0" applyNumberFormat="1" applyFont="1" applyFill="1" applyBorder="1" applyAlignment="1">
      <alignment horizontal="center" vertical="center"/>
    </xf>
    <xf numFmtId="10" fontId="3" fillId="15" borderId="3" xfId="3" applyNumberFormat="1" applyFont="1" applyFill="1" applyBorder="1" applyAlignment="1">
      <alignment horizontal="center" vertical="center"/>
    </xf>
    <xf numFmtId="176" fontId="5" fillId="10" borderId="3" xfId="0" applyNumberFormat="1" applyFont="1" applyFill="1" applyBorder="1" applyAlignment="1">
      <alignment horizontal="left" vertical="center"/>
    </xf>
    <xf numFmtId="176" fontId="3" fillId="10" borderId="3" xfId="3" applyNumberFormat="1" applyFont="1" applyFill="1" applyBorder="1" applyAlignment="1">
      <alignment horizontal="center" vertical="center"/>
    </xf>
    <xf numFmtId="10" fontId="3" fillId="10" borderId="3" xfId="3" applyNumberFormat="1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left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left" vertical="center"/>
    </xf>
    <xf numFmtId="178" fontId="3" fillId="22" borderId="3" xfId="0" applyNumberFormat="1" applyFont="1" applyFill="1" applyBorder="1" applyAlignment="1">
      <alignment horizontal="center" vertical="center"/>
    </xf>
    <xf numFmtId="10" fontId="3" fillId="22" borderId="3" xfId="3" applyNumberFormat="1" applyFont="1" applyFill="1" applyBorder="1" applyAlignment="1">
      <alignment horizontal="center" vertical="center"/>
    </xf>
    <xf numFmtId="176" fontId="3" fillId="22" borderId="3" xfId="0" applyNumberFormat="1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left" vertical="center"/>
    </xf>
    <xf numFmtId="176" fontId="3" fillId="23" borderId="3" xfId="0" applyNumberFormat="1" applyFont="1" applyFill="1" applyBorder="1" applyAlignment="1">
      <alignment horizontal="center" vertical="center"/>
    </xf>
    <xf numFmtId="10" fontId="3" fillId="23" borderId="3" xfId="3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10" fontId="3" fillId="0" borderId="2" xfId="3" applyNumberFormat="1" applyFont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5" fillId="15" borderId="0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24" borderId="0" xfId="0" applyFill="1" applyAlignment="1">
      <alignment vertical="center" wrapText="1"/>
    </xf>
    <xf numFmtId="0" fontId="16" fillId="24" borderId="0" xfId="0" applyFont="1" applyFill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vertical="center" wrapText="1"/>
    </xf>
    <xf numFmtId="0" fontId="17" fillId="25" borderId="4" xfId="0" applyFont="1" applyFill="1" applyBorder="1" applyAlignment="1">
      <alignment horizontal="center" vertical="center" wrapText="1"/>
    </xf>
    <xf numFmtId="0" fontId="17" fillId="25" borderId="3" xfId="0" applyFont="1" applyFill="1" applyBorder="1" applyAlignment="1">
      <alignment vertical="center" wrapText="1"/>
    </xf>
    <xf numFmtId="0" fontId="15" fillId="25" borderId="15" xfId="0" applyFont="1" applyFill="1" applyBorder="1" applyAlignment="1">
      <alignment vertical="center" wrapText="1"/>
    </xf>
    <xf numFmtId="0" fontId="0" fillId="25" borderId="11" xfId="0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15" xfId="0" applyFont="1" applyBorder="1" applyAlignment="1">
      <alignment vertical="center" wrapText="1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NumberFormat="1" applyFont="1" applyFill="1" applyBorder="1" applyAlignment="1">
      <alignment horizontal="center" vertical="center"/>
    </xf>
    <xf numFmtId="0" fontId="21" fillId="3" borderId="11" xfId="0" applyNumberFormat="1" applyFont="1" applyFill="1" applyBorder="1" applyAlignment="1">
      <alignment horizontal="center" vertical="center"/>
    </xf>
    <xf numFmtId="0" fontId="22" fillId="0" borderId="0" xfId="0" applyFont="1" applyFill="1" applyAlignment="1"/>
    <xf numFmtId="3" fontId="22" fillId="0" borderId="0" xfId="0" applyNumberFormat="1" applyFont="1" applyFill="1" applyAlignment="1"/>
    <xf numFmtId="181" fontId="22" fillId="0" borderId="0" xfId="0" applyNumberFormat="1" applyFont="1" applyFill="1" applyAlignment="1"/>
    <xf numFmtId="9" fontId="0" fillId="10" borderId="0" xfId="0" applyNumberForma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6" borderId="3" xfId="0" applyFill="1" applyBorder="1">
      <alignment vertical="center"/>
    </xf>
    <xf numFmtId="0" fontId="0" fillId="0" borderId="3" xfId="0" applyFill="1" applyBorder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23" borderId="3" xfId="0" applyFont="1" applyFill="1" applyBorder="1" applyAlignment="1">
      <alignment horizontal="center" vertical="center" wrapText="1"/>
    </xf>
    <xf numFmtId="0" fontId="13" fillId="27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82" fontId="13" fillId="23" borderId="3" xfId="0" applyNumberFormat="1" applyFont="1" applyFill="1" applyBorder="1" applyAlignment="1">
      <alignment horizontal="center" vertical="center" wrapText="1"/>
    </xf>
    <xf numFmtId="182" fontId="13" fillId="27" borderId="3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3" fillId="23" borderId="3" xfId="0" applyFont="1" applyFill="1" applyBorder="1" applyAlignment="1">
      <alignment horizontal="left" vertical="center" wrapText="1"/>
    </xf>
    <xf numFmtId="0" fontId="13" fillId="27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3" fillId="23" borderId="3" xfId="0" applyFont="1" applyFill="1" applyBorder="1" applyAlignment="1">
      <alignment horizontal="center" vertical="top" wrapText="1"/>
    </xf>
    <xf numFmtId="0" fontId="15" fillId="0" borderId="3" xfId="0" applyFont="1" applyFill="1" applyBorder="1" applyAlignment="1">
      <alignment horizontal="left" vertical="center" wrapText="1"/>
    </xf>
    <xf numFmtId="0" fontId="17" fillId="27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182" fontId="11" fillId="0" borderId="15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24" fillId="28" borderId="0" xfId="0" applyFont="1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16" fillId="28" borderId="3" xfId="0" applyFont="1" applyFill="1" applyBorder="1" applyAlignment="1">
      <alignment horizontal="center" vertical="center" wrapText="1"/>
    </xf>
    <xf numFmtId="0" fontId="24" fillId="28" borderId="3" xfId="0" applyFont="1" applyFill="1" applyBorder="1" applyAlignment="1">
      <alignment vertical="center" wrapText="1"/>
    </xf>
    <xf numFmtId="0" fontId="24" fillId="28" borderId="3" xfId="0" applyFont="1" applyFill="1" applyBorder="1" applyAlignment="1">
      <alignment horizontal="left" vertical="center" wrapText="1"/>
    </xf>
    <xf numFmtId="0" fontId="0" fillId="18" borderId="3" xfId="0" applyFont="1" applyFill="1" applyBorder="1" applyAlignment="1">
      <alignment vertical="center" wrapText="1"/>
    </xf>
    <xf numFmtId="0" fontId="0" fillId="18" borderId="3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" fillId="29" borderId="23" xfId="0" applyFont="1" applyFill="1" applyBorder="1" applyAlignment="1">
      <alignment horizontal="center" vertical="center" wrapText="1"/>
    </xf>
    <xf numFmtId="0" fontId="2" fillId="29" borderId="24" xfId="0" applyFont="1" applyFill="1" applyBorder="1" applyAlignment="1">
      <alignment horizontal="center" vertical="center" wrapText="1"/>
    </xf>
    <xf numFmtId="0" fontId="2" fillId="29" borderId="25" xfId="0" applyFont="1" applyFill="1" applyBorder="1" applyAlignment="1">
      <alignment horizontal="center" vertical="center" wrapText="1"/>
    </xf>
    <xf numFmtId="0" fontId="24" fillId="0" borderId="26" xfId="0" applyFont="1" applyFill="1" applyBorder="1" applyAlignment="1">
      <alignment vertical="center" wrapText="1"/>
    </xf>
    <xf numFmtId="0" fontId="16" fillId="0" borderId="27" xfId="0" applyFont="1" applyFill="1" applyBorder="1" applyAlignment="1">
      <alignment vertical="center" wrapText="1"/>
    </xf>
    <xf numFmtId="0" fontId="0" fillId="0" borderId="28" xfId="0" applyFont="1" applyFill="1" applyBorder="1" applyAlignment="1">
      <alignment vertical="center" wrapText="1"/>
    </xf>
    <xf numFmtId="0" fontId="0" fillId="0" borderId="27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0" Type="http://schemas.openxmlformats.org/officeDocument/2006/relationships/image" Target="../media/image20.png"/><Relationship Id="rId2" Type="http://schemas.openxmlformats.org/officeDocument/2006/relationships/image" Target="../media/image3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NULL" TargetMode="External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542290</xdr:colOff>
      <xdr:row>0</xdr:row>
      <xdr:rowOff>87630</xdr:rowOff>
    </xdr:from>
    <xdr:to>
      <xdr:col>6</xdr:col>
      <xdr:colOff>680720</xdr:colOff>
      <xdr:row>5</xdr:row>
      <xdr:rowOff>188595</xdr:rowOff>
    </xdr:to>
    <xdr:pic>
      <xdr:nvPicPr>
        <xdr:cNvPr id="3" name="图片 2" descr="二维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77675" y="87630"/>
          <a:ext cx="1510030" cy="1713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685800</xdr:colOff>
      <xdr:row>0</xdr:row>
      <xdr:rowOff>20320</xdr:rowOff>
    </xdr:from>
    <xdr:to>
      <xdr:col>2</xdr:col>
      <xdr:colOff>1408430</xdr:colOff>
      <xdr:row>0</xdr:row>
      <xdr:rowOff>1212850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0" y="20320"/>
          <a:ext cx="722630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638175</xdr:colOff>
      <xdr:row>0</xdr:row>
      <xdr:rowOff>10795</xdr:rowOff>
    </xdr:from>
    <xdr:to>
      <xdr:col>3</xdr:col>
      <xdr:colOff>1467485</xdr:colOff>
      <xdr:row>0</xdr:row>
      <xdr:rowOff>1203325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8075" y="10795"/>
          <a:ext cx="829310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98425</xdr:colOff>
      <xdr:row>7</xdr:row>
      <xdr:rowOff>18415</xdr:rowOff>
    </xdr:from>
    <xdr:to>
      <xdr:col>3</xdr:col>
      <xdr:colOff>1800225</xdr:colOff>
      <xdr:row>7</xdr:row>
      <xdr:rowOff>1060450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08325" y="3739515"/>
          <a:ext cx="1701800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469265</xdr:colOff>
      <xdr:row>0</xdr:row>
      <xdr:rowOff>5715</xdr:rowOff>
    </xdr:from>
    <xdr:to>
      <xdr:col>4</xdr:col>
      <xdr:colOff>1495425</xdr:colOff>
      <xdr:row>0</xdr:row>
      <xdr:rowOff>1208405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69890" y="5715"/>
          <a:ext cx="1026160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208915</xdr:colOff>
      <xdr:row>7</xdr:row>
      <xdr:rowOff>28575</xdr:rowOff>
    </xdr:from>
    <xdr:to>
      <xdr:col>5</xdr:col>
      <xdr:colOff>0</xdr:colOff>
      <xdr:row>8</xdr:row>
      <xdr:rowOff>6350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09540" y="3749675"/>
          <a:ext cx="1781810" cy="106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590550</xdr:colOff>
      <xdr:row>0</xdr:row>
      <xdr:rowOff>0</xdr:rowOff>
    </xdr:from>
    <xdr:to>
      <xdr:col>5</xdr:col>
      <xdr:colOff>1894205</xdr:colOff>
      <xdr:row>0</xdr:row>
      <xdr:rowOff>1212850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81900" y="0"/>
          <a:ext cx="1303655" cy="121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180975</xdr:colOff>
      <xdr:row>7</xdr:row>
      <xdr:rowOff>19050</xdr:rowOff>
    </xdr:from>
    <xdr:to>
      <xdr:col>5</xdr:col>
      <xdr:colOff>1856105</xdr:colOff>
      <xdr:row>7</xdr:row>
      <xdr:rowOff>1083310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72325" y="3740150"/>
          <a:ext cx="1675130" cy="106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685800</xdr:colOff>
      <xdr:row>0</xdr:row>
      <xdr:rowOff>0</xdr:rowOff>
    </xdr:from>
    <xdr:to>
      <xdr:col>7</xdr:col>
      <xdr:colOff>1563370</xdr:colOff>
      <xdr:row>1</xdr:row>
      <xdr:rowOff>16510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25300" y="0"/>
          <a:ext cx="877570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7</xdr:row>
      <xdr:rowOff>24765</xdr:rowOff>
    </xdr:from>
    <xdr:to>
      <xdr:col>7</xdr:col>
      <xdr:colOff>1839595</xdr:colOff>
      <xdr:row>7</xdr:row>
      <xdr:rowOff>1080770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391900" y="3745865"/>
          <a:ext cx="168719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638810</xdr:colOff>
      <xdr:row>0</xdr:row>
      <xdr:rowOff>21590</xdr:rowOff>
    </xdr:from>
    <xdr:to>
      <xdr:col>8</xdr:col>
      <xdr:colOff>1666875</xdr:colOff>
      <xdr:row>0</xdr:row>
      <xdr:rowOff>1228725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002385" y="21590"/>
          <a:ext cx="1028065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172085</xdr:colOff>
      <xdr:row>7</xdr:row>
      <xdr:rowOff>45720</xdr:rowOff>
    </xdr:from>
    <xdr:to>
      <xdr:col>8</xdr:col>
      <xdr:colOff>1809750</xdr:colOff>
      <xdr:row>7</xdr:row>
      <xdr:rowOff>1068070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535660" y="3766820"/>
          <a:ext cx="1637665" cy="102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311150</xdr:colOff>
      <xdr:row>7</xdr:row>
      <xdr:rowOff>19050</xdr:rowOff>
    </xdr:from>
    <xdr:to>
      <xdr:col>6</xdr:col>
      <xdr:colOff>1762125</xdr:colOff>
      <xdr:row>7</xdr:row>
      <xdr:rowOff>1074420</xdr:rowOff>
    </xdr:to>
    <xdr:pic>
      <xdr:nvPicPr>
        <xdr:cNvPr id="22" name="图片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426575" y="3740150"/>
          <a:ext cx="1450975" cy="105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685800</xdr:colOff>
      <xdr:row>0</xdr:row>
      <xdr:rowOff>15875</xdr:rowOff>
    </xdr:from>
    <xdr:to>
      <xdr:col>6</xdr:col>
      <xdr:colOff>1743710</xdr:colOff>
      <xdr:row>0</xdr:row>
      <xdr:rowOff>1153160</xdr:rowOff>
    </xdr:to>
    <xdr:pic>
      <xdr:nvPicPr>
        <xdr:cNvPr id="23" name="图片 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801225" y="15875"/>
          <a:ext cx="1057910" cy="113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419100</xdr:colOff>
      <xdr:row>0</xdr:row>
      <xdr:rowOff>28575</xdr:rowOff>
    </xdr:from>
    <xdr:to>
      <xdr:col>9</xdr:col>
      <xdr:colOff>1524000</xdr:colOff>
      <xdr:row>0</xdr:row>
      <xdr:rowOff>1187450</xdr:rowOff>
    </xdr:to>
    <xdr:pic>
      <xdr:nvPicPr>
        <xdr:cNvPr id="2" name="图片 1"/>
        <xdr:cNvPicPr>
          <a:picLocks noChangeAspect="1"/>
        </xdr:cNvPicPr>
      </xdr:nvPicPr>
      <xdr:blipFill>
        <a:blip r:embed="rId14" r:link="rId15"/>
        <a:stretch>
          <a:fillRect/>
        </a:stretch>
      </xdr:blipFill>
      <xdr:spPr>
        <a:xfrm>
          <a:off x="15906750" y="28575"/>
          <a:ext cx="110490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142875</xdr:colOff>
      <xdr:row>7</xdr:row>
      <xdr:rowOff>9525</xdr:rowOff>
    </xdr:from>
    <xdr:to>
      <xdr:col>9</xdr:col>
      <xdr:colOff>1744345</xdr:colOff>
      <xdr:row>7</xdr:row>
      <xdr:rowOff>1090930</xdr:rowOff>
    </xdr:to>
    <xdr:pic>
      <xdr:nvPicPr>
        <xdr:cNvPr id="6" name="图片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630525" y="3730625"/>
          <a:ext cx="1601470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428625</xdr:colOff>
      <xdr:row>0</xdr:row>
      <xdr:rowOff>28575</xdr:rowOff>
    </xdr:from>
    <xdr:to>
      <xdr:col>10</xdr:col>
      <xdr:colOff>1522730</xdr:colOff>
      <xdr:row>0</xdr:row>
      <xdr:rowOff>1212850</xdr:rowOff>
    </xdr:to>
    <xdr:pic>
      <xdr:nvPicPr>
        <xdr:cNvPr id="11" name="图片 1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926050" y="28575"/>
          <a:ext cx="1094105" cy="118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180340</xdr:colOff>
      <xdr:row>7</xdr:row>
      <xdr:rowOff>29845</xdr:rowOff>
    </xdr:from>
    <xdr:to>
      <xdr:col>10</xdr:col>
      <xdr:colOff>1811655</xdr:colOff>
      <xdr:row>7</xdr:row>
      <xdr:rowOff>1031240</xdr:rowOff>
    </xdr:to>
    <xdr:pic>
      <xdr:nvPicPr>
        <xdr:cNvPr id="12" name="图片 1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677765" y="3750945"/>
          <a:ext cx="1631315" cy="100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504825</xdr:colOff>
      <xdr:row>0</xdr:row>
      <xdr:rowOff>19050</xdr:rowOff>
    </xdr:from>
    <xdr:to>
      <xdr:col>11</xdr:col>
      <xdr:colOff>1496060</xdr:colOff>
      <xdr:row>0</xdr:row>
      <xdr:rowOff>1231265</xdr:rowOff>
    </xdr:to>
    <xdr:pic>
      <xdr:nvPicPr>
        <xdr:cNvPr id="14" name="图片 1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012025" y="19050"/>
          <a:ext cx="991235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217805</xdr:colOff>
      <xdr:row>7</xdr:row>
      <xdr:rowOff>15240</xdr:rowOff>
    </xdr:from>
    <xdr:to>
      <xdr:col>11</xdr:col>
      <xdr:colOff>1812290</xdr:colOff>
      <xdr:row>7</xdr:row>
      <xdr:rowOff>1019175</xdr:rowOff>
    </xdr:to>
    <xdr:pic>
      <xdr:nvPicPr>
        <xdr:cNvPr id="15" name="图片 1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725005" y="3736340"/>
          <a:ext cx="1594485" cy="100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3567;&#24605;-LHC\&#12304;1&#12305;&#27599;&#26085;&#24517;&#30475;&#65292;&#20170;&#22825;&#20320;&#23436;&#25104;&#20102;&#21527;\&#36816;&#33829;2&#37096;7&#26376;OKR-&#23450;&#31295;-202100701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日均销量计算表"/>
      <sheetName val="7月OKR汇总"/>
      <sheetName val="V20-计划"/>
      <sheetName val="CX11-计划"/>
      <sheetName val="VC818-计划"/>
      <sheetName val="C10A-计划 "/>
      <sheetName val="H01-计划"/>
      <sheetName val="1513-计划"/>
      <sheetName val="1515-计划"/>
      <sheetName val="EV679-计划"/>
      <sheetName val="EV678-计划"/>
      <sheetName val="EV660R-de "/>
      <sheetName val="EV660R-de  (2)"/>
      <sheetName val="EV660-de"/>
      <sheetName val="DX025-计划"/>
      <sheetName val="G4-计划"/>
      <sheetName val="619螺母枪-计划"/>
      <sheetName val="904拉铆枪-计划"/>
      <sheetName val="910壁虎枪-计划"/>
      <sheetName val="810拉铆枪-计划"/>
      <sheetName val="DR32-计划"/>
      <sheetName val="A2筋膜枪-计划"/>
      <sheetName val="Sheet24"/>
    </sheetNames>
    <sheetDataSet>
      <sheetData sheetId="0"/>
      <sheetData sheetId="1">
        <row r="20">
          <cell r="B20">
            <v>1.96428571428571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H15" sqref="H15"/>
    </sheetView>
  </sheetViews>
  <sheetFormatPr defaultColWidth="9" defaultRowHeight="13.5" outlineLevelCol="2"/>
  <cols>
    <col min="1" max="1" width="40.7583333333333" style="217" customWidth="1"/>
    <col min="2" max="2" width="53" style="38" customWidth="1"/>
    <col min="3" max="3" width="46" style="38" customWidth="1"/>
    <col min="4" max="16384" width="9" style="38"/>
  </cols>
  <sheetData>
    <row r="1" ht="19" customHeight="1" spans="1:3">
      <c r="A1" s="209" t="s">
        <v>0</v>
      </c>
      <c r="B1" s="210"/>
      <c r="C1" s="210"/>
    </row>
    <row r="2" s="216" customFormat="1" ht="20" customHeight="1" spans="1:3">
      <c r="A2" s="218" t="s">
        <v>1</v>
      </c>
      <c r="B2" s="219" t="s">
        <v>2</v>
      </c>
      <c r="C2" s="220" t="s">
        <v>3</v>
      </c>
    </row>
    <row r="3" ht="15" customHeight="1" spans="1:3">
      <c r="A3" s="221" t="s">
        <v>4</v>
      </c>
      <c r="B3" s="222" t="s">
        <v>5</v>
      </c>
      <c r="C3" s="223"/>
    </row>
    <row r="4" ht="46" customHeight="1" spans="1:3">
      <c r="A4" s="221" t="s">
        <v>6</v>
      </c>
      <c r="B4" s="224" t="s">
        <v>7</v>
      </c>
      <c r="C4" s="223"/>
    </row>
    <row r="5" ht="27" spans="1:3">
      <c r="A5" s="221" t="s">
        <v>8</v>
      </c>
      <c r="B5" s="224" t="s">
        <v>9</v>
      </c>
      <c r="C5" s="223"/>
    </row>
    <row r="6" ht="23" customHeight="1" spans="1:3">
      <c r="A6" s="221" t="s">
        <v>10</v>
      </c>
      <c r="B6" s="222" t="s">
        <v>11</v>
      </c>
      <c r="C6" s="223"/>
    </row>
    <row r="7" ht="18" customHeight="1" spans="1:3">
      <c r="A7" s="221" t="s">
        <v>12</v>
      </c>
      <c r="B7" s="222" t="s">
        <v>13</v>
      </c>
      <c r="C7" s="223"/>
    </row>
    <row r="8" ht="94" customHeight="1" spans="1:3">
      <c r="A8" s="221" t="s">
        <v>14</v>
      </c>
      <c r="B8" s="224" t="s">
        <v>15</v>
      </c>
      <c r="C8" s="223" t="s">
        <v>16</v>
      </c>
    </row>
    <row r="9" ht="27" spans="1:3">
      <c r="A9" s="221" t="s">
        <v>17</v>
      </c>
      <c r="B9" s="222" t="s">
        <v>18</v>
      </c>
      <c r="C9" s="223" t="s">
        <v>19</v>
      </c>
    </row>
    <row r="10" ht="27" spans="1:3">
      <c r="A10" s="221" t="s">
        <v>20</v>
      </c>
      <c r="B10" s="222" t="s">
        <v>21</v>
      </c>
      <c r="C10" s="223" t="s">
        <v>22</v>
      </c>
    </row>
    <row r="11" ht="24" customHeight="1" spans="1:3">
      <c r="A11" s="221" t="s">
        <v>23</v>
      </c>
      <c r="B11" s="222" t="s">
        <v>18</v>
      </c>
      <c r="C11" s="223" t="s">
        <v>24</v>
      </c>
    </row>
    <row r="12" ht="20" customHeight="1" spans="1:3">
      <c r="A12" s="221" t="s">
        <v>25</v>
      </c>
      <c r="B12" s="222" t="s">
        <v>26</v>
      </c>
      <c r="C12" s="223" t="s">
        <v>27</v>
      </c>
    </row>
    <row r="13" ht="20" customHeight="1" spans="1:3">
      <c r="A13" s="221" t="s">
        <v>28</v>
      </c>
      <c r="B13" s="222" t="s">
        <v>26</v>
      </c>
      <c r="C13" s="223"/>
    </row>
    <row r="14" ht="27" spans="1:3">
      <c r="A14" s="221" t="s">
        <v>29</v>
      </c>
      <c r="B14" s="222" t="s">
        <v>30</v>
      </c>
      <c r="C14" s="223" t="s">
        <v>31</v>
      </c>
    </row>
    <row r="15" ht="148.5" spans="1:3">
      <c r="A15" s="221" t="s">
        <v>32</v>
      </c>
      <c r="B15" s="223" t="s">
        <v>33</v>
      </c>
      <c r="C15" s="223" t="s">
        <v>34</v>
      </c>
    </row>
    <row r="16" ht="150" customHeight="1" spans="1:3">
      <c r="A16" s="221" t="s">
        <v>35</v>
      </c>
      <c r="B16" s="224" t="s">
        <v>36</v>
      </c>
      <c r="C16" s="223" t="s">
        <v>37</v>
      </c>
    </row>
    <row r="17" ht="94.5" spans="1:3">
      <c r="A17" s="221" t="s">
        <v>38</v>
      </c>
      <c r="B17" s="224" t="s">
        <v>39</v>
      </c>
      <c r="C17" s="223"/>
    </row>
  </sheetData>
  <sheetProtection formatCells="0" insertHyperlinks="0" autoFilter="0"/>
  <mergeCells count="1">
    <mergeCell ref="A1:C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21" sqref="E20:E21"/>
    </sheetView>
  </sheetViews>
  <sheetFormatPr defaultColWidth="9" defaultRowHeight="13.5" outlineLevelCol="2"/>
  <cols>
    <col min="1" max="1" width="37.375" style="95" customWidth="1"/>
    <col min="2" max="2" width="60.625" customWidth="1"/>
    <col min="3" max="3" width="50.125" customWidth="1"/>
  </cols>
  <sheetData>
    <row r="1" ht="20" customHeight="1" spans="1:3">
      <c r="A1" s="209" t="s">
        <v>40</v>
      </c>
      <c r="B1" s="210"/>
      <c r="C1" s="210"/>
    </row>
    <row r="2" ht="121.5" spans="1:3">
      <c r="A2" s="211" t="s">
        <v>41</v>
      </c>
      <c r="B2" s="212" t="s">
        <v>42</v>
      </c>
      <c r="C2" s="212" t="s">
        <v>43</v>
      </c>
    </row>
    <row r="3" ht="135" spans="1:3">
      <c r="A3" s="213" t="s">
        <v>44</v>
      </c>
      <c r="B3" s="214" t="s">
        <v>45</v>
      </c>
      <c r="C3" s="215" t="s">
        <v>46</v>
      </c>
    </row>
    <row r="4" ht="121.5" spans="1:3">
      <c r="A4" s="213" t="s">
        <v>47</v>
      </c>
      <c r="B4" s="215" t="s">
        <v>48</v>
      </c>
      <c r="C4" s="215" t="s">
        <v>49</v>
      </c>
    </row>
    <row r="6" spans="1:3">
      <c r="A6" s="37"/>
      <c r="B6" s="38"/>
      <c r="C6" s="38"/>
    </row>
    <row r="7" spans="1:3">
      <c r="A7" s="37"/>
      <c r="B7" s="38"/>
      <c r="C7" s="38"/>
    </row>
    <row r="8" spans="1:3">
      <c r="A8" s="37"/>
      <c r="B8" s="38"/>
      <c r="C8" s="38"/>
    </row>
    <row r="9" spans="1:3">
      <c r="A9" s="37"/>
      <c r="B9" s="38"/>
      <c r="C9" s="38"/>
    </row>
    <row r="10" spans="1:3">
      <c r="A10" s="37"/>
      <c r="B10" s="38"/>
      <c r="C10" s="38"/>
    </row>
    <row r="11" spans="1:3">
      <c r="A11" s="37"/>
      <c r="B11" s="38"/>
      <c r="C11" s="38"/>
    </row>
  </sheetData>
  <sheetProtection formatCells="0" insertHyperlinks="0" autoFilter="0"/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70" zoomScaleNormal="70" workbookViewId="0">
      <pane xSplit="2" topLeftCell="F1" activePane="topRight" state="frozen"/>
      <selection/>
      <selection pane="topRight" activeCell="I17" sqref="I17"/>
    </sheetView>
  </sheetViews>
  <sheetFormatPr defaultColWidth="9" defaultRowHeight="15"/>
  <cols>
    <col min="1" max="1" width="9" style="180"/>
    <col min="2" max="2" width="9.5" style="180" customWidth="1"/>
    <col min="3" max="3" width="21" style="180" customWidth="1"/>
    <col min="4" max="5" width="26.125" style="180" customWidth="1"/>
    <col min="6" max="9" width="27.875" style="180" customWidth="1"/>
    <col min="10" max="12" width="26.375" style="180" customWidth="1"/>
    <col min="13" max="16384" width="9" style="180"/>
  </cols>
  <sheetData>
    <row r="1" ht="98" customHeight="1" spans="1:12">
      <c r="A1" s="181" t="s">
        <v>50</v>
      </c>
      <c r="B1" s="182" t="s">
        <v>51</v>
      </c>
      <c r="C1" s="110"/>
      <c r="D1" s="111"/>
      <c r="E1" s="110"/>
      <c r="F1" s="111"/>
      <c r="G1" s="111"/>
      <c r="H1" s="111"/>
      <c r="I1" s="113"/>
      <c r="J1" s="199"/>
      <c r="K1"/>
      <c r="L1"/>
    </row>
    <row r="2" spans="1:12">
      <c r="A2" s="181"/>
      <c r="B2" s="182" t="s">
        <v>52</v>
      </c>
      <c r="C2" s="110" t="s">
        <v>53</v>
      </c>
      <c r="D2" s="111" t="s">
        <v>54</v>
      </c>
      <c r="E2" s="110" t="s">
        <v>55</v>
      </c>
      <c r="F2" s="111" t="s">
        <v>56</v>
      </c>
      <c r="G2" s="111" t="s">
        <v>56</v>
      </c>
      <c r="H2" s="111" t="s">
        <v>57</v>
      </c>
      <c r="I2" s="180" t="s">
        <v>58</v>
      </c>
      <c r="J2" s="111" t="s">
        <v>59</v>
      </c>
      <c r="K2" s="180" t="s">
        <v>60</v>
      </c>
      <c r="L2" s="111" t="s">
        <v>61</v>
      </c>
    </row>
    <row r="3" spans="1:12">
      <c r="A3" s="181"/>
      <c r="B3" s="182" t="s">
        <v>62</v>
      </c>
      <c r="C3" s="110" t="s">
        <v>63</v>
      </c>
      <c r="D3" s="111" t="s">
        <v>64</v>
      </c>
      <c r="E3" s="110" t="s">
        <v>65</v>
      </c>
      <c r="F3" s="111" t="s">
        <v>66</v>
      </c>
      <c r="G3" s="111" t="s">
        <v>67</v>
      </c>
      <c r="H3" s="183" t="s">
        <v>68</v>
      </c>
      <c r="I3" s="113" t="s">
        <v>69</v>
      </c>
      <c r="J3" s="111" t="s">
        <v>70</v>
      </c>
      <c r="K3" s="111" t="s">
        <v>71</v>
      </c>
      <c r="L3" s="111" t="s">
        <v>72</v>
      </c>
    </row>
    <row r="4" spans="1:12">
      <c r="A4" s="181"/>
      <c r="B4" s="182" t="s">
        <v>73</v>
      </c>
      <c r="C4" s="110"/>
      <c r="D4" s="111" t="s">
        <v>74</v>
      </c>
      <c r="E4" s="110" t="s">
        <v>75</v>
      </c>
      <c r="F4" s="111" t="s">
        <v>76</v>
      </c>
      <c r="G4" s="111" t="s">
        <v>77</v>
      </c>
      <c r="H4" s="111" t="s">
        <v>78</v>
      </c>
      <c r="I4" s="113" t="s">
        <v>79</v>
      </c>
      <c r="J4" s="111" t="s">
        <v>80</v>
      </c>
      <c r="K4" s="111" t="s">
        <v>81</v>
      </c>
      <c r="L4" s="111" t="s">
        <v>82</v>
      </c>
    </row>
    <row r="5" spans="1:12">
      <c r="A5" s="184"/>
      <c r="B5" s="185" t="s">
        <v>83</v>
      </c>
      <c r="C5" s="186"/>
      <c r="D5" s="111">
        <v>199</v>
      </c>
      <c r="E5" s="186">
        <v>105.19</v>
      </c>
      <c r="F5" s="187">
        <v>135.98</v>
      </c>
      <c r="G5" s="187">
        <v>135.98</v>
      </c>
      <c r="H5" s="187">
        <v>259</v>
      </c>
      <c r="I5" s="200">
        <v>308.98</v>
      </c>
      <c r="J5" s="111">
        <v>89.99</v>
      </c>
      <c r="K5" s="111">
        <v>149.99</v>
      </c>
      <c r="L5" s="111">
        <v>99.99</v>
      </c>
    </row>
    <row r="6" spans="1:12">
      <c r="A6" s="181"/>
      <c r="B6" s="182" t="s">
        <v>84</v>
      </c>
      <c r="C6" s="110"/>
      <c r="D6" s="188" t="s">
        <v>85</v>
      </c>
      <c r="E6" s="189"/>
      <c r="F6" s="188" t="s">
        <v>86</v>
      </c>
      <c r="G6" s="188" t="s">
        <v>86</v>
      </c>
      <c r="H6" s="111"/>
      <c r="I6" s="116" t="s">
        <v>87</v>
      </c>
      <c r="J6" s="188" t="s">
        <v>88</v>
      </c>
      <c r="K6" s="188" t="s">
        <v>89</v>
      </c>
      <c r="L6" s="111"/>
    </row>
    <row r="7" ht="120" spans="1:12">
      <c r="A7" s="181"/>
      <c r="B7" s="182" t="s">
        <v>90</v>
      </c>
      <c r="C7" s="110"/>
      <c r="D7" s="111" t="s">
        <v>91</v>
      </c>
      <c r="E7" s="110" t="s">
        <v>92</v>
      </c>
      <c r="F7" s="111" t="s">
        <v>93</v>
      </c>
      <c r="G7" s="111" t="s">
        <v>94</v>
      </c>
      <c r="H7" s="111" t="s">
        <v>95</v>
      </c>
      <c r="I7" s="113" t="s">
        <v>96</v>
      </c>
      <c r="J7" s="111" t="s">
        <v>97</v>
      </c>
      <c r="K7" s="111" t="s">
        <v>98</v>
      </c>
      <c r="L7" s="111" t="s">
        <v>99</v>
      </c>
    </row>
    <row r="8" ht="86" customHeight="1" spans="1:12">
      <c r="A8" s="181"/>
      <c r="B8" s="182" t="s">
        <v>100</v>
      </c>
      <c r="C8" s="110"/>
      <c r="D8" s="111"/>
      <c r="E8" s="110"/>
      <c r="F8" s="111"/>
      <c r="G8" s="111"/>
      <c r="H8" s="111"/>
      <c r="I8" s="113"/>
      <c r="J8" s="111"/>
      <c r="K8" s="111"/>
      <c r="L8" s="111"/>
    </row>
    <row r="9" ht="117" spans="1:12">
      <c r="A9" s="181"/>
      <c r="B9" s="182" t="s">
        <v>101</v>
      </c>
      <c r="C9" s="110"/>
      <c r="D9" s="111" t="s">
        <v>102</v>
      </c>
      <c r="E9" s="110" t="s">
        <v>103</v>
      </c>
      <c r="F9" s="111" t="s">
        <v>104</v>
      </c>
      <c r="G9" s="111" t="s">
        <v>105</v>
      </c>
      <c r="H9" s="111" t="s">
        <v>106</v>
      </c>
      <c r="I9" s="113" t="s">
        <v>107</v>
      </c>
      <c r="J9" s="111" t="s">
        <v>108</v>
      </c>
      <c r="K9" s="111" t="s">
        <v>109</v>
      </c>
      <c r="L9" s="111" t="s">
        <v>110</v>
      </c>
    </row>
    <row r="10" spans="1:12">
      <c r="A10" s="181" t="s">
        <v>111</v>
      </c>
      <c r="B10" s="182" t="s">
        <v>112</v>
      </c>
      <c r="C10" s="110" t="s">
        <v>113</v>
      </c>
      <c r="D10" s="111" t="s">
        <v>114</v>
      </c>
      <c r="E10" s="110" t="s">
        <v>115</v>
      </c>
      <c r="F10" s="111" t="s">
        <v>113</v>
      </c>
      <c r="G10" s="111" t="s">
        <v>116</v>
      </c>
      <c r="H10" s="111" t="s">
        <v>117</v>
      </c>
      <c r="I10" s="113" t="s">
        <v>118</v>
      </c>
      <c r="J10" s="111" t="s">
        <v>119</v>
      </c>
      <c r="K10" s="111" t="s">
        <v>120</v>
      </c>
      <c r="L10" s="111" t="s">
        <v>117</v>
      </c>
    </row>
    <row r="11" spans="1:12">
      <c r="A11" s="181"/>
      <c r="B11" s="182" t="s">
        <v>121</v>
      </c>
      <c r="C11" s="110" t="s">
        <v>122</v>
      </c>
      <c r="D11" s="111" t="s">
        <v>123</v>
      </c>
      <c r="E11" s="110"/>
      <c r="F11" s="120" t="s">
        <v>124</v>
      </c>
      <c r="G11" s="120" t="s">
        <v>125</v>
      </c>
      <c r="H11" s="120"/>
      <c r="I11" s="113"/>
      <c r="J11" s="120" t="s">
        <v>126</v>
      </c>
      <c r="K11" s="111" t="s">
        <v>123</v>
      </c>
      <c r="L11" s="111" t="s">
        <v>127</v>
      </c>
    </row>
    <row r="12" spans="1:12">
      <c r="A12" s="181"/>
      <c r="B12" s="182" t="s">
        <v>128</v>
      </c>
      <c r="C12" s="110">
        <v>82</v>
      </c>
      <c r="D12" s="111" t="s">
        <v>129</v>
      </c>
      <c r="E12" s="190">
        <v>77</v>
      </c>
      <c r="F12" s="148" t="s">
        <v>130</v>
      </c>
      <c r="G12" s="148" t="s">
        <v>131</v>
      </c>
      <c r="H12" s="148" t="s">
        <v>132</v>
      </c>
      <c r="I12" s="201" t="s">
        <v>132</v>
      </c>
      <c r="J12" s="148"/>
      <c r="K12" s="202" t="s">
        <v>133</v>
      </c>
      <c r="L12" s="120" t="s">
        <v>134</v>
      </c>
    </row>
    <row r="13" spans="1:12">
      <c r="A13" s="181"/>
      <c r="B13" s="182" t="s">
        <v>135</v>
      </c>
      <c r="C13" s="110" t="s">
        <v>136</v>
      </c>
      <c r="D13" s="188" t="s">
        <v>137</v>
      </c>
      <c r="E13" s="190" t="s">
        <v>138</v>
      </c>
      <c r="F13" s="148" t="s">
        <v>139</v>
      </c>
      <c r="G13" s="148" t="s">
        <v>139</v>
      </c>
      <c r="H13" s="148" t="s">
        <v>139</v>
      </c>
      <c r="I13" s="203" t="s">
        <v>140</v>
      </c>
      <c r="J13" s="148" t="s">
        <v>139</v>
      </c>
      <c r="K13" s="204" t="s">
        <v>140</v>
      </c>
      <c r="L13" s="148" t="s">
        <v>140</v>
      </c>
    </row>
    <row r="14" spans="1:12">
      <c r="A14" s="181"/>
      <c r="B14" s="182" t="s">
        <v>141</v>
      </c>
      <c r="C14" s="110" t="s">
        <v>142</v>
      </c>
      <c r="D14" s="111" t="s">
        <v>143</v>
      </c>
      <c r="E14" s="190" t="s">
        <v>144</v>
      </c>
      <c r="F14" s="148" t="s">
        <v>145</v>
      </c>
      <c r="G14" s="148" t="s">
        <v>146</v>
      </c>
      <c r="H14" s="148" t="s">
        <v>147</v>
      </c>
      <c r="I14" s="205" t="s">
        <v>148</v>
      </c>
      <c r="J14" s="148" t="s">
        <v>149</v>
      </c>
      <c r="K14" s="206" t="s">
        <v>143</v>
      </c>
      <c r="L14" s="149" t="s">
        <v>150</v>
      </c>
    </row>
    <row r="15" spans="1:12">
      <c r="A15" s="181"/>
      <c r="B15" s="182" t="s">
        <v>151</v>
      </c>
      <c r="C15" s="110" t="s">
        <v>152</v>
      </c>
      <c r="D15" s="111" t="s">
        <v>153</v>
      </c>
      <c r="E15" s="110" t="s">
        <v>154</v>
      </c>
      <c r="F15" s="191" t="s">
        <v>155</v>
      </c>
      <c r="G15" s="148" t="s">
        <v>156</v>
      </c>
      <c r="H15" s="148" t="s">
        <v>156</v>
      </c>
      <c r="I15" s="207" t="s">
        <v>157</v>
      </c>
      <c r="J15" s="149" t="s">
        <v>158</v>
      </c>
      <c r="K15" s="111" t="s">
        <v>159</v>
      </c>
      <c r="L15" s="111" t="s">
        <v>160</v>
      </c>
    </row>
    <row r="16" spans="1:12">
      <c r="A16" s="181"/>
      <c r="B16" s="182" t="s">
        <v>161</v>
      </c>
      <c r="C16" s="110" t="s">
        <v>162</v>
      </c>
      <c r="D16" s="111" t="s">
        <v>163</v>
      </c>
      <c r="E16" s="110" t="s">
        <v>164</v>
      </c>
      <c r="F16" s="111" t="s">
        <v>165</v>
      </c>
      <c r="G16" s="149" t="s">
        <v>166</v>
      </c>
      <c r="H16" s="149" t="s">
        <v>167</v>
      </c>
      <c r="I16" s="113" t="s">
        <v>168</v>
      </c>
      <c r="J16" s="111" t="s">
        <v>169</v>
      </c>
      <c r="K16" s="111" t="s">
        <v>170</v>
      </c>
      <c r="L16" s="111" t="s">
        <v>171</v>
      </c>
    </row>
    <row r="17" ht="135" spans="1:12">
      <c r="A17" s="181"/>
      <c r="B17" s="182" t="s">
        <v>172</v>
      </c>
      <c r="C17" s="110" t="s">
        <v>173</v>
      </c>
      <c r="D17" s="111" t="s">
        <v>174</v>
      </c>
      <c r="E17" s="189" t="s">
        <v>175</v>
      </c>
      <c r="F17" s="188" t="s">
        <v>176</v>
      </c>
      <c r="G17" s="188" t="s">
        <v>176</v>
      </c>
      <c r="H17" s="111" t="s">
        <v>177</v>
      </c>
      <c r="I17" s="116" t="s">
        <v>178</v>
      </c>
      <c r="J17" s="111" t="s">
        <v>179</v>
      </c>
      <c r="K17" s="111" t="s">
        <v>180</v>
      </c>
      <c r="L17" s="111" t="s">
        <v>181</v>
      </c>
    </row>
    <row r="18" s="179" customFormat="1" ht="208.5" spans="1:12">
      <c r="A18" s="192"/>
      <c r="B18" s="193" t="s">
        <v>182</v>
      </c>
      <c r="C18" s="194" t="s">
        <v>183</v>
      </c>
      <c r="D18" s="195" t="s">
        <v>184</v>
      </c>
      <c r="E18" s="194" t="s">
        <v>185</v>
      </c>
      <c r="F18" s="195" t="s">
        <v>186</v>
      </c>
      <c r="G18" s="195" t="s">
        <v>187</v>
      </c>
      <c r="H18" s="195" t="s">
        <v>188</v>
      </c>
      <c r="I18" s="208" t="s">
        <v>189</v>
      </c>
      <c r="J18" s="195" t="s">
        <v>190</v>
      </c>
      <c r="K18" s="195" t="s">
        <v>191</v>
      </c>
      <c r="L18" s="195" t="s">
        <v>192</v>
      </c>
    </row>
    <row r="19" ht="123" spans="1:12">
      <c r="A19" s="196"/>
      <c r="B19" s="182" t="s">
        <v>193</v>
      </c>
      <c r="C19" s="189" t="s">
        <v>194</v>
      </c>
      <c r="D19" s="188" t="s">
        <v>195</v>
      </c>
      <c r="E19" s="197" t="s">
        <v>196</v>
      </c>
      <c r="F19" s="188" t="s">
        <v>197</v>
      </c>
      <c r="G19" s="188" t="s">
        <v>198</v>
      </c>
      <c r="H19" s="188" t="s">
        <v>199</v>
      </c>
      <c r="I19" s="116" t="s">
        <v>200</v>
      </c>
      <c r="J19" s="111" t="s">
        <v>201</v>
      </c>
      <c r="K19" s="111" t="s">
        <v>202</v>
      </c>
      <c r="L19" s="111" t="s">
        <v>203</v>
      </c>
    </row>
    <row r="20" spans="1:12">
      <c r="A20" s="196"/>
      <c r="B20" s="198" t="s">
        <v>204</v>
      </c>
      <c r="C20" s="110"/>
      <c r="D20" s="111" t="s">
        <v>205</v>
      </c>
      <c r="E20" s="197" t="s">
        <v>206</v>
      </c>
      <c r="F20" s="188" t="s">
        <v>207</v>
      </c>
      <c r="G20" s="188" t="s">
        <v>208</v>
      </c>
      <c r="H20" s="111" t="s">
        <v>209</v>
      </c>
      <c r="I20" s="116" t="s">
        <v>210</v>
      </c>
      <c r="J20" s="188" t="s">
        <v>211</v>
      </c>
      <c r="K20" s="188" t="s">
        <v>212</v>
      </c>
      <c r="L20" s="188" t="s">
        <v>213</v>
      </c>
    </row>
  </sheetData>
  <sheetProtection formatCells="0" insertHyperlinks="0" autoFilter="0"/>
  <mergeCells count="2">
    <mergeCell ref="A1:A9"/>
    <mergeCell ref="A10:A1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topLeftCell="C1" workbookViewId="0">
      <selection activeCell="O33" sqref="O33"/>
    </sheetView>
  </sheetViews>
  <sheetFormatPr defaultColWidth="9" defaultRowHeight="13.5"/>
  <cols>
    <col min="1" max="1" width="9.875" customWidth="1"/>
    <col min="2" max="2" width="22.125" customWidth="1"/>
    <col min="3" max="4" width="8.375" customWidth="1"/>
    <col min="5" max="5" width="11" customWidth="1"/>
    <col min="7" max="7" width="7.75833333333333" customWidth="1"/>
    <col min="9" max="10" width="17.2583333333333" customWidth="1"/>
    <col min="11" max="11" width="11.7583333333333" customWidth="1"/>
    <col min="12" max="12" width="10.7583333333333" customWidth="1"/>
    <col min="14" max="14" width="13.625" customWidth="1"/>
    <col min="15" max="15" width="11.875" customWidth="1"/>
  </cols>
  <sheetData>
    <row r="1" ht="16.5" spans="1:15">
      <c r="A1" s="168" t="s">
        <v>214</v>
      </c>
      <c r="B1" s="169" t="s">
        <v>215</v>
      </c>
      <c r="C1" s="169" t="s">
        <v>216</v>
      </c>
      <c r="D1" s="169" t="s">
        <v>217</v>
      </c>
      <c r="E1" s="169" t="s">
        <v>218</v>
      </c>
      <c r="F1" s="170" t="s">
        <v>219</v>
      </c>
      <c r="G1" s="97" t="s">
        <v>220</v>
      </c>
      <c r="I1" s="177" t="s">
        <v>221</v>
      </c>
      <c r="J1" s="177" t="s">
        <v>222</v>
      </c>
      <c r="K1" s="177" t="s">
        <v>223</v>
      </c>
      <c r="L1" s="177" t="s">
        <v>224</v>
      </c>
      <c r="M1" s="178"/>
      <c r="N1" s="177" t="s">
        <v>225</v>
      </c>
      <c r="O1" s="177" t="s">
        <v>226</v>
      </c>
    </row>
    <row r="2" spans="1:15">
      <c r="A2" t="s">
        <v>227</v>
      </c>
      <c r="B2" s="171" t="s">
        <v>228</v>
      </c>
      <c r="C2" s="171"/>
      <c r="D2" s="171"/>
      <c r="E2" s="172">
        <v>27</v>
      </c>
      <c r="F2" s="173">
        <v>0.206978</v>
      </c>
      <c r="G2" s="174">
        <v>0.272727272727273</v>
      </c>
      <c r="I2" t="s">
        <v>229</v>
      </c>
      <c r="J2" t="s">
        <v>230</v>
      </c>
      <c r="K2" t="s">
        <v>231</v>
      </c>
      <c r="L2" t="s">
        <v>57</v>
      </c>
      <c r="N2" t="s">
        <v>232</v>
      </c>
      <c r="O2" t="s">
        <v>233</v>
      </c>
    </row>
    <row r="3" ht="15" spans="1:15">
      <c r="A3" t="s">
        <v>227</v>
      </c>
      <c r="B3" s="171" t="s">
        <v>234</v>
      </c>
      <c r="C3" s="175">
        <v>382301</v>
      </c>
      <c r="D3" s="175">
        <v>888367</v>
      </c>
      <c r="E3" s="172">
        <v>209</v>
      </c>
      <c r="F3" s="173">
        <v>0.139652</v>
      </c>
      <c r="G3" s="176" t="s">
        <v>235</v>
      </c>
      <c r="I3" t="s">
        <v>236</v>
      </c>
      <c r="J3" t="s">
        <v>237</v>
      </c>
      <c r="K3" t="s">
        <v>238</v>
      </c>
      <c r="L3" t="s">
        <v>239</v>
      </c>
      <c r="N3" t="s">
        <v>240</v>
      </c>
      <c r="O3" t="s">
        <v>241</v>
      </c>
    </row>
    <row r="4" ht="15" spans="1:15">
      <c r="A4" t="s">
        <v>227</v>
      </c>
      <c r="B4" s="171" t="s">
        <v>242</v>
      </c>
      <c r="C4" s="175">
        <v>75835</v>
      </c>
      <c r="D4" s="175">
        <v>83336</v>
      </c>
      <c r="E4" s="172">
        <v>7144</v>
      </c>
      <c r="F4" s="173">
        <v>0.184076</v>
      </c>
      <c r="G4" s="176" t="s">
        <v>235</v>
      </c>
      <c r="I4" t="s">
        <v>240</v>
      </c>
      <c r="K4" t="s">
        <v>243</v>
      </c>
      <c r="L4" t="s">
        <v>244</v>
      </c>
      <c r="N4" t="s">
        <v>236</v>
      </c>
      <c r="O4" t="s">
        <v>245</v>
      </c>
    </row>
    <row r="5" spans="1:15">
      <c r="A5" t="s">
        <v>246</v>
      </c>
      <c r="B5" s="171" t="s">
        <v>247</v>
      </c>
      <c r="C5" s="171"/>
      <c r="D5" s="171"/>
      <c r="E5" s="172">
        <v>771</v>
      </c>
      <c r="F5" s="173">
        <v>0.255498</v>
      </c>
      <c r="G5" s="174">
        <v>0.27</v>
      </c>
      <c r="I5" t="s">
        <v>232</v>
      </c>
      <c r="K5" t="s">
        <v>248</v>
      </c>
      <c r="L5" t="s">
        <v>249</v>
      </c>
      <c r="O5" t="s">
        <v>250</v>
      </c>
    </row>
    <row r="6" ht="15" spans="1:15">
      <c r="A6" t="s">
        <v>246</v>
      </c>
      <c r="B6" s="171" t="s">
        <v>251</v>
      </c>
      <c r="C6" s="175">
        <v>212182</v>
      </c>
      <c r="D6" s="175">
        <v>347804</v>
      </c>
      <c r="E6" s="172">
        <v>901</v>
      </c>
      <c r="F6" s="173">
        <v>0.151894</v>
      </c>
      <c r="G6" s="176" t="s">
        <v>235</v>
      </c>
      <c r="I6" t="s">
        <v>252</v>
      </c>
      <c r="K6" t="s">
        <v>253</v>
      </c>
      <c r="L6" t="s">
        <v>254</v>
      </c>
      <c r="O6" t="s">
        <v>255</v>
      </c>
    </row>
    <row r="7" ht="15" spans="1:15">
      <c r="A7" t="s">
        <v>246</v>
      </c>
      <c r="B7" s="171" t="s">
        <v>256</v>
      </c>
      <c r="C7" s="175">
        <v>140039</v>
      </c>
      <c r="D7" s="175">
        <v>119574</v>
      </c>
      <c r="E7" s="172">
        <v>5268</v>
      </c>
      <c r="F7" s="173">
        <v>0.140556</v>
      </c>
      <c r="G7" s="176" t="s">
        <v>235</v>
      </c>
      <c r="I7" t="s">
        <v>257</v>
      </c>
      <c r="K7" t="s">
        <v>229</v>
      </c>
      <c r="L7" t="s">
        <v>258</v>
      </c>
      <c r="O7" t="s">
        <v>259</v>
      </c>
    </row>
    <row r="8" spans="1:15">
      <c r="A8" t="s">
        <v>246</v>
      </c>
      <c r="B8" s="171" t="s">
        <v>260</v>
      </c>
      <c r="C8" s="171" t="s">
        <v>261</v>
      </c>
      <c r="D8" s="171"/>
      <c r="E8" s="172">
        <v>7537</v>
      </c>
      <c r="F8" s="173">
        <v>0.20721</v>
      </c>
      <c r="G8" s="176" t="s">
        <v>235</v>
      </c>
      <c r="K8" t="s">
        <v>230</v>
      </c>
      <c r="L8" t="s">
        <v>262</v>
      </c>
      <c r="O8" t="s">
        <v>263</v>
      </c>
    </row>
    <row r="9" spans="11:15">
      <c r="K9" t="s">
        <v>264</v>
      </c>
      <c r="L9" t="s">
        <v>53</v>
      </c>
      <c r="O9" t="s">
        <v>265</v>
      </c>
    </row>
    <row r="10" spans="11:15">
      <c r="K10" t="s">
        <v>266</v>
      </c>
      <c r="L10" t="s">
        <v>267</v>
      </c>
      <c r="O10" t="s">
        <v>268</v>
      </c>
    </row>
    <row r="11" spans="11:15">
      <c r="K11" t="s">
        <v>269</v>
      </c>
      <c r="L11" t="s">
        <v>270</v>
      </c>
      <c r="O11" t="s">
        <v>271</v>
      </c>
    </row>
    <row r="12" spans="11:15">
      <c r="K12" t="s">
        <v>272</v>
      </c>
      <c r="L12" t="s">
        <v>273</v>
      </c>
      <c r="O12" t="s">
        <v>274</v>
      </c>
    </row>
    <row r="13" spans="11:12">
      <c r="K13" t="s">
        <v>275</v>
      </c>
      <c r="L13" t="s">
        <v>276</v>
      </c>
    </row>
    <row r="14" spans="11:12">
      <c r="K14" t="s">
        <v>277</v>
      </c>
      <c r="L14" t="s">
        <v>278</v>
      </c>
    </row>
    <row r="15" spans="11:12">
      <c r="K15">
        <v>45</v>
      </c>
      <c r="L15" t="s">
        <v>279</v>
      </c>
    </row>
    <row r="16" spans="11:12">
      <c r="K16" t="s">
        <v>280</v>
      </c>
      <c r="L16" t="s">
        <v>281</v>
      </c>
    </row>
    <row r="17" spans="11:12">
      <c r="K17" t="s">
        <v>282</v>
      </c>
      <c r="L17" t="s">
        <v>283</v>
      </c>
    </row>
    <row r="18" spans="11:12">
      <c r="K18" t="s">
        <v>284</v>
      </c>
      <c r="L18" t="s">
        <v>285</v>
      </c>
    </row>
    <row r="19" spans="11:12">
      <c r="K19" t="s">
        <v>286</v>
      </c>
      <c r="L19" t="s">
        <v>287</v>
      </c>
    </row>
    <row r="20" spans="11:12">
      <c r="K20" t="s">
        <v>288</v>
      </c>
      <c r="L20" t="s">
        <v>289</v>
      </c>
    </row>
    <row r="21" spans="11:12">
      <c r="K21" t="s">
        <v>290</v>
      </c>
      <c r="L21" t="s">
        <v>291</v>
      </c>
    </row>
    <row r="22" spans="11:12">
      <c r="K22" t="s">
        <v>292</v>
      </c>
      <c r="L22" t="s">
        <v>293</v>
      </c>
    </row>
    <row r="23" spans="11:12">
      <c r="K23" t="s">
        <v>294</v>
      </c>
      <c r="L23" t="s">
        <v>295</v>
      </c>
    </row>
    <row r="24" spans="11:12">
      <c r="K24" t="s">
        <v>296</v>
      </c>
      <c r="L24" t="s">
        <v>297</v>
      </c>
    </row>
    <row r="25" spans="11:12">
      <c r="K25" t="s">
        <v>298</v>
      </c>
      <c r="L25" t="s">
        <v>299</v>
      </c>
    </row>
    <row r="26" spans="11:12">
      <c r="K26" t="s">
        <v>300</v>
      </c>
      <c r="L26" t="s">
        <v>301</v>
      </c>
    </row>
    <row r="27" spans="11:12">
      <c r="K27" t="s">
        <v>236</v>
      </c>
      <c r="L27" t="s">
        <v>302</v>
      </c>
    </row>
    <row r="28" spans="11:12">
      <c r="K28">
        <v>4</v>
      </c>
      <c r="L28" t="s">
        <v>303</v>
      </c>
    </row>
    <row r="29" spans="11:12">
      <c r="K29" t="s">
        <v>304</v>
      </c>
      <c r="L29" t="s">
        <v>305</v>
      </c>
    </row>
    <row r="30" spans="11:12">
      <c r="K30">
        <v>22000</v>
      </c>
      <c r="L30" t="s">
        <v>306</v>
      </c>
    </row>
    <row r="31" spans="11:12">
      <c r="K31" t="s">
        <v>307</v>
      </c>
      <c r="L31" t="s">
        <v>308</v>
      </c>
    </row>
    <row r="32" spans="11:12">
      <c r="K32" t="s">
        <v>309</v>
      </c>
      <c r="L32" t="s">
        <v>310</v>
      </c>
    </row>
    <row r="33" spans="11:12">
      <c r="K33" t="s">
        <v>311</v>
      </c>
      <c r="L33" t="s">
        <v>312</v>
      </c>
    </row>
    <row r="34" spans="11:12">
      <c r="K34" t="s">
        <v>313</v>
      </c>
      <c r="L34" t="s">
        <v>314</v>
      </c>
    </row>
    <row r="35" spans="11:12">
      <c r="K35" t="s">
        <v>315</v>
      </c>
      <c r="L35" t="s">
        <v>316</v>
      </c>
    </row>
    <row r="36" spans="11:12">
      <c r="K36" t="s">
        <v>317</v>
      </c>
      <c r="L36" t="s">
        <v>318</v>
      </c>
    </row>
    <row r="37" spans="11:12">
      <c r="K37" t="s">
        <v>319</v>
      </c>
      <c r="L37" t="s">
        <v>320</v>
      </c>
    </row>
    <row r="38" spans="11:12">
      <c r="K38" t="s">
        <v>321</v>
      </c>
      <c r="L38" t="s">
        <v>322</v>
      </c>
    </row>
    <row r="39" spans="11:12">
      <c r="K39" t="s">
        <v>323</v>
      </c>
      <c r="L39" t="s">
        <v>324</v>
      </c>
    </row>
    <row r="40" spans="11:12">
      <c r="K40" t="s">
        <v>240</v>
      </c>
      <c r="L40" t="s">
        <v>325</v>
      </c>
    </row>
    <row r="41" spans="11:12">
      <c r="K41" t="s">
        <v>326</v>
      </c>
      <c r="L41" t="s">
        <v>327</v>
      </c>
    </row>
    <row r="42" spans="11:12">
      <c r="K42" t="s">
        <v>328</v>
      </c>
      <c r="L42" t="s">
        <v>329</v>
      </c>
    </row>
    <row r="43" spans="11:12">
      <c r="K43" t="s">
        <v>330</v>
      </c>
      <c r="L43" t="s">
        <v>331</v>
      </c>
    </row>
    <row r="44" spans="11:12">
      <c r="K44" t="s">
        <v>332</v>
      </c>
      <c r="L44" t="s">
        <v>333</v>
      </c>
    </row>
    <row r="45" spans="11:12">
      <c r="K45" t="s">
        <v>334</v>
      </c>
      <c r="L45" t="s">
        <v>335</v>
      </c>
    </row>
    <row r="46" spans="11:12">
      <c r="K46" t="s">
        <v>232</v>
      </c>
      <c r="L46" t="s">
        <v>336</v>
      </c>
    </row>
    <row r="47" spans="11:12">
      <c r="K47" t="s">
        <v>337</v>
      </c>
      <c r="L47" t="s">
        <v>338</v>
      </c>
    </row>
    <row r="48" spans="11:12">
      <c r="K48" t="s">
        <v>339</v>
      </c>
      <c r="L48" t="s">
        <v>340</v>
      </c>
    </row>
    <row r="49" spans="11:12">
      <c r="K49" t="s">
        <v>341</v>
      </c>
      <c r="L49" t="s">
        <v>342</v>
      </c>
    </row>
    <row r="50" spans="11:12">
      <c r="K50" t="s">
        <v>343</v>
      </c>
      <c r="L50" t="s">
        <v>344</v>
      </c>
    </row>
    <row r="51" spans="11:12">
      <c r="K51" t="s">
        <v>345</v>
      </c>
      <c r="L51" t="s">
        <v>346</v>
      </c>
    </row>
    <row r="52" spans="11:12">
      <c r="K52">
        <v>35</v>
      </c>
      <c r="L52" t="s">
        <v>347</v>
      </c>
    </row>
    <row r="53" spans="11:12">
      <c r="K53" t="s">
        <v>348</v>
      </c>
      <c r="L53" t="s">
        <v>349</v>
      </c>
    </row>
    <row r="54" spans="11:12">
      <c r="K54">
        <v>50</v>
      </c>
      <c r="L54" t="s">
        <v>350</v>
      </c>
    </row>
    <row r="55" spans="11:12">
      <c r="K55" t="s">
        <v>351</v>
      </c>
      <c r="L55" t="s">
        <v>352</v>
      </c>
    </row>
    <row r="56" spans="11:12">
      <c r="K56" t="s">
        <v>353</v>
      </c>
      <c r="L56" t="s">
        <v>354</v>
      </c>
    </row>
    <row r="57" spans="11:12">
      <c r="K57">
        <v>65</v>
      </c>
      <c r="L57" t="s">
        <v>355</v>
      </c>
    </row>
    <row r="58" spans="11:11">
      <c r="K58" t="s">
        <v>252</v>
      </c>
    </row>
    <row r="59" spans="11:11">
      <c r="K59" t="s">
        <v>356</v>
      </c>
    </row>
    <row r="60" spans="11:11">
      <c r="K60" t="s">
        <v>357</v>
      </c>
    </row>
    <row r="61" spans="11:11">
      <c r="K61" t="s">
        <v>358</v>
      </c>
    </row>
    <row r="62" spans="11:11">
      <c r="K62" t="s">
        <v>359</v>
      </c>
    </row>
    <row r="63" spans="11:11">
      <c r="K63" t="s">
        <v>360</v>
      </c>
    </row>
    <row r="64" spans="11:11">
      <c r="K64" t="s">
        <v>361</v>
      </c>
    </row>
    <row r="65" spans="11:11">
      <c r="K65" t="s">
        <v>362</v>
      </c>
    </row>
    <row r="66" spans="11:11">
      <c r="K66" t="s">
        <v>363</v>
      </c>
    </row>
    <row r="67" spans="11:11">
      <c r="K67" t="s">
        <v>364</v>
      </c>
    </row>
    <row r="68" spans="11:11">
      <c r="K68">
        <v>30</v>
      </c>
    </row>
    <row r="69" spans="11:11">
      <c r="K69" t="s">
        <v>365</v>
      </c>
    </row>
    <row r="70" spans="11:11">
      <c r="K70" t="s">
        <v>366</v>
      </c>
    </row>
    <row r="71" spans="11:11">
      <c r="K71" t="s">
        <v>367</v>
      </c>
    </row>
    <row r="72" spans="11:11">
      <c r="K72" t="s">
        <v>368</v>
      </c>
    </row>
    <row r="73" spans="11:11">
      <c r="K73" t="s">
        <v>369</v>
      </c>
    </row>
    <row r="74" spans="11:11">
      <c r="K74" t="s">
        <v>370</v>
      </c>
    </row>
    <row r="75" spans="11:11">
      <c r="K75" t="s">
        <v>371</v>
      </c>
    </row>
    <row r="76" spans="11:11">
      <c r="K76" t="s">
        <v>372</v>
      </c>
    </row>
    <row r="77" spans="11:11">
      <c r="K77" t="s">
        <v>373</v>
      </c>
    </row>
    <row r="78" spans="11:11">
      <c r="K78" t="s">
        <v>374</v>
      </c>
    </row>
    <row r="79" spans="11:11">
      <c r="K79" t="s">
        <v>375</v>
      </c>
    </row>
    <row r="80" spans="11:11">
      <c r="K80" t="s">
        <v>376</v>
      </c>
    </row>
    <row r="81" spans="11:11">
      <c r="K81" t="s">
        <v>377</v>
      </c>
    </row>
    <row r="82" spans="11:11">
      <c r="K82" t="s">
        <v>378</v>
      </c>
    </row>
    <row r="83" spans="11:11">
      <c r="K83" t="s">
        <v>379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C1" workbookViewId="0">
      <selection activeCell="F11" sqref="F11"/>
    </sheetView>
  </sheetViews>
  <sheetFormatPr defaultColWidth="9" defaultRowHeight="13.5" outlineLevelCol="3"/>
  <cols>
    <col min="1" max="1" width="9" style="38"/>
    <col min="2" max="2" width="20.125" style="38" customWidth="1"/>
    <col min="3" max="3" width="65.875" style="38" customWidth="1"/>
    <col min="4" max="4" width="88.125" style="38" customWidth="1"/>
    <col min="5" max="6" width="48.5" style="38" customWidth="1"/>
    <col min="7" max="16384" width="9" style="38"/>
  </cols>
  <sheetData>
    <row r="1" ht="22" customHeight="1" spans="1:3">
      <c r="A1" s="150" t="s">
        <v>380</v>
      </c>
      <c r="B1" s="151" t="s">
        <v>381</v>
      </c>
      <c r="C1" s="151"/>
    </row>
    <row r="2" ht="256" customHeight="1" spans="1:3">
      <c r="A2" s="152" t="s">
        <v>24</v>
      </c>
      <c r="B2" s="153" t="s">
        <v>382</v>
      </c>
      <c r="C2" s="154" t="s">
        <v>383</v>
      </c>
    </row>
    <row r="3" ht="72" spans="1:3">
      <c r="A3" s="155"/>
      <c r="B3" s="153" t="s">
        <v>384</v>
      </c>
      <c r="C3" s="156" t="s">
        <v>385</v>
      </c>
    </row>
    <row r="4" ht="18" customHeight="1" spans="1:3">
      <c r="A4" s="155"/>
      <c r="B4" s="153" t="s">
        <v>386</v>
      </c>
      <c r="C4" s="156" t="s">
        <v>387</v>
      </c>
    </row>
    <row r="5" ht="18" customHeight="1" spans="1:3">
      <c r="A5" s="155"/>
      <c r="B5" s="153" t="s">
        <v>388</v>
      </c>
      <c r="C5" s="157" t="s">
        <v>389</v>
      </c>
    </row>
    <row r="6" ht="19" customHeight="1" spans="1:3">
      <c r="A6" s="155"/>
      <c r="B6" s="153" t="s">
        <v>390</v>
      </c>
      <c r="C6" s="156" t="s">
        <v>391</v>
      </c>
    </row>
    <row r="7" ht="16" customHeight="1" spans="1:3">
      <c r="A7" s="158"/>
      <c r="B7" s="153" t="s">
        <v>392</v>
      </c>
      <c r="C7" s="157" t="s">
        <v>393</v>
      </c>
    </row>
    <row r="8" ht="16" customHeight="1" spans="1:3">
      <c r="A8" s="155"/>
      <c r="B8" s="153"/>
      <c r="C8" s="159"/>
    </row>
    <row r="9" ht="27.75" customHeight="1" spans="1:4">
      <c r="A9" s="160"/>
      <c r="B9" s="161"/>
      <c r="C9" s="162"/>
      <c r="D9" s="163" t="s">
        <v>394</v>
      </c>
    </row>
    <row r="10" ht="27" spans="1:4">
      <c r="A10" s="152" t="s">
        <v>395</v>
      </c>
      <c r="B10" s="153" t="s">
        <v>396</v>
      </c>
      <c r="C10" s="164" t="s">
        <v>397</v>
      </c>
      <c r="D10" s="121" t="s">
        <v>398</v>
      </c>
    </row>
    <row r="11" ht="36.75" customHeight="1" spans="1:4">
      <c r="A11" s="165"/>
      <c r="B11" s="153" t="s">
        <v>399</v>
      </c>
      <c r="C11" s="164" t="s">
        <v>400</v>
      </c>
      <c r="D11" s="121"/>
    </row>
    <row r="12" ht="164.25" customHeight="1" spans="1:4">
      <c r="A12" s="166"/>
      <c r="B12" s="153" t="s">
        <v>401</v>
      </c>
      <c r="C12" s="167" t="s">
        <v>402</v>
      </c>
      <c r="D12" s="121"/>
    </row>
  </sheetData>
  <sheetProtection formatCells="0" insertHyperlinks="0" autoFilter="0"/>
  <mergeCells count="4">
    <mergeCell ref="B1:C1"/>
    <mergeCell ref="A2:A7"/>
    <mergeCell ref="A10:A12"/>
    <mergeCell ref="D10:D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workbookViewId="0">
      <selection activeCell="I54" sqref="I54"/>
    </sheetView>
  </sheetViews>
  <sheetFormatPr defaultColWidth="9" defaultRowHeight="14.25"/>
  <cols>
    <col min="1" max="1" width="16.375" style="93" customWidth="1"/>
    <col min="2" max="4" width="11.875" style="94" customWidth="1"/>
    <col min="5" max="5" width="10.625" customWidth="1"/>
    <col min="6" max="6" width="9.375"/>
    <col min="7" max="7" width="17.625" style="95" customWidth="1"/>
    <col min="8" max="9" width="18.875" style="95" customWidth="1"/>
  </cols>
  <sheetData>
    <row r="1" ht="15" spans="2:9">
      <c r="B1" s="94" t="s">
        <v>403</v>
      </c>
      <c r="C1" s="94" t="s">
        <v>404</v>
      </c>
      <c r="D1" s="94" t="s">
        <v>405</v>
      </c>
      <c r="F1" s="96" t="s">
        <v>406</v>
      </c>
      <c r="G1" s="97"/>
      <c r="H1" s="98" t="s">
        <v>74</v>
      </c>
      <c r="I1" s="111" t="s">
        <v>81</v>
      </c>
    </row>
    <row r="2" ht="16.5" spans="1:9">
      <c r="A2" s="99"/>
      <c r="B2" s="100">
        <v>3923</v>
      </c>
      <c r="C2" s="100">
        <v>3923</v>
      </c>
      <c r="D2" s="100">
        <v>3923</v>
      </c>
      <c r="F2" s="101" t="s">
        <v>407</v>
      </c>
      <c r="G2" s="102">
        <v>3923</v>
      </c>
      <c r="H2" s="98" t="s">
        <v>64</v>
      </c>
      <c r="I2" s="111" t="s">
        <v>64</v>
      </c>
    </row>
    <row r="3" ht="15" spans="1:9">
      <c r="A3" s="69" t="s">
        <v>408</v>
      </c>
      <c r="B3" s="103">
        <v>149</v>
      </c>
      <c r="C3" s="103">
        <v>139.99</v>
      </c>
      <c r="D3" s="103">
        <v>169.99</v>
      </c>
      <c r="F3" s="104" t="s">
        <v>83</v>
      </c>
      <c r="G3" s="105" t="s">
        <v>409</v>
      </c>
      <c r="H3" s="106">
        <v>199</v>
      </c>
      <c r="I3" s="106">
        <v>149.99</v>
      </c>
    </row>
    <row r="4" ht="15" spans="1:9">
      <c r="A4" s="107" t="s">
        <v>410</v>
      </c>
      <c r="B4" s="108">
        <v>1</v>
      </c>
      <c r="C4" s="108">
        <v>1</v>
      </c>
      <c r="D4" s="108">
        <v>1</v>
      </c>
      <c r="F4" s="109" t="s">
        <v>112</v>
      </c>
      <c r="G4" s="110" t="s">
        <v>113</v>
      </c>
      <c r="H4" s="111" t="s">
        <v>114</v>
      </c>
      <c r="I4" s="120" t="s">
        <v>120</v>
      </c>
    </row>
    <row r="5" ht="15" spans="1:9">
      <c r="A5" s="69" t="s">
        <v>411</v>
      </c>
      <c r="B5" s="112">
        <v>7.7</v>
      </c>
      <c r="C5" s="112">
        <v>7.7</v>
      </c>
      <c r="D5" s="112">
        <v>7.7</v>
      </c>
      <c r="F5" s="109" t="s">
        <v>121</v>
      </c>
      <c r="G5" s="110" t="s">
        <v>122</v>
      </c>
      <c r="H5" s="113" t="s">
        <v>123</v>
      </c>
      <c r="I5" s="148" t="s">
        <v>123</v>
      </c>
    </row>
    <row r="6" ht="15" spans="1:9">
      <c r="A6" s="69" t="s">
        <v>412</v>
      </c>
      <c r="B6" s="112">
        <f>B3*B4*B5</f>
        <v>1147.3</v>
      </c>
      <c r="C6" s="112">
        <f>C3*C4*C5</f>
        <v>1077.923</v>
      </c>
      <c r="D6" s="112">
        <f>D3*D4*D5</f>
        <v>1308.923</v>
      </c>
      <c r="F6" s="109" t="s">
        <v>128</v>
      </c>
      <c r="G6" s="110">
        <v>82</v>
      </c>
      <c r="H6" s="113" t="s">
        <v>129</v>
      </c>
      <c r="I6" s="148" t="s">
        <v>133</v>
      </c>
    </row>
    <row r="7" ht="15" spans="1:9">
      <c r="A7" s="114" t="s">
        <v>413</v>
      </c>
      <c r="B7" s="115">
        <f>B3*0.3*B5</f>
        <v>344.19</v>
      </c>
      <c r="C7" s="115">
        <f>C3*0.15*C5</f>
        <v>161.68845</v>
      </c>
      <c r="D7" s="115">
        <f>D3*0.3*D5</f>
        <v>392.6769</v>
      </c>
      <c r="F7" s="109" t="s">
        <v>135</v>
      </c>
      <c r="G7" s="110" t="s">
        <v>136</v>
      </c>
      <c r="H7" s="116" t="s">
        <v>137</v>
      </c>
      <c r="I7" s="97" t="s">
        <v>140</v>
      </c>
    </row>
    <row r="8" ht="15" spans="1:9">
      <c r="A8" s="69" t="s">
        <v>414</v>
      </c>
      <c r="B8" s="117">
        <f>B7/B6</f>
        <v>0.3</v>
      </c>
      <c r="C8" s="117">
        <f>C7/C6</f>
        <v>0.15</v>
      </c>
      <c r="D8" s="117">
        <f>D7/D6</f>
        <v>0.3</v>
      </c>
      <c r="F8" s="109" t="s">
        <v>141</v>
      </c>
      <c r="G8" s="110" t="s">
        <v>142</v>
      </c>
      <c r="H8" s="111" t="s">
        <v>143</v>
      </c>
      <c r="I8" s="149" t="s">
        <v>143</v>
      </c>
    </row>
    <row r="9" ht="15" spans="1:9">
      <c r="A9" s="69" t="s">
        <v>415</v>
      </c>
      <c r="B9" s="112">
        <f>B10*B6</f>
        <v>86.0475</v>
      </c>
      <c r="C9" s="112">
        <f>C10*C6</f>
        <v>80.844225</v>
      </c>
      <c r="D9" s="112">
        <f>D10*D6</f>
        <v>98.169225</v>
      </c>
      <c r="F9" s="109" t="s">
        <v>151</v>
      </c>
      <c r="G9" s="110" t="s">
        <v>152</v>
      </c>
      <c r="H9" s="111" t="s">
        <v>153</v>
      </c>
      <c r="I9" s="111" t="s">
        <v>159</v>
      </c>
    </row>
    <row r="10" ht="15" spans="1:9">
      <c r="A10" s="69" t="s">
        <v>416</v>
      </c>
      <c r="B10" s="117">
        <v>0.075</v>
      </c>
      <c r="C10" s="117">
        <v>0.075</v>
      </c>
      <c r="D10" s="117">
        <v>0.075</v>
      </c>
      <c r="F10" s="118" t="s">
        <v>161</v>
      </c>
      <c r="G10" s="119" t="s">
        <v>162</v>
      </c>
      <c r="H10" s="120" t="s">
        <v>417</v>
      </c>
      <c r="I10" s="120" t="s">
        <v>170</v>
      </c>
    </row>
    <row r="11" ht="13.5" spans="1:9">
      <c r="A11" s="69" t="s">
        <v>418</v>
      </c>
      <c r="B11" s="112">
        <v>0</v>
      </c>
      <c r="C11" s="112">
        <v>0</v>
      </c>
      <c r="D11" s="112">
        <v>0</v>
      </c>
      <c r="F11" s="97" t="s">
        <v>394</v>
      </c>
      <c r="G11" s="121" t="s">
        <v>419</v>
      </c>
      <c r="H11" s="121"/>
      <c r="I11" s="121"/>
    </row>
    <row r="12" ht="13.5" spans="1:9">
      <c r="A12" s="122" t="s">
        <v>420</v>
      </c>
      <c r="B12" s="123">
        <f>B6-B7-B9+B11</f>
        <v>717.0625</v>
      </c>
      <c r="C12" s="123">
        <f>C6-C7-C9+C11</f>
        <v>835.390325</v>
      </c>
      <c r="D12" s="123">
        <f>D6-D7-D9+D11</f>
        <v>818.076875</v>
      </c>
      <c r="F12" s="97"/>
      <c r="G12" s="121"/>
      <c r="H12" s="121"/>
      <c r="I12" s="121"/>
    </row>
    <row r="13" ht="13.5" spans="1:9">
      <c r="A13" s="69" t="s">
        <v>421</v>
      </c>
      <c r="B13" s="117">
        <f>B12/B6</f>
        <v>0.625</v>
      </c>
      <c r="C13" s="117">
        <f>C12/C6</f>
        <v>0.775</v>
      </c>
      <c r="D13" s="117">
        <f>D12/D6</f>
        <v>0.625</v>
      </c>
      <c r="F13" s="97"/>
      <c r="G13" s="121"/>
      <c r="H13" s="121"/>
      <c r="I13" s="121"/>
    </row>
    <row r="14" ht="13.5" spans="1:9">
      <c r="A14" s="69" t="s">
        <v>422</v>
      </c>
      <c r="B14" s="112">
        <f>B15*(1-B10)</f>
        <v>333.925</v>
      </c>
      <c r="C14" s="112">
        <f>C15*(1-C10)</f>
        <v>333.925</v>
      </c>
      <c r="D14" s="112">
        <f>D15*(1-D10)</f>
        <v>333.925</v>
      </c>
      <c r="F14" s="97"/>
      <c r="G14" s="121"/>
      <c r="H14" s="121"/>
      <c r="I14" s="121"/>
    </row>
    <row r="15" ht="13.5" spans="1:9">
      <c r="A15" s="69" t="s">
        <v>423</v>
      </c>
      <c r="B15" s="112">
        <v>361</v>
      </c>
      <c r="C15" s="112">
        <v>361</v>
      </c>
      <c r="D15" s="112">
        <v>361</v>
      </c>
      <c r="F15" s="97"/>
      <c r="G15" s="121"/>
      <c r="H15" s="121"/>
      <c r="I15" s="121"/>
    </row>
    <row r="16" ht="13.5" spans="1:9">
      <c r="A16" s="69" t="s">
        <v>424</v>
      </c>
      <c r="B16" s="117">
        <f>B14/B12</f>
        <v>0.46568465091955</v>
      </c>
      <c r="C16" s="117">
        <f>C14/C12</f>
        <v>0.399723326937022</v>
      </c>
      <c r="D16" s="117">
        <f>D14/D12</f>
        <v>0.408182910683058</v>
      </c>
      <c r="F16" s="97"/>
      <c r="G16" s="121"/>
      <c r="H16" s="121"/>
      <c r="I16" s="121"/>
    </row>
    <row r="17" ht="13.5" spans="1:9">
      <c r="A17" s="69" t="s">
        <v>425</v>
      </c>
      <c r="B17" s="112">
        <f>B18*B12</f>
        <v>16.42073125</v>
      </c>
      <c r="C17" s="112">
        <f>C18*C12</f>
        <v>19.1304384425</v>
      </c>
      <c r="D17" s="112">
        <f>D18*D12</f>
        <v>18.7339604375</v>
      </c>
      <c r="F17" s="97"/>
      <c r="G17" s="121"/>
      <c r="H17" s="121"/>
      <c r="I17" s="121"/>
    </row>
    <row r="18" ht="13.5" spans="1:9">
      <c r="A18" s="69" t="s">
        <v>426</v>
      </c>
      <c r="B18" s="117">
        <v>0.0229</v>
      </c>
      <c r="C18" s="117">
        <v>0.0229</v>
      </c>
      <c r="D18" s="117">
        <v>0.0229</v>
      </c>
      <c r="F18" s="97"/>
      <c r="G18" s="121"/>
      <c r="H18" s="121"/>
      <c r="I18" s="121"/>
    </row>
    <row r="19" ht="13.5" spans="1:9">
      <c r="A19" s="69" t="s">
        <v>427</v>
      </c>
      <c r="B19" s="112">
        <f>B20*B12</f>
        <v>20.5079875</v>
      </c>
      <c r="C19" s="112">
        <f>C20*C12</f>
        <v>23.892163295</v>
      </c>
      <c r="D19" s="112">
        <f>D20*D12</f>
        <v>23.396998625</v>
      </c>
      <c r="F19" s="97"/>
      <c r="G19" s="121"/>
      <c r="H19" s="121"/>
      <c r="I19" s="121"/>
    </row>
    <row r="20" ht="13.5" spans="1:4">
      <c r="A20" s="69" t="s">
        <v>428</v>
      </c>
      <c r="B20" s="117">
        <v>0.0286</v>
      </c>
      <c r="C20" s="117">
        <v>0.0286</v>
      </c>
      <c r="D20" s="117">
        <v>0.0286</v>
      </c>
    </row>
    <row r="21" ht="13.5" spans="1:4">
      <c r="A21" s="68" t="s">
        <v>429</v>
      </c>
      <c r="B21" s="112">
        <f>B10*0.7*B15</f>
        <v>18.9525</v>
      </c>
      <c r="C21" s="112">
        <f>C10*0.7*C15</f>
        <v>18.9525</v>
      </c>
      <c r="D21" s="112">
        <f>D10*0.7*D15</f>
        <v>18.9525</v>
      </c>
    </row>
    <row r="22" ht="13.5" spans="1:4">
      <c r="A22" s="124" t="s">
        <v>430</v>
      </c>
      <c r="B22" s="117">
        <v>0.01</v>
      </c>
      <c r="C22" s="117">
        <v>0.024</v>
      </c>
      <c r="D22" s="117">
        <v>0.024</v>
      </c>
    </row>
    <row r="23" ht="13.5" spans="1:4">
      <c r="A23" s="69" t="s">
        <v>431</v>
      </c>
      <c r="B23" s="112"/>
      <c r="C23" s="112"/>
      <c r="D23" s="112"/>
    </row>
    <row r="24" ht="13.5" spans="1:4">
      <c r="A24" s="69" t="s">
        <v>432</v>
      </c>
      <c r="B24" s="117"/>
      <c r="C24" s="117"/>
      <c r="D24" s="117"/>
    </row>
    <row r="25" ht="13.5" spans="1:4">
      <c r="A25" s="125" t="s">
        <v>433</v>
      </c>
      <c r="B25" s="126">
        <f>B14+B17+B19+B21+B23</f>
        <v>389.80621875</v>
      </c>
      <c r="C25" s="126">
        <f>C14+C17+C19+C21+C23</f>
        <v>395.9001017375</v>
      </c>
      <c r="D25" s="126">
        <f>D14+D17+D19+D21+D23</f>
        <v>395.0084590625</v>
      </c>
    </row>
    <row r="26" ht="13.5" spans="1:4">
      <c r="A26" s="125" t="s">
        <v>434</v>
      </c>
      <c r="B26" s="127">
        <f>B25/B12</f>
        <v>0.543615401377146</v>
      </c>
      <c r="C26" s="127">
        <f>C25/C12</f>
        <v>0.473910326573988</v>
      </c>
      <c r="D26" s="127">
        <f>D25/D12</f>
        <v>0.482850048856961</v>
      </c>
    </row>
    <row r="27" ht="13.5" spans="1:4">
      <c r="A27" s="69" t="s">
        <v>435</v>
      </c>
      <c r="B27" s="112">
        <f>B12-B25</f>
        <v>327.25628125</v>
      </c>
      <c r="C27" s="112">
        <f>C12-C25</f>
        <v>439.4902232625</v>
      </c>
      <c r="D27" s="112">
        <f>D12-D25</f>
        <v>423.0684159375</v>
      </c>
    </row>
    <row r="28" ht="13.5" spans="1:4">
      <c r="A28" s="69" t="s">
        <v>436</v>
      </c>
      <c r="B28" s="112">
        <f>B12*B29</f>
        <v>107.559375</v>
      </c>
      <c r="C28" s="112">
        <f>C12*C29</f>
        <v>125.30854875</v>
      </c>
      <c r="D28" s="112">
        <f>D12*D29</f>
        <v>122.71153125</v>
      </c>
    </row>
    <row r="29" ht="13.5" spans="1:4">
      <c r="A29" s="69" t="s">
        <v>437</v>
      </c>
      <c r="B29" s="117">
        <v>0.15</v>
      </c>
      <c r="C29" s="117">
        <v>0.15</v>
      </c>
      <c r="D29" s="117">
        <v>0.15</v>
      </c>
    </row>
    <row r="30" ht="13.5" spans="1:4">
      <c r="A30" s="54" t="s">
        <v>438</v>
      </c>
      <c r="B30" s="128">
        <v>55.24</v>
      </c>
      <c r="C30" s="128">
        <v>55.24</v>
      </c>
      <c r="D30" s="128">
        <v>55.24</v>
      </c>
    </row>
    <row r="31" ht="13.5" spans="1:4">
      <c r="A31" s="69" t="s">
        <v>439</v>
      </c>
      <c r="B31" s="112">
        <v>0</v>
      </c>
      <c r="C31" s="112">
        <v>0</v>
      </c>
      <c r="D31" s="112">
        <v>0</v>
      </c>
    </row>
    <row r="32" ht="13.5" spans="1:4">
      <c r="A32" s="69" t="s">
        <v>440</v>
      </c>
      <c r="B32" s="117">
        <f>(B28+B30-B31)/B12</f>
        <v>0.227036520526453</v>
      </c>
      <c r="C32" s="117">
        <f>(C28+C30-C31)/C12</f>
        <v>0.216124778258594</v>
      </c>
      <c r="D32" s="117">
        <f>(D28+D30-D31)/D12</f>
        <v>0.217524216474155</v>
      </c>
    </row>
    <row r="33" ht="13.5" spans="1:4">
      <c r="A33" s="69" t="s">
        <v>441</v>
      </c>
      <c r="B33" s="112">
        <f>B34*B12</f>
        <v>0</v>
      </c>
      <c r="C33" s="112">
        <f>C34*C12</f>
        <v>0</v>
      </c>
      <c r="D33" s="112">
        <f>D34*D12</f>
        <v>0</v>
      </c>
    </row>
    <row r="34" ht="13.5" spans="1:4">
      <c r="A34" s="69" t="s">
        <v>442</v>
      </c>
      <c r="B34" s="129">
        <v>0</v>
      </c>
      <c r="C34" s="129">
        <v>0</v>
      </c>
      <c r="D34" s="129">
        <v>0</v>
      </c>
    </row>
    <row r="35" ht="13.5" spans="1:4">
      <c r="A35" s="69" t="s">
        <v>443</v>
      </c>
      <c r="B35" s="130">
        <f>B28+B30-B31+B33</f>
        <v>162.799375</v>
      </c>
      <c r="C35" s="130">
        <f>C28+C30-C31+C33</f>
        <v>180.54854875</v>
      </c>
      <c r="D35" s="130">
        <f>D28+D30-D31+D33</f>
        <v>177.95153125</v>
      </c>
    </row>
    <row r="36" ht="13.5" spans="1:4">
      <c r="A36" s="69" t="s">
        <v>444</v>
      </c>
      <c r="B36" s="131">
        <f>B35/B12</f>
        <v>0.227036520526453</v>
      </c>
      <c r="C36" s="131">
        <f>C35/C12</f>
        <v>0.216124778258594</v>
      </c>
      <c r="D36" s="131">
        <f>D35/D12</f>
        <v>0.217524216474155</v>
      </c>
    </row>
    <row r="37" ht="13.5" spans="1:4">
      <c r="A37" s="69" t="s">
        <v>445</v>
      </c>
      <c r="B37" s="117">
        <v>0.01</v>
      </c>
      <c r="C37" s="117">
        <v>0.01</v>
      </c>
      <c r="D37" s="117">
        <v>0.01</v>
      </c>
    </row>
    <row r="38" ht="13.5" spans="1:4">
      <c r="A38" s="69" t="s">
        <v>446</v>
      </c>
      <c r="B38" s="117"/>
      <c r="C38" s="117"/>
      <c r="D38" s="117"/>
    </row>
    <row r="39" ht="13.5" spans="1:4">
      <c r="A39" s="69" t="s">
        <v>447</v>
      </c>
      <c r="B39" s="117"/>
      <c r="C39" s="117"/>
      <c r="D39" s="117"/>
    </row>
    <row r="40" ht="13.5" spans="1:4">
      <c r="A40" s="69" t="s">
        <v>448</v>
      </c>
      <c r="B40" s="117"/>
      <c r="C40" s="117"/>
      <c r="D40" s="117"/>
    </row>
    <row r="41" ht="13.5" spans="1:4">
      <c r="A41" s="69" t="s">
        <v>449</v>
      </c>
      <c r="B41" s="117">
        <v>0.005</v>
      </c>
      <c r="C41" s="117">
        <v>0.005</v>
      </c>
      <c r="D41" s="117">
        <v>0.005</v>
      </c>
    </row>
    <row r="42" ht="13.5" spans="1:4">
      <c r="A42" s="69" t="s">
        <v>450</v>
      </c>
      <c r="B42" s="112">
        <f>B43*B12</f>
        <v>10.7559375</v>
      </c>
      <c r="C42" s="112">
        <f>C43*C12</f>
        <v>12.530854875</v>
      </c>
      <c r="D42" s="112">
        <f>D43*D12</f>
        <v>12.271153125</v>
      </c>
    </row>
    <row r="43" ht="13.5" spans="1:4">
      <c r="A43" s="69" t="s">
        <v>451</v>
      </c>
      <c r="B43" s="117">
        <f>B37+B41</f>
        <v>0.015</v>
      </c>
      <c r="C43" s="117">
        <f>C37+C41</f>
        <v>0.015</v>
      </c>
      <c r="D43" s="117">
        <f>D37+D41</f>
        <v>0.015</v>
      </c>
    </row>
    <row r="44" ht="13.5" spans="1:4">
      <c r="A44" s="114" t="s">
        <v>452</v>
      </c>
      <c r="B44" s="115">
        <f>B12*B45</f>
        <v>28.6825</v>
      </c>
      <c r="C44" s="115">
        <f>C12*C45</f>
        <v>66.831226</v>
      </c>
      <c r="D44" s="115">
        <f>D12*D45</f>
        <v>65.44615</v>
      </c>
    </row>
    <row r="45" ht="13.5" spans="1:4">
      <c r="A45" s="69" t="s">
        <v>453</v>
      </c>
      <c r="B45" s="117">
        <v>0.04</v>
      </c>
      <c r="C45" s="117">
        <v>0.08</v>
      </c>
      <c r="D45" s="117">
        <v>0.08</v>
      </c>
    </row>
    <row r="46" ht="13.5" spans="1:4">
      <c r="A46" s="132" t="s">
        <v>384</v>
      </c>
      <c r="B46" s="133">
        <f>B12*B47</f>
        <v>7.170625</v>
      </c>
      <c r="C46" s="133">
        <f>C12*C47</f>
        <v>8.35390325</v>
      </c>
      <c r="D46" s="133">
        <f>D12*D47</f>
        <v>8.18076875</v>
      </c>
    </row>
    <row r="47" ht="13.5" spans="1:4">
      <c r="A47" s="54" t="s">
        <v>454</v>
      </c>
      <c r="B47" s="134">
        <v>0.01</v>
      </c>
      <c r="C47" s="134">
        <v>0.01</v>
      </c>
      <c r="D47" s="134">
        <v>0.01</v>
      </c>
    </row>
    <row r="48" ht="13.5" spans="1:4">
      <c r="A48" s="69" t="s">
        <v>455</v>
      </c>
      <c r="B48" s="112">
        <f>B49*B12</f>
        <v>0</v>
      </c>
      <c r="C48" s="112">
        <f>C49*C12</f>
        <v>0</v>
      </c>
      <c r="D48" s="112">
        <f>D49*D12</f>
        <v>0</v>
      </c>
    </row>
    <row r="49" ht="13.5" spans="1:4">
      <c r="A49" s="69" t="s">
        <v>456</v>
      </c>
      <c r="B49" s="117">
        <v>0</v>
      </c>
      <c r="C49" s="117">
        <v>0</v>
      </c>
      <c r="D49" s="117">
        <v>0</v>
      </c>
    </row>
    <row r="50" ht="13.5" spans="1:4">
      <c r="A50" s="135" t="s">
        <v>457</v>
      </c>
      <c r="B50" s="136">
        <f>B51*B12</f>
        <v>0</v>
      </c>
      <c r="C50" s="136">
        <f>C51*C12</f>
        <v>0</v>
      </c>
      <c r="D50" s="136">
        <f>D51*D12</f>
        <v>0</v>
      </c>
    </row>
    <row r="51" ht="13.5" spans="1:4">
      <c r="A51" s="135" t="s">
        <v>458</v>
      </c>
      <c r="B51" s="129">
        <v>0</v>
      </c>
      <c r="C51" s="129">
        <v>0</v>
      </c>
      <c r="D51" s="129">
        <v>0</v>
      </c>
    </row>
    <row r="52" ht="13.5" spans="1:4">
      <c r="A52" s="137" t="s">
        <v>459</v>
      </c>
      <c r="B52" s="138">
        <f>B44+B46+B48+B50</f>
        <v>35.853125</v>
      </c>
      <c r="C52" s="138">
        <f>C44+C46+C48+C50</f>
        <v>75.18512925</v>
      </c>
      <c r="D52" s="138">
        <f>D44+D46+D48+D50</f>
        <v>73.62691875</v>
      </c>
    </row>
    <row r="53" ht="13.5" spans="1:4">
      <c r="A53" s="137" t="s">
        <v>460</v>
      </c>
      <c r="B53" s="139">
        <f>B52/B12</f>
        <v>0.05</v>
      </c>
      <c r="C53" s="139">
        <f>C52/C12</f>
        <v>0.09</v>
      </c>
      <c r="D53" s="139">
        <f>D52/D12</f>
        <v>0.09</v>
      </c>
    </row>
    <row r="54" ht="13.5" spans="1:4">
      <c r="A54" s="135" t="s">
        <v>461</v>
      </c>
      <c r="B54" s="136">
        <f>B55*B12</f>
        <v>0</v>
      </c>
      <c r="C54" s="136">
        <f>C55*C12</f>
        <v>0</v>
      </c>
      <c r="D54" s="136">
        <f>D55*D12</f>
        <v>0</v>
      </c>
    </row>
    <row r="55" ht="13.5" spans="1:4">
      <c r="A55" s="135" t="s">
        <v>462</v>
      </c>
      <c r="B55" s="129">
        <v>0</v>
      </c>
      <c r="C55" s="129">
        <v>0</v>
      </c>
      <c r="D55" s="129">
        <v>0</v>
      </c>
    </row>
    <row r="56" ht="13.5" spans="1:4">
      <c r="A56" s="137" t="s">
        <v>463</v>
      </c>
      <c r="B56" s="140">
        <f>B35+B42+B52+B54</f>
        <v>209.4084375</v>
      </c>
      <c r="C56" s="140">
        <f>C35+C42+C52+C54</f>
        <v>268.264532875</v>
      </c>
      <c r="D56" s="140">
        <f>D35+D42+D52+D54</f>
        <v>263.849603125</v>
      </c>
    </row>
    <row r="57" ht="13.5" spans="1:4">
      <c r="A57" s="137" t="s">
        <v>464</v>
      </c>
      <c r="B57" s="139">
        <f>B56/B12</f>
        <v>0.292036520526453</v>
      </c>
      <c r="C57" s="139">
        <f>C56/C12</f>
        <v>0.321124778258594</v>
      </c>
      <c r="D57" s="139">
        <f>D56/D12</f>
        <v>0.322524216474155</v>
      </c>
    </row>
    <row r="58" ht="13.5" spans="1:4">
      <c r="A58" s="141" t="s">
        <v>465</v>
      </c>
      <c r="B58" s="142">
        <f>B59*B12</f>
        <v>114.51488125</v>
      </c>
      <c r="C58" s="142">
        <f>C59*C12</f>
        <v>133.4118349025</v>
      </c>
      <c r="D58" s="142">
        <f>D59*D12</f>
        <v>130.6468769375</v>
      </c>
    </row>
    <row r="59" ht="13.5" spans="1:4">
      <c r="A59" s="141" t="s">
        <v>466</v>
      </c>
      <c r="B59" s="143">
        <v>0.1597</v>
      </c>
      <c r="C59" s="143">
        <v>0.1597</v>
      </c>
      <c r="D59" s="143">
        <v>0.1597</v>
      </c>
    </row>
    <row r="60" ht="13.5" spans="1:4">
      <c r="A60" s="144" t="s">
        <v>467</v>
      </c>
      <c r="B60" s="112">
        <f>B12-B25-B58-B56</f>
        <v>3.33296249999992</v>
      </c>
      <c r="C60" s="112">
        <f>C12-C25-C58-C56</f>
        <v>37.8138554850001</v>
      </c>
      <c r="D60" s="112">
        <f>D12-D25-D58-D56</f>
        <v>28.571935875</v>
      </c>
    </row>
    <row r="61" ht="13.5" spans="1:4">
      <c r="A61" s="144" t="s">
        <v>468</v>
      </c>
      <c r="B61" s="145">
        <f>B60/B12</f>
        <v>0.00464807809640014</v>
      </c>
      <c r="C61" s="145">
        <f>C60/C12</f>
        <v>0.0452648951674178</v>
      </c>
      <c r="D61" s="145">
        <f>D60/D12</f>
        <v>0.0349257346688843</v>
      </c>
    </row>
    <row r="62" spans="1:4">
      <c r="A62" s="69" t="s">
        <v>469</v>
      </c>
      <c r="B62" s="146">
        <f>B60/B5</f>
        <v>0.432852272727263</v>
      </c>
      <c r="C62" s="146">
        <f>C60/C5</f>
        <v>4.91089032272728</v>
      </c>
      <c r="D62" s="146">
        <f>D60/D5</f>
        <v>3.71064102272727</v>
      </c>
    </row>
    <row r="63" ht="13.5" spans="1:1">
      <c r="A63" s="147"/>
    </row>
    <row r="64" ht="13.5" spans="1:1">
      <c r="A64" s="147"/>
    </row>
    <row r="65" ht="13.5" spans="1:1">
      <c r="A65" t="s">
        <v>470</v>
      </c>
    </row>
    <row r="66" ht="13.5" spans="1:1">
      <c r="A66" t="s">
        <v>471</v>
      </c>
    </row>
  </sheetData>
  <sheetProtection formatCells="0" insertHyperlinks="0" autoFilter="0"/>
  <mergeCells count="5">
    <mergeCell ref="B37:B40"/>
    <mergeCell ref="C37:C40"/>
    <mergeCell ref="D37:D40"/>
    <mergeCell ref="F11:F19"/>
    <mergeCell ref="G11:I1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1"/>
  <sheetViews>
    <sheetView workbookViewId="0">
      <pane xSplit="3" topLeftCell="AB1" activePane="topRight" state="frozen"/>
      <selection/>
      <selection pane="topRight" activeCell="AL50" sqref="AL50"/>
    </sheetView>
  </sheetViews>
  <sheetFormatPr defaultColWidth="9" defaultRowHeight="13.5"/>
  <cols>
    <col min="1" max="2" width="8.5" style="50"/>
    <col min="3" max="3" width="16" style="50" customWidth="1"/>
    <col min="4" max="9" width="10.375" style="46" customWidth="1" outlineLevel="1"/>
    <col min="10" max="10" width="10.375" style="46" customWidth="1"/>
    <col min="11" max="11" width="9.625" style="46" customWidth="1" outlineLevel="1"/>
    <col min="12" max="16" width="11.0666666666667" style="46" customWidth="1" outlineLevel="1"/>
    <col min="17" max="17" width="11.0666666666667" style="46" customWidth="1"/>
    <col min="18" max="22" width="11.0666666666667" style="46" customWidth="1" outlineLevel="1"/>
    <col min="23" max="23" width="10.3166666666667" style="46" customWidth="1" outlineLevel="1"/>
    <col min="24" max="24" width="10.3166666666667" style="46" customWidth="1"/>
    <col min="25" max="27" width="10.3166666666667" style="46" customWidth="1" outlineLevel="1"/>
    <col min="28" max="32" width="10.375" style="46" customWidth="1" outlineLevel="1"/>
    <col min="33" max="34" width="10.375" style="46" customWidth="1"/>
    <col min="35" max="35" width="16.6916666666667" style="46" customWidth="1"/>
    <col min="36" max="36" width="12.625" style="46"/>
    <col min="37" max="16384" width="9" style="46"/>
  </cols>
  <sheetData>
    <row r="1" s="45" customFormat="1" spans="1:35">
      <c r="A1" s="51" t="s">
        <v>472</v>
      </c>
      <c r="B1" s="51" t="s">
        <v>473</v>
      </c>
      <c r="C1" s="51" t="s">
        <v>474</v>
      </c>
      <c r="D1" s="52">
        <v>44409</v>
      </c>
      <c r="E1" s="52">
        <v>44410</v>
      </c>
      <c r="F1" s="52">
        <v>44411</v>
      </c>
      <c r="G1" s="52">
        <v>44412</v>
      </c>
      <c r="H1" s="52">
        <v>44413</v>
      </c>
      <c r="I1" s="52">
        <v>44414</v>
      </c>
      <c r="J1" s="52">
        <v>44415</v>
      </c>
      <c r="K1" s="52">
        <v>44416</v>
      </c>
      <c r="L1" s="52">
        <v>44417</v>
      </c>
      <c r="M1" s="52">
        <v>44418</v>
      </c>
      <c r="N1" s="52">
        <v>44419</v>
      </c>
      <c r="O1" s="52">
        <v>44420</v>
      </c>
      <c r="P1" s="52">
        <v>44421</v>
      </c>
      <c r="Q1" s="52">
        <v>44422</v>
      </c>
      <c r="R1" s="52">
        <v>44423</v>
      </c>
      <c r="S1" s="52">
        <v>44424</v>
      </c>
      <c r="T1" s="52">
        <v>44425</v>
      </c>
      <c r="U1" s="52">
        <v>44426</v>
      </c>
      <c r="V1" s="52">
        <v>44427</v>
      </c>
      <c r="W1" s="52">
        <v>44428</v>
      </c>
      <c r="X1" s="52">
        <v>44429</v>
      </c>
      <c r="Y1" s="52">
        <v>44430</v>
      </c>
      <c r="Z1" s="52">
        <v>44431</v>
      </c>
      <c r="AA1" s="52">
        <v>44432</v>
      </c>
      <c r="AB1" s="52">
        <v>44433</v>
      </c>
      <c r="AC1" s="52">
        <v>44434</v>
      </c>
      <c r="AD1" s="52">
        <v>44435</v>
      </c>
      <c r="AE1" s="52">
        <v>44436</v>
      </c>
      <c r="AF1" s="52">
        <v>44437</v>
      </c>
      <c r="AG1" s="52">
        <v>44438</v>
      </c>
      <c r="AH1" s="52">
        <v>44439</v>
      </c>
      <c r="AI1" s="45" t="s">
        <v>475</v>
      </c>
    </row>
    <row r="2" s="46" customFormat="1" spans="1:35">
      <c r="A2" s="53" t="s">
        <v>476</v>
      </c>
      <c r="B2" s="53" t="s">
        <v>477</v>
      </c>
      <c r="C2" s="54" t="s">
        <v>478</v>
      </c>
      <c r="D2" s="55">
        <v>169.99</v>
      </c>
      <c r="E2" s="55">
        <v>169.99</v>
      </c>
      <c r="F2" s="55">
        <v>169.99</v>
      </c>
      <c r="G2" s="55">
        <v>169.99</v>
      </c>
      <c r="H2" s="55">
        <v>169.99</v>
      </c>
      <c r="I2" s="55">
        <v>169.99</v>
      </c>
      <c r="J2" s="55">
        <v>169.99</v>
      </c>
      <c r="K2" s="55">
        <v>169.99</v>
      </c>
      <c r="L2" s="55">
        <v>169.99</v>
      </c>
      <c r="M2" s="55">
        <v>169.99</v>
      </c>
      <c r="N2" s="55">
        <v>169.99</v>
      </c>
      <c r="O2" s="55">
        <v>169.99</v>
      </c>
      <c r="P2" s="55">
        <v>169.99</v>
      </c>
      <c r="Q2" s="55">
        <v>169.99</v>
      </c>
      <c r="R2" s="55">
        <v>169.99</v>
      </c>
      <c r="S2" s="55">
        <v>169.99</v>
      </c>
      <c r="T2" s="55">
        <v>169.99</v>
      </c>
      <c r="U2" s="55">
        <v>169.99</v>
      </c>
      <c r="V2" s="55">
        <v>169.99</v>
      </c>
      <c r="W2" s="55">
        <v>169.99</v>
      </c>
      <c r="X2" s="55">
        <v>169.99</v>
      </c>
      <c r="Y2" s="55">
        <v>169.99</v>
      </c>
      <c r="Z2" s="55">
        <v>169.99</v>
      </c>
      <c r="AA2" s="55">
        <v>169.99</v>
      </c>
      <c r="AB2" s="55">
        <v>169.99</v>
      </c>
      <c r="AC2" s="55">
        <v>169.99</v>
      </c>
      <c r="AD2" s="55">
        <v>169.99</v>
      </c>
      <c r="AE2" s="55">
        <v>169.99</v>
      </c>
      <c r="AF2" s="55">
        <v>169.99</v>
      </c>
      <c r="AG2" s="55">
        <v>169.99</v>
      </c>
      <c r="AH2" s="55">
        <v>169.99</v>
      </c>
      <c r="AI2" s="81">
        <f>AVERAGE(G2:AH2)</f>
        <v>169.99</v>
      </c>
    </row>
    <row r="3" s="46" customFormat="1" spans="1:36">
      <c r="A3" s="56" t="s">
        <v>476</v>
      </c>
      <c r="B3" s="56" t="s">
        <v>477</v>
      </c>
      <c r="C3" s="57" t="s">
        <v>410</v>
      </c>
      <c r="D3" s="58">
        <v>1</v>
      </c>
      <c r="E3" s="58">
        <v>2</v>
      </c>
      <c r="F3" s="58">
        <v>3</v>
      </c>
      <c r="G3" s="58">
        <v>4</v>
      </c>
      <c r="H3" s="58">
        <v>5</v>
      </c>
      <c r="I3" s="58">
        <v>6</v>
      </c>
      <c r="J3" s="58">
        <v>7</v>
      </c>
      <c r="K3" s="58">
        <v>8</v>
      </c>
      <c r="L3" s="58">
        <v>9</v>
      </c>
      <c r="M3" s="58">
        <v>10</v>
      </c>
      <c r="N3" s="58">
        <v>11</v>
      </c>
      <c r="O3" s="58">
        <v>11</v>
      </c>
      <c r="P3" s="58">
        <v>11</v>
      </c>
      <c r="Q3" s="58">
        <v>11</v>
      </c>
      <c r="R3" s="58">
        <v>11</v>
      </c>
      <c r="S3" s="58">
        <v>15</v>
      </c>
      <c r="T3" s="58">
        <v>15</v>
      </c>
      <c r="U3" s="58">
        <v>15</v>
      </c>
      <c r="V3" s="58">
        <v>15</v>
      </c>
      <c r="W3" s="58">
        <v>15</v>
      </c>
      <c r="X3" s="58">
        <v>15</v>
      </c>
      <c r="Y3" s="58">
        <v>15</v>
      </c>
      <c r="Z3" s="58">
        <v>15</v>
      </c>
      <c r="AA3" s="58">
        <v>15</v>
      </c>
      <c r="AB3" s="58">
        <v>15</v>
      </c>
      <c r="AC3" s="58">
        <v>15</v>
      </c>
      <c r="AD3" s="58">
        <v>15</v>
      </c>
      <c r="AE3" s="58">
        <v>15</v>
      </c>
      <c r="AF3" s="58">
        <v>15</v>
      </c>
      <c r="AG3" s="58">
        <v>15</v>
      </c>
      <c r="AH3" s="58">
        <v>15</v>
      </c>
      <c r="AI3" s="82">
        <f t="shared" ref="AI3:AI8" si="0">SUM(D3:AH3)</f>
        <v>350</v>
      </c>
      <c r="AJ3" s="83"/>
    </row>
    <row r="4" s="47" customFormat="1" ht="14.25" spans="1:36">
      <c r="A4" s="59" t="s">
        <v>476</v>
      </c>
      <c r="B4" s="59" t="s">
        <v>477</v>
      </c>
      <c r="C4" s="60" t="s">
        <v>479</v>
      </c>
      <c r="D4" s="61">
        <f>[1]日均销量计算表!$B$20</f>
        <v>1.96428571428571</v>
      </c>
      <c r="E4" s="61">
        <f>[1]日均销量计算表!$B$20</f>
        <v>1.96428571428571</v>
      </c>
      <c r="F4" s="61">
        <f>[1]日均销量计算表!$B$20</f>
        <v>1.96428571428571</v>
      </c>
      <c r="G4" s="61">
        <f>[1]日均销量计算表!$B$20</f>
        <v>1.96428571428571</v>
      </c>
      <c r="H4" s="61">
        <f>[1]日均销量计算表!$B$20</f>
        <v>1.96428571428571</v>
      </c>
      <c r="I4" s="61">
        <f>[1]日均销量计算表!$B$20</f>
        <v>1.96428571428571</v>
      </c>
      <c r="J4" s="61">
        <f>[1]日均销量计算表!$B$20</f>
        <v>1.96428571428571</v>
      </c>
      <c r="K4" s="61">
        <f>[1]日均销量计算表!$B$20</f>
        <v>1.96428571428571</v>
      </c>
      <c r="L4" s="61">
        <f>[1]日均销量计算表!$B$20</f>
        <v>1.96428571428571</v>
      </c>
      <c r="M4" s="61">
        <f>[1]日均销量计算表!$B$20</f>
        <v>1.96428571428571</v>
      </c>
      <c r="N4" s="61">
        <f>[1]日均销量计算表!$B$20</f>
        <v>1.96428571428571</v>
      </c>
      <c r="O4" s="61">
        <f>[1]日均销量计算表!$B$20</f>
        <v>1.96428571428571</v>
      </c>
      <c r="P4" s="61">
        <f>[1]日均销量计算表!$B$20</f>
        <v>1.96428571428571</v>
      </c>
      <c r="Q4" s="61">
        <f>[1]日均销量计算表!$B$20</f>
        <v>1.96428571428571</v>
      </c>
      <c r="R4" s="61">
        <f>[1]日均销量计算表!$B$20</f>
        <v>1.96428571428571</v>
      </c>
      <c r="S4" s="61">
        <f>[1]日均销量计算表!$B$20</f>
        <v>1.96428571428571</v>
      </c>
      <c r="T4" s="61">
        <f>[1]日均销量计算表!$B$20</f>
        <v>1.96428571428571</v>
      </c>
      <c r="U4" s="61">
        <f>[1]日均销量计算表!$B$20</f>
        <v>1.96428571428571</v>
      </c>
      <c r="V4" s="61">
        <f>[1]日均销量计算表!$B$20</f>
        <v>1.96428571428571</v>
      </c>
      <c r="W4" s="61">
        <f>[1]日均销量计算表!$B$20</f>
        <v>1.96428571428571</v>
      </c>
      <c r="X4" s="61">
        <f>[1]日均销量计算表!$B$20</f>
        <v>1.96428571428571</v>
      </c>
      <c r="Y4" s="61">
        <f>[1]日均销量计算表!$B$20</f>
        <v>1.96428571428571</v>
      </c>
      <c r="Z4" s="61">
        <f>[1]日均销量计算表!$B$20</f>
        <v>1.96428571428571</v>
      </c>
      <c r="AA4" s="61">
        <f>[1]日均销量计算表!$B$20</f>
        <v>1.96428571428571</v>
      </c>
      <c r="AB4" s="61">
        <f>[1]日均销量计算表!$B$20</f>
        <v>1.96428571428571</v>
      </c>
      <c r="AC4" s="61">
        <f>[1]日均销量计算表!$B$20</f>
        <v>1.96428571428571</v>
      </c>
      <c r="AD4" s="61">
        <f>[1]日均销量计算表!$B$20</f>
        <v>1.96428571428571</v>
      </c>
      <c r="AE4" s="61">
        <f>[1]日均销量计算表!$B$20</f>
        <v>1.96428571428571</v>
      </c>
      <c r="AF4" s="61">
        <f>[1]日均销量计算表!$B$20</f>
        <v>1.96428571428571</v>
      </c>
      <c r="AG4" s="61">
        <f>[1]日均销量计算表!$B$20</f>
        <v>1.96428571428571</v>
      </c>
      <c r="AH4" s="61">
        <f>[1]日均销量计算表!$B$20</f>
        <v>1.96428571428571</v>
      </c>
      <c r="AI4" s="84"/>
      <c r="AJ4" s="85"/>
    </row>
    <row r="5" s="46" customFormat="1" spans="1:34">
      <c r="A5" s="53" t="s">
        <v>476</v>
      </c>
      <c r="B5" s="53" t="s">
        <v>477</v>
      </c>
      <c r="C5" s="54" t="s">
        <v>411</v>
      </c>
      <c r="D5" s="55">
        <v>7.7</v>
      </c>
      <c r="E5" s="55">
        <v>7.7</v>
      </c>
      <c r="F5" s="55">
        <v>7.7</v>
      </c>
      <c r="G5" s="55">
        <v>7.7</v>
      </c>
      <c r="H5" s="55">
        <v>7.7</v>
      </c>
      <c r="I5" s="55">
        <v>7.7</v>
      </c>
      <c r="J5" s="55">
        <v>7.7</v>
      </c>
      <c r="K5" s="55">
        <v>7.7</v>
      </c>
      <c r="L5" s="55">
        <v>7.7</v>
      </c>
      <c r="M5" s="55">
        <v>7.7</v>
      </c>
      <c r="N5" s="55">
        <v>7.7</v>
      </c>
      <c r="O5" s="55">
        <v>7.7</v>
      </c>
      <c r="P5" s="55">
        <v>7.7</v>
      </c>
      <c r="Q5" s="55">
        <v>7.7</v>
      </c>
      <c r="R5" s="55">
        <v>7.7</v>
      </c>
      <c r="S5" s="55">
        <v>7.7</v>
      </c>
      <c r="T5" s="55">
        <v>7.7</v>
      </c>
      <c r="U5" s="55">
        <v>7.7</v>
      </c>
      <c r="V5" s="55">
        <v>7.7</v>
      </c>
      <c r="W5" s="55">
        <v>7.7</v>
      </c>
      <c r="X5" s="55">
        <v>7.7</v>
      </c>
      <c r="Y5" s="55">
        <v>7.7</v>
      </c>
      <c r="Z5" s="55">
        <v>7.7</v>
      </c>
      <c r="AA5" s="55">
        <v>7.7</v>
      </c>
      <c r="AB5" s="55">
        <v>7.7</v>
      </c>
      <c r="AC5" s="55">
        <v>7.7</v>
      </c>
      <c r="AD5" s="55">
        <v>7.7</v>
      </c>
      <c r="AE5" s="55">
        <v>7.7</v>
      </c>
      <c r="AF5" s="55">
        <v>7.7</v>
      </c>
      <c r="AG5" s="55">
        <v>7.7</v>
      </c>
      <c r="AH5" s="55">
        <v>7.7</v>
      </c>
    </row>
    <row r="6" s="46" customFormat="1" spans="1:35">
      <c r="A6" s="53" t="s">
        <v>480</v>
      </c>
      <c r="B6" s="53" t="s">
        <v>481</v>
      </c>
      <c r="C6" s="53" t="s">
        <v>412</v>
      </c>
      <c r="D6" s="55">
        <f t="shared" ref="D6:AH6" si="1">D2*D3*D5</f>
        <v>1308.923</v>
      </c>
      <c r="E6" s="55">
        <f t="shared" si="1"/>
        <v>2617.846</v>
      </c>
      <c r="F6" s="55">
        <f t="shared" si="1"/>
        <v>3926.769</v>
      </c>
      <c r="G6" s="55">
        <f t="shared" si="1"/>
        <v>5235.692</v>
      </c>
      <c r="H6" s="55">
        <f t="shared" si="1"/>
        <v>6544.615</v>
      </c>
      <c r="I6" s="55">
        <f t="shared" si="1"/>
        <v>7853.538</v>
      </c>
      <c r="J6" s="55">
        <f t="shared" si="1"/>
        <v>9162.461</v>
      </c>
      <c r="K6" s="55">
        <f t="shared" si="1"/>
        <v>10471.384</v>
      </c>
      <c r="L6" s="55">
        <f t="shared" si="1"/>
        <v>11780.307</v>
      </c>
      <c r="M6" s="55">
        <f t="shared" si="1"/>
        <v>13089.23</v>
      </c>
      <c r="N6" s="55">
        <f t="shared" si="1"/>
        <v>14398.153</v>
      </c>
      <c r="O6" s="55">
        <f t="shared" si="1"/>
        <v>14398.153</v>
      </c>
      <c r="P6" s="55">
        <f t="shared" si="1"/>
        <v>14398.153</v>
      </c>
      <c r="Q6" s="55">
        <f t="shared" si="1"/>
        <v>14398.153</v>
      </c>
      <c r="R6" s="55">
        <f t="shared" si="1"/>
        <v>14398.153</v>
      </c>
      <c r="S6" s="55">
        <f t="shared" si="1"/>
        <v>19633.845</v>
      </c>
      <c r="T6" s="55">
        <f t="shared" si="1"/>
        <v>19633.845</v>
      </c>
      <c r="U6" s="55">
        <f t="shared" si="1"/>
        <v>19633.845</v>
      </c>
      <c r="V6" s="55">
        <f t="shared" si="1"/>
        <v>19633.845</v>
      </c>
      <c r="W6" s="55">
        <f t="shared" si="1"/>
        <v>19633.845</v>
      </c>
      <c r="X6" s="55">
        <f t="shared" si="1"/>
        <v>19633.845</v>
      </c>
      <c r="Y6" s="55">
        <f t="shared" si="1"/>
        <v>19633.845</v>
      </c>
      <c r="Z6" s="55">
        <f t="shared" si="1"/>
        <v>19633.845</v>
      </c>
      <c r="AA6" s="55">
        <f t="shared" si="1"/>
        <v>19633.845</v>
      </c>
      <c r="AB6" s="55">
        <f t="shared" si="1"/>
        <v>19633.845</v>
      </c>
      <c r="AC6" s="55">
        <f t="shared" si="1"/>
        <v>19633.845</v>
      </c>
      <c r="AD6" s="55">
        <f t="shared" si="1"/>
        <v>19633.845</v>
      </c>
      <c r="AE6" s="55">
        <f t="shared" si="1"/>
        <v>19633.845</v>
      </c>
      <c r="AF6" s="55">
        <f t="shared" si="1"/>
        <v>19633.845</v>
      </c>
      <c r="AG6" s="55">
        <f t="shared" si="1"/>
        <v>19633.845</v>
      </c>
      <c r="AH6" s="55">
        <f t="shared" si="1"/>
        <v>19633.845</v>
      </c>
      <c r="AI6" s="86">
        <f t="shared" si="0"/>
        <v>458123.05</v>
      </c>
    </row>
    <row r="7" s="46" customFormat="1" spans="1:34">
      <c r="A7" s="53" t="s">
        <v>480</v>
      </c>
      <c r="B7" s="53" t="s">
        <v>482</v>
      </c>
      <c r="C7" s="53" t="s">
        <v>483</v>
      </c>
      <c r="D7" s="62" t="s">
        <v>484</v>
      </c>
      <c r="E7" s="62" t="s">
        <v>484</v>
      </c>
      <c r="F7" s="62" t="s">
        <v>484</v>
      </c>
      <c r="G7" s="62" t="s">
        <v>484</v>
      </c>
      <c r="H7" s="62" t="s">
        <v>484</v>
      </c>
      <c r="I7" s="62" t="s">
        <v>484</v>
      </c>
      <c r="J7" s="62" t="s">
        <v>484</v>
      </c>
      <c r="K7" s="62" t="s">
        <v>484</v>
      </c>
      <c r="L7" s="62" t="s">
        <v>484</v>
      </c>
      <c r="M7" s="62" t="s">
        <v>484</v>
      </c>
      <c r="N7" s="62" t="s">
        <v>484</v>
      </c>
      <c r="O7" s="62" t="s">
        <v>484</v>
      </c>
      <c r="P7" s="62" t="s">
        <v>484</v>
      </c>
      <c r="Q7" s="62" t="s">
        <v>484</v>
      </c>
      <c r="R7" s="62" t="s">
        <v>484</v>
      </c>
      <c r="S7" s="62" t="s">
        <v>484</v>
      </c>
      <c r="T7" s="62" t="s">
        <v>484</v>
      </c>
      <c r="U7" s="62" t="s">
        <v>484</v>
      </c>
      <c r="V7" s="62" t="s">
        <v>484</v>
      </c>
      <c r="W7" s="62" t="s">
        <v>484</v>
      </c>
      <c r="X7" s="62" t="s">
        <v>484</v>
      </c>
      <c r="Y7" s="62" t="s">
        <v>484</v>
      </c>
      <c r="Z7" s="62" t="s">
        <v>484</v>
      </c>
      <c r="AA7" s="62" t="s">
        <v>484</v>
      </c>
      <c r="AB7" s="64">
        <f t="shared" ref="AB7:AF7" si="2">(AB6-AA6)/AA6</f>
        <v>0</v>
      </c>
      <c r="AC7" s="64">
        <f t="shared" si="2"/>
        <v>0</v>
      </c>
      <c r="AD7" s="64">
        <f t="shared" si="2"/>
        <v>0</v>
      </c>
      <c r="AE7" s="64">
        <f t="shared" si="2"/>
        <v>0</v>
      </c>
      <c r="AF7" s="64">
        <f t="shared" si="2"/>
        <v>0</v>
      </c>
      <c r="AG7" s="64">
        <f>(AG6-AE6)/AE6</f>
        <v>0</v>
      </c>
      <c r="AH7" s="64">
        <f>(AH6-AG6)/AG6</f>
        <v>0</v>
      </c>
    </row>
    <row r="8" s="46" customFormat="1" spans="1:35">
      <c r="A8" s="53" t="s">
        <v>480</v>
      </c>
      <c r="B8" s="53" t="s">
        <v>477</v>
      </c>
      <c r="C8" s="54" t="s">
        <v>413</v>
      </c>
      <c r="D8" s="63">
        <f t="shared" ref="D8:AH8" si="3">35*D5*D3*0.8</f>
        <v>215.6</v>
      </c>
      <c r="E8" s="63">
        <f t="shared" si="3"/>
        <v>431.2</v>
      </c>
      <c r="F8" s="63">
        <f t="shared" si="3"/>
        <v>646.8</v>
      </c>
      <c r="G8" s="63">
        <f t="shared" si="3"/>
        <v>862.4</v>
      </c>
      <c r="H8" s="63">
        <f t="shared" si="3"/>
        <v>1078</v>
      </c>
      <c r="I8" s="63">
        <f t="shared" si="3"/>
        <v>1293.6</v>
      </c>
      <c r="J8" s="63">
        <f t="shared" si="3"/>
        <v>1509.2</v>
      </c>
      <c r="K8" s="63">
        <f t="shared" si="3"/>
        <v>1724.8</v>
      </c>
      <c r="L8" s="63">
        <f t="shared" si="3"/>
        <v>1940.4</v>
      </c>
      <c r="M8" s="63">
        <f t="shared" si="3"/>
        <v>2156</v>
      </c>
      <c r="N8" s="63">
        <f t="shared" si="3"/>
        <v>2371.6</v>
      </c>
      <c r="O8" s="63">
        <f t="shared" si="3"/>
        <v>2371.6</v>
      </c>
      <c r="P8" s="63">
        <f t="shared" si="3"/>
        <v>2371.6</v>
      </c>
      <c r="Q8" s="63">
        <f t="shared" si="3"/>
        <v>2371.6</v>
      </c>
      <c r="R8" s="63">
        <f t="shared" si="3"/>
        <v>2371.6</v>
      </c>
      <c r="S8" s="63">
        <f t="shared" si="3"/>
        <v>3234</v>
      </c>
      <c r="T8" s="63">
        <f t="shared" si="3"/>
        <v>3234</v>
      </c>
      <c r="U8" s="63">
        <f t="shared" si="3"/>
        <v>3234</v>
      </c>
      <c r="V8" s="63">
        <f t="shared" si="3"/>
        <v>3234</v>
      </c>
      <c r="W8" s="63">
        <f t="shared" si="3"/>
        <v>3234</v>
      </c>
      <c r="X8" s="63">
        <f t="shared" si="3"/>
        <v>3234</v>
      </c>
      <c r="Y8" s="63">
        <f t="shared" si="3"/>
        <v>3234</v>
      </c>
      <c r="Z8" s="63">
        <f t="shared" si="3"/>
        <v>3234</v>
      </c>
      <c r="AA8" s="63">
        <f t="shared" si="3"/>
        <v>3234</v>
      </c>
      <c r="AB8" s="63">
        <f t="shared" si="3"/>
        <v>3234</v>
      </c>
      <c r="AC8" s="63">
        <f t="shared" si="3"/>
        <v>3234</v>
      </c>
      <c r="AD8" s="63">
        <f t="shared" si="3"/>
        <v>3234</v>
      </c>
      <c r="AE8" s="63">
        <f t="shared" si="3"/>
        <v>3234</v>
      </c>
      <c r="AF8" s="63">
        <f t="shared" si="3"/>
        <v>3234</v>
      </c>
      <c r="AG8" s="63">
        <f t="shared" si="3"/>
        <v>3234</v>
      </c>
      <c r="AH8" s="63">
        <f t="shared" si="3"/>
        <v>3234</v>
      </c>
      <c r="AI8" s="86">
        <f t="shared" si="0"/>
        <v>75460</v>
      </c>
    </row>
    <row r="9" s="46" customFormat="1" spans="1:34">
      <c r="A9" s="53" t="s">
        <v>480</v>
      </c>
      <c r="B9" s="53" t="s">
        <v>482</v>
      </c>
      <c r="C9" s="53" t="s">
        <v>414</v>
      </c>
      <c r="D9" s="64">
        <f>D8/D6</f>
        <v>0.164715571504206</v>
      </c>
      <c r="E9" s="64">
        <f t="shared" ref="D9:AH9" si="4">E8/E6</f>
        <v>0.164715571504206</v>
      </c>
      <c r="F9" s="64">
        <f t="shared" si="4"/>
        <v>0.164715571504206</v>
      </c>
      <c r="G9" s="64">
        <f t="shared" si="4"/>
        <v>0.164715571504206</v>
      </c>
      <c r="H9" s="64">
        <f t="shared" si="4"/>
        <v>0.164715571504206</v>
      </c>
      <c r="I9" s="64">
        <f t="shared" si="4"/>
        <v>0.164715571504206</v>
      </c>
      <c r="J9" s="64">
        <f t="shared" si="4"/>
        <v>0.164715571504206</v>
      </c>
      <c r="K9" s="64">
        <f t="shared" si="4"/>
        <v>0.164715571504206</v>
      </c>
      <c r="L9" s="64">
        <f t="shared" si="4"/>
        <v>0.164715571504206</v>
      </c>
      <c r="M9" s="64">
        <f t="shared" si="4"/>
        <v>0.164715571504206</v>
      </c>
      <c r="N9" s="64">
        <f t="shared" si="4"/>
        <v>0.164715571504206</v>
      </c>
      <c r="O9" s="64">
        <f t="shared" si="4"/>
        <v>0.164715571504206</v>
      </c>
      <c r="P9" s="64">
        <f t="shared" si="4"/>
        <v>0.164715571504206</v>
      </c>
      <c r="Q9" s="64">
        <f t="shared" si="4"/>
        <v>0.164715571504206</v>
      </c>
      <c r="R9" s="64">
        <f t="shared" si="4"/>
        <v>0.164715571504206</v>
      </c>
      <c r="S9" s="64">
        <f t="shared" si="4"/>
        <v>0.164715571504206</v>
      </c>
      <c r="T9" s="64">
        <f t="shared" si="4"/>
        <v>0.164715571504206</v>
      </c>
      <c r="U9" s="64">
        <f t="shared" si="4"/>
        <v>0.164715571504206</v>
      </c>
      <c r="V9" s="64">
        <f t="shared" si="4"/>
        <v>0.164715571504206</v>
      </c>
      <c r="W9" s="64">
        <f t="shared" si="4"/>
        <v>0.164715571504206</v>
      </c>
      <c r="X9" s="64">
        <f t="shared" si="4"/>
        <v>0.164715571504206</v>
      </c>
      <c r="Y9" s="64">
        <f t="shared" si="4"/>
        <v>0.164715571504206</v>
      </c>
      <c r="Z9" s="64">
        <f t="shared" si="4"/>
        <v>0.164715571504206</v>
      </c>
      <c r="AA9" s="64">
        <f t="shared" si="4"/>
        <v>0.164715571504206</v>
      </c>
      <c r="AB9" s="64">
        <f t="shared" si="4"/>
        <v>0.164715571504206</v>
      </c>
      <c r="AC9" s="64">
        <f t="shared" si="4"/>
        <v>0.164715571504206</v>
      </c>
      <c r="AD9" s="64">
        <f t="shared" si="4"/>
        <v>0.164715571504206</v>
      </c>
      <c r="AE9" s="64">
        <f t="shared" si="4"/>
        <v>0.164715571504206</v>
      </c>
      <c r="AF9" s="64">
        <f t="shared" si="4"/>
        <v>0.164715571504206</v>
      </c>
      <c r="AG9" s="64">
        <f t="shared" si="4"/>
        <v>0.164715571504206</v>
      </c>
      <c r="AH9" s="64">
        <f t="shared" si="4"/>
        <v>0.164715571504206</v>
      </c>
    </row>
    <row r="10" s="46" customFormat="1" spans="1:35">
      <c r="A10" s="53" t="s">
        <v>480</v>
      </c>
      <c r="B10" s="53" t="s">
        <v>477</v>
      </c>
      <c r="C10" s="53" t="s">
        <v>415</v>
      </c>
      <c r="D10" s="55">
        <f t="shared" ref="D10:AH10" si="5">D11*(D6-D8)</f>
        <v>0</v>
      </c>
      <c r="E10" s="55">
        <f t="shared" si="5"/>
        <v>0</v>
      </c>
      <c r="F10" s="55">
        <f t="shared" si="5"/>
        <v>0</v>
      </c>
      <c r="G10" s="55">
        <f t="shared" si="5"/>
        <v>0</v>
      </c>
      <c r="H10" s="55">
        <f t="shared" si="5"/>
        <v>0</v>
      </c>
      <c r="I10" s="55">
        <f t="shared" si="5"/>
        <v>0</v>
      </c>
      <c r="J10" s="55">
        <f t="shared" si="5"/>
        <v>0</v>
      </c>
      <c r="K10" s="55">
        <f t="shared" si="5"/>
        <v>699.72672</v>
      </c>
      <c r="L10" s="55">
        <f t="shared" si="5"/>
        <v>787.19256</v>
      </c>
      <c r="M10" s="55">
        <f t="shared" si="5"/>
        <v>874.6584</v>
      </c>
      <c r="N10" s="55">
        <f t="shared" si="5"/>
        <v>962.12424</v>
      </c>
      <c r="O10" s="55">
        <f t="shared" si="5"/>
        <v>962.12424</v>
      </c>
      <c r="P10" s="55">
        <f t="shared" si="5"/>
        <v>962.12424</v>
      </c>
      <c r="Q10" s="55">
        <f t="shared" si="5"/>
        <v>962.12424</v>
      </c>
      <c r="R10" s="55">
        <f t="shared" si="5"/>
        <v>962.12424</v>
      </c>
      <c r="S10" s="55">
        <f t="shared" si="5"/>
        <v>1311.9876</v>
      </c>
      <c r="T10" s="55">
        <f t="shared" si="5"/>
        <v>1311.9876</v>
      </c>
      <c r="U10" s="55">
        <f t="shared" si="5"/>
        <v>1311.9876</v>
      </c>
      <c r="V10" s="55">
        <f t="shared" si="5"/>
        <v>1311.9876</v>
      </c>
      <c r="W10" s="55">
        <f t="shared" si="5"/>
        <v>1311.9876</v>
      </c>
      <c r="X10" s="55">
        <f t="shared" si="5"/>
        <v>1311.9876</v>
      </c>
      <c r="Y10" s="55">
        <f t="shared" si="5"/>
        <v>1311.9876</v>
      </c>
      <c r="Z10" s="55">
        <f t="shared" si="5"/>
        <v>1311.9876</v>
      </c>
      <c r="AA10" s="55">
        <f t="shared" si="5"/>
        <v>1311.9876</v>
      </c>
      <c r="AB10" s="55">
        <f t="shared" si="5"/>
        <v>1311.9876</v>
      </c>
      <c r="AC10" s="55">
        <f t="shared" si="5"/>
        <v>1311.9876</v>
      </c>
      <c r="AD10" s="55">
        <f t="shared" si="5"/>
        <v>1311.9876</v>
      </c>
      <c r="AE10" s="55">
        <f t="shared" si="5"/>
        <v>1311.9876</v>
      </c>
      <c r="AF10" s="55">
        <f t="shared" si="5"/>
        <v>1311.9876</v>
      </c>
      <c r="AG10" s="55">
        <f t="shared" si="5"/>
        <v>1311.9876</v>
      </c>
      <c r="AH10" s="55">
        <f t="shared" si="5"/>
        <v>1311.9876</v>
      </c>
      <c r="AI10" s="86">
        <f t="shared" ref="AI10:AI15" si="6">SUM(D10:AH10)</f>
        <v>28164.00048</v>
      </c>
    </row>
    <row r="11" s="46" customFormat="1" spans="1:35">
      <c r="A11" s="53" t="s">
        <v>480</v>
      </c>
      <c r="B11" s="65" t="s">
        <v>482</v>
      </c>
      <c r="C11" s="54" t="s">
        <v>416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0.08</v>
      </c>
      <c r="L11" s="64">
        <v>0.08</v>
      </c>
      <c r="M11" s="64">
        <v>0.08</v>
      </c>
      <c r="N11" s="64">
        <v>0.08</v>
      </c>
      <c r="O11" s="64">
        <v>0.08</v>
      </c>
      <c r="P11" s="64">
        <v>0.08</v>
      </c>
      <c r="Q11" s="64">
        <v>0.08</v>
      </c>
      <c r="R11" s="64">
        <v>0.08</v>
      </c>
      <c r="S11" s="64">
        <v>0.08</v>
      </c>
      <c r="T11" s="64">
        <v>0.08</v>
      </c>
      <c r="U11" s="64">
        <v>0.08</v>
      </c>
      <c r="V11" s="64">
        <v>0.08</v>
      </c>
      <c r="W11" s="64">
        <v>0.08</v>
      </c>
      <c r="X11" s="64">
        <v>0.08</v>
      </c>
      <c r="Y11" s="64">
        <v>0.08</v>
      </c>
      <c r="Z11" s="64">
        <v>0.08</v>
      </c>
      <c r="AA11" s="64">
        <v>0.08</v>
      </c>
      <c r="AB11" s="64">
        <v>0.08</v>
      </c>
      <c r="AC11" s="64">
        <v>0.08</v>
      </c>
      <c r="AD11" s="64">
        <v>0.08</v>
      </c>
      <c r="AE11" s="64">
        <v>0.08</v>
      </c>
      <c r="AF11" s="64">
        <v>0.08</v>
      </c>
      <c r="AG11" s="64">
        <v>0.08</v>
      </c>
      <c r="AH11" s="64">
        <v>0.08</v>
      </c>
      <c r="AI11" s="87">
        <f>AVERAGE(H11:AH11)</f>
        <v>0.0711111111111111</v>
      </c>
    </row>
    <row r="12" s="46" customFormat="1" spans="1:34">
      <c r="A12" s="53" t="s">
        <v>480</v>
      </c>
      <c r="B12" s="53" t="s">
        <v>477</v>
      </c>
      <c r="C12" s="53" t="s">
        <v>418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</row>
    <row r="13" s="46" customFormat="1" spans="1:36">
      <c r="A13" s="66" t="s">
        <v>485</v>
      </c>
      <c r="B13" s="66" t="s">
        <v>481</v>
      </c>
      <c r="C13" s="66" t="s">
        <v>420</v>
      </c>
      <c r="D13" s="55">
        <f t="shared" ref="D13:AH13" si="7">D6-D8-D10+D12</f>
        <v>1093.323</v>
      </c>
      <c r="E13" s="55">
        <f t="shared" si="7"/>
        <v>2186.646</v>
      </c>
      <c r="F13" s="55">
        <f t="shared" si="7"/>
        <v>3279.969</v>
      </c>
      <c r="G13" s="55">
        <f t="shared" si="7"/>
        <v>4373.292</v>
      </c>
      <c r="H13" s="55">
        <f t="shared" si="7"/>
        <v>5466.615</v>
      </c>
      <c r="I13" s="55">
        <f t="shared" si="7"/>
        <v>6559.938</v>
      </c>
      <c r="J13" s="55">
        <f t="shared" si="7"/>
        <v>7653.261</v>
      </c>
      <c r="K13" s="55">
        <f t="shared" si="7"/>
        <v>8046.85728</v>
      </c>
      <c r="L13" s="55">
        <f t="shared" si="7"/>
        <v>9052.71444</v>
      </c>
      <c r="M13" s="55">
        <f t="shared" si="7"/>
        <v>10058.5716</v>
      </c>
      <c r="N13" s="55">
        <f t="shared" si="7"/>
        <v>11064.42876</v>
      </c>
      <c r="O13" s="55">
        <f t="shared" si="7"/>
        <v>11064.42876</v>
      </c>
      <c r="P13" s="55">
        <f t="shared" si="7"/>
        <v>11064.42876</v>
      </c>
      <c r="Q13" s="55">
        <f t="shared" si="7"/>
        <v>11064.42876</v>
      </c>
      <c r="R13" s="55">
        <f t="shared" si="7"/>
        <v>11064.42876</v>
      </c>
      <c r="S13" s="55">
        <f t="shared" si="7"/>
        <v>15087.8574</v>
      </c>
      <c r="T13" s="55">
        <f t="shared" si="7"/>
        <v>15087.8574</v>
      </c>
      <c r="U13" s="55">
        <f t="shared" si="7"/>
        <v>15087.8574</v>
      </c>
      <c r="V13" s="55">
        <f t="shared" si="7"/>
        <v>15087.8574</v>
      </c>
      <c r="W13" s="55">
        <f t="shared" si="7"/>
        <v>15087.8574</v>
      </c>
      <c r="X13" s="55">
        <f t="shared" si="7"/>
        <v>15087.8574</v>
      </c>
      <c r="Y13" s="55">
        <f t="shared" si="7"/>
        <v>15087.8574</v>
      </c>
      <c r="Z13" s="55">
        <f t="shared" si="7"/>
        <v>15087.8574</v>
      </c>
      <c r="AA13" s="55">
        <f t="shared" si="7"/>
        <v>15087.8574</v>
      </c>
      <c r="AB13" s="55">
        <f t="shared" si="7"/>
        <v>15087.8574</v>
      </c>
      <c r="AC13" s="55">
        <f t="shared" si="7"/>
        <v>15087.8574</v>
      </c>
      <c r="AD13" s="55">
        <f t="shared" si="7"/>
        <v>15087.8574</v>
      </c>
      <c r="AE13" s="55">
        <f t="shared" si="7"/>
        <v>15087.8574</v>
      </c>
      <c r="AF13" s="55">
        <f t="shared" si="7"/>
        <v>15087.8574</v>
      </c>
      <c r="AG13" s="55">
        <f t="shared" si="7"/>
        <v>15087.8574</v>
      </c>
      <c r="AH13" s="55">
        <f t="shared" si="7"/>
        <v>15087.8574</v>
      </c>
      <c r="AI13" s="86">
        <f t="shared" si="6"/>
        <v>354499.04952</v>
      </c>
      <c r="AJ13" s="46">
        <f>AI10/AI13</f>
        <v>0.0794473229706391</v>
      </c>
    </row>
    <row r="14" s="46" customFormat="1" spans="1:35">
      <c r="A14" s="66" t="s">
        <v>485</v>
      </c>
      <c r="B14" s="66" t="s">
        <v>482</v>
      </c>
      <c r="C14" s="66" t="s">
        <v>421</v>
      </c>
      <c r="D14" s="64">
        <f t="shared" ref="D14:AH14" si="8">D13/D6</f>
        <v>0.835284428495794</v>
      </c>
      <c r="E14" s="64">
        <f t="shared" si="8"/>
        <v>0.835284428495794</v>
      </c>
      <c r="F14" s="64">
        <f t="shared" si="8"/>
        <v>0.835284428495794</v>
      </c>
      <c r="G14" s="64">
        <f t="shared" si="8"/>
        <v>0.835284428495794</v>
      </c>
      <c r="H14" s="64">
        <f t="shared" si="8"/>
        <v>0.835284428495794</v>
      </c>
      <c r="I14" s="64">
        <f t="shared" si="8"/>
        <v>0.835284428495794</v>
      </c>
      <c r="J14" s="64">
        <f t="shared" si="8"/>
        <v>0.835284428495794</v>
      </c>
      <c r="K14" s="64">
        <f t="shared" si="8"/>
        <v>0.76846167421613</v>
      </c>
      <c r="L14" s="64">
        <f t="shared" si="8"/>
        <v>0.76846167421613</v>
      </c>
      <c r="M14" s="64">
        <f t="shared" si="8"/>
        <v>0.76846167421613</v>
      </c>
      <c r="N14" s="64">
        <f t="shared" si="8"/>
        <v>0.76846167421613</v>
      </c>
      <c r="O14" s="64">
        <f t="shared" si="8"/>
        <v>0.76846167421613</v>
      </c>
      <c r="P14" s="64">
        <f t="shared" si="8"/>
        <v>0.76846167421613</v>
      </c>
      <c r="Q14" s="64">
        <f t="shared" si="8"/>
        <v>0.76846167421613</v>
      </c>
      <c r="R14" s="64">
        <f t="shared" si="8"/>
        <v>0.76846167421613</v>
      </c>
      <c r="S14" s="64">
        <f t="shared" si="8"/>
        <v>0.76846167421613</v>
      </c>
      <c r="T14" s="64">
        <f t="shared" si="8"/>
        <v>0.76846167421613</v>
      </c>
      <c r="U14" s="64">
        <f t="shared" si="8"/>
        <v>0.76846167421613</v>
      </c>
      <c r="V14" s="64">
        <f t="shared" si="8"/>
        <v>0.76846167421613</v>
      </c>
      <c r="W14" s="64">
        <f t="shared" si="8"/>
        <v>0.76846167421613</v>
      </c>
      <c r="X14" s="64">
        <f t="shared" si="8"/>
        <v>0.76846167421613</v>
      </c>
      <c r="Y14" s="64">
        <f t="shared" si="8"/>
        <v>0.76846167421613</v>
      </c>
      <c r="Z14" s="64">
        <f t="shared" si="8"/>
        <v>0.76846167421613</v>
      </c>
      <c r="AA14" s="64">
        <f t="shared" si="8"/>
        <v>0.76846167421613</v>
      </c>
      <c r="AB14" s="64">
        <f t="shared" si="8"/>
        <v>0.76846167421613</v>
      </c>
      <c r="AC14" s="64">
        <f t="shared" si="8"/>
        <v>0.76846167421613</v>
      </c>
      <c r="AD14" s="64">
        <f t="shared" si="8"/>
        <v>0.76846167421613</v>
      </c>
      <c r="AE14" s="64">
        <f t="shared" si="8"/>
        <v>0.76846167421613</v>
      </c>
      <c r="AF14" s="64">
        <f t="shared" si="8"/>
        <v>0.76846167421613</v>
      </c>
      <c r="AG14" s="64">
        <f t="shared" si="8"/>
        <v>0.76846167421613</v>
      </c>
      <c r="AH14" s="64">
        <f t="shared" si="8"/>
        <v>0.76846167421613</v>
      </c>
      <c r="AI14" s="87">
        <f>AVERAGE(K14:AH14)</f>
        <v>0.76846167421613</v>
      </c>
    </row>
    <row r="15" s="46" customFormat="1" spans="1:35">
      <c r="A15" s="53" t="s">
        <v>486</v>
      </c>
      <c r="B15" s="53" t="s">
        <v>481</v>
      </c>
      <c r="C15" s="53" t="s">
        <v>422</v>
      </c>
      <c r="D15" s="55">
        <f t="shared" ref="D15:AH15" si="9">D3*(1-D11)*D16</f>
        <v>361.2</v>
      </c>
      <c r="E15" s="55">
        <f t="shared" si="9"/>
        <v>722.4</v>
      </c>
      <c r="F15" s="55">
        <f t="shared" si="9"/>
        <v>1083.6</v>
      </c>
      <c r="G15" s="55">
        <f t="shared" si="9"/>
        <v>1444.8</v>
      </c>
      <c r="H15" s="55">
        <f t="shared" si="9"/>
        <v>1806</v>
      </c>
      <c r="I15" s="55">
        <f t="shared" si="9"/>
        <v>2167.2</v>
      </c>
      <c r="J15" s="55">
        <f t="shared" si="9"/>
        <v>2528.4</v>
      </c>
      <c r="K15" s="55">
        <f t="shared" si="9"/>
        <v>2658.432</v>
      </c>
      <c r="L15" s="55">
        <f t="shared" si="9"/>
        <v>2990.736</v>
      </c>
      <c r="M15" s="55">
        <f t="shared" si="9"/>
        <v>3323.04</v>
      </c>
      <c r="N15" s="55">
        <f t="shared" si="9"/>
        <v>3655.344</v>
      </c>
      <c r="O15" s="55">
        <f t="shared" si="9"/>
        <v>3655.344</v>
      </c>
      <c r="P15" s="55">
        <f t="shared" si="9"/>
        <v>3655.344</v>
      </c>
      <c r="Q15" s="55">
        <f t="shared" si="9"/>
        <v>3655.344</v>
      </c>
      <c r="R15" s="55">
        <f t="shared" si="9"/>
        <v>3655.344</v>
      </c>
      <c r="S15" s="55">
        <f t="shared" si="9"/>
        <v>4984.56</v>
      </c>
      <c r="T15" s="55">
        <f t="shared" si="9"/>
        <v>4984.56</v>
      </c>
      <c r="U15" s="55">
        <f t="shared" si="9"/>
        <v>4984.56</v>
      </c>
      <c r="V15" s="55">
        <f t="shared" si="9"/>
        <v>4984.56</v>
      </c>
      <c r="W15" s="55">
        <f t="shared" si="9"/>
        <v>4984.56</v>
      </c>
      <c r="X15" s="55">
        <f t="shared" si="9"/>
        <v>4984.56</v>
      </c>
      <c r="Y15" s="55">
        <f t="shared" si="9"/>
        <v>4984.56</v>
      </c>
      <c r="Z15" s="55">
        <f t="shared" si="9"/>
        <v>4984.56</v>
      </c>
      <c r="AA15" s="55">
        <f t="shared" si="9"/>
        <v>4984.56</v>
      </c>
      <c r="AB15" s="55">
        <f t="shared" si="9"/>
        <v>4984.56</v>
      </c>
      <c r="AC15" s="55">
        <f t="shared" si="9"/>
        <v>4984.56</v>
      </c>
      <c r="AD15" s="55">
        <f t="shared" si="9"/>
        <v>4984.56</v>
      </c>
      <c r="AE15" s="55">
        <f t="shared" si="9"/>
        <v>4984.56</v>
      </c>
      <c r="AF15" s="55">
        <f t="shared" si="9"/>
        <v>4984.56</v>
      </c>
      <c r="AG15" s="55">
        <f t="shared" si="9"/>
        <v>4984.56</v>
      </c>
      <c r="AH15" s="55">
        <f t="shared" si="9"/>
        <v>4984.56</v>
      </c>
      <c r="AI15" s="86">
        <f t="shared" si="6"/>
        <v>117115.488</v>
      </c>
    </row>
    <row r="16" s="46" customFormat="1" spans="1:34">
      <c r="A16" s="53" t="s">
        <v>486</v>
      </c>
      <c r="B16" s="53" t="s">
        <v>477</v>
      </c>
      <c r="C16" s="54" t="s">
        <v>423</v>
      </c>
      <c r="D16" s="55">
        <f>56*6.45</f>
        <v>361.2</v>
      </c>
      <c r="E16" s="55">
        <f t="shared" ref="E16:N16" si="10">56*6.45</f>
        <v>361.2</v>
      </c>
      <c r="F16" s="55">
        <f t="shared" si="10"/>
        <v>361.2</v>
      </c>
      <c r="G16" s="55">
        <f t="shared" si="10"/>
        <v>361.2</v>
      </c>
      <c r="H16" s="55">
        <f t="shared" si="10"/>
        <v>361.2</v>
      </c>
      <c r="I16" s="55">
        <f t="shared" si="10"/>
        <v>361.2</v>
      </c>
      <c r="J16" s="55">
        <f t="shared" si="10"/>
        <v>361.2</v>
      </c>
      <c r="K16" s="55">
        <f t="shared" si="10"/>
        <v>361.2</v>
      </c>
      <c r="L16" s="55">
        <f t="shared" si="10"/>
        <v>361.2</v>
      </c>
      <c r="M16" s="55">
        <f t="shared" si="10"/>
        <v>361.2</v>
      </c>
      <c r="N16" s="55">
        <f t="shared" si="10"/>
        <v>361.2</v>
      </c>
      <c r="O16" s="55">
        <f t="shared" ref="O16:X16" si="11">56*6.45</f>
        <v>361.2</v>
      </c>
      <c r="P16" s="55">
        <f t="shared" si="11"/>
        <v>361.2</v>
      </c>
      <c r="Q16" s="55">
        <f t="shared" si="11"/>
        <v>361.2</v>
      </c>
      <c r="R16" s="55">
        <f t="shared" si="11"/>
        <v>361.2</v>
      </c>
      <c r="S16" s="55">
        <f t="shared" si="11"/>
        <v>361.2</v>
      </c>
      <c r="T16" s="55">
        <f t="shared" si="11"/>
        <v>361.2</v>
      </c>
      <c r="U16" s="55">
        <f t="shared" si="11"/>
        <v>361.2</v>
      </c>
      <c r="V16" s="55">
        <f t="shared" si="11"/>
        <v>361.2</v>
      </c>
      <c r="W16" s="55">
        <f t="shared" si="11"/>
        <v>361.2</v>
      </c>
      <c r="X16" s="55">
        <f t="shared" si="11"/>
        <v>361.2</v>
      </c>
      <c r="Y16" s="55">
        <f t="shared" ref="Y16:AH16" si="12">56*6.45</f>
        <v>361.2</v>
      </c>
      <c r="Z16" s="55">
        <f t="shared" si="12"/>
        <v>361.2</v>
      </c>
      <c r="AA16" s="55">
        <f t="shared" si="12"/>
        <v>361.2</v>
      </c>
      <c r="AB16" s="55">
        <f t="shared" si="12"/>
        <v>361.2</v>
      </c>
      <c r="AC16" s="55">
        <f t="shared" si="12"/>
        <v>361.2</v>
      </c>
      <c r="AD16" s="55">
        <f t="shared" si="12"/>
        <v>361.2</v>
      </c>
      <c r="AE16" s="55">
        <f t="shared" si="12"/>
        <v>361.2</v>
      </c>
      <c r="AF16" s="55">
        <f t="shared" si="12"/>
        <v>361.2</v>
      </c>
      <c r="AG16" s="55">
        <f t="shared" si="12"/>
        <v>361.2</v>
      </c>
      <c r="AH16" s="55">
        <f t="shared" si="12"/>
        <v>361.2</v>
      </c>
    </row>
    <row r="17" s="46" customFormat="1" spans="1:35">
      <c r="A17" s="53" t="s">
        <v>486</v>
      </c>
      <c r="B17" s="53" t="s">
        <v>482</v>
      </c>
      <c r="C17" s="53" t="s">
        <v>424</v>
      </c>
      <c r="D17" s="64">
        <f t="shared" ref="D17:AH17" si="13">D15/D13</f>
        <v>0.330368976048249</v>
      </c>
      <c r="E17" s="64">
        <f t="shared" si="13"/>
        <v>0.330368976048249</v>
      </c>
      <c r="F17" s="64">
        <f t="shared" si="13"/>
        <v>0.330368976048249</v>
      </c>
      <c r="G17" s="64">
        <f t="shared" si="13"/>
        <v>0.330368976048249</v>
      </c>
      <c r="H17" s="64">
        <f t="shared" si="13"/>
        <v>0.330368976048249</v>
      </c>
      <c r="I17" s="64">
        <f t="shared" si="13"/>
        <v>0.330368976048249</v>
      </c>
      <c r="J17" s="64">
        <f t="shared" si="13"/>
        <v>0.330368976048249</v>
      </c>
      <c r="K17" s="64">
        <f t="shared" si="13"/>
        <v>0.330368976048249</v>
      </c>
      <c r="L17" s="64">
        <f t="shared" si="13"/>
        <v>0.330368976048249</v>
      </c>
      <c r="M17" s="64">
        <f t="shared" si="13"/>
        <v>0.330368976048249</v>
      </c>
      <c r="N17" s="64">
        <f t="shared" si="13"/>
        <v>0.330368976048249</v>
      </c>
      <c r="O17" s="64">
        <f t="shared" si="13"/>
        <v>0.330368976048249</v>
      </c>
      <c r="P17" s="64">
        <f t="shared" si="13"/>
        <v>0.330368976048249</v>
      </c>
      <c r="Q17" s="64">
        <f t="shared" si="13"/>
        <v>0.330368976048249</v>
      </c>
      <c r="R17" s="64">
        <f t="shared" si="13"/>
        <v>0.330368976048249</v>
      </c>
      <c r="S17" s="64">
        <f t="shared" si="13"/>
        <v>0.330368976048249</v>
      </c>
      <c r="T17" s="64">
        <f t="shared" si="13"/>
        <v>0.330368976048249</v>
      </c>
      <c r="U17" s="64">
        <f t="shared" si="13"/>
        <v>0.330368976048249</v>
      </c>
      <c r="V17" s="64">
        <f t="shared" si="13"/>
        <v>0.330368976048249</v>
      </c>
      <c r="W17" s="64">
        <f t="shared" si="13"/>
        <v>0.330368976048249</v>
      </c>
      <c r="X17" s="64">
        <f t="shared" si="13"/>
        <v>0.330368976048249</v>
      </c>
      <c r="Y17" s="64">
        <f t="shared" si="13"/>
        <v>0.330368976048249</v>
      </c>
      <c r="Z17" s="64">
        <f t="shared" si="13"/>
        <v>0.330368976048249</v>
      </c>
      <c r="AA17" s="64">
        <f t="shared" si="13"/>
        <v>0.330368976048249</v>
      </c>
      <c r="AB17" s="64">
        <f t="shared" si="13"/>
        <v>0.330368976048249</v>
      </c>
      <c r="AC17" s="64">
        <f t="shared" si="13"/>
        <v>0.330368976048249</v>
      </c>
      <c r="AD17" s="64">
        <f t="shared" si="13"/>
        <v>0.330368976048249</v>
      </c>
      <c r="AE17" s="64">
        <f t="shared" si="13"/>
        <v>0.330368976048249</v>
      </c>
      <c r="AF17" s="64">
        <f t="shared" si="13"/>
        <v>0.330368976048249</v>
      </c>
      <c r="AG17" s="64">
        <f t="shared" si="13"/>
        <v>0.330368976048249</v>
      </c>
      <c r="AH17" s="64">
        <f t="shared" si="13"/>
        <v>0.330368976048249</v>
      </c>
      <c r="AI17" s="87">
        <f>AVERAGE(K17:AH17)</f>
        <v>0.330368976048249</v>
      </c>
    </row>
    <row r="18" s="46" customFormat="1" spans="1:35">
      <c r="A18" s="53" t="s">
        <v>486</v>
      </c>
      <c r="B18" s="53" t="s">
        <v>477</v>
      </c>
      <c r="C18" s="54" t="s">
        <v>425</v>
      </c>
      <c r="D18" s="55">
        <f t="shared" ref="D18:AH18" si="14">70*D3</f>
        <v>70</v>
      </c>
      <c r="E18" s="55">
        <f t="shared" si="14"/>
        <v>140</v>
      </c>
      <c r="F18" s="55">
        <f t="shared" si="14"/>
        <v>210</v>
      </c>
      <c r="G18" s="55">
        <f t="shared" si="14"/>
        <v>280</v>
      </c>
      <c r="H18" s="55">
        <f t="shared" si="14"/>
        <v>350</v>
      </c>
      <c r="I18" s="55">
        <f t="shared" si="14"/>
        <v>420</v>
      </c>
      <c r="J18" s="55">
        <f t="shared" si="14"/>
        <v>490</v>
      </c>
      <c r="K18" s="55">
        <f t="shared" si="14"/>
        <v>560</v>
      </c>
      <c r="L18" s="55">
        <f t="shared" si="14"/>
        <v>630</v>
      </c>
      <c r="M18" s="55">
        <f t="shared" si="14"/>
        <v>700</v>
      </c>
      <c r="N18" s="55">
        <f t="shared" si="14"/>
        <v>770</v>
      </c>
      <c r="O18" s="55">
        <f t="shared" si="14"/>
        <v>770</v>
      </c>
      <c r="P18" s="55">
        <f t="shared" si="14"/>
        <v>770</v>
      </c>
      <c r="Q18" s="55">
        <f t="shared" si="14"/>
        <v>770</v>
      </c>
      <c r="R18" s="55">
        <f t="shared" si="14"/>
        <v>770</v>
      </c>
      <c r="S18" s="55">
        <f t="shared" si="14"/>
        <v>1050</v>
      </c>
      <c r="T18" s="55">
        <f t="shared" si="14"/>
        <v>1050</v>
      </c>
      <c r="U18" s="55">
        <f t="shared" si="14"/>
        <v>1050</v>
      </c>
      <c r="V18" s="55">
        <f t="shared" si="14"/>
        <v>1050</v>
      </c>
      <c r="W18" s="55">
        <f t="shared" si="14"/>
        <v>1050</v>
      </c>
      <c r="X18" s="55">
        <f t="shared" si="14"/>
        <v>1050</v>
      </c>
      <c r="Y18" s="55">
        <f t="shared" si="14"/>
        <v>1050</v>
      </c>
      <c r="Z18" s="55">
        <f t="shared" si="14"/>
        <v>1050</v>
      </c>
      <c r="AA18" s="55">
        <f t="shared" si="14"/>
        <v>1050</v>
      </c>
      <c r="AB18" s="55">
        <f t="shared" si="14"/>
        <v>1050</v>
      </c>
      <c r="AC18" s="55">
        <f t="shared" si="14"/>
        <v>1050</v>
      </c>
      <c r="AD18" s="55">
        <f t="shared" si="14"/>
        <v>1050</v>
      </c>
      <c r="AE18" s="55">
        <f t="shared" si="14"/>
        <v>1050</v>
      </c>
      <c r="AF18" s="55">
        <f t="shared" si="14"/>
        <v>1050</v>
      </c>
      <c r="AG18" s="55">
        <f t="shared" si="14"/>
        <v>1050</v>
      </c>
      <c r="AH18" s="55">
        <f t="shared" si="14"/>
        <v>1050</v>
      </c>
      <c r="AI18" s="86">
        <f t="shared" ref="AI18:AI22" si="15">SUM(D18:AH18)</f>
        <v>24500</v>
      </c>
    </row>
    <row r="19" s="46" customFormat="1" spans="1:35">
      <c r="A19" s="53" t="s">
        <v>486</v>
      </c>
      <c r="B19" s="53" t="s">
        <v>482</v>
      </c>
      <c r="C19" s="67" t="s">
        <v>426</v>
      </c>
      <c r="D19" s="64">
        <f>D18/D13</f>
        <v>0.0640249953581878</v>
      </c>
      <c r="E19" s="64">
        <f t="shared" ref="D19:AH19" si="16">E18/E13</f>
        <v>0.0640249953581878</v>
      </c>
      <c r="F19" s="64">
        <f t="shared" si="16"/>
        <v>0.0640249953581878</v>
      </c>
      <c r="G19" s="64">
        <f t="shared" si="16"/>
        <v>0.0640249953581878</v>
      </c>
      <c r="H19" s="64">
        <f t="shared" si="16"/>
        <v>0.0640249953581878</v>
      </c>
      <c r="I19" s="64">
        <f t="shared" si="16"/>
        <v>0.0640249953581878</v>
      </c>
      <c r="J19" s="64">
        <f t="shared" si="16"/>
        <v>0.0640249953581878</v>
      </c>
      <c r="K19" s="64">
        <f t="shared" si="16"/>
        <v>0.0695923862588998</v>
      </c>
      <c r="L19" s="64">
        <f t="shared" si="16"/>
        <v>0.0695923862588998</v>
      </c>
      <c r="M19" s="64">
        <f t="shared" si="16"/>
        <v>0.0695923862588998</v>
      </c>
      <c r="N19" s="64">
        <f t="shared" si="16"/>
        <v>0.0695923862588998</v>
      </c>
      <c r="O19" s="64">
        <f t="shared" si="16"/>
        <v>0.0695923862588998</v>
      </c>
      <c r="P19" s="64">
        <f t="shared" si="16"/>
        <v>0.0695923862588998</v>
      </c>
      <c r="Q19" s="64">
        <f t="shared" si="16"/>
        <v>0.0695923862588998</v>
      </c>
      <c r="R19" s="64">
        <f t="shared" si="16"/>
        <v>0.0695923862588998</v>
      </c>
      <c r="S19" s="64">
        <f t="shared" si="16"/>
        <v>0.0695923862588998</v>
      </c>
      <c r="T19" s="64">
        <f t="shared" si="16"/>
        <v>0.0695923862588998</v>
      </c>
      <c r="U19" s="64">
        <f t="shared" si="16"/>
        <v>0.0695923862588998</v>
      </c>
      <c r="V19" s="64">
        <f t="shared" si="16"/>
        <v>0.0695923862588998</v>
      </c>
      <c r="W19" s="64">
        <f t="shared" si="16"/>
        <v>0.0695923862588998</v>
      </c>
      <c r="X19" s="64">
        <f t="shared" si="16"/>
        <v>0.0695923862588998</v>
      </c>
      <c r="Y19" s="64">
        <f t="shared" si="16"/>
        <v>0.0695923862588998</v>
      </c>
      <c r="Z19" s="64">
        <f t="shared" si="16"/>
        <v>0.0695923862588998</v>
      </c>
      <c r="AA19" s="64">
        <f t="shared" si="16"/>
        <v>0.0695923862588998</v>
      </c>
      <c r="AB19" s="64">
        <f t="shared" si="16"/>
        <v>0.0695923862588998</v>
      </c>
      <c r="AC19" s="64">
        <f t="shared" si="16"/>
        <v>0.0695923862588998</v>
      </c>
      <c r="AD19" s="64">
        <f t="shared" si="16"/>
        <v>0.0695923862588998</v>
      </c>
      <c r="AE19" s="64">
        <f t="shared" si="16"/>
        <v>0.0695923862588998</v>
      </c>
      <c r="AF19" s="64">
        <f t="shared" si="16"/>
        <v>0.0695923862588998</v>
      </c>
      <c r="AG19" s="64">
        <f t="shared" si="16"/>
        <v>0.0695923862588998</v>
      </c>
      <c r="AH19" s="64">
        <f t="shared" si="16"/>
        <v>0.0695923862588998</v>
      </c>
      <c r="AI19" s="87">
        <f t="shared" ref="AI19:AI23" si="17">AVERAGE(H19:AH19)</f>
        <v>0.0689737872699318</v>
      </c>
    </row>
    <row r="20" s="46" customFormat="1" spans="1:35">
      <c r="A20" s="53" t="s">
        <v>486</v>
      </c>
      <c r="B20" s="53" t="s">
        <v>477</v>
      </c>
      <c r="C20" s="54" t="s">
        <v>427</v>
      </c>
      <c r="D20" s="55">
        <f t="shared" ref="D20:AH20" si="18">70*D3</f>
        <v>70</v>
      </c>
      <c r="E20" s="55">
        <f t="shared" si="18"/>
        <v>140</v>
      </c>
      <c r="F20" s="55">
        <f t="shared" si="18"/>
        <v>210</v>
      </c>
      <c r="G20" s="55">
        <f t="shared" si="18"/>
        <v>280</v>
      </c>
      <c r="H20" s="55">
        <f t="shared" si="18"/>
        <v>350</v>
      </c>
      <c r="I20" s="55">
        <f t="shared" si="18"/>
        <v>420</v>
      </c>
      <c r="J20" s="55">
        <f t="shared" si="18"/>
        <v>490</v>
      </c>
      <c r="K20" s="55">
        <f t="shared" si="18"/>
        <v>560</v>
      </c>
      <c r="L20" s="55">
        <f t="shared" si="18"/>
        <v>630</v>
      </c>
      <c r="M20" s="55">
        <f t="shared" si="18"/>
        <v>700</v>
      </c>
      <c r="N20" s="55">
        <f t="shared" si="18"/>
        <v>770</v>
      </c>
      <c r="O20" s="55">
        <f t="shared" si="18"/>
        <v>770</v>
      </c>
      <c r="P20" s="55">
        <f t="shared" si="18"/>
        <v>770</v>
      </c>
      <c r="Q20" s="55">
        <f t="shared" si="18"/>
        <v>770</v>
      </c>
      <c r="R20" s="55">
        <f t="shared" si="18"/>
        <v>770</v>
      </c>
      <c r="S20" s="55">
        <f t="shared" si="18"/>
        <v>1050</v>
      </c>
      <c r="T20" s="55">
        <f t="shared" si="18"/>
        <v>1050</v>
      </c>
      <c r="U20" s="55">
        <f t="shared" si="18"/>
        <v>1050</v>
      </c>
      <c r="V20" s="55">
        <f t="shared" si="18"/>
        <v>1050</v>
      </c>
      <c r="W20" s="55">
        <f t="shared" si="18"/>
        <v>1050</v>
      </c>
      <c r="X20" s="55">
        <f t="shared" si="18"/>
        <v>1050</v>
      </c>
      <c r="Y20" s="55">
        <f t="shared" si="18"/>
        <v>1050</v>
      </c>
      <c r="Z20" s="55">
        <f t="shared" si="18"/>
        <v>1050</v>
      </c>
      <c r="AA20" s="55">
        <f t="shared" si="18"/>
        <v>1050</v>
      </c>
      <c r="AB20" s="55">
        <f t="shared" si="18"/>
        <v>1050</v>
      </c>
      <c r="AC20" s="55">
        <f t="shared" si="18"/>
        <v>1050</v>
      </c>
      <c r="AD20" s="55">
        <f t="shared" si="18"/>
        <v>1050</v>
      </c>
      <c r="AE20" s="55">
        <f t="shared" si="18"/>
        <v>1050</v>
      </c>
      <c r="AF20" s="55">
        <f t="shared" si="18"/>
        <v>1050</v>
      </c>
      <c r="AG20" s="55">
        <f t="shared" si="18"/>
        <v>1050</v>
      </c>
      <c r="AH20" s="55">
        <f t="shared" si="18"/>
        <v>1050</v>
      </c>
      <c r="AI20" s="86">
        <f t="shared" si="15"/>
        <v>24500</v>
      </c>
    </row>
    <row r="21" s="46" customFormat="1" spans="1:35">
      <c r="A21" s="53" t="s">
        <v>486</v>
      </c>
      <c r="B21" s="53" t="s">
        <v>482</v>
      </c>
      <c r="C21" s="67" t="s">
        <v>428</v>
      </c>
      <c r="D21" s="64">
        <f t="shared" ref="D21:AH21" si="19">D20/D13</f>
        <v>0.0640249953581878</v>
      </c>
      <c r="E21" s="64">
        <f t="shared" si="19"/>
        <v>0.0640249953581878</v>
      </c>
      <c r="F21" s="64">
        <f t="shared" si="19"/>
        <v>0.0640249953581878</v>
      </c>
      <c r="G21" s="64">
        <f t="shared" si="19"/>
        <v>0.0640249953581878</v>
      </c>
      <c r="H21" s="64">
        <f t="shared" si="19"/>
        <v>0.0640249953581878</v>
      </c>
      <c r="I21" s="64">
        <f t="shared" si="19"/>
        <v>0.0640249953581878</v>
      </c>
      <c r="J21" s="64">
        <f t="shared" si="19"/>
        <v>0.0640249953581878</v>
      </c>
      <c r="K21" s="64">
        <f t="shared" si="19"/>
        <v>0.0695923862588998</v>
      </c>
      <c r="L21" s="64">
        <f t="shared" si="19"/>
        <v>0.0695923862588998</v>
      </c>
      <c r="M21" s="64">
        <f t="shared" si="19"/>
        <v>0.0695923862588998</v>
      </c>
      <c r="N21" s="64">
        <f t="shared" si="19"/>
        <v>0.0695923862588998</v>
      </c>
      <c r="O21" s="64">
        <f t="shared" si="19"/>
        <v>0.0695923862588998</v>
      </c>
      <c r="P21" s="64">
        <f t="shared" si="19"/>
        <v>0.0695923862588998</v>
      </c>
      <c r="Q21" s="64">
        <f t="shared" si="19"/>
        <v>0.0695923862588998</v>
      </c>
      <c r="R21" s="64">
        <f t="shared" si="19"/>
        <v>0.0695923862588998</v>
      </c>
      <c r="S21" s="64">
        <f t="shared" si="19"/>
        <v>0.0695923862588998</v>
      </c>
      <c r="T21" s="64">
        <f t="shared" si="19"/>
        <v>0.0695923862588998</v>
      </c>
      <c r="U21" s="64">
        <f t="shared" si="19"/>
        <v>0.0695923862588998</v>
      </c>
      <c r="V21" s="64">
        <f t="shared" si="19"/>
        <v>0.0695923862588998</v>
      </c>
      <c r="W21" s="64">
        <f t="shared" si="19"/>
        <v>0.0695923862588998</v>
      </c>
      <c r="X21" s="64">
        <f t="shared" si="19"/>
        <v>0.0695923862588998</v>
      </c>
      <c r="Y21" s="64">
        <f t="shared" si="19"/>
        <v>0.0695923862588998</v>
      </c>
      <c r="Z21" s="64">
        <f t="shared" si="19"/>
        <v>0.0695923862588998</v>
      </c>
      <c r="AA21" s="64">
        <f t="shared" si="19"/>
        <v>0.0695923862588998</v>
      </c>
      <c r="AB21" s="64">
        <f t="shared" si="19"/>
        <v>0.0695923862588998</v>
      </c>
      <c r="AC21" s="64">
        <f t="shared" si="19"/>
        <v>0.0695923862588998</v>
      </c>
      <c r="AD21" s="64">
        <f t="shared" si="19"/>
        <v>0.0695923862588998</v>
      </c>
      <c r="AE21" s="64">
        <f t="shared" si="19"/>
        <v>0.0695923862588998</v>
      </c>
      <c r="AF21" s="64">
        <f t="shared" si="19"/>
        <v>0.0695923862588998</v>
      </c>
      <c r="AG21" s="64">
        <f t="shared" si="19"/>
        <v>0.0695923862588998</v>
      </c>
      <c r="AH21" s="64">
        <f t="shared" si="19"/>
        <v>0.0695923862588998</v>
      </c>
      <c r="AI21" s="87">
        <f t="shared" si="17"/>
        <v>0.0689737872699318</v>
      </c>
    </row>
    <row r="22" s="46" customFormat="1" spans="1:35">
      <c r="A22" s="53" t="s">
        <v>486</v>
      </c>
      <c r="B22" s="53" t="s">
        <v>477</v>
      </c>
      <c r="C22" s="68" t="s">
        <v>429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55">
        <v>0</v>
      </c>
      <c r="AH22" s="55">
        <v>0</v>
      </c>
      <c r="AI22" s="86">
        <f t="shared" si="15"/>
        <v>0</v>
      </c>
    </row>
    <row r="23" s="46" customFormat="1" spans="1:35">
      <c r="A23" s="53" t="s">
        <v>486</v>
      </c>
      <c r="B23" s="53" t="s">
        <v>482</v>
      </c>
      <c r="C23" s="68" t="s">
        <v>430</v>
      </c>
      <c r="D23" s="64">
        <f t="shared" ref="D23:AH23" si="20">D22/D13</f>
        <v>0</v>
      </c>
      <c r="E23" s="64">
        <f t="shared" si="20"/>
        <v>0</v>
      </c>
      <c r="F23" s="64">
        <f t="shared" si="20"/>
        <v>0</v>
      </c>
      <c r="G23" s="64">
        <f t="shared" si="20"/>
        <v>0</v>
      </c>
      <c r="H23" s="64">
        <f t="shared" si="20"/>
        <v>0</v>
      </c>
      <c r="I23" s="64">
        <f t="shared" si="20"/>
        <v>0</v>
      </c>
      <c r="J23" s="64">
        <f t="shared" si="20"/>
        <v>0</v>
      </c>
      <c r="K23" s="64">
        <f t="shared" si="20"/>
        <v>0</v>
      </c>
      <c r="L23" s="64">
        <f t="shared" si="20"/>
        <v>0</v>
      </c>
      <c r="M23" s="64">
        <f t="shared" si="20"/>
        <v>0</v>
      </c>
      <c r="N23" s="64">
        <f t="shared" si="20"/>
        <v>0</v>
      </c>
      <c r="O23" s="64">
        <f t="shared" si="20"/>
        <v>0</v>
      </c>
      <c r="P23" s="64">
        <f t="shared" si="20"/>
        <v>0</v>
      </c>
      <c r="Q23" s="64">
        <f t="shared" si="20"/>
        <v>0</v>
      </c>
      <c r="R23" s="64">
        <f t="shared" si="20"/>
        <v>0</v>
      </c>
      <c r="S23" s="64">
        <f t="shared" si="20"/>
        <v>0</v>
      </c>
      <c r="T23" s="64">
        <f t="shared" si="20"/>
        <v>0</v>
      </c>
      <c r="U23" s="64">
        <f t="shared" si="20"/>
        <v>0</v>
      </c>
      <c r="V23" s="64">
        <f t="shared" si="20"/>
        <v>0</v>
      </c>
      <c r="W23" s="64">
        <f t="shared" si="20"/>
        <v>0</v>
      </c>
      <c r="X23" s="64">
        <f t="shared" si="20"/>
        <v>0</v>
      </c>
      <c r="Y23" s="64">
        <f t="shared" si="20"/>
        <v>0</v>
      </c>
      <c r="Z23" s="64">
        <f t="shared" si="20"/>
        <v>0</v>
      </c>
      <c r="AA23" s="64">
        <f t="shared" si="20"/>
        <v>0</v>
      </c>
      <c r="AB23" s="64">
        <f t="shared" si="20"/>
        <v>0</v>
      </c>
      <c r="AC23" s="64">
        <f t="shared" si="20"/>
        <v>0</v>
      </c>
      <c r="AD23" s="64">
        <f t="shared" si="20"/>
        <v>0</v>
      </c>
      <c r="AE23" s="64">
        <f t="shared" si="20"/>
        <v>0</v>
      </c>
      <c r="AF23" s="64">
        <f t="shared" si="20"/>
        <v>0</v>
      </c>
      <c r="AG23" s="64">
        <f t="shared" si="20"/>
        <v>0</v>
      </c>
      <c r="AH23" s="64">
        <f t="shared" si="20"/>
        <v>0</v>
      </c>
      <c r="AI23" s="87">
        <f t="shared" si="17"/>
        <v>0</v>
      </c>
    </row>
    <row r="24" s="46" customFormat="1" spans="1:35">
      <c r="A24" s="53" t="s">
        <v>486</v>
      </c>
      <c r="B24" s="53" t="s">
        <v>481</v>
      </c>
      <c r="C24" s="69" t="s">
        <v>431</v>
      </c>
      <c r="D24" s="55">
        <f>D25*D13</f>
        <v>32.79969</v>
      </c>
      <c r="E24" s="55">
        <f t="shared" ref="D24:AH24" si="21">E25*E13</f>
        <v>65.59938</v>
      </c>
      <c r="F24" s="55">
        <f t="shared" si="21"/>
        <v>98.39907</v>
      </c>
      <c r="G24" s="55">
        <f t="shared" si="21"/>
        <v>131.19876</v>
      </c>
      <c r="H24" s="55">
        <f t="shared" si="21"/>
        <v>163.99845</v>
      </c>
      <c r="I24" s="55">
        <f t="shared" si="21"/>
        <v>196.79814</v>
      </c>
      <c r="J24" s="55">
        <f t="shared" si="21"/>
        <v>229.59783</v>
      </c>
      <c r="K24" s="55">
        <f t="shared" si="21"/>
        <v>241.4057184</v>
      </c>
      <c r="L24" s="55">
        <f t="shared" si="21"/>
        <v>271.5814332</v>
      </c>
      <c r="M24" s="55">
        <f t="shared" si="21"/>
        <v>301.757148</v>
      </c>
      <c r="N24" s="55">
        <f t="shared" si="21"/>
        <v>331.9328628</v>
      </c>
      <c r="O24" s="55">
        <f t="shared" si="21"/>
        <v>331.9328628</v>
      </c>
      <c r="P24" s="55">
        <f t="shared" si="21"/>
        <v>331.9328628</v>
      </c>
      <c r="Q24" s="55">
        <f t="shared" si="21"/>
        <v>331.9328628</v>
      </c>
      <c r="R24" s="55">
        <f t="shared" si="21"/>
        <v>331.9328628</v>
      </c>
      <c r="S24" s="55">
        <f t="shared" si="21"/>
        <v>452.635722</v>
      </c>
      <c r="T24" s="55">
        <f t="shared" si="21"/>
        <v>452.635722</v>
      </c>
      <c r="U24" s="55">
        <f t="shared" si="21"/>
        <v>452.635722</v>
      </c>
      <c r="V24" s="55">
        <f t="shared" si="21"/>
        <v>452.635722</v>
      </c>
      <c r="W24" s="55">
        <f t="shared" si="21"/>
        <v>452.635722</v>
      </c>
      <c r="X24" s="55">
        <f t="shared" si="21"/>
        <v>452.635722</v>
      </c>
      <c r="Y24" s="55">
        <f t="shared" si="21"/>
        <v>452.635722</v>
      </c>
      <c r="Z24" s="55">
        <f t="shared" si="21"/>
        <v>452.635722</v>
      </c>
      <c r="AA24" s="55">
        <f t="shared" si="21"/>
        <v>452.635722</v>
      </c>
      <c r="AB24" s="55">
        <f t="shared" si="21"/>
        <v>452.635722</v>
      </c>
      <c r="AC24" s="55">
        <f t="shared" si="21"/>
        <v>452.635722</v>
      </c>
      <c r="AD24" s="55">
        <f t="shared" si="21"/>
        <v>452.635722</v>
      </c>
      <c r="AE24" s="55">
        <f t="shared" si="21"/>
        <v>452.635722</v>
      </c>
      <c r="AF24" s="55">
        <f t="shared" si="21"/>
        <v>452.635722</v>
      </c>
      <c r="AG24" s="55">
        <f t="shared" si="21"/>
        <v>452.635722</v>
      </c>
      <c r="AH24" s="55">
        <f t="shared" si="21"/>
        <v>452.635722</v>
      </c>
      <c r="AI24" s="86">
        <f t="shared" ref="AI24:AI29" si="22">SUM(D24:AH24)</f>
        <v>10634.9714856</v>
      </c>
    </row>
    <row r="25" s="46" customFormat="1" spans="1:35">
      <c r="A25" s="53" t="s">
        <v>486</v>
      </c>
      <c r="B25" s="53" t="s">
        <v>487</v>
      </c>
      <c r="C25" s="69" t="s">
        <v>432</v>
      </c>
      <c r="D25" s="64">
        <v>0.03</v>
      </c>
      <c r="E25" s="64">
        <v>0.03</v>
      </c>
      <c r="F25" s="64">
        <v>0.03</v>
      </c>
      <c r="G25" s="64">
        <v>0.03</v>
      </c>
      <c r="H25" s="64">
        <v>0.03</v>
      </c>
      <c r="I25" s="64">
        <v>0.03</v>
      </c>
      <c r="J25" s="64">
        <v>0.03</v>
      </c>
      <c r="K25" s="64">
        <v>0.03</v>
      </c>
      <c r="L25" s="64">
        <v>0.03</v>
      </c>
      <c r="M25" s="64">
        <v>0.03</v>
      </c>
      <c r="N25" s="64">
        <v>0.03</v>
      </c>
      <c r="O25" s="64">
        <v>0.03</v>
      </c>
      <c r="P25" s="64">
        <v>0.03</v>
      </c>
      <c r="Q25" s="64">
        <v>0.03</v>
      </c>
      <c r="R25" s="64">
        <v>0.03</v>
      </c>
      <c r="S25" s="64">
        <v>0.03</v>
      </c>
      <c r="T25" s="64">
        <v>0.03</v>
      </c>
      <c r="U25" s="64">
        <v>0.03</v>
      </c>
      <c r="V25" s="64">
        <v>0.03</v>
      </c>
      <c r="W25" s="64">
        <v>0.03</v>
      </c>
      <c r="X25" s="64">
        <v>0.03</v>
      </c>
      <c r="Y25" s="64">
        <v>0.03</v>
      </c>
      <c r="Z25" s="64">
        <v>0.03</v>
      </c>
      <c r="AA25" s="64">
        <v>0.03</v>
      </c>
      <c r="AB25" s="64">
        <v>0.03</v>
      </c>
      <c r="AC25" s="64">
        <v>0.03</v>
      </c>
      <c r="AD25" s="64">
        <v>0.03</v>
      </c>
      <c r="AE25" s="64">
        <v>0.03</v>
      </c>
      <c r="AF25" s="64">
        <v>0.03</v>
      </c>
      <c r="AG25" s="64">
        <v>0.03</v>
      </c>
      <c r="AH25" s="64">
        <v>0.03</v>
      </c>
      <c r="AI25" s="87">
        <f>AVERAGE(H25:AH25)</f>
        <v>0.03</v>
      </c>
    </row>
    <row r="26" s="46" customFormat="1" spans="1:35">
      <c r="A26" s="70" t="s">
        <v>488</v>
      </c>
      <c r="B26" s="70" t="s">
        <v>481</v>
      </c>
      <c r="C26" s="70" t="s">
        <v>433</v>
      </c>
      <c r="D26" s="55">
        <f t="shared" ref="D26:AH26" si="23">D15+D18+D20+D22+D24</f>
        <v>533.99969</v>
      </c>
      <c r="E26" s="55">
        <f t="shared" si="23"/>
        <v>1067.99938</v>
      </c>
      <c r="F26" s="55">
        <f t="shared" si="23"/>
        <v>1601.99907</v>
      </c>
      <c r="G26" s="55">
        <f t="shared" si="23"/>
        <v>2135.99876</v>
      </c>
      <c r="H26" s="55">
        <f t="shared" si="23"/>
        <v>2669.99845</v>
      </c>
      <c r="I26" s="55">
        <f t="shared" si="23"/>
        <v>3203.99814</v>
      </c>
      <c r="J26" s="55">
        <f t="shared" si="23"/>
        <v>3737.99783</v>
      </c>
      <c r="K26" s="55">
        <f t="shared" si="23"/>
        <v>4019.8377184</v>
      </c>
      <c r="L26" s="55">
        <f t="shared" si="23"/>
        <v>4522.3174332</v>
      </c>
      <c r="M26" s="55">
        <f t="shared" si="23"/>
        <v>5024.797148</v>
      </c>
      <c r="N26" s="55">
        <f t="shared" si="23"/>
        <v>5527.2768628</v>
      </c>
      <c r="O26" s="55">
        <f t="shared" si="23"/>
        <v>5527.2768628</v>
      </c>
      <c r="P26" s="55">
        <f t="shared" si="23"/>
        <v>5527.2768628</v>
      </c>
      <c r="Q26" s="55">
        <f t="shared" si="23"/>
        <v>5527.2768628</v>
      </c>
      <c r="R26" s="55">
        <f t="shared" si="23"/>
        <v>5527.2768628</v>
      </c>
      <c r="S26" s="55">
        <f t="shared" si="23"/>
        <v>7537.195722</v>
      </c>
      <c r="T26" s="55">
        <f t="shared" si="23"/>
        <v>7537.195722</v>
      </c>
      <c r="U26" s="55">
        <f t="shared" si="23"/>
        <v>7537.195722</v>
      </c>
      <c r="V26" s="55">
        <f t="shared" si="23"/>
        <v>7537.195722</v>
      </c>
      <c r="W26" s="55">
        <f t="shared" si="23"/>
        <v>7537.195722</v>
      </c>
      <c r="X26" s="55">
        <f t="shared" si="23"/>
        <v>7537.195722</v>
      </c>
      <c r="Y26" s="55">
        <f t="shared" si="23"/>
        <v>7537.195722</v>
      </c>
      <c r="Z26" s="55">
        <f t="shared" si="23"/>
        <v>7537.195722</v>
      </c>
      <c r="AA26" s="55">
        <f t="shared" si="23"/>
        <v>7537.195722</v>
      </c>
      <c r="AB26" s="55">
        <f t="shared" si="23"/>
        <v>7537.195722</v>
      </c>
      <c r="AC26" s="55">
        <f t="shared" si="23"/>
        <v>7537.195722</v>
      </c>
      <c r="AD26" s="55">
        <f t="shared" si="23"/>
        <v>7537.195722</v>
      </c>
      <c r="AE26" s="55">
        <f t="shared" si="23"/>
        <v>7537.195722</v>
      </c>
      <c r="AF26" s="55">
        <f t="shared" si="23"/>
        <v>7537.195722</v>
      </c>
      <c r="AG26" s="55">
        <f t="shared" si="23"/>
        <v>7537.195722</v>
      </c>
      <c r="AH26" s="55">
        <f t="shared" si="23"/>
        <v>7537.195722</v>
      </c>
      <c r="AI26" s="86">
        <f t="shared" si="22"/>
        <v>176750.4594856</v>
      </c>
    </row>
    <row r="27" s="46" customFormat="1" spans="1:35">
      <c r="A27" s="70" t="s">
        <v>488</v>
      </c>
      <c r="B27" s="70" t="s">
        <v>482</v>
      </c>
      <c r="C27" s="71" t="s">
        <v>434</v>
      </c>
      <c r="D27" s="64">
        <f t="shared" ref="D27:AH27" si="24">D26/D13</f>
        <v>0.488418966764625</v>
      </c>
      <c r="E27" s="64">
        <f t="shared" si="24"/>
        <v>0.488418966764625</v>
      </c>
      <c r="F27" s="64">
        <f t="shared" si="24"/>
        <v>0.488418966764625</v>
      </c>
      <c r="G27" s="64">
        <f t="shared" si="24"/>
        <v>0.488418966764625</v>
      </c>
      <c r="H27" s="64">
        <f t="shared" si="24"/>
        <v>0.488418966764625</v>
      </c>
      <c r="I27" s="64">
        <f t="shared" si="24"/>
        <v>0.488418966764625</v>
      </c>
      <c r="J27" s="64">
        <f t="shared" si="24"/>
        <v>0.488418966764625</v>
      </c>
      <c r="K27" s="64">
        <f t="shared" si="24"/>
        <v>0.499553748566049</v>
      </c>
      <c r="L27" s="64">
        <f t="shared" si="24"/>
        <v>0.499553748566049</v>
      </c>
      <c r="M27" s="64">
        <f t="shared" si="24"/>
        <v>0.499553748566049</v>
      </c>
      <c r="N27" s="64">
        <f t="shared" si="24"/>
        <v>0.499553748566049</v>
      </c>
      <c r="O27" s="64">
        <f t="shared" si="24"/>
        <v>0.499553748566049</v>
      </c>
      <c r="P27" s="64">
        <f t="shared" si="24"/>
        <v>0.499553748566049</v>
      </c>
      <c r="Q27" s="64">
        <f t="shared" si="24"/>
        <v>0.499553748566049</v>
      </c>
      <c r="R27" s="64">
        <f t="shared" si="24"/>
        <v>0.499553748566049</v>
      </c>
      <c r="S27" s="64">
        <f t="shared" si="24"/>
        <v>0.499553748566049</v>
      </c>
      <c r="T27" s="64">
        <f t="shared" si="24"/>
        <v>0.499553748566049</v>
      </c>
      <c r="U27" s="64">
        <f t="shared" si="24"/>
        <v>0.499553748566049</v>
      </c>
      <c r="V27" s="64">
        <f t="shared" si="24"/>
        <v>0.499553748566049</v>
      </c>
      <c r="W27" s="64">
        <f t="shared" si="24"/>
        <v>0.499553748566049</v>
      </c>
      <c r="X27" s="64">
        <f t="shared" si="24"/>
        <v>0.499553748566049</v>
      </c>
      <c r="Y27" s="64">
        <f t="shared" si="24"/>
        <v>0.499553748566049</v>
      </c>
      <c r="Z27" s="64">
        <f t="shared" si="24"/>
        <v>0.499553748566049</v>
      </c>
      <c r="AA27" s="64">
        <f t="shared" si="24"/>
        <v>0.499553748566049</v>
      </c>
      <c r="AB27" s="64">
        <f t="shared" si="24"/>
        <v>0.499553748566049</v>
      </c>
      <c r="AC27" s="64">
        <f t="shared" si="24"/>
        <v>0.499553748566049</v>
      </c>
      <c r="AD27" s="64">
        <f t="shared" si="24"/>
        <v>0.499553748566049</v>
      </c>
      <c r="AE27" s="64">
        <f t="shared" si="24"/>
        <v>0.499553748566049</v>
      </c>
      <c r="AF27" s="64">
        <f t="shared" si="24"/>
        <v>0.499553748566049</v>
      </c>
      <c r="AG27" s="64">
        <f t="shared" si="24"/>
        <v>0.499553748566049</v>
      </c>
      <c r="AH27" s="64">
        <f t="shared" si="24"/>
        <v>0.499553748566049</v>
      </c>
      <c r="AI27" s="87">
        <f>AVERAGE(K27:AH27)</f>
        <v>0.499553748566049</v>
      </c>
    </row>
    <row r="28" s="46" customFormat="1" spans="1:35">
      <c r="A28" s="66" t="s">
        <v>485</v>
      </c>
      <c r="B28" s="66" t="s">
        <v>481</v>
      </c>
      <c r="C28" s="66" t="s">
        <v>435</v>
      </c>
      <c r="D28" s="55">
        <f t="shared" ref="D28:AH28" si="25">D13-D26</f>
        <v>559.32331</v>
      </c>
      <c r="E28" s="55">
        <f t="shared" si="25"/>
        <v>1118.64662</v>
      </c>
      <c r="F28" s="55">
        <f t="shared" si="25"/>
        <v>1677.96993</v>
      </c>
      <c r="G28" s="55">
        <f t="shared" si="25"/>
        <v>2237.29324</v>
      </c>
      <c r="H28" s="55">
        <f t="shared" si="25"/>
        <v>2796.61655</v>
      </c>
      <c r="I28" s="55">
        <f t="shared" si="25"/>
        <v>3355.93986</v>
      </c>
      <c r="J28" s="55">
        <f t="shared" si="25"/>
        <v>3915.26317</v>
      </c>
      <c r="K28" s="55">
        <f t="shared" si="25"/>
        <v>4027.0195616</v>
      </c>
      <c r="L28" s="55">
        <f t="shared" si="25"/>
        <v>4530.3970068</v>
      </c>
      <c r="M28" s="55">
        <f t="shared" si="25"/>
        <v>5033.774452</v>
      </c>
      <c r="N28" s="55">
        <f t="shared" si="25"/>
        <v>5537.1518972</v>
      </c>
      <c r="O28" s="55">
        <f t="shared" si="25"/>
        <v>5537.1518972</v>
      </c>
      <c r="P28" s="55">
        <f t="shared" si="25"/>
        <v>5537.1518972</v>
      </c>
      <c r="Q28" s="55">
        <f t="shared" si="25"/>
        <v>5537.1518972</v>
      </c>
      <c r="R28" s="55">
        <f t="shared" si="25"/>
        <v>5537.1518972</v>
      </c>
      <c r="S28" s="55">
        <f t="shared" si="25"/>
        <v>7550.661678</v>
      </c>
      <c r="T28" s="55">
        <f t="shared" si="25"/>
        <v>7550.661678</v>
      </c>
      <c r="U28" s="55">
        <f t="shared" si="25"/>
        <v>7550.661678</v>
      </c>
      <c r="V28" s="55">
        <f t="shared" si="25"/>
        <v>7550.661678</v>
      </c>
      <c r="W28" s="55">
        <f t="shared" si="25"/>
        <v>7550.661678</v>
      </c>
      <c r="X28" s="55">
        <f t="shared" si="25"/>
        <v>7550.661678</v>
      </c>
      <c r="Y28" s="55">
        <f t="shared" si="25"/>
        <v>7550.661678</v>
      </c>
      <c r="Z28" s="55">
        <f t="shared" si="25"/>
        <v>7550.661678</v>
      </c>
      <c r="AA28" s="55">
        <f t="shared" si="25"/>
        <v>7550.661678</v>
      </c>
      <c r="AB28" s="55">
        <f t="shared" si="25"/>
        <v>7550.661678</v>
      </c>
      <c r="AC28" s="55">
        <f t="shared" si="25"/>
        <v>7550.661678</v>
      </c>
      <c r="AD28" s="55">
        <f t="shared" si="25"/>
        <v>7550.661678</v>
      </c>
      <c r="AE28" s="55">
        <f t="shared" si="25"/>
        <v>7550.661678</v>
      </c>
      <c r="AF28" s="55">
        <f t="shared" si="25"/>
        <v>7550.661678</v>
      </c>
      <c r="AG28" s="55">
        <f t="shared" si="25"/>
        <v>7550.661678</v>
      </c>
      <c r="AH28" s="55">
        <f t="shared" si="25"/>
        <v>7550.661678</v>
      </c>
      <c r="AI28" s="86">
        <f t="shared" si="22"/>
        <v>177748.5900344</v>
      </c>
    </row>
    <row r="29" s="46" customFormat="1" spans="1:35">
      <c r="A29" s="53" t="s">
        <v>489</v>
      </c>
      <c r="B29" s="53" t="s">
        <v>481</v>
      </c>
      <c r="C29" s="53" t="s">
        <v>436</v>
      </c>
      <c r="D29" s="55">
        <f t="shared" ref="D29:AH29" si="26">(D6-D8)*D30</f>
        <v>155.251866</v>
      </c>
      <c r="E29" s="55">
        <f t="shared" si="26"/>
        <v>310.503732</v>
      </c>
      <c r="F29" s="55">
        <f t="shared" si="26"/>
        <v>465.755598</v>
      </c>
      <c r="G29" s="55">
        <f t="shared" si="26"/>
        <v>621.007464</v>
      </c>
      <c r="H29" s="55">
        <f t="shared" si="26"/>
        <v>776.25933</v>
      </c>
      <c r="I29" s="55">
        <f t="shared" si="26"/>
        <v>931.511196</v>
      </c>
      <c r="J29" s="55">
        <f t="shared" si="26"/>
        <v>1086.763062</v>
      </c>
      <c r="K29" s="55">
        <f t="shared" si="26"/>
        <v>1242.014928</v>
      </c>
      <c r="L29" s="55">
        <f t="shared" si="26"/>
        <v>1397.266794</v>
      </c>
      <c r="M29" s="55">
        <f t="shared" si="26"/>
        <v>1552.51866</v>
      </c>
      <c r="N29" s="55">
        <f t="shared" si="26"/>
        <v>1707.770526</v>
      </c>
      <c r="O29" s="55">
        <f t="shared" si="26"/>
        <v>1707.770526</v>
      </c>
      <c r="P29" s="55">
        <f t="shared" si="26"/>
        <v>1707.770526</v>
      </c>
      <c r="Q29" s="55">
        <f t="shared" si="26"/>
        <v>1707.770526</v>
      </c>
      <c r="R29" s="55">
        <f t="shared" si="26"/>
        <v>1707.770526</v>
      </c>
      <c r="S29" s="55">
        <f t="shared" si="26"/>
        <v>2328.77799</v>
      </c>
      <c r="T29" s="55">
        <f t="shared" si="26"/>
        <v>2328.77799</v>
      </c>
      <c r="U29" s="55">
        <f t="shared" si="26"/>
        <v>2328.77799</v>
      </c>
      <c r="V29" s="55">
        <f t="shared" si="26"/>
        <v>2328.77799</v>
      </c>
      <c r="W29" s="55">
        <f t="shared" si="26"/>
        <v>2328.77799</v>
      </c>
      <c r="X29" s="55">
        <f t="shared" si="26"/>
        <v>2328.77799</v>
      </c>
      <c r="Y29" s="55">
        <f t="shared" si="26"/>
        <v>2328.77799</v>
      </c>
      <c r="Z29" s="55">
        <f t="shared" si="26"/>
        <v>2328.77799</v>
      </c>
      <c r="AA29" s="55">
        <f t="shared" si="26"/>
        <v>2328.77799</v>
      </c>
      <c r="AB29" s="55">
        <f t="shared" si="26"/>
        <v>2328.77799</v>
      </c>
      <c r="AC29" s="55">
        <f t="shared" si="26"/>
        <v>2328.77799</v>
      </c>
      <c r="AD29" s="55">
        <f t="shared" si="26"/>
        <v>2328.77799</v>
      </c>
      <c r="AE29" s="55">
        <f t="shared" si="26"/>
        <v>2328.77799</v>
      </c>
      <c r="AF29" s="55">
        <f t="shared" si="26"/>
        <v>2328.77799</v>
      </c>
      <c r="AG29" s="55">
        <f t="shared" si="26"/>
        <v>2328.77799</v>
      </c>
      <c r="AH29" s="55">
        <f t="shared" si="26"/>
        <v>2328.77799</v>
      </c>
      <c r="AI29" s="86">
        <f t="shared" si="22"/>
        <v>54338.1531</v>
      </c>
    </row>
    <row r="30" s="46" customFormat="1" spans="1:35">
      <c r="A30" s="53" t="s">
        <v>489</v>
      </c>
      <c r="B30" s="53" t="s">
        <v>487</v>
      </c>
      <c r="C30" s="53" t="s">
        <v>437</v>
      </c>
      <c r="D30" s="64">
        <v>0.142</v>
      </c>
      <c r="E30" s="64">
        <v>0.142</v>
      </c>
      <c r="F30" s="64">
        <v>0.142</v>
      </c>
      <c r="G30" s="64">
        <v>0.142</v>
      </c>
      <c r="H30" s="64">
        <v>0.142</v>
      </c>
      <c r="I30" s="64">
        <v>0.142</v>
      </c>
      <c r="J30" s="64">
        <v>0.142</v>
      </c>
      <c r="K30" s="64">
        <v>0.142</v>
      </c>
      <c r="L30" s="64">
        <v>0.142</v>
      </c>
      <c r="M30" s="64">
        <v>0.142</v>
      </c>
      <c r="N30" s="64">
        <v>0.142</v>
      </c>
      <c r="O30" s="64">
        <v>0.142</v>
      </c>
      <c r="P30" s="64">
        <v>0.142</v>
      </c>
      <c r="Q30" s="64">
        <v>0.142</v>
      </c>
      <c r="R30" s="64">
        <v>0.142</v>
      </c>
      <c r="S30" s="64">
        <v>0.142</v>
      </c>
      <c r="T30" s="64">
        <v>0.142</v>
      </c>
      <c r="U30" s="64">
        <v>0.142</v>
      </c>
      <c r="V30" s="64">
        <v>0.142</v>
      </c>
      <c r="W30" s="64">
        <v>0.142</v>
      </c>
      <c r="X30" s="64">
        <v>0.142</v>
      </c>
      <c r="Y30" s="64">
        <v>0.142</v>
      </c>
      <c r="Z30" s="64">
        <v>0.142</v>
      </c>
      <c r="AA30" s="64">
        <v>0.142</v>
      </c>
      <c r="AB30" s="64">
        <v>0.142</v>
      </c>
      <c r="AC30" s="64">
        <v>0.142</v>
      </c>
      <c r="AD30" s="64">
        <v>0.142</v>
      </c>
      <c r="AE30" s="64">
        <v>0.142</v>
      </c>
      <c r="AF30" s="64">
        <v>0.142</v>
      </c>
      <c r="AG30" s="64">
        <v>0.142</v>
      </c>
      <c r="AH30" s="64">
        <v>0.142</v>
      </c>
      <c r="AI30" s="87">
        <f>AVERAGE(H30:AH30)</f>
        <v>0.142</v>
      </c>
    </row>
    <row r="31" s="46" customFormat="1" spans="1:35">
      <c r="A31" s="53" t="s">
        <v>489</v>
      </c>
      <c r="B31" s="53" t="s">
        <v>477</v>
      </c>
      <c r="C31" s="53" t="s">
        <v>438</v>
      </c>
      <c r="D31" s="55">
        <f>$D$67*D3</f>
        <v>54.678</v>
      </c>
      <c r="E31" s="55">
        <f>$D$67*E3</f>
        <v>109.356</v>
      </c>
      <c r="F31" s="55">
        <f>$D$67*F3</f>
        <v>164.034</v>
      </c>
      <c r="G31" s="55">
        <f>$D$67*G3</f>
        <v>218.712</v>
      </c>
      <c r="H31" s="55">
        <f>$D$67*H3</f>
        <v>273.39</v>
      </c>
      <c r="I31" s="55">
        <f>$D$67*I3</f>
        <v>328.068</v>
      </c>
      <c r="J31" s="55">
        <f>$D$67*J3</f>
        <v>382.746</v>
      </c>
      <c r="K31" s="55">
        <f>$D$67*K3</f>
        <v>437.424</v>
      </c>
      <c r="L31" s="55">
        <f>$D$67*L3</f>
        <v>492.102</v>
      </c>
      <c r="M31" s="55">
        <f>$D$67*M3</f>
        <v>546.78</v>
      </c>
      <c r="N31" s="55">
        <f>$D$67*N3</f>
        <v>601.458</v>
      </c>
      <c r="O31" s="55">
        <f>$D$67*O3</f>
        <v>601.458</v>
      </c>
      <c r="P31" s="55">
        <f>$D$67*P3</f>
        <v>601.458</v>
      </c>
      <c r="Q31" s="55">
        <f>$D$67*Q3</f>
        <v>601.458</v>
      </c>
      <c r="R31" s="55">
        <f>$D$67*R3</f>
        <v>601.458</v>
      </c>
      <c r="S31" s="55">
        <f>$D$67*S3</f>
        <v>820.17</v>
      </c>
      <c r="T31" s="55">
        <f>$D$67*T3</f>
        <v>820.17</v>
      </c>
      <c r="U31" s="55">
        <f>$D$67*U3</f>
        <v>820.17</v>
      </c>
      <c r="V31" s="55">
        <f>$D$67*V3</f>
        <v>820.17</v>
      </c>
      <c r="W31" s="55">
        <f>$D$67*W3</f>
        <v>820.17</v>
      </c>
      <c r="X31" s="55">
        <f>$D$67*X3</f>
        <v>820.17</v>
      </c>
      <c r="Y31" s="55">
        <f>$D$67*Y3</f>
        <v>820.17</v>
      </c>
      <c r="Z31" s="55">
        <f>$D$67*Z3</f>
        <v>820.17</v>
      </c>
      <c r="AA31" s="55">
        <f>$D$67*AA3</f>
        <v>820.17</v>
      </c>
      <c r="AB31" s="55">
        <f>$D$67*AB3</f>
        <v>820.17</v>
      </c>
      <c r="AC31" s="55">
        <f>$D$67*AC3</f>
        <v>820.17</v>
      </c>
      <c r="AD31" s="55">
        <f>$D$67*AD3</f>
        <v>820.17</v>
      </c>
      <c r="AE31" s="55">
        <f>$D$67*AE3</f>
        <v>820.17</v>
      </c>
      <c r="AF31" s="55">
        <f>$D$67*AF3</f>
        <v>820.17</v>
      </c>
      <c r="AG31" s="55">
        <f>$D$67*AG3</f>
        <v>820.17</v>
      </c>
      <c r="AH31" s="55">
        <f>$D$67*AH3</f>
        <v>820.17</v>
      </c>
      <c r="AI31" s="86">
        <f t="shared" ref="AI31:AI34" si="27">SUM(D31:AH31)</f>
        <v>19137.3</v>
      </c>
    </row>
    <row r="32" s="46" customFormat="1" spans="1:35">
      <c r="A32" s="53" t="s">
        <v>489</v>
      </c>
      <c r="B32" s="53" t="s">
        <v>481</v>
      </c>
      <c r="C32" s="53" t="s">
        <v>439</v>
      </c>
      <c r="D32" s="55">
        <f t="shared" ref="D32:AH32" si="28">D11*D29</f>
        <v>0</v>
      </c>
      <c r="E32" s="55">
        <f t="shared" si="28"/>
        <v>0</v>
      </c>
      <c r="F32" s="55">
        <f t="shared" si="28"/>
        <v>0</v>
      </c>
      <c r="G32" s="55">
        <f t="shared" si="28"/>
        <v>0</v>
      </c>
      <c r="H32" s="55">
        <f t="shared" si="28"/>
        <v>0</v>
      </c>
      <c r="I32" s="55">
        <f t="shared" si="28"/>
        <v>0</v>
      </c>
      <c r="J32" s="55">
        <f t="shared" si="28"/>
        <v>0</v>
      </c>
      <c r="K32" s="55">
        <f t="shared" si="28"/>
        <v>99.36119424</v>
      </c>
      <c r="L32" s="55">
        <f t="shared" si="28"/>
        <v>111.78134352</v>
      </c>
      <c r="M32" s="55">
        <f t="shared" si="28"/>
        <v>124.2014928</v>
      </c>
      <c r="N32" s="55">
        <f t="shared" si="28"/>
        <v>136.62164208</v>
      </c>
      <c r="O32" s="55">
        <f t="shared" si="28"/>
        <v>136.62164208</v>
      </c>
      <c r="P32" s="55">
        <f t="shared" si="28"/>
        <v>136.62164208</v>
      </c>
      <c r="Q32" s="55">
        <f t="shared" si="28"/>
        <v>136.62164208</v>
      </c>
      <c r="R32" s="55">
        <f t="shared" si="28"/>
        <v>136.62164208</v>
      </c>
      <c r="S32" s="55">
        <f t="shared" si="28"/>
        <v>186.3022392</v>
      </c>
      <c r="T32" s="55">
        <f t="shared" si="28"/>
        <v>186.3022392</v>
      </c>
      <c r="U32" s="55">
        <f t="shared" si="28"/>
        <v>186.3022392</v>
      </c>
      <c r="V32" s="55">
        <f t="shared" si="28"/>
        <v>186.3022392</v>
      </c>
      <c r="W32" s="55">
        <f t="shared" si="28"/>
        <v>186.3022392</v>
      </c>
      <c r="X32" s="55">
        <f t="shared" si="28"/>
        <v>186.3022392</v>
      </c>
      <c r="Y32" s="55">
        <f t="shared" si="28"/>
        <v>186.3022392</v>
      </c>
      <c r="Z32" s="55">
        <f t="shared" si="28"/>
        <v>186.3022392</v>
      </c>
      <c r="AA32" s="55">
        <f t="shared" si="28"/>
        <v>186.3022392</v>
      </c>
      <c r="AB32" s="55">
        <f t="shared" si="28"/>
        <v>186.3022392</v>
      </c>
      <c r="AC32" s="55">
        <f t="shared" si="28"/>
        <v>186.3022392</v>
      </c>
      <c r="AD32" s="55">
        <f t="shared" si="28"/>
        <v>186.3022392</v>
      </c>
      <c r="AE32" s="55">
        <f t="shared" si="28"/>
        <v>186.3022392</v>
      </c>
      <c r="AF32" s="55">
        <f t="shared" si="28"/>
        <v>186.3022392</v>
      </c>
      <c r="AG32" s="55">
        <f t="shared" si="28"/>
        <v>186.3022392</v>
      </c>
      <c r="AH32" s="55">
        <f t="shared" si="28"/>
        <v>186.3022392</v>
      </c>
      <c r="AI32" s="86">
        <f t="shared" si="27"/>
        <v>3999.28806816</v>
      </c>
    </row>
    <row r="33" s="46" customFormat="1" spans="1:35">
      <c r="A33" s="53" t="s">
        <v>489</v>
      </c>
      <c r="B33" s="53" t="s">
        <v>487</v>
      </c>
      <c r="C33" s="53" t="s">
        <v>440</v>
      </c>
      <c r="D33" s="64">
        <f t="shared" ref="D33:AH33" si="29">(D29+D31-D32)/D13</f>
        <v>0.192010838517071</v>
      </c>
      <c r="E33" s="64">
        <f t="shared" si="29"/>
        <v>0.192010838517071</v>
      </c>
      <c r="F33" s="64">
        <f t="shared" si="29"/>
        <v>0.192010838517071</v>
      </c>
      <c r="G33" s="64">
        <f t="shared" si="29"/>
        <v>0.192010838517071</v>
      </c>
      <c r="H33" s="64">
        <f t="shared" si="29"/>
        <v>0.192010838517071</v>
      </c>
      <c r="I33" s="64">
        <f t="shared" si="29"/>
        <v>0.192010838517071</v>
      </c>
      <c r="J33" s="64">
        <f t="shared" si="29"/>
        <v>0.192010838517071</v>
      </c>
      <c r="K33" s="64">
        <f t="shared" si="29"/>
        <v>0.196359607083773</v>
      </c>
      <c r="L33" s="64">
        <f t="shared" si="29"/>
        <v>0.196359607083773</v>
      </c>
      <c r="M33" s="64">
        <f t="shared" si="29"/>
        <v>0.196359607083773</v>
      </c>
      <c r="N33" s="64">
        <f t="shared" si="29"/>
        <v>0.196359607083773</v>
      </c>
      <c r="O33" s="64">
        <f t="shared" si="29"/>
        <v>0.196359607083773</v>
      </c>
      <c r="P33" s="64">
        <f t="shared" si="29"/>
        <v>0.196359607083773</v>
      </c>
      <c r="Q33" s="64">
        <f t="shared" si="29"/>
        <v>0.196359607083773</v>
      </c>
      <c r="R33" s="64">
        <f t="shared" si="29"/>
        <v>0.196359607083773</v>
      </c>
      <c r="S33" s="64">
        <f t="shared" si="29"/>
        <v>0.196359607083773</v>
      </c>
      <c r="T33" s="64">
        <f t="shared" si="29"/>
        <v>0.196359607083773</v>
      </c>
      <c r="U33" s="64">
        <f t="shared" si="29"/>
        <v>0.196359607083773</v>
      </c>
      <c r="V33" s="64">
        <f t="shared" si="29"/>
        <v>0.196359607083773</v>
      </c>
      <c r="W33" s="64">
        <f t="shared" si="29"/>
        <v>0.196359607083773</v>
      </c>
      <c r="X33" s="64">
        <f t="shared" si="29"/>
        <v>0.196359607083773</v>
      </c>
      <c r="Y33" s="64">
        <f t="shared" si="29"/>
        <v>0.196359607083773</v>
      </c>
      <c r="Z33" s="64">
        <f t="shared" si="29"/>
        <v>0.196359607083773</v>
      </c>
      <c r="AA33" s="64">
        <f t="shared" si="29"/>
        <v>0.196359607083773</v>
      </c>
      <c r="AB33" s="64">
        <f t="shared" si="29"/>
        <v>0.196359607083773</v>
      </c>
      <c r="AC33" s="64">
        <f t="shared" si="29"/>
        <v>0.196359607083773</v>
      </c>
      <c r="AD33" s="64">
        <f t="shared" si="29"/>
        <v>0.196359607083773</v>
      </c>
      <c r="AE33" s="64">
        <f t="shared" si="29"/>
        <v>0.196359607083773</v>
      </c>
      <c r="AF33" s="64">
        <f t="shared" si="29"/>
        <v>0.196359607083773</v>
      </c>
      <c r="AG33" s="64">
        <f t="shared" si="29"/>
        <v>0.196359607083773</v>
      </c>
      <c r="AH33" s="64">
        <f t="shared" si="29"/>
        <v>0.196359607083773</v>
      </c>
      <c r="AI33" s="87">
        <f>AVERAGE(K33:AH33)</f>
        <v>0.196359607083773</v>
      </c>
    </row>
    <row r="34" s="46" customFormat="1" spans="1:35">
      <c r="A34" s="53" t="s">
        <v>489</v>
      </c>
      <c r="B34" s="53" t="s">
        <v>481</v>
      </c>
      <c r="C34" s="53" t="s">
        <v>441</v>
      </c>
      <c r="D34" s="55">
        <f t="shared" ref="D34:AH34" si="30">D35*D13</f>
        <v>0</v>
      </c>
      <c r="E34" s="55">
        <f t="shared" si="30"/>
        <v>0</v>
      </c>
      <c r="F34" s="55">
        <f t="shared" si="30"/>
        <v>0</v>
      </c>
      <c r="G34" s="55">
        <f t="shared" si="30"/>
        <v>0</v>
      </c>
      <c r="H34" s="55">
        <f t="shared" si="30"/>
        <v>0</v>
      </c>
      <c r="I34" s="55">
        <f t="shared" si="30"/>
        <v>0</v>
      </c>
      <c r="J34" s="55">
        <f t="shared" si="30"/>
        <v>0</v>
      </c>
      <c r="K34" s="55">
        <f t="shared" si="30"/>
        <v>0</v>
      </c>
      <c r="L34" s="55">
        <f t="shared" si="30"/>
        <v>0</v>
      </c>
      <c r="M34" s="55">
        <f t="shared" si="30"/>
        <v>0</v>
      </c>
      <c r="N34" s="55">
        <f t="shared" si="30"/>
        <v>0</v>
      </c>
      <c r="O34" s="55">
        <f t="shared" si="30"/>
        <v>0</v>
      </c>
      <c r="P34" s="55">
        <f t="shared" si="30"/>
        <v>0</v>
      </c>
      <c r="Q34" s="55">
        <f t="shared" si="30"/>
        <v>0</v>
      </c>
      <c r="R34" s="55">
        <f t="shared" si="30"/>
        <v>0</v>
      </c>
      <c r="S34" s="55">
        <f t="shared" si="30"/>
        <v>0</v>
      </c>
      <c r="T34" s="55">
        <f t="shared" si="30"/>
        <v>0</v>
      </c>
      <c r="U34" s="55">
        <f t="shared" si="30"/>
        <v>0</v>
      </c>
      <c r="V34" s="55">
        <f t="shared" si="30"/>
        <v>0</v>
      </c>
      <c r="W34" s="55">
        <f t="shared" si="30"/>
        <v>0</v>
      </c>
      <c r="X34" s="55">
        <f t="shared" si="30"/>
        <v>0</v>
      </c>
      <c r="Y34" s="55">
        <f t="shared" si="30"/>
        <v>0</v>
      </c>
      <c r="Z34" s="55">
        <f t="shared" si="30"/>
        <v>0</v>
      </c>
      <c r="AA34" s="55">
        <f t="shared" si="30"/>
        <v>0</v>
      </c>
      <c r="AB34" s="55">
        <f t="shared" si="30"/>
        <v>0</v>
      </c>
      <c r="AC34" s="55">
        <f t="shared" si="30"/>
        <v>0</v>
      </c>
      <c r="AD34" s="55">
        <f t="shared" si="30"/>
        <v>0</v>
      </c>
      <c r="AE34" s="55">
        <f t="shared" si="30"/>
        <v>0</v>
      </c>
      <c r="AF34" s="55">
        <f t="shared" si="30"/>
        <v>0</v>
      </c>
      <c r="AG34" s="55">
        <f t="shared" si="30"/>
        <v>0</v>
      </c>
      <c r="AH34" s="55">
        <f t="shared" si="30"/>
        <v>0</v>
      </c>
      <c r="AI34" s="86">
        <f t="shared" si="27"/>
        <v>0</v>
      </c>
    </row>
    <row r="35" s="46" customFormat="1" spans="1:35">
      <c r="A35" s="53" t="s">
        <v>489</v>
      </c>
      <c r="B35" s="53" t="s">
        <v>487</v>
      </c>
      <c r="C35" s="53" t="s">
        <v>442</v>
      </c>
      <c r="D35" s="72">
        <v>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87">
        <v>0.01</v>
      </c>
    </row>
    <row r="36" s="46" customFormat="1" spans="1:35">
      <c r="A36" s="70" t="s">
        <v>489</v>
      </c>
      <c r="B36" s="70" t="s">
        <v>481</v>
      </c>
      <c r="C36" s="70" t="s">
        <v>443</v>
      </c>
      <c r="D36" s="55">
        <f t="shared" ref="D36:AH36" si="31">D29+D31-D32+D34</f>
        <v>209.929866</v>
      </c>
      <c r="E36" s="55">
        <f t="shared" si="31"/>
        <v>419.859732</v>
      </c>
      <c r="F36" s="55">
        <f t="shared" si="31"/>
        <v>629.789598</v>
      </c>
      <c r="G36" s="55">
        <f t="shared" si="31"/>
        <v>839.719464</v>
      </c>
      <c r="H36" s="55">
        <f t="shared" si="31"/>
        <v>1049.64933</v>
      </c>
      <c r="I36" s="55">
        <f t="shared" si="31"/>
        <v>1259.579196</v>
      </c>
      <c r="J36" s="55">
        <f t="shared" si="31"/>
        <v>1469.509062</v>
      </c>
      <c r="K36" s="55">
        <f t="shared" si="31"/>
        <v>1580.07773376</v>
      </c>
      <c r="L36" s="55">
        <f t="shared" si="31"/>
        <v>1777.58745048</v>
      </c>
      <c r="M36" s="55">
        <f t="shared" si="31"/>
        <v>1975.0971672</v>
      </c>
      <c r="N36" s="55">
        <f t="shared" si="31"/>
        <v>2172.60688392</v>
      </c>
      <c r="O36" s="55">
        <f t="shared" si="31"/>
        <v>2172.60688392</v>
      </c>
      <c r="P36" s="55">
        <f t="shared" si="31"/>
        <v>2172.60688392</v>
      </c>
      <c r="Q36" s="55">
        <f t="shared" si="31"/>
        <v>2172.60688392</v>
      </c>
      <c r="R36" s="55">
        <f t="shared" si="31"/>
        <v>2172.60688392</v>
      </c>
      <c r="S36" s="55">
        <f t="shared" si="31"/>
        <v>2962.6457508</v>
      </c>
      <c r="T36" s="55">
        <f t="shared" si="31"/>
        <v>2962.6457508</v>
      </c>
      <c r="U36" s="55">
        <f t="shared" si="31"/>
        <v>2962.6457508</v>
      </c>
      <c r="V36" s="55">
        <f t="shared" si="31"/>
        <v>2962.6457508</v>
      </c>
      <c r="W36" s="55">
        <f t="shared" si="31"/>
        <v>2962.6457508</v>
      </c>
      <c r="X36" s="55">
        <f t="shared" si="31"/>
        <v>2962.6457508</v>
      </c>
      <c r="Y36" s="55">
        <f t="shared" si="31"/>
        <v>2962.6457508</v>
      </c>
      <c r="Z36" s="55">
        <f t="shared" si="31"/>
        <v>2962.6457508</v>
      </c>
      <c r="AA36" s="55">
        <f t="shared" si="31"/>
        <v>2962.6457508</v>
      </c>
      <c r="AB36" s="55">
        <f t="shared" si="31"/>
        <v>2962.6457508</v>
      </c>
      <c r="AC36" s="55">
        <f t="shared" si="31"/>
        <v>2962.6457508</v>
      </c>
      <c r="AD36" s="55">
        <f t="shared" si="31"/>
        <v>2962.6457508</v>
      </c>
      <c r="AE36" s="55">
        <f t="shared" si="31"/>
        <v>2962.6457508</v>
      </c>
      <c r="AF36" s="55">
        <f t="shared" si="31"/>
        <v>2962.6457508</v>
      </c>
      <c r="AG36" s="55">
        <f t="shared" si="31"/>
        <v>2962.6457508</v>
      </c>
      <c r="AH36" s="55">
        <f t="shared" si="31"/>
        <v>2962.6457508</v>
      </c>
      <c r="AI36" s="86">
        <f>SUM(D36:AH36)</f>
        <v>69476.16503184</v>
      </c>
    </row>
    <row r="37" s="46" customFormat="1" spans="1:35">
      <c r="A37" s="70" t="s">
        <v>489</v>
      </c>
      <c r="B37" s="70" t="s">
        <v>482</v>
      </c>
      <c r="C37" s="70" t="s">
        <v>444</v>
      </c>
      <c r="D37" s="64">
        <f t="shared" ref="D37:AH37" si="32">D36/D13</f>
        <v>0.192010838517071</v>
      </c>
      <c r="E37" s="64">
        <f t="shared" si="32"/>
        <v>0.192010838517071</v>
      </c>
      <c r="F37" s="64">
        <f t="shared" si="32"/>
        <v>0.192010838517071</v>
      </c>
      <c r="G37" s="64">
        <f t="shared" si="32"/>
        <v>0.192010838517071</v>
      </c>
      <c r="H37" s="64">
        <f t="shared" si="32"/>
        <v>0.192010838517071</v>
      </c>
      <c r="I37" s="64">
        <f t="shared" si="32"/>
        <v>0.192010838517071</v>
      </c>
      <c r="J37" s="64">
        <f t="shared" si="32"/>
        <v>0.192010838517071</v>
      </c>
      <c r="K37" s="64">
        <f t="shared" si="32"/>
        <v>0.196359607083773</v>
      </c>
      <c r="L37" s="64">
        <f t="shared" si="32"/>
        <v>0.196359607083773</v>
      </c>
      <c r="M37" s="64">
        <f t="shared" si="32"/>
        <v>0.196359607083773</v>
      </c>
      <c r="N37" s="64">
        <f t="shared" si="32"/>
        <v>0.196359607083773</v>
      </c>
      <c r="O37" s="64">
        <f t="shared" si="32"/>
        <v>0.196359607083773</v>
      </c>
      <c r="P37" s="64">
        <f t="shared" si="32"/>
        <v>0.196359607083773</v>
      </c>
      <c r="Q37" s="64">
        <f t="shared" si="32"/>
        <v>0.196359607083773</v>
      </c>
      <c r="R37" s="64">
        <f t="shared" si="32"/>
        <v>0.196359607083773</v>
      </c>
      <c r="S37" s="64">
        <f t="shared" si="32"/>
        <v>0.196359607083773</v>
      </c>
      <c r="T37" s="64">
        <f t="shared" si="32"/>
        <v>0.196359607083773</v>
      </c>
      <c r="U37" s="64">
        <f t="shared" si="32"/>
        <v>0.196359607083773</v>
      </c>
      <c r="V37" s="64">
        <f t="shared" si="32"/>
        <v>0.196359607083773</v>
      </c>
      <c r="W37" s="64">
        <f t="shared" si="32"/>
        <v>0.196359607083773</v>
      </c>
      <c r="X37" s="64">
        <f t="shared" si="32"/>
        <v>0.196359607083773</v>
      </c>
      <c r="Y37" s="64">
        <f t="shared" si="32"/>
        <v>0.196359607083773</v>
      </c>
      <c r="Z37" s="64">
        <f t="shared" si="32"/>
        <v>0.196359607083773</v>
      </c>
      <c r="AA37" s="64">
        <f t="shared" si="32"/>
        <v>0.196359607083773</v>
      </c>
      <c r="AB37" s="64">
        <f t="shared" si="32"/>
        <v>0.196359607083773</v>
      </c>
      <c r="AC37" s="64">
        <f t="shared" si="32"/>
        <v>0.196359607083773</v>
      </c>
      <c r="AD37" s="64">
        <f t="shared" si="32"/>
        <v>0.196359607083773</v>
      </c>
      <c r="AE37" s="64">
        <f t="shared" si="32"/>
        <v>0.196359607083773</v>
      </c>
      <c r="AF37" s="64">
        <f t="shared" si="32"/>
        <v>0.196359607083773</v>
      </c>
      <c r="AG37" s="64">
        <f t="shared" si="32"/>
        <v>0.196359607083773</v>
      </c>
      <c r="AH37" s="64">
        <f t="shared" si="32"/>
        <v>0.196359607083773</v>
      </c>
      <c r="AI37" s="87">
        <f>AVERAGE(K37:AH37)</f>
        <v>0.196359607083773</v>
      </c>
    </row>
    <row r="38" s="46" customFormat="1" spans="1:35">
      <c r="A38" s="53" t="s">
        <v>490</v>
      </c>
      <c r="B38" s="53" t="s">
        <v>487</v>
      </c>
      <c r="C38" s="69" t="s">
        <v>445</v>
      </c>
      <c r="D38" s="64">
        <v>0.01</v>
      </c>
      <c r="E38" s="64">
        <v>0.01</v>
      </c>
      <c r="F38" s="64">
        <v>0.01</v>
      </c>
      <c r="G38" s="64">
        <v>0.01</v>
      </c>
      <c r="H38" s="64">
        <v>0.01</v>
      </c>
      <c r="I38" s="64">
        <v>0.01</v>
      </c>
      <c r="J38" s="64">
        <v>0.01</v>
      </c>
      <c r="K38" s="64">
        <v>0.01</v>
      </c>
      <c r="L38" s="64">
        <v>0.01</v>
      </c>
      <c r="M38" s="64">
        <v>0.01</v>
      </c>
      <c r="N38" s="64">
        <v>0.01</v>
      </c>
      <c r="O38" s="64">
        <v>0.01</v>
      </c>
      <c r="P38" s="64">
        <v>0.01</v>
      </c>
      <c r="Q38" s="64">
        <v>0.01</v>
      </c>
      <c r="R38" s="64">
        <v>0.01</v>
      </c>
      <c r="S38" s="64">
        <v>0.01</v>
      </c>
      <c r="T38" s="64">
        <v>0.01</v>
      </c>
      <c r="U38" s="64">
        <v>0.01</v>
      </c>
      <c r="V38" s="64">
        <v>0.01</v>
      </c>
      <c r="W38" s="64">
        <v>0.01</v>
      </c>
      <c r="X38" s="64">
        <v>0.01</v>
      </c>
      <c r="Y38" s="64">
        <v>0.01</v>
      </c>
      <c r="Z38" s="64">
        <v>0.01</v>
      </c>
      <c r="AA38" s="64">
        <v>0.01</v>
      </c>
      <c r="AB38" s="64">
        <v>0.01</v>
      </c>
      <c r="AC38" s="64">
        <v>0.01</v>
      </c>
      <c r="AD38" s="64">
        <v>0.01</v>
      </c>
      <c r="AE38" s="64">
        <v>0.01</v>
      </c>
      <c r="AF38" s="64">
        <v>0.01</v>
      </c>
      <c r="AG38" s="64">
        <v>0.01</v>
      </c>
      <c r="AH38" s="64">
        <v>0.01</v>
      </c>
      <c r="AI38" s="87">
        <f>AVERAGE(H38:AH38)</f>
        <v>0.01</v>
      </c>
    </row>
    <row r="39" s="46" customFormat="1" spans="1:35">
      <c r="A39" s="53" t="s">
        <v>490</v>
      </c>
      <c r="B39" s="53" t="s">
        <v>487</v>
      </c>
      <c r="C39" s="53" t="s">
        <v>446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87"/>
    </row>
    <row r="40" s="46" customFormat="1" spans="1:35">
      <c r="A40" s="53" t="s">
        <v>490</v>
      </c>
      <c r="B40" s="53" t="s">
        <v>487</v>
      </c>
      <c r="C40" s="53" t="s">
        <v>447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87"/>
    </row>
    <row r="41" s="46" customFormat="1" spans="1:35">
      <c r="A41" s="53" t="s">
        <v>490</v>
      </c>
      <c r="B41" s="53" t="s">
        <v>487</v>
      </c>
      <c r="C41" s="53" t="s">
        <v>448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87"/>
    </row>
    <row r="42" s="46" customFormat="1" spans="1:35">
      <c r="A42" s="53" t="s">
        <v>490</v>
      </c>
      <c r="B42" s="53" t="s">
        <v>487</v>
      </c>
      <c r="C42" s="53" t="s">
        <v>449</v>
      </c>
      <c r="D42" s="64">
        <v>0.005</v>
      </c>
      <c r="E42" s="64">
        <v>0.005</v>
      </c>
      <c r="F42" s="64">
        <v>0.005</v>
      </c>
      <c r="G42" s="64">
        <v>0.005</v>
      </c>
      <c r="H42" s="64">
        <v>0.005</v>
      </c>
      <c r="I42" s="64">
        <v>0.005</v>
      </c>
      <c r="J42" s="64">
        <v>0.005</v>
      </c>
      <c r="K42" s="64">
        <v>0.005</v>
      </c>
      <c r="L42" s="64">
        <v>0.005</v>
      </c>
      <c r="M42" s="64">
        <v>0.005</v>
      </c>
      <c r="N42" s="64">
        <v>0.005</v>
      </c>
      <c r="O42" s="64">
        <v>0.005</v>
      </c>
      <c r="P42" s="64">
        <v>0.005</v>
      </c>
      <c r="Q42" s="64">
        <v>0.005</v>
      </c>
      <c r="R42" s="64">
        <v>0.005</v>
      </c>
      <c r="S42" s="64">
        <v>0.005</v>
      </c>
      <c r="T42" s="64">
        <v>0.005</v>
      </c>
      <c r="U42" s="64">
        <v>0.005</v>
      </c>
      <c r="V42" s="64">
        <v>0.005</v>
      </c>
      <c r="W42" s="64">
        <v>0.005</v>
      </c>
      <c r="X42" s="64">
        <v>0.005</v>
      </c>
      <c r="Y42" s="64">
        <v>0.005</v>
      </c>
      <c r="Z42" s="64">
        <v>0.005</v>
      </c>
      <c r="AA42" s="64">
        <v>0.005</v>
      </c>
      <c r="AB42" s="64">
        <v>0.005</v>
      </c>
      <c r="AC42" s="64">
        <v>0.005</v>
      </c>
      <c r="AD42" s="64">
        <v>0.005</v>
      </c>
      <c r="AE42" s="64">
        <v>0.005</v>
      </c>
      <c r="AF42" s="64">
        <v>0.005</v>
      </c>
      <c r="AG42" s="64">
        <v>0.005</v>
      </c>
      <c r="AH42" s="64">
        <v>0.005</v>
      </c>
      <c r="AI42" s="87">
        <f>AVERAGE(H42:AH42)</f>
        <v>0.005</v>
      </c>
    </row>
    <row r="43" s="46" customFormat="1" spans="1:35">
      <c r="A43" s="70" t="s">
        <v>490</v>
      </c>
      <c r="B43" s="70" t="s">
        <v>481</v>
      </c>
      <c r="C43" s="70" t="s">
        <v>450</v>
      </c>
      <c r="D43" s="55">
        <f t="shared" ref="D43:AH43" si="33">D44*D13</f>
        <v>16.399845</v>
      </c>
      <c r="E43" s="55">
        <f t="shared" si="33"/>
        <v>32.79969</v>
      </c>
      <c r="F43" s="55">
        <f t="shared" si="33"/>
        <v>49.199535</v>
      </c>
      <c r="G43" s="55">
        <f t="shared" si="33"/>
        <v>65.59938</v>
      </c>
      <c r="H43" s="55">
        <f t="shared" si="33"/>
        <v>81.999225</v>
      </c>
      <c r="I43" s="55">
        <f t="shared" si="33"/>
        <v>98.39907</v>
      </c>
      <c r="J43" s="55">
        <f t="shared" si="33"/>
        <v>114.798915</v>
      </c>
      <c r="K43" s="55">
        <f t="shared" si="33"/>
        <v>120.7028592</v>
      </c>
      <c r="L43" s="55">
        <f t="shared" si="33"/>
        <v>135.7907166</v>
      </c>
      <c r="M43" s="55">
        <f t="shared" si="33"/>
        <v>150.878574</v>
      </c>
      <c r="N43" s="55">
        <f t="shared" si="33"/>
        <v>165.9664314</v>
      </c>
      <c r="O43" s="55">
        <f t="shared" si="33"/>
        <v>165.9664314</v>
      </c>
      <c r="P43" s="55">
        <f t="shared" si="33"/>
        <v>165.9664314</v>
      </c>
      <c r="Q43" s="55">
        <f t="shared" si="33"/>
        <v>165.9664314</v>
      </c>
      <c r="R43" s="55">
        <f t="shared" si="33"/>
        <v>165.9664314</v>
      </c>
      <c r="S43" s="55">
        <f t="shared" si="33"/>
        <v>226.317861</v>
      </c>
      <c r="T43" s="55">
        <f t="shared" si="33"/>
        <v>226.317861</v>
      </c>
      <c r="U43" s="55">
        <f t="shared" si="33"/>
        <v>226.317861</v>
      </c>
      <c r="V43" s="55">
        <f t="shared" si="33"/>
        <v>226.317861</v>
      </c>
      <c r="W43" s="55">
        <f t="shared" si="33"/>
        <v>226.317861</v>
      </c>
      <c r="X43" s="55">
        <f t="shared" si="33"/>
        <v>226.317861</v>
      </c>
      <c r="Y43" s="55">
        <f t="shared" si="33"/>
        <v>226.317861</v>
      </c>
      <c r="Z43" s="55">
        <f t="shared" si="33"/>
        <v>226.317861</v>
      </c>
      <c r="AA43" s="55">
        <f t="shared" si="33"/>
        <v>226.317861</v>
      </c>
      <c r="AB43" s="55">
        <f t="shared" si="33"/>
        <v>226.317861</v>
      </c>
      <c r="AC43" s="55">
        <f t="shared" si="33"/>
        <v>226.317861</v>
      </c>
      <c r="AD43" s="55">
        <f t="shared" si="33"/>
        <v>226.317861</v>
      </c>
      <c r="AE43" s="55">
        <f t="shared" si="33"/>
        <v>226.317861</v>
      </c>
      <c r="AF43" s="55">
        <f t="shared" si="33"/>
        <v>226.317861</v>
      </c>
      <c r="AG43" s="55">
        <f t="shared" si="33"/>
        <v>226.317861</v>
      </c>
      <c r="AH43" s="55">
        <f t="shared" si="33"/>
        <v>226.317861</v>
      </c>
      <c r="AI43" s="86">
        <f t="shared" ref="AI43:AI47" si="34">SUM(D43:AH43)</f>
        <v>5317.4857428</v>
      </c>
    </row>
    <row r="44" s="46" customFormat="1" spans="1:35">
      <c r="A44" s="70" t="s">
        <v>490</v>
      </c>
      <c r="B44" s="70" t="s">
        <v>482</v>
      </c>
      <c r="C44" s="70" t="s">
        <v>451</v>
      </c>
      <c r="D44" s="73">
        <f t="shared" ref="D44:AH44" si="35">D38+D42</f>
        <v>0.015</v>
      </c>
      <c r="E44" s="73">
        <f t="shared" si="35"/>
        <v>0.015</v>
      </c>
      <c r="F44" s="73">
        <f t="shared" si="35"/>
        <v>0.015</v>
      </c>
      <c r="G44" s="73">
        <f t="shared" si="35"/>
        <v>0.015</v>
      </c>
      <c r="H44" s="73">
        <f t="shared" si="35"/>
        <v>0.015</v>
      </c>
      <c r="I44" s="73">
        <f t="shared" si="35"/>
        <v>0.015</v>
      </c>
      <c r="J44" s="73">
        <f t="shared" si="35"/>
        <v>0.015</v>
      </c>
      <c r="K44" s="73">
        <f t="shared" si="35"/>
        <v>0.015</v>
      </c>
      <c r="L44" s="73">
        <f t="shared" si="35"/>
        <v>0.015</v>
      </c>
      <c r="M44" s="73">
        <f t="shared" si="35"/>
        <v>0.015</v>
      </c>
      <c r="N44" s="73">
        <f t="shared" si="35"/>
        <v>0.015</v>
      </c>
      <c r="O44" s="73">
        <f t="shared" si="35"/>
        <v>0.015</v>
      </c>
      <c r="P44" s="73">
        <f t="shared" si="35"/>
        <v>0.015</v>
      </c>
      <c r="Q44" s="73">
        <f t="shared" si="35"/>
        <v>0.015</v>
      </c>
      <c r="R44" s="73">
        <f t="shared" si="35"/>
        <v>0.015</v>
      </c>
      <c r="S44" s="73">
        <f t="shared" si="35"/>
        <v>0.015</v>
      </c>
      <c r="T44" s="73">
        <f t="shared" si="35"/>
        <v>0.015</v>
      </c>
      <c r="U44" s="73">
        <f t="shared" si="35"/>
        <v>0.015</v>
      </c>
      <c r="V44" s="73">
        <f t="shared" si="35"/>
        <v>0.015</v>
      </c>
      <c r="W44" s="73">
        <f t="shared" si="35"/>
        <v>0.015</v>
      </c>
      <c r="X44" s="73">
        <f t="shared" si="35"/>
        <v>0.015</v>
      </c>
      <c r="Y44" s="73">
        <f t="shared" si="35"/>
        <v>0.015</v>
      </c>
      <c r="Z44" s="73">
        <f t="shared" si="35"/>
        <v>0.015</v>
      </c>
      <c r="AA44" s="73">
        <f t="shared" si="35"/>
        <v>0.015</v>
      </c>
      <c r="AB44" s="73">
        <f t="shared" si="35"/>
        <v>0.015</v>
      </c>
      <c r="AC44" s="73">
        <f t="shared" si="35"/>
        <v>0.015</v>
      </c>
      <c r="AD44" s="73">
        <f t="shared" si="35"/>
        <v>0.015</v>
      </c>
      <c r="AE44" s="73">
        <f t="shared" si="35"/>
        <v>0.015</v>
      </c>
      <c r="AF44" s="73">
        <f t="shared" si="35"/>
        <v>0.015</v>
      </c>
      <c r="AG44" s="73">
        <f t="shared" si="35"/>
        <v>0.015</v>
      </c>
      <c r="AH44" s="73">
        <f t="shared" si="35"/>
        <v>0.015</v>
      </c>
      <c r="AI44" s="87">
        <f>AVERAGE(H44:AH44)</f>
        <v>0.015</v>
      </c>
    </row>
    <row r="45" s="48" customFormat="1" ht="14.25" spans="1:35">
      <c r="A45" s="48" t="s">
        <v>491</v>
      </c>
      <c r="B45" s="48" t="s">
        <v>477</v>
      </c>
      <c r="C45" s="74" t="s">
        <v>452</v>
      </c>
      <c r="D45" s="49">
        <v>0</v>
      </c>
      <c r="E45" s="49">
        <v>0</v>
      </c>
      <c r="F45" s="49">
        <v>0</v>
      </c>
      <c r="G45" s="49">
        <v>0</v>
      </c>
      <c r="H45" s="49">
        <f t="shared" ref="H45:R45" si="36">80*H5</f>
        <v>616</v>
      </c>
      <c r="I45" s="49">
        <f t="shared" si="36"/>
        <v>616</v>
      </c>
      <c r="J45" s="49">
        <f t="shared" si="36"/>
        <v>616</v>
      </c>
      <c r="K45" s="49">
        <f t="shared" si="36"/>
        <v>616</v>
      </c>
      <c r="L45" s="49">
        <f t="shared" si="36"/>
        <v>616</v>
      </c>
      <c r="M45" s="49">
        <f t="shared" si="36"/>
        <v>616</v>
      </c>
      <c r="N45" s="49">
        <f t="shared" si="36"/>
        <v>616</v>
      </c>
      <c r="O45" s="49">
        <f t="shared" si="36"/>
        <v>616</v>
      </c>
      <c r="P45" s="49">
        <f t="shared" si="36"/>
        <v>616</v>
      </c>
      <c r="Q45" s="49">
        <f t="shared" si="36"/>
        <v>616</v>
      </c>
      <c r="R45" s="49">
        <f t="shared" si="36"/>
        <v>616</v>
      </c>
      <c r="S45" s="49">
        <f>100*S5</f>
        <v>770</v>
      </c>
      <c r="T45" s="49">
        <f t="shared" ref="T45:AH45" si="37">100*T5</f>
        <v>770</v>
      </c>
      <c r="U45" s="49">
        <f t="shared" si="37"/>
        <v>770</v>
      </c>
      <c r="V45" s="49">
        <f t="shared" si="37"/>
        <v>770</v>
      </c>
      <c r="W45" s="49">
        <f t="shared" si="37"/>
        <v>770</v>
      </c>
      <c r="X45" s="49">
        <f t="shared" si="37"/>
        <v>770</v>
      </c>
      <c r="Y45" s="49">
        <f t="shared" si="37"/>
        <v>770</v>
      </c>
      <c r="Z45" s="49">
        <f t="shared" si="37"/>
        <v>770</v>
      </c>
      <c r="AA45" s="49">
        <f t="shared" si="37"/>
        <v>770</v>
      </c>
      <c r="AB45" s="49">
        <f t="shared" si="37"/>
        <v>770</v>
      </c>
      <c r="AC45" s="49">
        <f t="shared" si="37"/>
        <v>770</v>
      </c>
      <c r="AD45" s="49">
        <f t="shared" si="37"/>
        <v>770</v>
      </c>
      <c r="AE45" s="49">
        <f t="shared" si="37"/>
        <v>770</v>
      </c>
      <c r="AF45" s="49">
        <f t="shared" si="37"/>
        <v>770</v>
      </c>
      <c r="AG45" s="49">
        <f t="shared" si="37"/>
        <v>770</v>
      </c>
      <c r="AH45" s="49">
        <f t="shared" si="37"/>
        <v>770</v>
      </c>
      <c r="AI45" s="81">
        <f t="shared" si="34"/>
        <v>19096</v>
      </c>
    </row>
    <row r="46" s="46" customFormat="1" spans="1:37">
      <c r="A46" s="53" t="s">
        <v>491</v>
      </c>
      <c r="B46" s="53" t="s">
        <v>482</v>
      </c>
      <c r="C46" s="53" t="s">
        <v>492</v>
      </c>
      <c r="D46" s="75">
        <f t="shared" ref="D46:AH46" si="38">D45/D13</f>
        <v>0</v>
      </c>
      <c r="E46" s="75">
        <f t="shared" si="38"/>
        <v>0</v>
      </c>
      <c r="F46" s="75">
        <f t="shared" si="38"/>
        <v>0</v>
      </c>
      <c r="G46" s="75">
        <f t="shared" si="38"/>
        <v>0</v>
      </c>
      <c r="H46" s="75">
        <f t="shared" si="38"/>
        <v>0.112683991830411</v>
      </c>
      <c r="I46" s="75">
        <f t="shared" si="38"/>
        <v>0.0939033265253422</v>
      </c>
      <c r="J46" s="75">
        <f t="shared" si="38"/>
        <v>0.0804885655931504</v>
      </c>
      <c r="K46" s="75">
        <f t="shared" si="38"/>
        <v>0.0765516248847898</v>
      </c>
      <c r="L46" s="75">
        <f t="shared" si="38"/>
        <v>0.0680458887864798</v>
      </c>
      <c r="M46" s="75">
        <f t="shared" si="38"/>
        <v>0.0612412999078318</v>
      </c>
      <c r="N46" s="75">
        <f t="shared" si="38"/>
        <v>0.0556739090071199</v>
      </c>
      <c r="O46" s="75">
        <f t="shared" si="38"/>
        <v>0.0556739090071199</v>
      </c>
      <c r="P46" s="75">
        <f t="shared" si="38"/>
        <v>0.0556739090071199</v>
      </c>
      <c r="Q46" s="75">
        <f t="shared" si="38"/>
        <v>0.0556739090071199</v>
      </c>
      <c r="R46" s="75">
        <f t="shared" si="38"/>
        <v>0.0556739090071199</v>
      </c>
      <c r="S46" s="75">
        <f t="shared" si="38"/>
        <v>0.0510344165898599</v>
      </c>
      <c r="T46" s="75">
        <f t="shared" si="38"/>
        <v>0.0510344165898599</v>
      </c>
      <c r="U46" s="75">
        <f t="shared" si="38"/>
        <v>0.0510344165898599</v>
      </c>
      <c r="V46" s="75">
        <f t="shared" si="38"/>
        <v>0.0510344165898599</v>
      </c>
      <c r="W46" s="75">
        <f t="shared" si="38"/>
        <v>0.0510344165898599</v>
      </c>
      <c r="X46" s="75">
        <f t="shared" si="38"/>
        <v>0.0510344165898599</v>
      </c>
      <c r="Y46" s="75">
        <f t="shared" si="38"/>
        <v>0.0510344165898599</v>
      </c>
      <c r="Z46" s="75">
        <f t="shared" si="38"/>
        <v>0.0510344165898599</v>
      </c>
      <c r="AA46" s="75">
        <f t="shared" si="38"/>
        <v>0.0510344165898599</v>
      </c>
      <c r="AB46" s="75">
        <f t="shared" si="38"/>
        <v>0.0510344165898599</v>
      </c>
      <c r="AC46" s="75">
        <f t="shared" si="38"/>
        <v>0.0510344165898599</v>
      </c>
      <c r="AD46" s="75">
        <f t="shared" si="38"/>
        <v>0.0510344165898599</v>
      </c>
      <c r="AE46" s="75">
        <f t="shared" si="38"/>
        <v>0.0510344165898599</v>
      </c>
      <c r="AF46" s="75">
        <f t="shared" si="38"/>
        <v>0.0510344165898599</v>
      </c>
      <c r="AG46" s="75">
        <f t="shared" si="38"/>
        <v>0.0510344165898599</v>
      </c>
      <c r="AH46" s="75">
        <f t="shared" si="38"/>
        <v>0.0510344165898599</v>
      </c>
      <c r="AI46" s="64">
        <f>AVERAGE(D46:AH46)</f>
        <v>0.0512204809032698</v>
      </c>
      <c r="AJ46" s="88"/>
      <c r="AK46" s="88"/>
    </row>
    <row r="47" s="46" customFormat="1" spans="1:35">
      <c r="A47" s="53" t="s">
        <v>491</v>
      </c>
      <c r="B47" s="53" t="s">
        <v>477</v>
      </c>
      <c r="C47" s="53" t="s">
        <v>493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86">
        <f t="shared" si="34"/>
        <v>0</v>
      </c>
    </row>
    <row r="48" s="46" customFormat="1" spans="1:35">
      <c r="A48" s="53" t="s">
        <v>491</v>
      </c>
      <c r="B48" s="53" t="s">
        <v>482</v>
      </c>
      <c r="C48" s="53" t="s">
        <v>494</v>
      </c>
      <c r="D48" s="64">
        <f t="shared" ref="D48:AH48" si="39">D47/D13</f>
        <v>0</v>
      </c>
      <c r="E48" s="64">
        <f t="shared" si="39"/>
        <v>0</v>
      </c>
      <c r="F48" s="64">
        <f t="shared" si="39"/>
        <v>0</v>
      </c>
      <c r="G48" s="64">
        <f t="shared" si="39"/>
        <v>0</v>
      </c>
      <c r="H48" s="64">
        <f t="shared" si="39"/>
        <v>0</v>
      </c>
      <c r="I48" s="64">
        <f t="shared" si="39"/>
        <v>0</v>
      </c>
      <c r="J48" s="64">
        <f t="shared" si="39"/>
        <v>0</v>
      </c>
      <c r="K48" s="64">
        <f t="shared" si="39"/>
        <v>0</v>
      </c>
      <c r="L48" s="64">
        <f t="shared" si="39"/>
        <v>0</v>
      </c>
      <c r="M48" s="64">
        <f t="shared" si="39"/>
        <v>0</v>
      </c>
      <c r="N48" s="64">
        <f t="shared" si="39"/>
        <v>0</v>
      </c>
      <c r="O48" s="64">
        <f t="shared" si="39"/>
        <v>0</v>
      </c>
      <c r="P48" s="64">
        <f t="shared" si="39"/>
        <v>0</v>
      </c>
      <c r="Q48" s="64">
        <f t="shared" si="39"/>
        <v>0</v>
      </c>
      <c r="R48" s="64">
        <f t="shared" si="39"/>
        <v>0</v>
      </c>
      <c r="S48" s="64">
        <f t="shared" si="39"/>
        <v>0</v>
      </c>
      <c r="T48" s="64">
        <f t="shared" si="39"/>
        <v>0</v>
      </c>
      <c r="U48" s="64">
        <f t="shared" si="39"/>
        <v>0</v>
      </c>
      <c r="V48" s="64">
        <f t="shared" si="39"/>
        <v>0</v>
      </c>
      <c r="W48" s="64">
        <f t="shared" si="39"/>
        <v>0</v>
      </c>
      <c r="X48" s="64">
        <f t="shared" si="39"/>
        <v>0</v>
      </c>
      <c r="Y48" s="64">
        <f t="shared" si="39"/>
        <v>0</v>
      </c>
      <c r="Z48" s="64">
        <f t="shared" si="39"/>
        <v>0</v>
      </c>
      <c r="AA48" s="64">
        <f t="shared" si="39"/>
        <v>0</v>
      </c>
      <c r="AB48" s="64">
        <f t="shared" si="39"/>
        <v>0</v>
      </c>
      <c r="AC48" s="64">
        <f t="shared" si="39"/>
        <v>0</v>
      </c>
      <c r="AD48" s="64">
        <f t="shared" si="39"/>
        <v>0</v>
      </c>
      <c r="AE48" s="64">
        <f t="shared" si="39"/>
        <v>0</v>
      </c>
      <c r="AF48" s="64">
        <f t="shared" si="39"/>
        <v>0</v>
      </c>
      <c r="AG48" s="64">
        <f t="shared" si="39"/>
        <v>0</v>
      </c>
      <c r="AH48" s="64">
        <f t="shared" si="39"/>
        <v>0</v>
      </c>
      <c r="AI48" s="87">
        <f>AVERAGE(H48:AH48)</f>
        <v>0</v>
      </c>
    </row>
    <row r="49" s="46" customFormat="1" spans="1:37">
      <c r="A49" s="53" t="s">
        <v>491</v>
      </c>
      <c r="B49" s="53" t="s">
        <v>477</v>
      </c>
      <c r="C49" s="76" t="s">
        <v>384</v>
      </c>
      <c r="D49" s="77">
        <f>1*D5*(169.99-35)</f>
        <v>1039.423</v>
      </c>
      <c r="E49" s="77">
        <f>2*E5*(169.99-35)</f>
        <v>2078.846</v>
      </c>
      <c r="F49" s="77">
        <f>3*F5*(169.99-35)</f>
        <v>3118.269</v>
      </c>
      <c r="G49" s="77">
        <f>4*G5*(169.99-35)</f>
        <v>4157.692</v>
      </c>
      <c r="H49" s="77">
        <f>5*H5*(169.99-35)</f>
        <v>5197.115</v>
      </c>
      <c r="I49" s="77">
        <f>6*I5*(169.99-35)</f>
        <v>6236.538</v>
      </c>
      <c r="J49" s="77">
        <f>7*J5*(169.99-35)</f>
        <v>7275.961</v>
      </c>
      <c r="K49" s="77">
        <f>8*K5*(169.99-35)</f>
        <v>8315.384</v>
      </c>
      <c r="L49" s="77">
        <f>10*L5*(169.99-35)</f>
        <v>10394.23</v>
      </c>
      <c r="M49" s="77">
        <f t="shared" ref="K49:N49" si="40">4*M5*(169.99-35)</f>
        <v>4157.692</v>
      </c>
      <c r="N49" s="77">
        <f t="shared" si="40"/>
        <v>4157.692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77">
        <v>0</v>
      </c>
      <c r="AF49" s="77">
        <v>0</v>
      </c>
      <c r="AG49" s="77">
        <v>0</v>
      </c>
      <c r="AH49" s="77">
        <f>0*AH5*110</f>
        <v>0</v>
      </c>
      <c r="AI49" s="55">
        <f t="shared" ref="AI49:AI53" si="41">SUM(D49:AH49)</f>
        <v>56128.842</v>
      </c>
      <c r="AJ49" s="88"/>
      <c r="AK49" s="88"/>
    </row>
    <row r="50" s="46" customFormat="1" spans="1:37">
      <c r="A50" s="53" t="s">
        <v>491</v>
      </c>
      <c r="B50" s="53" t="s">
        <v>482</v>
      </c>
      <c r="C50" s="53" t="s">
        <v>454</v>
      </c>
      <c r="D50" s="64">
        <f t="shared" ref="D50:AI50" si="42">D49/D13</f>
        <v>0.950700753574195</v>
      </c>
      <c r="E50" s="64">
        <f t="shared" si="42"/>
        <v>0.950700753574195</v>
      </c>
      <c r="F50" s="64">
        <f t="shared" si="42"/>
        <v>0.950700753574195</v>
      </c>
      <c r="G50" s="64">
        <f t="shared" si="42"/>
        <v>0.950700753574195</v>
      </c>
      <c r="H50" s="64">
        <f t="shared" si="42"/>
        <v>0.950700753574195</v>
      </c>
      <c r="I50" s="64">
        <f t="shared" si="42"/>
        <v>0.950700753574195</v>
      </c>
      <c r="J50" s="64">
        <f t="shared" si="42"/>
        <v>0.950700753574195</v>
      </c>
      <c r="K50" s="64">
        <f t="shared" si="42"/>
        <v>1.03337038431978</v>
      </c>
      <c r="L50" s="64">
        <f t="shared" si="42"/>
        <v>1.14818931591086</v>
      </c>
      <c r="M50" s="64">
        <f t="shared" si="42"/>
        <v>0.413348153727911</v>
      </c>
      <c r="N50" s="64">
        <f t="shared" si="42"/>
        <v>0.375771048843555</v>
      </c>
      <c r="O50" s="64">
        <f t="shared" si="42"/>
        <v>0</v>
      </c>
      <c r="P50" s="64">
        <f t="shared" si="42"/>
        <v>0</v>
      </c>
      <c r="Q50" s="64">
        <f t="shared" si="42"/>
        <v>0</v>
      </c>
      <c r="R50" s="64">
        <f t="shared" si="42"/>
        <v>0</v>
      </c>
      <c r="S50" s="64">
        <f t="shared" si="42"/>
        <v>0</v>
      </c>
      <c r="T50" s="64">
        <f t="shared" si="42"/>
        <v>0</v>
      </c>
      <c r="U50" s="64">
        <f t="shared" si="42"/>
        <v>0</v>
      </c>
      <c r="V50" s="64">
        <f t="shared" si="42"/>
        <v>0</v>
      </c>
      <c r="W50" s="64">
        <f t="shared" si="42"/>
        <v>0</v>
      </c>
      <c r="X50" s="64">
        <f t="shared" si="42"/>
        <v>0</v>
      </c>
      <c r="Y50" s="64">
        <f t="shared" si="42"/>
        <v>0</v>
      </c>
      <c r="Z50" s="64">
        <f t="shared" si="42"/>
        <v>0</v>
      </c>
      <c r="AA50" s="64">
        <f t="shared" si="42"/>
        <v>0</v>
      </c>
      <c r="AB50" s="64">
        <f t="shared" si="42"/>
        <v>0</v>
      </c>
      <c r="AC50" s="64">
        <f t="shared" si="42"/>
        <v>0</v>
      </c>
      <c r="AD50" s="64">
        <f t="shared" si="42"/>
        <v>0</v>
      </c>
      <c r="AE50" s="64">
        <f t="shared" si="42"/>
        <v>0</v>
      </c>
      <c r="AF50" s="64">
        <f t="shared" si="42"/>
        <v>0</v>
      </c>
      <c r="AG50" s="64">
        <f t="shared" si="42"/>
        <v>0</v>
      </c>
      <c r="AH50" s="64">
        <f t="shared" si="42"/>
        <v>0</v>
      </c>
      <c r="AI50" s="89">
        <f t="shared" si="42"/>
        <v>0.158332842009026</v>
      </c>
      <c r="AJ50" s="88"/>
      <c r="AK50" s="88"/>
    </row>
    <row r="51" s="46" customFormat="1" spans="1:35">
      <c r="A51" s="53" t="s">
        <v>491</v>
      </c>
      <c r="B51" s="53" t="s">
        <v>481</v>
      </c>
      <c r="C51" s="53" t="s">
        <v>455</v>
      </c>
      <c r="D51" s="55">
        <f t="shared" ref="D51:AH51" si="43">D52*D13</f>
        <v>5.466615</v>
      </c>
      <c r="E51" s="55">
        <f t="shared" si="43"/>
        <v>10.93323</v>
      </c>
      <c r="F51" s="55">
        <f t="shared" si="43"/>
        <v>16.399845</v>
      </c>
      <c r="G51" s="55">
        <f t="shared" si="43"/>
        <v>21.86646</v>
      </c>
      <c r="H51" s="55">
        <f t="shared" si="43"/>
        <v>27.333075</v>
      </c>
      <c r="I51" s="55">
        <f t="shared" si="43"/>
        <v>32.79969</v>
      </c>
      <c r="J51" s="55">
        <f t="shared" si="43"/>
        <v>38.266305</v>
      </c>
      <c r="K51" s="55">
        <f t="shared" si="43"/>
        <v>40.2342864</v>
      </c>
      <c r="L51" s="55">
        <f t="shared" si="43"/>
        <v>45.2635722</v>
      </c>
      <c r="M51" s="55">
        <f t="shared" si="43"/>
        <v>50.292858</v>
      </c>
      <c r="N51" s="55">
        <f t="shared" si="43"/>
        <v>55.3221438</v>
      </c>
      <c r="O51" s="55">
        <f t="shared" si="43"/>
        <v>55.3221438</v>
      </c>
      <c r="P51" s="55">
        <f t="shared" si="43"/>
        <v>55.3221438</v>
      </c>
      <c r="Q51" s="55">
        <f t="shared" si="43"/>
        <v>55.3221438</v>
      </c>
      <c r="R51" s="55">
        <f t="shared" si="43"/>
        <v>55.3221438</v>
      </c>
      <c r="S51" s="55">
        <f t="shared" si="43"/>
        <v>75.439287</v>
      </c>
      <c r="T51" s="55">
        <f t="shared" si="43"/>
        <v>75.439287</v>
      </c>
      <c r="U51" s="55">
        <f t="shared" si="43"/>
        <v>75.439287</v>
      </c>
      <c r="V51" s="55">
        <f t="shared" si="43"/>
        <v>75.439287</v>
      </c>
      <c r="W51" s="55">
        <f t="shared" si="43"/>
        <v>75.439287</v>
      </c>
      <c r="X51" s="55">
        <f t="shared" si="43"/>
        <v>75.439287</v>
      </c>
      <c r="Y51" s="55">
        <f t="shared" si="43"/>
        <v>75.439287</v>
      </c>
      <c r="Z51" s="55">
        <f t="shared" si="43"/>
        <v>75.439287</v>
      </c>
      <c r="AA51" s="55">
        <f t="shared" si="43"/>
        <v>75.439287</v>
      </c>
      <c r="AB51" s="55">
        <f t="shared" si="43"/>
        <v>75.439287</v>
      </c>
      <c r="AC51" s="55">
        <f t="shared" si="43"/>
        <v>75.439287</v>
      </c>
      <c r="AD51" s="55">
        <f t="shared" si="43"/>
        <v>75.439287</v>
      </c>
      <c r="AE51" s="55">
        <f t="shared" si="43"/>
        <v>75.439287</v>
      </c>
      <c r="AF51" s="55">
        <f t="shared" si="43"/>
        <v>75.439287</v>
      </c>
      <c r="AG51" s="55">
        <f t="shared" si="43"/>
        <v>75.439287</v>
      </c>
      <c r="AH51" s="55">
        <f t="shared" si="43"/>
        <v>75.439287</v>
      </c>
      <c r="AI51" s="86">
        <f t="shared" si="41"/>
        <v>1772.4952476</v>
      </c>
    </row>
    <row r="52" s="46" customFormat="1" spans="1:35">
      <c r="A52" s="53" t="s">
        <v>491</v>
      </c>
      <c r="B52" s="53" t="s">
        <v>487</v>
      </c>
      <c r="C52" s="53" t="s">
        <v>456</v>
      </c>
      <c r="D52" s="64">
        <v>0.005</v>
      </c>
      <c r="E52" s="64">
        <v>0.005</v>
      </c>
      <c r="F52" s="64">
        <v>0.005</v>
      </c>
      <c r="G52" s="64">
        <v>0.005</v>
      </c>
      <c r="H52" s="64">
        <v>0.005</v>
      </c>
      <c r="I52" s="64">
        <v>0.005</v>
      </c>
      <c r="J52" s="64">
        <v>0.005</v>
      </c>
      <c r="K52" s="64">
        <v>0.005</v>
      </c>
      <c r="L52" s="64">
        <v>0.005</v>
      </c>
      <c r="M52" s="64">
        <v>0.005</v>
      </c>
      <c r="N52" s="64">
        <v>0.005</v>
      </c>
      <c r="O52" s="64">
        <v>0.005</v>
      </c>
      <c r="P52" s="64">
        <v>0.005</v>
      </c>
      <c r="Q52" s="64">
        <v>0.005</v>
      </c>
      <c r="R52" s="64">
        <v>0.005</v>
      </c>
      <c r="S52" s="64">
        <v>0.005</v>
      </c>
      <c r="T52" s="64">
        <v>0.005</v>
      </c>
      <c r="U52" s="64">
        <v>0.005</v>
      </c>
      <c r="V52" s="64">
        <v>0.005</v>
      </c>
      <c r="W52" s="64">
        <v>0.005</v>
      </c>
      <c r="X52" s="64">
        <v>0.005</v>
      </c>
      <c r="Y52" s="64">
        <v>0.005</v>
      </c>
      <c r="Z52" s="64">
        <v>0.005</v>
      </c>
      <c r="AA52" s="64">
        <v>0.005</v>
      </c>
      <c r="AB52" s="64">
        <v>0.005</v>
      </c>
      <c r="AC52" s="64">
        <v>0.005</v>
      </c>
      <c r="AD52" s="64">
        <v>0.005</v>
      </c>
      <c r="AE52" s="64">
        <v>0.005</v>
      </c>
      <c r="AF52" s="64">
        <v>0.005</v>
      </c>
      <c r="AG52" s="64">
        <v>0.005</v>
      </c>
      <c r="AH52" s="64">
        <v>0.005</v>
      </c>
      <c r="AI52" s="87">
        <f>AVERAGE(H52:AH52)</f>
        <v>0.005</v>
      </c>
    </row>
    <row r="53" s="49" customFormat="1" ht="14.25" spans="1:35">
      <c r="A53" s="78" t="s">
        <v>491</v>
      </c>
      <c r="B53" s="78" t="s">
        <v>481</v>
      </c>
      <c r="C53" s="78" t="s">
        <v>457</v>
      </c>
      <c r="D53" s="79">
        <f t="shared" ref="D53:AH53" si="44">D54*D13</f>
        <v>0</v>
      </c>
      <c r="E53" s="79">
        <f t="shared" si="44"/>
        <v>0</v>
      </c>
      <c r="F53" s="79">
        <f t="shared" si="44"/>
        <v>0</v>
      </c>
      <c r="G53" s="79">
        <f t="shared" si="44"/>
        <v>0</v>
      </c>
      <c r="H53" s="79">
        <f t="shared" si="44"/>
        <v>0</v>
      </c>
      <c r="I53" s="79">
        <f t="shared" si="44"/>
        <v>0</v>
      </c>
      <c r="J53" s="79">
        <f t="shared" si="44"/>
        <v>0</v>
      </c>
      <c r="K53" s="79">
        <f t="shared" si="44"/>
        <v>0</v>
      </c>
      <c r="L53" s="79">
        <f t="shared" si="44"/>
        <v>0</v>
      </c>
      <c r="M53" s="79">
        <f t="shared" si="44"/>
        <v>0</v>
      </c>
      <c r="N53" s="79">
        <f t="shared" si="44"/>
        <v>0</v>
      </c>
      <c r="O53" s="79">
        <f t="shared" si="44"/>
        <v>0</v>
      </c>
      <c r="P53" s="79">
        <f t="shared" si="44"/>
        <v>0</v>
      </c>
      <c r="Q53" s="79">
        <f t="shared" si="44"/>
        <v>0</v>
      </c>
      <c r="R53" s="79">
        <f t="shared" si="44"/>
        <v>0</v>
      </c>
      <c r="S53" s="79">
        <f t="shared" si="44"/>
        <v>0</v>
      </c>
      <c r="T53" s="79">
        <f t="shared" si="44"/>
        <v>0</v>
      </c>
      <c r="U53" s="79">
        <f t="shared" si="44"/>
        <v>0</v>
      </c>
      <c r="V53" s="79">
        <f t="shared" si="44"/>
        <v>0</v>
      </c>
      <c r="W53" s="79">
        <f t="shared" si="44"/>
        <v>0</v>
      </c>
      <c r="X53" s="79">
        <f t="shared" si="44"/>
        <v>0</v>
      </c>
      <c r="Y53" s="79">
        <f t="shared" si="44"/>
        <v>0</v>
      </c>
      <c r="Z53" s="79">
        <f t="shared" si="44"/>
        <v>0</v>
      </c>
      <c r="AA53" s="79">
        <f t="shared" si="44"/>
        <v>0</v>
      </c>
      <c r="AB53" s="79">
        <f t="shared" si="44"/>
        <v>0</v>
      </c>
      <c r="AC53" s="79">
        <f t="shared" si="44"/>
        <v>0</v>
      </c>
      <c r="AD53" s="79">
        <f t="shared" si="44"/>
        <v>0</v>
      </c>
      <c r="AE53" s="79">
        <f t="shared" si="44"/>
        <v>0</v>
      </c>
      <c r="AF53" s="79">
        <f t="shared" si="44"/>
        <v>0</v>
      </c>
      <c r="AG53" s="79">
        <f t="shared" si="44"/>
        <v>0</v>
      </c>
      <c r="AH53" s="79">
        <f t="shared" si="44"/>
        <v>0</v>
      </c>
      <c r="AI53" s="90">
        <f t="shared" si="41"/>
        <v>0</v>
      </c>
    </row>
    <row r="54" s="49" customFormat="1" ht="14.25" spans="1:35">
      <c r="A54" s="78" t="s">
        <v>491</v>
      </c>
      <c r="B54" s="78" t="s">
        <v>487</v>
      </c>
      <c r="C54" s="78" t="s">
        <v>458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f>AVERAGE(H54:AG54)</f>
        <v>0</v>
      </c>
    </row>
    <row r="55" s="46" customFormat="1" spans="1:35">
      <c r="A55" s="70" t="s">
        <v>491</v>
      </c>
      <c r="B55" s="70" t="s">
        <v>481</v>
      </c>
      <c r="C55" s="70" t="s">
        <v>459</v>
      </c>
      <c r="D55" s="55">
        <f t="shared" ref="D55:AH55" si="45">D45+D47+D49+D51+D53</f>
        <v>1044.889615</v>
      </c>
      <c r="E55" s="55">
        <f t="shared" si="45"/>
        <v>2089.77923</v>
      </c>
      <c r="F55" s="55">
        <f t="shared" si="45"/>
        <v>3134.668845</v>
      </c>
      <c r="G55" s="55">
        <f t="shared" si="45"/>
        <v>4179.55846</v>
      </c>
      <c r="H55" s="55">
        <f t="shared" si="45"/>
        <v>5840.448075</v>
      </c>
      <c r="I55" s="55">
        <f t="shared" si="45"/>
        <v>6885.33769</v>
      </c>
      <c r="J55" s="55">
        <f t="shared" si="45"/>
        <v>7930.227305</v>
      </c>
      <c r="K55" s="55">
        <f t="shared" si="45"/>
        <v>8971.6182864</v>
      </c>
      <c r="L55" s="55">
        <f t="shared" si="45"/>
        <v>11055.4935722</v>
      </c>
      <c r="M55" s="55">
        <f t="shared" si="45"/>
        <v>4823.984858</v>
      </c>
      <c r="N55" s="55">
        <f t="shared" si="45"/>
        <v>4829.0141438</v>
      </c>
      <c r="O55" s="55">
        <f t="shared" si="45"/>
        <v>671.3221438</v>
      </c>
      <c r="P55" s="55">
        <f t="shared" si="45"/>
        <v>671.3221438</v>
      </c>
      <c r="Q55" s="55">
        <f t="shared" si="45"/>
        <v>671.3221438</v>
      </c>
      <c r="R55" s="55">
        <f t="shared" si="45"/>
        <v>671.3221438</v>
      </c>
      <c r="S55" s="55">
        <f t="shared" si="45"/>
        <v>845.439287</v>
      </c>
      <c r="T55" s="55">
        <f t="shared" si="45"/>
        <v>845.439287</v>
      </c>
      <c r="U55" s="55">
        <f t="shared" si="45"/>
        <v>845.439287</v>
      </c>
      <c r="V55" s="55">
        <f t="shared" si="45"/>
        <v>845.439287</v>
      </c>
      <c r="W55" s="55">
        <f t="shared" si="45"/>
        <v>845.439287</v>
      </c>
      <c r="X55" s="55">
        <f t="shared" si="45"/>
        <v>845.439287</v>
      </c>
      <c r="Y55" s="55">
        <f t="shared" si="45"/>
        <v>845.439287</v>
      </c>
      <c r="Z55" s="55">
        <f t="shared" si="45"/>
        <v>845.439287</v>
      </c>
      <c r="AA55" s="55">
        <f t="shared" si="45"/>
        <v>845.439287</v>
      </c>
      <c r="AB55" s="55">
        <f t="shared" si="45"/>
        <v>845.439287</v>
      </c>
      <c r="AC55" s="55">
        <f t="shared" si="45"/>
        <v>845.439287</v>
      </c>
      <c r="AD55" s="55">
        <f t="shared" si="45"/>
        <v>845.439287</v>
      </c>
      <c r="AE55" s="55">
        <f t="shared" si="45"/>
        <v>845.439287</v>
      </c>
      <c r="AF55" s="55">
        <f t="shared" si="45"/>
        <v>845.439287</v>
      </c>
      <c r="AG55" s="55">
        <f t="shared" si="45"/>
        <v>845.439287</v>
      </c>
      <c r="AH55" s="55">
        <f t="shared" si="45"/>
        <v>845.439287</v>
      </c>
      <c r="AI55" s="86">
        <f t="shared" ref="AI55:AI59" si="46">SUM(D55:AH55)</f>
        <v>76997.3372476</v>
      </c>
    </row>
    <row r="56" s="46" customFormat="1" spans="1:35">
      <c r="A56" s="70" t="s">
        <v>491</v>
      </c>
      <c r="B56" s="70" t="s">
        <v>482</v>
      </c>
      <c r="C56" s="70" t="s">
        <v>460</v>
      </c>
      <c r="D56" s="64">
        <f t="shared" ref="D56:AH56" si="47">D55/D13</f>
        <v>0.955700753574195</v>
      </c>
      <c r="E56" s="64">
        <f t="shared" si="47"/>
        <v>0.955700753574195</v>
      </c>
      <c r="F56" s="64">
        <f t="shared" si="47"/>
        <v>0.955700753574195</v>
      </c>
      <c r="G56" s="64">
        <f t="shared" si="47"/>
        <v>0.955700753574195</v>
      </c>
      <c r="H56" s="64">
        <f t="shared" si="47"/>
        <v>1.06838474540461</v>
      </c>
      <c r="I56" s="64">
        <f t="shared" si="47"/>
        <v>1.04960408009954</v>
      </c>
      <c r="J56" s="64">
        <f t="shared" si="47"/>
        <v>1.03618931916735</v>
      </c>
      <c r="K56" s="64">
        <f t="shared" si="47"/>
        <v>1.11492200920457</v>
      </c>
      <c r="L56" s="64">
        <f t="shared" si="47"/>
        <v>1.22123520469734</v>
      </c>
      <c r="M56" s="64">
        <f t="shared" si="47"/>
        <v>0.479589453635743</v>
      </c>
      <c r="N56" s="64">
        <f t="shared" si="47"/>
        <v>0.436444957850675</v>
      </c>
      <c r="O56" s="64">
        <f t="shared" si="47"/>
        <v>0.0606739090071199</v>
      </c>
      <c r="P56" s="64">
        <f t="shared" si="47"/>
        <v>0.0606739090071199</v>
      </c>
      <c r="Q56" s="64">
        <f t="shared" si="47"/>
        <v>0.0606739090071199</v>
      </c>
      <c r="R56" s="64">
        <f t="shared" si="47"/>
        <v>0.0606739090071199</v>
      </c>
      <c r="S56" s="64">
        <f t="shared" si="47"/>
        <v>0.0560344165898599</v>
      </c>
      <c r="T56" s="64">
        <f t="shared" si="47"/>
        <v>0.0560344165898599</v>
      </c>
      <c r="U56" s="64">
        <f t="shared" si="47"/>
        <v>0.0560344165898599</v>
      </c>
      <c r="V56" s="64">
        <f t="shared" si="47"/>
        <v>0.0560344165898599</v>
      </c>
      <c r="W56" s="64">
        <f t="shared" si="47"/>
        <v>0.0560344165898599</v>
      </c>
      <c r="X56" s="64">
        <f t="shared" si="47"/>
        <v>0.0560344165898599</v>
      </c>
      <c r="Y56" s="64">
        <f t="shared" si="47"/>
        <v>0.0560344165898599</v>
      </c>
      <c r="Z56" s="64">
        <f t="shared" si="47"/>
        <v>0.0560344165898599</v>
      </c>
      <c r="AA56" s="64">
        <f t="shared" si="47"/>
        <v>0.0560344165898599</v>
      </c>
      <c r="AB56" s="64">
        <f t="shared" si="47"/>
        <v>0.0560344165898599</v>
      </c>
      <c r="AC56" s="64">
        <f t="shared" si="47"/>
        <v>0.0560344165898599</v>
      </c>
      <c r="AD56" s="64">
        <f t="shared" si="47"/>
        <v>0.0560344165898599</v>
      </c>
      <c r="AE56" s="64">
        <f t="shared" si="47"/>
        <v>0.0560344165898599</v>
      </c>
      <c r="AF56" s="64">
        <f t="shared" si="47"/>
        <v>0.0560344165898599</v>
      </c>
      <c r="AG56" s="64">
        <f t="shared" si="47"/>
        <v>0.0560344165898599</v>
      </c>
      <c r="AH56" s="64">
        <f t="shared" si="47"/>
        <v>0.0560344165898599</v>
      </c>
      <c r="AI56" s="87">
        <f>AVERAGE(H56:AH56)</f>
        <v>0.279467261908372</v>
      </c>
    </row>
    <row r="57" s="46" customFormat="1" spans="1:35">
      <c r="A57" s="53" t="s">
        <v>495</v>
      </c>
      <c r="B57" s="53" t="s">
        <v>481</v>
      </c>
      <c r="C57" s="53" t="s">
        <v>465</v>
      </c>
      <c r="D57" s="55">
        <f t="shared" ref="D57:AH57" si="48">D58*D13</f>
        <v>174.93168</v>
      </c>
      <c r="E57" s="55">
        <f t="shared" si="48"/>
        <v>349.86336</v>
      </c>
      <c r="F57" s="55">
        <f t="shared" si="48"/>
        <v>524.79504</v>
      </c>
      <c r="G57" s="55">
        <f t="shared" si="48"/>
        <v>699.72672</v>
      </c>
      <c r="H57" s="55">
        <f t="shared" si="48"/>
        <v>874.6584</v>
      </c>
      <c r="I57" s="55">
        <f t="shared" si="48"/>
        <v>1049.59008</v>
      </c>
      <c r="J57" s="55">
        <f t="shared" si="48"/>
        <v>1224.52176</v>
      </c>
      <c r="K57" s="55">
        <f t="shared" si="48"/>
        <v>1287.4971648</v>
      </c>
      <c r="L57" s="55">
        <f t="shared" si="48"/>
        <v>1448.4343104</v>
      </c>
      <c r="M57" s="55">
        <f t="shared" si="48"/>
        <v>1609.371456</v>
      </c>
      <c r="N57" s="55">
        <f t="shared" si="48"/>
        <v>1770.3086016</v>
      </c>
      <c r="O57" s="55">
        <f t="shared" si="48"/>
        <v>1770.3086016</v>
      </c>
      <c r="P57" s="55">
        <f t="shared" si="48"/>
        <v>1770.3086016</v>
      </c>
      <c r="Q57" s="55">
        <f t="shared" si="48"/>
        <v>1770.3086016</v>
      </c>
      <c r="R57" s="55">
        <f t="shared" si="48"/>
        <v>1770.3086016</v>
      </c>
      <c r="S57" s="55">
        <f t="shared" si="48"/>
        <v>2414.057184</v>
      </c>
      <c r="T57" s="55">
        <f t="shared" si="48"/>
        <v>2414.057184</v>
      </c>
      <c r="U57" s="55">
        <f t="shared" si="48"/>
        <v>2414.057184</v>
      </c>
      <c r="V57" s="55">
        <f t="shared" si="48"/>
        <v>2414.057184</v>
      </c>
      <c r="W57" s="55">
        <f t="shared" si="48"/>
        <v>2414.057184</v>
      </c>
      <c r="X57" s="55">
        <f t="shared" si="48"/>
        <v>2414.057184</v>
      </c>
      <c r="Y57" s="55">
        <f t="shared" si="48"/>
        <v>2414.057184</v>
      </c>
      <c r="Z57" s="55">
        <f t="shared" si="48"/>
        <v>2414.057184</v>
      </c>
      <c r="AA57" s="55">
        <f t="shared" si="48"/>
        <v>2414.057184</v>
      </c>
      <c r="AB57" s="55">
        <f t="shared" si="48"/>
        <v>2414.057184</v>
      </c>
      <c r="AC57" s="55">
        <f t="shared" si="48"/>
        <v>2414.057184</v>
      </c>
      <c r="AD57" s="55">
        <f t="shared" si="48"/>
        <v>2414.057184</v>
      </c>
      <c r="AE57" s="55">
        <f t="shared" si="48"/>
        <v>2414.057184</v>
      </c>
      <c r="AF57" s="55">
        <f t="shared" si="48"/>
        <v>2414.057184</v>
      </c>
      <c r="AG57" s="55">
        <f t="shared" si="48"/>
        <v>2414.057184</v>
      </c>
      <c r="AH57" s="55">
        <f t="shared" si="48"/>
        <v>2414.057184</v>
      </c>
      <c r="AI57" s="86">
        <f t="shared" si="46"/>
        <v>56719.8479232</v>
      </c>
    </row>
    <row r="58" s="46" customFormat="1" spans="1:35">
      <c r="A58" s="53" t="s">
        <v>495</v>
      </c>
      <c r="B58" s="53" t="s">
        <v>487</v>
      </c>
      <c r="C58" s="53" t="s">
        <v>466</v>
      </c>
      <c r="D58" s="64">
        <v>0.16</v>
      </c>
      <c r="E58" s="64">
        <v>0.16</v>
      </c>
      <c r="F58" s="64">
        <v>0.16</v>
      </c>
      <c r="G58" s="64">
        <v>0.16</v>
      </c>
      <c r="H58" s="64">
        <v>0.16</v>
      </c>
      <c r="I58" s="64">
        <v>0.16</v>
      </c>
      <c r="J58" s="64">
        <v>0.16</v>
      </c>
      <c r="K58" s="64">
        <v>0.16</v>
      </c>
      <c r="L58" s="64">
        <v>0.16</v>
      </c>
      <c r="M58" s="64">
        <v>0.16</v>
      </c>
      <c r="N58" s="64">
        <v>0.16</v>
      </c>
      <c r="O58" s="64">
        <v>0.16</v>
      </c>
      <c r="P58" s="64">
        <v>0.16</v>
      </c>
      <c r="Q58" s="64">
        <v>0.16</v>
      </c>
      <c r="R58" s="64">
        <v>0.16</v>
      </c>
      <c r="S58" s="64">
        <v>0.16</v>
      </c>
      <c r="T58" s="64">
        <v>0.16</v>
      </c>
      <c r="U58" s="64">
        <v>0.16</v>
      </c>
      <c r="V58" s="64">
        <v>0.16</v>
      </c>
      <c r="W58" s="64">
        <v>0.16</v>
      </c>
      <c r="X58" s="64">
        <v>0.16</v>
      </c>
      <c r="Y58" s="64">
        <v>0.16</v>
      </c>
      <c r="Z58" s="64">
        <v>0.16</v>
      </c>
      <c r="AA58" s="64">
        <v>0.16</v>
      </c>
      <c r="AB58" s="64">
        <v>0.16</v>
      </c>
      <c r="AC58" s="64">
        <v>0.16</v>
      </c>
      <c r="AD58" s="64">
        <v>0.16</v>
      </c>
      <c r="AE58" s="64">
        <v>0.16</v>
      </c>
      <c r="AF58" s="64">
        <v>0.16</v>
      </c>
      <c r="AG58" s="64">
        <v>0.16</v>
      </c>
      <c r="AH58" s="64">
        <v>0.16</v>
      </c>
      <c r="AI58" s="87">
        <f>AVERAGE(G58:AH58)</f>
        <v>0.16</v>
      </c>
    </row>
    <row r="59" s="49" customFormat="1" ht="14.25" spans="1:35">
      <c r="A59" s="78" t="s">
        <v>496</v>
      </c>
      <c r="B59" s="78" t="s">
        <v>481</v>
      </c>
      <c r="C59" s="78" t="s">
        <v>461</v>
      </c>
      <c r="D59" s="79">
        <f t="shared" ref="D59:AH59" si="49">D60*D13</f>
        <v>0</v>
      </c>
      <c r="E59" s="79">
        <f t="shared" si="49"/>
        <v>0</v>
      </c>
      <c r="F59" s="79">
        <f t="shared" si="49"/>
        <v>0</v>
      </c>
      <c r="G59" s="79">
        <f t="shared" si="49"/>
        <v>0</v>
      </c>
      <c r="H59" s="79">
        <f t="shared" si="49"/>
        <v>0</v>
      </c>
      <c r="I59" s="79">
        <f t="shared" si="49"/>
        <v>0</v>
      </c>
      <c r="J59" s="79">
        <f t="shared" si="49"/>
        <v>0</v>
      </c>
      <c r="K59" s="79">
        <f t="shared" si="49"/>
        <v>0</v>
      </c>
      <c r="L59" s="79">
        <f t="shared" si="49"/>
        <v>0</v>
      </c>
      <c r="M59" s="79">
        <f t="shared" si="49"/>
        <v>0</v>
      </c>
      <c r="N59" s="79">
        <f t="shared" si="49"/>
        <v>0</v>
      </c>
      <c r="O59" s="79">
        <f t="shared" si="49"/>
        <v>0</v>
      </c>
      <c r="P59" s="79">
        <f t="shared" si="49"/>
        <v>0</v>
      </c>
      <c r="Q59" s="79">
        <f t="shared" si="49"/>
        <v>0</v>
      </c>
      <c r="R59" s="79">
        <f t="shared" si="49"/>
        <v>0</v>
      </c>
      <c r="S59" s="79">
        <f t="shared" si="49"/>
        <v>0</v>
      </c>
      <c r="T59" s="79">
        <f t="shared" si="49"/>
        <v>0</v>
      </c>
      <c r="U59" s="79">
        <f t="shared" si="49"/>
        <v>0</v>
      </c>
      <c r="V59" s="79">
        <f t="shared" si="49"/>
        <v>0</v>
      </c>
      <c r="W59" s="79">
        <f t="shared" si="49"/>
        <v>0</v>
      </c>
      <c r="X59" s="79">
        <f t="shared" si="49"/>
        <v>0</v>
      </c>
      <c r="Y59" s="79">
        <f t="shared" si="49"/>
        <v>0</v>
      </c>
      <c r="Z59" s="79">
        <f t="shared" si="49"/>
        <v>0</v>
      </c>
      <c r="AA59" s="79">
        <f t="shared" si="49"/>
        <v>0</v>
      </c>
      <c r="AB59" s="79">
        <f t="shared" si="49"/>
        <v>0</v>
      </c>
      <c r="AC59" s="79">
        <f t="shared" si="49"/>
        <v>0</v>
      </c>
      <c r="AD59" s="79">
        <f t="shared" si="49"/>
        <v>0</v>
      </c>
      <c r="AE59" s="79">
        <f t="shared" si="49"/>
        <v>0</v>
      </c>
      <c r="AF59" s="79">
        <f t="shared" si="49"/>
        <v>0</v>
      </c>
      <c r="AG59" s="79">
        <f t="shared" si="49"/>
        <v>0</v>
      </c>
      <c r="AH59" s="79">
        <f t="shared" si="49"/>
        <v>0</v>
      </c>
      <c r="AI59" s="90">
        <f t="shared" si="46"/>
        <v>0</v>
      </c>
    </row>
    <row r="60" s="49" customFormat="1" ht="14.25" spans="1:35">
      <c r="A60" s="78" t="s">
        <v>496</v>
      </c>
      <c r="B60" s="78" t="s">
        <v>487</v>
      </c>
      <c r="C60" s="78" t="s">
        <v>462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72">
        <v>0</v>
      </c>
      <c r="AH60" s="72">
        <v>0</v>
      </c>
      <c r="AI60" s="72">
        <f>AVERAGE(H60:AG60)</f>
        <v>0</v>
      </c>
    </row>
    <row r="61" s="46" customFormat="1" spans="1:35">
      <c r="A61" s="71" t="s">
        <v>497</v>
      </c>
      <c r="B61" s="71" t="s">
        <v>481</v>
      </c>
      <c r="C61" s="71" t="s">
        <v>463</v>
      </c>
      <c r="D61" s="55">
        <f t="shared" ref="D61:AH61" si="50">D36+D43+D55+D59</f>
        <v>1271.219326</v>
      </c>
      <c r="E61" s="55">
        <f t="shared" si="50"/>
        <v>2542.438652</v>
      </c>
      <c r="F61" s="55">
        <f t="shared" si="50"/>
        <v>3813.657978</v>
      </c>
      <c r="G61" s="55">
        <f t="shared" si="50"/>
        <v>5084.877304</v>
      </c>
      <c r="H61" s="55">
        <f t="shared" si="50"/>
        <v>6972.09663</v>
      </c>
      <c r="I61" s="55">
        <f t="shared" si="50"/>
        <v>8243.315956</v>
      </c>
      <c r="J61" s="55">
        <f t="shared" si="50"/>
        <v>9514.535282</v>
      </c>
      <c r="K61" s="55">
        <f t="shared" si="50"/>
        <v>10672.39887936</v>
      </c>
      <c r="L61" s="55">
        <f t="shared" si="50"/>
        <v>12968.87173928</v>
      </c>
      <c r="M61" s="55">
        <f t="shared" si="50"/>
        <v>6949.9605992</v>
      </c>
      <c r="N61" s="55">
        <f t="shared" si="50"/>
        <v>7167.58745912</v>
      </c>
      <c r="O61" s="55">
        <f t="shared" si="50"/>
        <v>3009.89545912</v>
      </c>
      <c r="P61" s="55">
        <f t="shared" si="50"/>
        <v>3009.89545912</v>
      </c>
      <c r="Q61" s="55">
        <f t="shared" si="50"/>
        <v>3009.89545912</v>
      </c>
      <c r="R61" s="55">
        <f t="shared" si="50"/>
        <v>3009.89545912</v>
      </c>
      <c r="S61" s="55">
        <f t="shared" si="50"/>
        <v>4034.4028988</v>
      </c>
      <c r="T61" s="55">
        <f t="shared" si="50"/>
        <v>4034.4028988</v>
      </c>
      <c r="U61" s="55">
        <f t="shared" si="50"/>
        <v>4034.4028988</v>
      </c>
      <c r="V61" s="55">
        <f t="shared" si="50"/>
        <v>4034.4028988</v>
      </c>
      <c r="W61" s="55">
        <f t="shared" si="50"/>
        <v>4034.4028988</v>
      </c>
      <c r="X61" s="55">
        <f t="shared" si="50"/>
        <v>4034.4028988</v>
      </c>
      <c r="Y61" s="55">
        <f t="shared" si="50"/>
        <v>4034.4028988</v>
      </c>
      <c r="Z61" s="55">
        <f t="shared" si="50"/>
        <v>4034.4028988</v>
      </c>
      <c r="AA61" s="55">
        <f t="shared" si="50"/>
        <v>4034.4028988</v>
      </c>
      <c r="AB61" s="55">
        <f t="shared" si="50"/>
        <v>4034.4028988</v>
      </c>
      <c r="AC61" s="55">
        <f t="shared" si="50"/>
        <v>4034.4028988</v>
      </c>
      <c r="AD61" s="55">
        <f t="shared" si="50"/>
        <v>4034.4028988</v>
      </c>
      <c r="AE61" s="55">
        <f t="shared" si="50"/>
        <v>4034.4028988</v>
      </c>
      <c r="AF61" s="55">
        <f t="shared" si="50"/>
        <v>4034.4028988</v>
      </c>
      <c r="AG61" s="55">
        <f t="shared" si="50"/>
        <v>4034.4028988</v>
      </c>
      <c r="AH61" s="55">
        <f t="shared" si="50"/>
        <v>4034.4028988</v>
      </c>
      <c r="AI61" s="86">
        <f>SUM(D61:AH61)</f>
        <v>151790.98802224</v>
      </c>
    </row>
    <row r="62" s="46" customFormat="1" spans="1:35">
      <c r="A62" s="71" t="s">
        <v>497</v>
      </c>
      <c r="B62" s="71" t="s">
        <v>482</v>
      </c>
      <c r="C62" s="71" t="s">
        <v>464</v>
      </c>
      <c r="D62" s="64">
        <f t="shared" ref="D62:AH62" si="51">D61/D13</f>
        <v>1.16271159209127</v>
      </c>
      <c r="E62" s="64">
        <f t="shared" si="51"/>
        <v>1.16271159209127</v>
      </c>
      <c r="F62" s="64">
        <f t="shared" si="51"/>
        <v>1.16271159209127</v>
      </c>
      <c r="G62" s="64">
        <f t="shared" si="51"/>
        <v>1.16271159209127</v>
      </c>
      <c r="H62" s="64">
        <f t="shared" si="51"/>
        <v>1.27539558392168</v>
      </c>
      <c r="I62" s="64">
        <f t="shared" si="51"/>
        <v>1.25661491861661</v>
      </c>
      <c r="J62" s="64">
        <f t="shared" si="51"/>
        <v>1.24320015768442</v>
      </c>
      <c r="K62" s="64">
        <f t="shared" si="51"/>
        <v>1.32628161628834</v>
      </c>
      <c r="L62" s="64">
        <f t="shared" si="51"/>
        <v>1.43259481178112</v>
      </c>
      <c r="M62" s="64">
        <f t="shared" si="51"/>
        <v>0.690949060719516</v>
      </c>
      <c r="N62" s="64">
        <f t="shared" si="51"/>
        <v>0.647804564934448</v>
      </c>
      <c r="O62" s="64">
        <f t="shared" si="51"/>
        <v>0.272033516090893</v>
      </c>
      <c r="P62" s="64">
        <f t="shared" si="51"/>
        <v>0.272033516090893</v>
      </c>
      <c r="Q62" s="64">
        <f t="shared" si="51"/>
        <v>0.272033516090893</v>
      </c>
      <c r="R62" s="64">
        <f t="shared" si="51"/>
        <v>0.272033516090893</v>
      </c>
      <c r="S62" s="64">
        <f t="shared" si="51"/>
        <v>0.267394023673633</v>
      </c>
      <c r="T62" s="64">
        <f t="shared" si="51"/>
        <v>0.267394023673633</v>
      </c>
      <c r="U62" s="64">
        <f t="shared" si="51"/>
        <v>0.267394023673633</v>
      </c>
      <c r="V62" s="64">
        <f t="shared" si="51"/>
        <v>0.267394023673633</v>
      </c>
      <c r="W62" s="64">
        <f t="shared" si="51"/>
        <v>0.267394023673633</v>
      </c>
      <c r="X62" s="64">
        <f t="shared" si="51"/>
        <v>0.267394023673633</v>
      </c>
      <c r="Y62" s="64">
        <f t="shared" si="51"/>
        <v>0.267394023673633</v>
      </c>
      <c r="Z62" s="64">
        <f t="shared" si="51"/>
        <v>0.267394023673633</v>
      </c>
      <c r="AA62" s="64">
        <f t="shared" si="51"/>
        <v>0.267394023673633</v>
      </c>
      <c r="AB62" s="64">
        <f t="shared" si="51"/>
        <v>0.267394023673633</v>
      </c>
      <c r="AC62" s="64">
        <f t="shared" si="51"/>
        <v>0.267394023673633</v>
      </c>
      <c r="AD62" s="64">
        <f t="shared" si="51"/>
        <v>0.267394023673633</v>
      </c>
      <c r="AE62" s="64">
        <f t="shared" si="51"/>
        <v>0.267394023673633</v>
      </c>
      <c r="AF62" s="64">
        <f t="shared" si="51"/>
        <v>0.267394023673633</v>
      </c>
      <c r="AG62" s="64">
        <f t="shared" si="51"/>
        <v>0.267394023673633</v>
      </c>
      <c r="AH62" s="64">
        <f t="shared" si="51"/>
        <v>0.267394023673633</v>
      </c>
      <c r="AI62" s="87">
        <f>AVERAGE(K62:AH62)</f>
        <v>0.39433618736938</v>
      </c>
    </row>
    <row r="63" s="46" customFormat="1" spans="1:35">
      <c r="A63" s="80" t="s">
        <v>498</v>
      </c>
      <c r="B63" s="80" t="s">
        <v>481</v>
      </c>
      <c r="C63" s="80" t="s">
        <v>467</v>
      </c>
      <c r="D63" s="55">
        <f t="shared" ref="D63:AH63" si="52">D13-D26-D57-D61</f>
        <v>-886.827696</v>
      </c>
      <c r="E63" s="55">
        <f t="shared" si="52"/>
        <v>-1773.655392</v>
      </c>
      <c r="F63" s="55">
        <f t="shared" si="52"/>
        <v>-2660.483088</v>
      </c>
      <c r="G63" s="55">
        <f t="shared" si="52"/>
        <v>-3547.310784</v>
      </c>
      <c r="H63" s="55">
        <f t="shared" si="52"/>
        <v>-5050.13848</v>
      </c>
      <c r="I63" s="55">
        <f t="shared" si="52"/>
        <v>-5936.966176</v>
      </c>
      <c r="J63" s="55">
        <f t="shared" si="52"/>
        <v>-6823.793872</v>
      </c>
      <c r="K63" s="55">
        <f t="shared" si="52"/>
        <v>-7932.87648256</v>
      </c>
      <c r="L63" s="55">
        <f t="shared" si="52"/>
        <v>-9886.90904288</v>
      </c>
      <c r="M63" s="55">
        <f t="shared" si="52"/>
        <v>-3525.5576032</v>
      </c>
      <c r="N63" s="55">
        <f t="shared" si="52"/>
        <v>-3400.74416352</v>
      </c>
      <c r="O63" s="55">
        <f t="shared" si="52"/>
        <v>756.94783648</v>
      </c>
      <c r="P63" s="55">
        <f t="shared" si="52"/>
        <v>756.94783648</v>
      </c>
      <c r="Q63" s="55">
        <f t="shared" si="52"/>
        <v>756.94783648</v>
      </c>
      <c r="R63" s="55">
        <f t="shared" si="52"/>
        <v>756.94783648</v>
      </c>
      <c r="S63" s="55">
        <f t="shared" si="52"/>
        <v>1102.2015952</v>
      </c>
      <c r="T63" s="55">
        <f t="shared" si="52"/>
        <v>1102.2015952</v>
      </c>
      <c r="U63" s="55">
        <f t="shared" si="52"/>
        <v>1102.2015952</v>
      </c>
      <c r="V63" s="55">
        <f t="shared" si="52"/>
        <v>1102.2015952</v>
      </c>
      <c r="W63" s="55">
        <f t="shared" si="52"/>
        <v>1102.2015952</v>
      </c>
      <c r="X63" s="55">
        <f t="shared" si="52"/>
        <v>1102.2015952</v>
      </c>
      <c r="Y63" s="55">
        <f t="shared" si="52"/>
        <v>1102.2015952</v>
      </c>
      <c r="Z63" s="55">
        <f t="shared" si="52"/>
        <v>1102.2015952</v>
      </c>
      <c r="AA63" s="55">
        <f t="shared" si="52"/>
        <v>1102.2015952</v>
      </c>
      <c r="AB63" s="55">
        <f t="shared" si="52"/>
        <v>1102.2015952</v>
      </c>
      <c r="AC63" s="55">
        <f t="shared" si="52"/>
        <v>1102.2015952</v>
      </c>
      <c r="AD63" s="55">
        <f t="shared" si="52"/>
        <v>1102.2015952</v>
      </c>
      <c r="AE63" s="55">
        <f t="shared" si="52"/>
        <v>1102.2015952</v>
      </c>
      <c r="AF63" s="55">
        <f t="shared" si="52"/>
        <v>1102.2015952</v>
      </c>
      <c r="AG63" s="55">
        <f t="shared" si="52"/>
        <v>1102.2015952</v>
      </c>
      <c r="AH63" s="55">
        <f t="shared" si="52"/>
        <v>1102.2015952</v>
      </c>
      <c r="AI63" s="86">
        <f>SUM(D63:AH63)</f>
        <v>-30762.24591104</v>
      </c>
    </row>
    <row r="64" s="46" customFormat="1" spans="1:35">
      <c r="A64" s="80" t="s">
        <v>498</v>
      </c>
      <c r="B64" s="80" t="s">
        <v>482</v>
      </c>
      <c r="C64" s="80" t="s">
        <v>468</v>
      </c>
      <c r="D64" s="64">
        <f t="shared" ref="D64:AI64" si="53">D63/D13</f>
        <v>-0.811130558855892</v>
      </c>
      <c r="E64" s="64">
        <f t="shared" si="53"/>
        <v>-0.811130558855892</v>
      </c>
      <c r="F64" s="64">
        <f t="shared" si="53"/>
        <v>-0.811130558855892</v>
      </c>
      <c r="G64" s="64">
        <f t="shared" si="53"/>
        <v>-0.811130558855892</v>
      </c>
      <c r="H64" s="64">
        <f t="shared" si="53"/>
        <v>-0.923814550686302</v>
      </c>
      <c r="I64" s="64">
        <f t="shared" si="53"/>
        <v>-0.905033885381234</v>
      </c>
      <c r="J64" s="64">
        <f t="shared" si="53"/>
        <v>-0.891619124449042</v>
      </c>
      <c r="K64" s="64">
        <f t="shared" si="53"/>
        <v>-0.98583536485439</v>
      </c>
      <c r="L64" s="64">
        <f t="shared" si="53"/>
        <v>-1.09214856034717</v>
      </c>
      <c r="M64" s="64">
        <f t="shared" si="53"/>
        <v>-0.350502809285565</v>
      </c>
      <c r="N64" s="64">
        <f t="shared" si="53"/>
        <v>-0.307358313500497</v>
      </c>
      <c r="O64" s="64">
        <f t="shared" si="53"/>
        <v>0.0684127353430581</v>
      </c>
      <c r="P64" s="64">
        <f t="shared" si="53"/>
        <v>0.0684127353430581</v>
      </c>
      <c r="Q64" s="64">
        <f t="shared" si="53"/>
        <v>0.0684127353430581</v>
      </c>
      <c r="R64" s="64">
        <f t="shared" si="53"/>
        <v>0.0684127353430581</v>
      </c>
      <c r="S64" s="64">
        <f t="shared" si="53"/>
        <v>0.0730522277603182</v>
      </c>
      <c r="T64" s="64">
        <f t="shared" si="53"/>
        <v>0.0730522277603182</v>
      </c>
      <c r="U64" s="64">
        <f t="shared" si="53"/>
        <v>0.0730522277603182</v>
      </c>
      <c r="V64" s="64">
        <f t="shared" si="53"/>
        <v>0.0730522277603182</v>
      </c>
      <c r="W64" s="64">
        <f t="shared" si="53"/>
        <v>0.0730522277603182</v>
      </c>
      <c r="X64" s="64">
        <f t="shared" si="53"/>
        <v>0.0730522277603182</v>
      </c>
      <c r="Y64" s="64">
        <f t="shared" si="53"/>
        <v>0.0730522277603182</v>
      </c>
      <c r="Z64" s="64">
        <f t="shared" si="53"/>
        <v>0.0730522277603182</v>
      </c>
      <c r="AA64" s="64">
        <f t="shared" si="53"/>
        <v>0.0730522277603182</v>
      </c>
      <c r="AB64" s="64">
        <f t="shared" si="53"/>
        <v>0.0730522277603182</v>
      </c>
      <c r="AC64" s="64">
        <f t="shared" si="53"/>
        <v>0.0730522277603182</v>
      </c>
      <c r="AD64" s="64">
        <f t="shared" si="53"/>
        <v>0.0730522277603182</v>
      </c>
      <c r="AE64" s="64">
        <f t="shared" si="53"/>
        <v>0.0730522277603182</v>
      </c>
      <c r="AF64" s="64">
        <f t="shared" si="53"/>
        <v>0.0730522277603182</v>
      </c>
      <c r="AG64" s="64">
        <f t="shared" si="53"/>
        <v>0.0730522277603182</v>
      </c>
      <c r="AH64" s="64">
        <f t="shared" si="53"/>
        <v>0.0730522277603182</v>
      </c>
      <c r="AI64" s="87">
        <f t="shared" si="53"/>
        <v>-0.0867766668280008</v>
      </c>
    </row>
    <row r="65" s="46" customFormat="1" spans="1:4">
      <c r="A65" s="50"/>
      <c r="B65" s="91" t="s">
        <v>3</v>
      </c>
      <c r="C65" s="92" t="s">
        <v>499</v>
      </c>
      <c r="D65" s="46">
        <v>70</v>
      </c>
    </row>
    <row r="66" s="46" customFormat="1" spans="1:17">
      <c r="A66" s="50"/>
      <c r="B66" s="50"/>
      <c r="C66" s="92" t="s">
        <v>500</v>
      </c>
      <c r="D66" s="46">
        <v>70</v>
      </c>
      <c r="Q66" s="46">
        <v>4</v>
      </c>
    </row>
    <row r="67" s="46" customFormat="1" spans="1:20">
      <c r="A67" s="50"/>
      <c r="B67" s="50"/>
      <c r="C67" s="92" t="s">
        <v>501</v>
      </c>
      <c r="D67" s="46">
        <f>7.01*7.8</f>
        <v>54.678</v>
      </c>
      <c r="Q67" s="46">
        <v>5</v>
      </c>
      <c r="R67" s="46">
        <v>6</v>
      </c>
      <c r="S67" s="46">
        <v>6</v>
      </c>
      <c r="T67" s="46">
        <v>4</v>
      </c>
    </row>
    <row r="68" spans="3:4">
      <c r="C68" s="92" t="s">
        <v>502</v>
      </c>
      <c r="D68" s="46">
        <f>35*7.8</f>
        <v>273</v>
      </c>
    </row>
    <row r="69" spans="3:4">
      <c r="C69"/>
      <c r="D69"/>
    </row>
    <row r="70" spans="3:4">
      <c r="C70"/>
      <c r="D70"/>
    </row>
    <row r="71" spans="3:4">
      <c r="C71"/>
      <c r="D71"/>
    </row>
  </sheetData>
  <sheetProtection formatCells="0" insertHyperlinks="0" autoFilter="0"/>
  <mergeCells count="32">
    <mergeCell ref="D38:D41"/>
    <mergeCell ref="E38:E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C21"/>
  <sheetViews>
    <sheetView zoomScale="130" zoomScaleNormal="130" topLeftCell="A9" workbookViewId="0">
      <selection activeCell="C17" sqref="C17"/>
    </sheetView>
  </sheetViews>
  <sheetFormatPr defaultColWidth="9" defaultRowHeight="13.5" outlineLevelCol="2"/>
  <cols>
    <col min="1" max="1" width="15.875" style="37" customWidth="1"/>
    <col min="2" max="2" width="16.875" style="38" customWidth="1"/>
    <col min="3" max="3" width="50.2583333333333" style="38" customWidth="1"/>
    <col min="4" max="6" width="9" style="38"/>
    <col min="7" max="7" width="12.625" style="38"/>
    <col min="8" max="16384" width="9" style="38"/>
  </cols>
  <sheetData>
    <row r="1" s="37" customFormat="1" ht="22" customHeight="1" spans="1:3">
      <c r="A1" s="39" t="s">
        <v>503</v>
      </c>
      <c r="B1" s="40" t="s">
        <v>504</v>
      </c>
      <c r="C1" s="41" t="s">
        <v>505</v>
      </c>
    </row>
    <row r="2" ht="54" spans="1:3">
      <c r="A2" s="42" t="s">
        <v>506</v>
      </c>
      <c r="B2" s="43" t="s">
        <v>507</v>
      </c>
      <c r="C2" s="44" t="s">
        <v>508</v>
      </c>
    </row>
    <row r="3" spans="1:3">
      <c r="A3" s="42" t="s">
        <v>509</v>
      </c>
      <c r="B3" s="43" t="s">
        <v>510</v>
      </c>
      <c r="C3" s="44" t="s">
        <v>511</v>
      </c>
    </row>
    <row r="4" ht="67.5" spans="1:3">
      <c r="A4" s="42"/>
      <c r="B4" s="43" t="s">
        <v>512</v>
      </c>
      <c r="C4" s="44" t="s">
        <v>513</v>
      </c>
    </row>
    <row r="5" ht="27" spans="1:3">
      <c r="A5" s="42"/>
      <c r="B5" s="43" t="s">
        <v>514</v>
      </c>
      <c r="C5" s="44" t="s">
        <v>515</v>
      </c>
    </row>
    <row r="6" ht="17" customHeight="1" spans="1:3">
      <c r="A6" s="42" t="s">
        <v>516</v>
      </c>
      <c r="B6" s="43" t="s">
        <v>404</v>
      </c>
      <c r="C6" s="44" t="s">
        <v>517</v>
      </c>
    </row>
    <row r="7" ht="18" customHeight="1" spans="1:3">
      <c r="A7" s="42"/>
      <c r="B7" s="43" t="s">
        <v>518</v>
      </c>
      <c r="C7" s="44" t="s">
        <v>519</v>
      </c>
    </row>
    <row r="8" ht="17" customHeight="1" spans="1:3">
      <c r="A8" s="42"/>
      <c r="B8" s="43" t="s">
        <v>403</v>
      </c>
      <c r="C8" s="44" t="s">
        <v>520</v>
      </c>
    </row>
    <row r="9" ht="27" spans="1:3">
      <c r="A9" s="42"/>
      <c r="B9" s="43" t="s">
        <v>521</v>
      </c>
      <c r="C9" s="44" t="s">
        <v>522</v>
      </c>
    </row>
    <row r="10" ht="16" customHeight="1" spans="1:3">
      <c r="A10" s="42"/>
      <c r="B10" s="43" t="s">
        <v>523</v>
      </c>
      <c r="C10" s="44" t="s">
        <v>524</v>
      </c>
    </row>
    <row r="11" ht="40.5" spans="1:3">
      <c r="A11" s="42" t="s">
        <v>525</v>
      </c>
      <c r="B11" s="43"/>
      <c r="C11" s="44" t="s">
        <v>526</v>
      </c>
    </row>
    <row r="12" ht="27" spans="1:3">
      <c r="A12" s="42" t="s">
        <v>527</v>
      </c>
      <c r="B12" s="43" t="s">
        <v>528</v>
      </c>
      <c r="C12" s="44" t="s">
        <v>529</v>
      </c>
    </row>
    <row r="13" ht="20" customHeight="1" spans="1:3">
      <c r="A13" s="42"/>
      <c r="B13" s="43" t="s">
        <v>530</v>
      </c>
      <c r="C13" s="44" t="s">
        <v>531</v>
      </c>
    </row>
    <row r="14" ht="27" spans="1:3">
      <c r="A14" s="42"/>
      <c r="B14" s="43" t="s">
        <v>532</v>
      </c>
      <c r="C14" s="44" t="s">
        <v>533</v>
      </c>
    </row>
    <row r="15" ht="27" spans="1:3">
      <c r="A15" s="42"/>
      <c r="B15" s="43" t="s">
        <v>534</v>
      </c>
      <c r="C15" s="44" t="s">
        <v>535</v>
      </c>
    </row>
    <row r="16" ht="20" customHeight="1" spans="1:3">
      <c r="A16" s="42" t="s">
        <v>536</v>
      </c>
      <c r="B16" s="43" t="s">
        <v>537</v>
      </c>
      <c r="C16" s="44"/>
    </row>
    <row r="17" ht="27" spans="1:3">
      <c r="A17" s="42"/>
      <c r="B17" s="43" t="s">
        <v>538</v>
      </c>
      <c r="C17" s="44" t="s">
        <v>539</v>
      </c>
    </row>
    <row r="18" ht="54" spans="1:3">
      <c r="A18" s="42"/>
      <c r="B18" s="43" t="s">
        <v>540</v>
      </c>
      <c r="C18" s="44" t="s">
        <v>541</v>
      </c>
    </row>
    <row r="19" ht="20" customHeight="1" spans="1:3">
      <c r="A19" s="42"/>
      <c r="B19" s="43" t="s">
        <v>542</v>
      </c>
      <c r="C19" s="44" t="s">
        <v>543</v>
      </c>
    </row>
    <row r="20" ht="20" customHeight="1" spans="1:3">
      <c r="A20" s="42"/>
      <c r="B20" s="43" t="s">
        <v>544</v>
      </c>
      <c r="C20" s="44" t="s">
        <v>545</v>
      </c>
    </row>
    <row r="21" ht="40.5" spans="1:3">
      <c r="A21" s="42"/>
      <c r="B21" s="43" t="s">
        <v>546</v>
      </c>
      <c r="C21" s="44" t="s">
        <v>547</v>
      </c>
    </row>
  </sheetData>
  <sheetProtection formatCells="0" insertHyperlinks="0" autoFilter="0"/>
  <mergeCells count="4">
    <mergeCell ref="A3:A5"/>
    <mergeCell ref="A6:A10"/>
    <mergeCell ref="A12:A15"/>
    <mergeCell ref="A16:A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53"/>
  <sheetViews>
    <sheetView tabSelected="1" zoomScale="85" zoomScaleNormal="85" topLeftCell="B7" workbookViewId="0">
      <selection activeCell="H30" sqref="H30"/>
    </sheetView>
  </sheetViews>
  <sheetFormatPr defaultColWidth="9" defaultRowHeight="13.5"/>
  <cols>
    <col min="1" max="1" width="7.25833333333333" style="1" customWidth="1"/>
    <col min="2" max="4" width="9" style="1"/>
    <col min="5" max="5" width="11.375" style="1" customWidth="1"/>
    <col min="6" max="6" width="10.375" style="1"/>
    <col min="7" max="7" width="30.125" style="1" customWidth="1"/>
    <col min="8" max="8" width="21.2583333333333" style="1" customWidth="1"/>
    <col min="9" max="10" width="10.375" style="1"/>
    <col min="11" max="16382" width="9" style="1"/>
  </cols>
  <sheetData>
    <row r="1" s="1" customFormat="1" ht="24" spans="1:14">
      <c r="A1" s="2" t="s">
        <v>548</v>
      </c>
      <c r="B1" s="2" t="s">
        <v>549</v>
      </c>
      <c r="C1" s="3" t="s">
        <v>550</v>
      </c>
      <c r="D1" s="3" t="s">
        <v>551</v>
      </c>
      <c r="E1" s="3" t="s">
        <v>552</v>
      </c>
      <c r="F1" s="4" t="s">
        <v>553</v>
      </c>
      <c r="G1" s="5" t="s">
        <v>554</v>
      </c>
      <c r="H1" s="5" t="s">
        <v>555</v>
      </c>
      <c r="I1" s="5" t="s">
        <v>556</v>
      </c>
      <c r="J1" s="5" t="s">
        <v>557</v>
      </c>
      <c r="K1" s="5" t="s">
        <v>558</v>
      </c>
      <c r="L1" s="5" t="s">
        <v>559</v>
      </c>
      <c r="M1" s="5" t="s">
        <v>560</v>
      </c>
      <c r="N1" s="5" t="s">
        <v>3</v>
      </c>
    </row>
    <row r="2" s="1" customFormat="1" ht="72" spans="1:14">
      <c r="A2" s="6" t="s">
        <v>561</v>
      </c>
      <c r="B2" s="6" t="s">
        <v>562</v>
      </c>
      <c r="C2" s="7" t="s">
        <v>563</v>
      </c>
      <c r="D2" s="7" t="s">
        <v>564</v>
      </c>
      <c r="E2" s="8" t="s">
        <v>565</v>
      </c>
      <c r="F2" s="9">
        <v>44413</v>
      </c>
      <c r="G2" s="10" t="s">
        <v>566</v>
      </c>
      <c r="H2" s="10"/>
      <c r="I2" s="9">
        <v>44410</v>
      </c>
      <c r="J2" s="9">
        <v>44416</v>
      </c>
      <c r="K2" s="9"/>
      <c r="L2" s="9"/>
      <c r="M2" s="9"/>
      <c r="N2" s="9"/>
    </row>
    <row r="3" s="1" customFormat="1" ht="24" spans="1:14">
      <c r="A3" s="11"/>
      <c r="B3" s="11"/>
      <c r="C3" s="12"/>
      <c r="D3" s="12"/>
      <c r="E3" s="8" t="s">
        <v>567</v>
      </c>
      <c r="F3" s="9">
        <v>44413</v>
      </c>
      <c r="G3" s="10" t="s">
        <v>568</v>
      </c>
      <c r="H3" s="10"/>
      <c r="I3" s="9">
        <v>44410</v>
      </c>
      <c r="J3" s="9">
        <v>44416</v>
      </c>
      <c r="K3" s="9"/>
      <c r="L3" s="9"/>
      <c r="M3" s="9"/>
      <c r="N3" s="9"/>
    </row>
    <row r="4" s="1" customFormat="1" ht="24" spans="1:14">
      <c r="A4" s="11"/>
      <c r="B4" s="11"/>
      <c r="C4" s="12"/>
      <c r="D4" s="12"/>
      <c r="E4" s="8" t="s">
        <v>569</v>
      </c>
      <c r="F4" s="9">
        <v>44413</v>
      </c>
      <c r="G4" s="10" t="s">
        <v>570</v>
      </c>
      <c r="H4" s="10"/>
      <c r="I4" s="9">
        <v>44410</v>
      </c>
      <c r="J4" s="9">
        <v>44416</v>
      </c>
      <c r="K4" s="9"/>
      <c r="L4" s="9"/>
      <c r="M4" s="9"/>
      <c r="N4" s="9"/>
    </row>
    <row r="5" s="1" customFormat="1" ht="36" spans="1:14">
      <c r="A5" s="11"/>
      <c r="B5" s="13"/>
      <c r="C5" s="14"/>
      <c r="D5" s="14"/>
      <c r="E5" s="8" t="s">
        <v>571</v>
      </c>
      <c r="F5" s="9">
        <v>44413</v>
      </c>
      <c r="G5" s="10" t="s">
        <v>572</v>
      </c>
      <c r="H5" s="10"/>
      <c r="I5" s="9">
        <v>44410</v>
      </c>
      <c r="J5" s="9">
        <v>44416</v>
      </c>
      <c r="K5" s="9"/>
      <c r="L5" s="9"/>
      <c r="M5" s="9"/>
      <c r="N5" s="9"/>
    </row>
    <row r="6" s="1" customFormat="1" spans="1:14">
      <c r="A6" s="11"/>
      <c r="B6" s="6" t="s">
        <v>573</v>
      </c>
      <c r="C6" s="7" t="s">
        <v>574</v>
      </c>
      <c r="D6" s="7" t="s">
        <v>575</v>
      </c>
      <c r="E6" s="8" t="s">
        <v>576</v>
      </c>
      <c r="F6" s="9">
        <v>44413</v>
      </c>
      <c r="G6" s="10" t="s">
        <v>577</v>
      </c>
      <c r="H6" s="10"/>
      <c r="I6" s="9">
        <v>44410</v>
      </c>
      <c r="J6" s="9">
        <v>44416</v>
      </c>
      <c r="K6" s="9"/>
      <c r="L6" s="9"/>
      <c r="M6" s="9"/>
      <c r="N6" s="9"/>
    </row>
    <row r="7" s="1" customFormat="1" spans="1:14">
      <c r="A7" s="11"/>
      <c r="B7" s="11"/>
      <c r="C7" s="12"/>
      <c r="D7" s="12"/>
      <c r="E7" s="8" t="s">
        <v>578</v>
      </c>
      <c r="F7" s="9">
        <v>44413</v>
      </c>
      <c r="G7" s="10" t="s">
        <v>579</v>
      </c>
      <c r="H7" s="10" t="s">
        <v>580</v>
      </c>
      <c r="I7" s="9">
        <v>44410</v>
      </c>
      <c r="J7" s="9">
        <v>44416</v>
      </c>
      <c r="K7" s="9"/>
      <c r="L7" s="9"/>
      <c r="M7" s="9"/>
      <c r="N7" s="9"/>
    </row>
    <row r="8" s="1" customFormat="1" spans="1:14">
      <c r="A8" s="11"/>
      <c r="B8" s="6" t="s">
        <v>573</v>
      </c>
      <c r="C8" s="7" t="s">
        <v>581</v>
      </c>
      <c r="D8" s="7" t="s">
        <v>582</v>
      </c>
      <c r="E8" s="8" t="s">
        <v>583</v>
      </c>
      <c r="F8" s="9">
        <v>44413</v>
      </c>
      <c r="G8" s="10" t="s">
        <v>584</v>
      </c>
      <c r="H8" s="10"/>
      <c r="I8" s="9">
        <v>44410</v>
      </c>
      <c r="J8" s="9">
        <v>44416</v>
      </c>
      <c r="K8" s="9"/>
      <c r="L8" s="9"/>
      <c r="M8" s="9"/>
      <c r="N8" s="9"/>
    </row>
    <row r="9" s="1" customFormat="1" spans="1:14">
      <c r="A9" s="11"/>
      <c r="B9" s="11"/>
      <c r="C9" s="12"/>
      <c r="D9" s="12"/>
      <c r="E9" s="8" t="s">
        <v>585</v>
      </c>
      <c r="F9" s="9">
        <v>44413</v>
      </c>
      <c r="G9" s="10" t="s">
        <v>586</v>
      </c>
      <c r="H9" s="10"/>
      <c r="I9" s="9">
        <v>44410</v>
      </c>
      <c r="J9" s="9">
        <v>44416</v>
      </c>
      <c r="K9" s="9"/>
      <c r="L9" s="9"/>
      <c r="M9" s="9"/>
      <c r="N9" s="9"/>
    </row>
    <row r="10" s="1" customFormat="1" ht="24" spans="1:14">
      <c r="A10" s="15" t="s">
        <v>587</v>
      </c>
      <c r="B10" s="15" t="s">
        <v>562</v>
      </c>
      <c r="C10" s="16" t="s">
        <v>563</v>
      </c>
      <c r="D10" s="16" t="s">
        <v>588</v>
      </c>
      <c r="E10" s="17" t="s">
        <v>565</v>
      </c>
      <c r="F10" s="18">
        <v>44420</v>
      </c>
      <c r="G10" s="19" t="s">
        <v>589</v>
      </c>
      <c r="H10" s="19" t="s">
        <v>590</v>
      </c>
      <c r="I10" s="18">
        <v>44417</v>
      </c>
      <c r="J10" s="18">
        <v>44423</v>
      </c>
      <c r="K10" s="18"/>
      <c r="L10" s="18"/>
      <c r="M10" s="18"/>
      <c r="N10" s="18"/>
    </row>
    <row r="11" s="1" customFormat="1" ht="36" spans="1:14">
      <c r="A11" s="20"/>
      <c r="B11" s="20"/>
      <c r="C11" s="21"/>
      <c r="D11" s="21"/>
      <c r="E11" s="17" t="s">
        <v>567</v>
      </c>
      <c r="F11" s="18">
        <v>44420</v>
      </c>
      <c r="G11" s="19" t="s">
        <v>591</v>
      </c>
      <c r="H11" s="19" t="s">
        <v>592</v>
      </c>
      <c r="I11" s="18">
        <v>44417</v>
      </c>
      <c r="J11" s="18">
        <v>44423</v>
      </c>
      <c r="K11" s="18"/>
      <c r="L11" s="18"/>
      <c r="M11" s="18"/>
      <c r="N11" s="18"/>
    </row>
    <row r="12" s="1" customFormat="1" ht="24" spans="1:14">
      <c r="A12" s="20"/>
      <c r="B12" s="20"/>
      <c r="C12" s="21"/>
      <c r="D12" s="21"/>
      <c r="E12" s="17" t="s">
        <v>593</v>
      </c>
      <c r="F12" s="18">
        <v>44420</v>
      </c>
      <c r="G12" s="19" t="s">
        <v>594</v>
      </c>
      <c r="H12" s="19"/>
      <c r="I12" s="18">
        <v>44417</v>
      </c>
      <c r="J12" s="18">
        <v>44423</v>
      </c>
      <c r="K12" s="18"/>
      <c r="L12" s="18"/>
      <c r="M12" s="18"/>
      <c r="N12" s="18"/>
    </row>
    <row r="13" s="1" customFormat="1" ht="24" spans="1:14">
      <c r="A13" s="20"/>
      <c r="B13" s="22"/>
      <c r="C13" s="23"/>
      <c r="D13" s="23"/>
      <c r="E13" s="17" t="s">
        <v>571</v>
      </c>
      <c r="F13" s="18">
        <v>44420</v>
      </c>
      <c r="G13" s="19" t="s">
        <v>595</v>
      </c>
      <c r="H13" s="19"/>
      <c r="I13" s="18">
        <v>44417</v>
      </c>
      <c r="J13" s="18">
        <v>44423</v>
      </c>
      <c r="K13" s="18"/>
      <c r="L13" s="18"/>
      <c r="M13" s="18"/>
      <c r="N13" s="18"/>
    </row>
    <row r="14" s="1" customFormat="1" spans="1:14">
      <c r="A14" s="20"/>
      <c r="B14" s="15" t="s">
        <v>573</v>
      </c>
      <c r="C14" s="16" t="s">
        <v>574</v>
      </c>
      <c r="D14" s="16" t="s">
        <v>596</v>
      </c>
      <c r="E14" s="17" t="s">
        <v>597</v>
      </c>
      <c r="F14" s="18">
        <v>44420</v>
      </c>
      <c r="G14" s="19" t="s">
        <v>598</v>
      </c>
      <c r="H14" s="19" t="s">
        <v>599</v>
      </c>
      <c r="I14" s="18">
        <v>44417</v>
      </c>
      <c r="J14" s="18">
        <v>44423</v>
      </c>
      <c r="K14" s="18"/>
      <c r="L14" s="18"/>
      <c r="M14" s="18"/>
      <c r="N14" s="18"/>
    </row>
    <row r="15" s="1" customFormat="1" spans="1:14">
      <c r="A15" s="20"/>
      <c r="B15" s="20"/>
      <c r="C15" s="21"/>
      <c r="D15" s="21"/>
      <c r="E15" s="17" t="s">
        <v>600</v>
      </c>
      <c r="F15" s="18">
        <v>44420</v>
      </c>
      <c r="G15" s="19" t="s">
        <v>601</v>
      </c>
      <c r="H15" s="19"/>
      <c r="I15" s="18">
        <v>44417</v>
      </c>
      <c r="J15" s="18">
        <v>44423</v>
      </c>
      <c r="K15" s="18"/>
      <c r="L15" s="18"/>
      <c r="M15" s="18"/>
      <c r="N15" s="18"/>
    </row>
    <row r="16" s="1" customFormat="1" ht="24" spans="1:14">
      <c r="A16" s="20"/>
      <c r="B16" s="20"/>
      <c r="C16" s="21"/>
      <c r="D16" s="21"/>
      <c r="E16" s="17" t="s">
        <v>602</v>
      </c>
      <c r="F16" s="18">
        <v>44420</v>
      </c>
      <c r="G16" s="19" t="s">
        <v>603</v>
      </c>
      <c r="H16" s="19"/>
      <c r="I16" s="18">
        <v>44417</v>
      </c>
      <c r="J16" s="18">
        <v>44423</v>
      </c>
      <c r="K16" s="18"/>
      <c r="L16" s="18"/>
      <c r="M16" s="18"/>
      <c r="N16" s="18"/>
    </row>
    <row r="17" s="1" customFormat="1" spans="1:14">
      <c r="A17" s="20"/>
      <c r="B17" s="22"/>
      <c r="C17" s="23"/>
      <c r="D17" s="23"/>
      <c r="E17" s="17" t="s">
        <v>604</v>
      </c>
      <c r="F17" s="18">
        <v>44420</v>
      </c>
      <c r="G17" s="19" t="s">
        <v>605</v>
      </c>
      <c r="H17" s="19"/>
      <c r="I17" s="18">
        <v>44417</v>
      </c>
      <c r="J17" s="18">
        <v>44423</v>
      </c>
      <c r="K17" s="18"/>
      <c r="L17" s="18"/>
      <c r="M17" s="18"/>
      <c r="N17" s="18"/>
    </row>
    <row r="18" s="1" customFormat="1" spans="1:14">
      <c r="A18" s="20"/>
      <c r="B18" s="15" t="s">
        <v>573</v>
      </c>
      <c r="C18" s="16" t="s">
        <v>581</v>
      </c>
      <c r="D18" s="16" t="s">
        <v>606</v>
      </c>
      <c r="E18" s="17" t="s">
        <v>607</v>
      </c>
      <c r="F18" s="18">
        <v>44420</v>
      </c>
      <c r="G18" s="19" t="s">
        <v>608</v>
      </c>
      <c r="H18" s="19" t="s">
        <v>609</v>
      </c>
      <c r="I18" s="18">
        <v>44417</v>
      </c>
      <c r="J18" s="18">
        <v>44423</v>
      </c>
      <c r="K18" s="18"/>
      <c r="L18" s="18"/>
      <c r="M18" s="18"/>
      <c r="N18" s="18"/>
    </row>
    <row r="19" s="1" customFormat="1" spans="1:14">
      <c r="A19" s="20"/>
      <c r="B19" s="20"/>
      <c r="C19" s="21"/>
      <c r="D19" s="21"/>
      <c r="E19" s="17" t="s">
        <v>585</v>
      </c>
      <c r="F19" s="18">
        <v>44420</v>
      </c>
      <c r="G19" s="19" t="s">
        <v>137</v>
      </c>
      <c r="H19" s="19"/>
      <c r="I19" s="18">
        <v>44417</v>
      </c>
      <c r="J19" s="18">
        <v>44423</v>
      </c>
      <c r="K19" s="18"/>
      <c r="L19" s="18"/>
      <c r="M19" s="18"/>
      <c r="N19" s="18"/>
    </row>
    <row r="20" s="1" customFormat="1" ht="24" spans="1:14">
      <c r="A20" s="24" t="s">
        <v>610</v>
      </c>
      <c r="B20" s="6" t="s">
        <v>562</v>
      </c>
      <c r="C20" s="7" t="s">
        <v>563</v>
      </c>
      <c r="D20" s="7" t="s">
        <v>611</v>
      </c>
      <c r="E20" s="8" t="s">
        <v>565</v>
      </c>
      <c r="F20" s="9">
        <v>44427</v>
      </c>
      <c r="G20" s="10" t="s">
        <v>612</v>
      </c>
      <c r="H20" s="10"/>
      <c r="I20" s="9">
        <v>44424</v>
      </c>
      <c r="J20" s="9">
        <v>44430</v>
      </c>
      <c r="K20" s="9"/>
      <c r="L20" s="9"/>
      <c r="M20" s="9"/>
      <c r="N20" s="9"/>
    </row>
    <row r="21" s="1" customFormat="1" ht="36" spans="1:14">
      <c r="A21" s="25"/>
      <c r="B21" s="11"/>
      <c r="C21" s="12"/>
      <c r="D21" s="12"/>
      <c r="E21" s="8" t="s">
        <v>613</v>
      </c>
      <c r="F21" s="9">
        <v>44427</v>
      </c>
      <c r="G21" s="10" t="s">
        <v>614</v>
      </c>
      <c r="H21" s="10" t="s">
        <v>615</v>
      </c>
      <c r="I21" s="9">
        <v>44424</v>
      </c>
      <c r="J21" s="9">
        <v>44430</v>
      </c>
      <c r="K21" s="9"/>
      <c r="L21" s="9"/>
      <c r="M21" s="9"/>
      <c r="N21" s="9"/>
    </row>
    <row r="22" s="1" customFormat="1" ht="36" spans="1:14">
      <c r="A22" s="25"/>
      <c r="B22" s="11"/>
      <c r="C22" s="12"/>
      <c r="D22" s="12"/>
      <c r="E22" s="8" t="s">
        <v>569</v>
      </c>
      <c r="F22" s="9">
        <v>44427</v>
      </c>
      <c r="G22" s="10" t="s">
        <v>616</v>
      </c>
      <c r="H22" s="10" t="s">
        <v>617</v>
      </c>
      <c r="I22" s="9">
        <v>44424</v>
      </c>
      <c r="J22" s="9">
        <v>44430</v>
      </c>
      <c r="K22" s="9"/>
      <c r="L22" s="9"/>
      <c r="M22" s="9"/>
      <c r="N22" s="9"/>
    </row>
    <row r="23" s="1" customFormat="1" ht="36" spans="1:14">
      <c r="A23" s="25"/>
      <c r="B23" s="13"/>
      <c r="C23" s="14"/>
      <c r="D23" s="14"/>
      <c r="E23" s="8" t="s">
        <v>571</v>
      </c>
      <c r="F23" s="9">
        <v>44427</v>
      </c>
      <c r="G23" s="10" t="s">
        <v>618</v>
      </c>
      <c r="H23" s="10" t="s">
        <v>619</v>
      </c>
      <c r="I23" s="9">
        <v>44424</v>
      </c>
      <c r="J23" s="9">
        <v>44430</v>
      </c>
      <c r="K23" s="9"/>
      <c r="L23" s="9"/>
      <c r="M23" s="9"/>
      <c r="N23" s="9"/>
    </row>
    <row r="24" s="1" customFormat="1" ht="36" spans="1:14">
      <c r="A24" s="25"/>
      <c r="B24" s="6" t="s">
        <v>573</v>
      </c>
      <c r="C24" s="7" t="s">
        <v>574</v>
      </c>
      <c r="D24" s="7" t="s">
        <v>620</v>
      </c>
      <c r="E24" s="8" t="s">
        <v>621</v>
      </c>
      <c r="F24" s="9">
        <v>44427</v>
      </c>
      <c r="G24" s="9" t="s">
        <v>601</v>
      </c>
      <c r="H24" s="10" t="s">
        <v>622</v>
      </c>
      <c r="I24" s="9">
        <v>44424</v>
      </c>
      <c r="J24" s="9">
        <v>44430</v>
      </c>
      <c r="K24" s="9"/>
      <c r="L24" s="9"/>
      <c r="M24" s="9"/>
      <c r="N24" s="9"/>
    </row>
    <row r="25" s="1" customFormat="1" ht="24" spans="1:14">
      <c r="A25" s="25"/>
      <c r="B25" s="11"/>
      <c r="C25" s="12"/>
      <c r="D25" s="12"/>
      <c r="E25" s="8" t="s">
        <v>597</v>
      </c>
      <c r="F25" s="9">
        <v>44427</v>
      </c>
      <c r="G25" s="10" t="s">
        <v>623</v>
      </c>
      <c r="H25" s="10" t="s">
        <v>624</v>
      </c>
      <c r="I25" s="9">
        <v>44424</v>
      </c>
      <c r="J25" s="9">
        <v>44430</v>
      </c>
      <c r="K25" s="9"/>
      <c r="L25" s="9"/>
      <c r="M25" s="9"/>
      <c r="N25" s="9"/>
    </row>
    <row r="26" s="1" customFormat="1" spans="1:14">
      <c r="A26" s="25"/>
      <c r="B26" s="11"/>
      <c r="C26" s="12"/>
      <c r="D26" s="12"/>
      <c r="E26" s="8" t="s">
        <v>625</v>
      </c>
      <c r="F26" s="9">
        <v>44427</v>
      </c>
      <c r="G26" s="10" t="s">
        <v>626</v>
      </c>
      <c r="H26" s="10"/>
      <c r="I26" s="9">
        <v>44424</v>
      </c>
      <c r="J26" s="9">
        <v>44430</v>
      </c>
      <c r="K26" s="9"/>
      <c r="L26" s="9"/>
      <c r="M26" s="9"/>
      <c r="N26" s="9"/>
    </row>
    <row r="27" s="1" customFormat="1" ht="36" spans="1:14">
      <c r="A27" s="25"/>
      <c r="B27" s="11"/>
      <c r="C27" s="12"/>
      <c r="D27" s="12"/>
      <c r="E27" s="8" t="s">
        <v>627</v>
      </c>
      <c r="F27" s="9">
        <v>44427</v>
      </c>
      <c r="G27" s="10" t="s">
        <v>628</v>
      </c>
      <c r="H27" s="10" t="s">
        <v>629</v>
      </c>
      <c r="I27" s="9">
        <v>44424</v>
      </c>
      <c r="J27" s="9">
        <v>44430</v>
      </c>
      <c r="K27" s="9"/>
      <c r="L27" s="9"/>
      <c r="M27" s="9"/>
      <c r="N27" s="9"/>
    </row>
    <row r="28" s="1" customFormat="1" spans="1:14">
      <c r="A28" s="25"/>
      <c r="B28" s="6" t="s">
        <v>573</v>
      </c>
      <c r="C28" s="7" t="s">
        <v>581</v>
      </c>
      <c r="D28" s="7" t="s">
        <v>630</v>
      </c>
      <c r="E28" s="8" t="s">
        <v>607</v>
      </c>
      <c r="F28" s="9">
        <v>44427</v>
      </c>
      <c r="G28" s="10" t="s">
        <v>631</v>
      </c>
      <c r="H28" s="10" t="s">
        <v>632</v>
      </c>
      <c r="I28" s="9">
        <v>44424</v>
      </c>
      <c r="J28" s="9">
        <v>44430</v>
      </c>
      <c r="K28" s="9"/>
      <c r="L28" s="9"/>
      <c r="M28" s="9"/>
      <c r="N28" s="9"/>
    </row>
    <row r="29" s="1" customFormat="1" ht="144" spans="1:14">
      <c r="A29" s="25"/>
      <c r="B29" s="11"/>
      <c r="C29" s="12"/>
      <c r="D29" s="12"/>
      <c r="E29" s="8" t="s">
        <v>633</v>
      </c>
      <c r="F29" s="9">
        <v>44427</v>
      </c>
      <c r="G29" s="10" t="s">
        <v>634</v>
      </c>
      <c r="H29" s="10" t="s">
        <v>635</v>
      </c>
      <c r="I29" s="9">
        <v>44424</v>
      </c>
      <c r="J29" s="9">
        <v>44430</v>
      </c>
      <c r="K29" s="9"/>
      <c r="L29" s="9"/>
      <c r="M29" s="9"/>
      <c r="N29" s="9"/>
    </row>
    <row r="30" s="1" customFormat="1" ht="48" spans="1:14">
      <c r="A30" s="25"/>
      <c r="B30" s="11"/>
      <c r="C30" s="12"/>
      <c r="D30" s="12"/>
      <c r="E30" s="8" t="s">
        <v>636</v>
      </c>
      <c r="F30" s="9">
        <v>44427</v>
      </c>
      <c r="G30" s="10" t="s">
        <v>637</v>
      </c>
      <c r="H30" s="10" t="s">
        <v>137</v>
      </c>
      <c r="I30" s="9">
        <v>44424</v>
      </c>
      <c r="J30" s="9">
        <v>44430</v>
      </c>
      <c r="K30" s="9"/>
      <c r="L30" s="9"/>
      <c r="M30" s="9"/>
      <c r="N30" s="9"/>
    </row>
    <row r="31" s="1" customFormat="1" ht="36" spans="1:14">
      <c r="A31" s="25"/>
      <c r="B31" s="13"/>
      <c r="C31" s="14"/>
      <c r="D31" s="14"/>
      <c r="E31" s="8" t="s">
        <v>638</v>
      </c>
      <c r="F31" s="9">
        <v>44427</v>
      </c>
      <c r="G31" s="10" t="s">
        <v>639</v>
      </c>
      <c r="H31" s="10" t="s">
        <v>640</v>
      </c>
      <c r="I31" s="9">
        <v>44424</v>
      </c>
      <c r="J31" s="9">
        <v>44430</v>
      </c>
      <c r="K31" s="9"/>
      <c r="L31" s="9"/>
      <c r="M31" s="9"/>
      <c r="N31" s="9"/>
    </row>
    <row r="32" s="1" customFormat="1" ht="36" spans="1:14">
      <c r="A32" s="26" t="s">
        <v>641</v>
      </c>
      <c r="B32" s="26" t="s">
        <v>562</v>
      </c>
      <c r="C32" s="27" t="s">
        <v>563</v>
      </c>
      <c r="D32" s="27" t="s">
        <v>642</v>
      </c>
      <c r="E32" s="28" t="s">
        <v>565</v>
      </c>
      <c r="F32" s="29">
        <v>44434</v>
      </c>
      <c r="G32" s="30" t="s">
        <v>643</v>
      </c>
      <c r="H32" s="30" t="s">
        <v>644</v>
      </c>
      <c r="I32" s="29">
        <v>44431</v>
      </c>
      <c r="J32" s="29">
        <v>44437</v>
      </c>
      <c r="K32" s="29"/>
      <c r="L32" s="29"/>
      <c r="M32" s="29"/>
      <c r="N32" s="29"/>
    </row>
    <row r="33" s="1" customFormat="1" ht="24" spans="1:14">
      <c r="A33" s="31"/>
      <c r="B33" s="31"/>
      <c r="C33" s="32"/>
      <c r="D33" s="32"/>
      <c r="E33" s="28" t="s">
        <v>613</v>
      </c>
      <c r="F33" s="29">
        <v>44434</v>
      </c>
      <c r="G33" s="30" t="s">
        <v>645</v>
      </c>
      <c r="H33" s="30"/>
      <c r="I33" s="29">
        <v>44431</v>
      </c>
      <c r="J33" s="29">
        <v>44437</v>
      </c>
      <c r="K33" s="29"/>
      <c r="L33" s="29"/>
      <c r="M33" s="29"/>
      <c r="N33" s="29"/>
    </row>
    <row r="34" s="1" customFormat="1" ht="26" customHeight="1" spans="1:14">
      <c r="A34" s="31"/>
      <c r="B34" s="31"/>
      <c r="C34" s="32"/>
      <c r="D34" s="32"/>
      <c r="E34" s="28" t="s">
        <v>646</v>
      </c>
      <c r="F34" s="29">
        <v>44434</v>
      </c>
      <c r="G34" s="30" t="s">
        <v>647</v>
      </c>
      <c r="H34" s="30"/>
      <c r="I34" s="29">
        <v>44431</v>
      </c>
      <c r="J34" s="29">
        <v>44437</v>
      </c>
      <c r="K34" s="29"/>
      <c r="L34" s="29"/>
      <c r="M34" s="29"/>
      <c r="N34" s="29"/>
    </row>
    <row r="35" s="1" customFormat="1" ht="36" spans="1:14">
      <c r="A35" s="31"/>
      <c r="B35" s="33"/>
      <c r="C35" s="34"/>
      <c r="D35" s="34"/>
      <c r="E35" s="28" t="s">
        <v>648</v>
      </c>
      <c r="F35" s="29">
        <v>44434</v>
      </c>
      <c r="G35" s="30" t="s">
        <v>649</v>
      </c>
      <c r="H35" s="30" t="s">
        <v>619</v>
      </c>
      <c r="I35" s="29">
        <v>44431</v>
      </c>
      <c r="J35" s="29">
        <v>44437</v>
      </c>
      <c r="K35" s="29"/>
      <c r="L35" s="29"/>
      <c r="M35" s="29"/>
      <c r="N35" s="29"/>
    </row>
    <row r="36" s="1" customFormat="1" ht="24" spans="1:14">
      <c r="A36" s="31"/>
      <c r="B36" s="26" t="s">
        <v>573</v>
      </c>
      <c r="C36" s="27" t="s">
        <v>574</v>
      </c>
      <c r="D36" s="27" t="s">
        <v>650</v>
      </c>
      <c r="E36" s="28" t="s">
        <v>621</v>
      </c>
      <c r="F36" s="29">
        <v>44434</v>
      </c>
      <c r="G36" s="30" t="s">
        <v>601</v>
      </c>
      <c r="H36" s="30" t="s">
        <v>651</v>
      </c>
      <c r="I36" s="29">
        <v>44431</v>
      </c>
      <c r="J36" s="29">
        <v>44437</v>
      </c>
      <c r="K36" s="29"/>
      <c r="L36" s="29"/>
      <c r="M36" s="29"/>
      <c r="N36" s="29"/>
    </row>
    <row r="37" s="1" customFormat="1" spans="1:14">
      <c r="A37" s="31"/>
      <c r="B37" s="31"/>
      <c r="C37" s="32"/>
      <c r="D37" s="32"/>
      <c r="E37" s="28" t="s">
        <v>597</v>
      </c>
      <c r="F37" s="29">
        <v>44434</v>
      </c>
      <c r="G37" s="30" t="s">
        <v>652</v>
      </c>
      <c r="H37" s="30" t="s">
        <v>653</v>
      </c>
      <c r="I37" s="29">
        <v>44431</v>
      </c>
      <c r="J37" s="29">
        <v>44437</v>
      </c>
      <c r="K37" s="29"/>
      <c r="L37" s="29"/>
      <c r="M37" s="29"/>
      <c r="N37" s="29"/>
    </row>
    <row r="38" s="1" customFormat="1" ht="24" spans="1:14">
      <c r="A38" s="31"/>
      <c r="B38" s="33"/>
      <c r="C38" s="34"/>
      <c r="D38" s="34"/>
      <c r="E38" s="28" t="s">
        <v>604</v>
      </c>
      <c r="F38" s="29">
        <v>44434</v>
      </c>
      <c r="G38" s="30" t="s">
        <v>654</v>
      </c>
      <c r="H38" s="30" t="s">
        <v>655</v>
      </c>
      <c r="I38" s="29">
        <v>44431</v>
      </c>
      <c r="J38" s="29">
        <v>44437</v>
      </c>
      <c r="K38" s="29"/>
      <c r="L38" s="29"/>
      <c r="M38" s="29"/>
      <c r="N38" s="29"/>
    </row>
    <row r="39" s="1" customFormat="1" ht="24" spans="1:14">
      <c r="A39" s="31"/>
      <c r="B39" s="26" t="s">
        <v>573</v>
      </c>
      <c r="C39" s="27" t="s">
        <v>581</v>
      </c>
      <c r="D39" s="27" t="s">
        <v>656</v>
      </c>
      <c r="E39" s="28" t="s">
        <v>607</v>
      </c>
      <c r="F39" s="29">
        <v>44434</v>
      </c>
      <c r="G39" s="30" t="s">
        <v>657</v>
      </c>
      <c r="H39" s="30" t="s">
        <v>632</v>
      </c>
      <c r="I39" s="29">
        <v>44431</v>
      </c>
      <c r="J39" s="29">
        <v>44437</v>
      </c>
      <c r="K39" s="29"/>
      <c r="L39" s="29"/>
      <c r="M39" s="29"/>
      <c r="N39" s="29"/>
    </row>
    <row r="40" s="1" customFormat="1" spans="1:14">
      <c r="A40" s="31"/>
      <c r="B40" s="31"/>
      <c r="C40" s="32"/>
      <c r="D40" s="32"/>
      <c r="E40" s="28" t="s">
        <v>633</v>
      </c>
      <c r="F40" s="29">
        <v>44434</v>
      </c>
      <c r="G40" s="30" t="s">
        <v>658</v>
      </c>
      <c r="H40" s="30" t="s">
        <v>137</v>
      </c>
      <c r="I40" s="29">
        <v>44431</v>
      </c>
      <c r="J40" s="29">
        <v>44437</v>
      </c>
      <c r="K40" s="29"/>
      <c r="L40" s="29"/>
      <c r="M40" s="29"/>
      <c r="N40" s="29"/>
    </row>
    <row r="41" s="1" customFormat="1" spans="1:14">
      <c r="A41" s="31"/>
      <c r="B41" s="31"/>
      <c r="C41" s="32"/>
      <c r="D41" s="32"/>
      <c r="E41" s="28" t="s">
        <v>636</v>
      </c>
      <c r="F41" s="29">
        <v>44434</v>
      </c>
      <c r="G41" s="30" t="s">
        <v>658</v>
      </c>
      <c r="H41" s="30" t="s">
        <v>137</v>
      </c>
      <c r="I41" s="29">
        <v>44431</v>
      </c>
      <c r="J41" s="29">
        <v>44437</v>
      </c>
      <c r="K41" s="29"/>
      <c r="L41" s="29"/>
      <c r="M41" s="29"/>
      <c r="N41" s="29"/>
    </row>
    <row r="42" s="1" customFormat="1" spans="1:14">
      <c r="A42" s="31"/>
      <c r="B42" s="33"/>
      <c r="C42" s="34"/>
      <c r="D42" s="34"/>
      <c r="E42" s="28" t="s">
        <v>638</v>
      </c>
      <c r="F42" s="29">
        <v>44434</v>
      </c>
      <c r="G42" s="30" t="s">
        <v>658</v>
      </c>
      <c r="H42" s="30" t="s">
        <v>137</v>
      </c>
      <c r="I42" s="29">
        <v>44431</v>
      </c>
      <c r="J42" s="29">
        <v>44437</v>
      </c>
      <c r="K42" s="29"/>
      <c r="L42" s="29"/>
      <c r="M42" s="29"/>
      <c r="N42" s="29"/>
    </row>
    <row r="43" s="1" customFormat="1" ht="24" spans="1:14">
      <c r="A43" s="35" t="s">
        <v>659</v>
      </c>
      <c r="B43" s="6" t="s">
        <v>562</v>
      </c>
      <c r="C43" s="7" t="s">
        <v>563</v>
      </c>
      <c r="D43" s="7" t="s">
        <v>642</v>
      </c>
      <c r="E43" s="8" t="s">
        <v>565</v>
      </c>
      <c r="F43" s="9">
        <v>44439</v>
      </c>
      <c r="G43" s="10" t="s">
        <v>660</v>
      </c>
      <c r="H43" s="10" t="s">
        <v>661</v>
      </c>
      <c r="I43" s="9">
        <v>44438</v>
      </c>
      <c r="J43" s="9">
        <v>44439</v>
      </c>
      <c r="K43" s="9"/>
      <c r="L43" s="9"/>
      <c r="M43" s="9"/>
      <c r="N43" s="9"/>
    </row>
    <row r="44" s="1" customFormat="1" ht="24" spans="1:14">
      <c r="A44" s="36"/>
      <c r="B44" s="11"/>
      <c r="C44" s="12"/>
      <c r="D44" s="12"/>
      <c r="E44" s="8" t="s">
        <v>567</v>
      </c>
      <c r="F44" s="9">
        <v>44439</v>
      </c>
      <c r="G44" s="10" t="s">
        <v>662</v>
      </c>
      <c r="H44" s="10" t="s">
        <v>663</v>
      </c>
      <c r="I44" s="9">
        <v>44438</v>
      </c>
      <c r="J44" s="9">
        <v>44439</v>
      </c>
      <c r="K44" s="9"/>
      <c r="L44" s="9"/>
      <c r="M44" s="9"/>
      <c r="N44" s="9"/>
    </row>
    <row r="45" s="1" customFormat="1" ht="24" spans="1:14">
      <c r="A45" s="36"/>
      <c r="B45" s="11"/>
      <c r="C45" s="12"/>
      <c r="D45" s="12"/>
      <c r="E45" s="8" t="s">
        <v>593</v>
      </c>
      <c r="F45" s="9">
        <v>44439</v>
      </c>
      <c r="G45" s="10" t="s">
        <v>664</v>
      </c>
      <c r="H45" s="10"/>
      <c r="I45" s="9">
        <v>44438</v>
      </c>
      <c r="J45" s="9">
        <v>44439</v>
      </c>
      <c r="K45" s="9"/>
      <c r="L45" s="9"/>
      <c r="M45" s="9"/>
      <c r="N45" s="9"/>
    </row>
    <row r="46" s="1" customFormat="1" ht="24" spans="1:14">
      <c r="A46" s="36"/>
      <c r="B46" s="13"/>
      <c r="C46" s="14"/>
      <c r="D46" s="14"/>
      <c r="E46" s="8" t="s">
        <v>648</v>
      </c>
      <c r="F46" s="9">
        <v>44439</v>
      </c>
      <c r="G46" s="10" t="s">
        <v>665</v>
      </c>
      <c r="H46" s="10" t="s">
        <v>137</v>
      </c>
      <c r="I46" s="9">
        <v>44438</v>
      </c>
      <c r="J46" s="9">
        <v>44439</v>
      </c>
      <c r="K46" s="9"/>
      <c r="L46" s="9"/>
      <c r="M46" s="9"/>
      <c r="N46" s="9"/>
    </row>
    <row r="47" s="1" customFormat="1" ht="36" spans="1:14">
      <c r="A47" s="36"/>
      <c r="B47" s="6" t="s">
        <v>573</v>
      </c>
      <c r="C47" s="7" t="s">
        <v>574</v>
      </c>
      <c r="D47" s="7" t="s">
        <v>650</v>
      </c>
      <c r="E47" s="8" t="s">
        <v>597</v>
      </c>
      <c r="F47" s="9">
        <v>44439</v>
      </c>
      <c r="G47" s="10" t="s">
        <v>666</v>
      </c>
      <c r="H47" s="10" t="s">
        <v>667</v>
      </c>
      <c r="I47" s="9">
        <v>44438</v>
      </c>
      <c r="J47" s="9">
        <v>44439</v>
      </c>
      <c r="K47" s="9"/>
      <c r="L47" s="9"/>
      <c r="M47" s="9"/>
      <c r="N47" s="9"/>
    </row>
    <row r="48" s="1" customFormat="1" ht="24" spans="1:14">
      <c r="A48" s="36"/>
      <c r="B48" s="11"/>
      <c r="C48" s="12"/>
      <c r="D48" s="12"/>
      <c r="E48" s="8" t="s">
        <v>668</v>
      </c>
      <c r="F48" s="9">
        <v>44439</v>
      </c>
      <c r="G48" s="10" t="s">
        <v>669</v>
      </c>
      <c r="H48" s="10"/>
      <c r="I48" s="9">
        <v>44438</v>
      </c>
      <c r="J48" s="9">
        <v>44439</v>
      </c>
      <c r="K48" s="9"/>
      <c r="L48" s="9"/>
      <c r="M48" s="9"/>
      <c r="N48" s="9"/>
    </row>
    <row r="49" s="1" customFormat="1" ht="24" spans="1:14">
      <c r="A49" s="36"/>
      <c r="B49" s="6" t="s">
        <v>573</v>
      </c>
      <c r="C49" s="7" t="s">
        <v>581</v>
      </c>
      <c r="D49" s="7" t="s">
        <v>670</v>
      </c>
      <c r="E49" s="8" t="s">
        <v>607</v>
      </c>
      <c r="F49" s="9">
        <v>44439</v>
      </c>
      <c r="G49" s="9" t="s">
        <v>671</v>
      </c>
      <c r="H49" s="9" t="s">
        <v>672</v>
      </c>
      <c r="I49" s="9">
        <v>44438</v>
      </c>
      <c r="J49" s="9">
        <v>44439</v>
      </c>
      <c r="K49" s="9"/>
      <c r="L49" s="9"/>
      <c r="M49" s="9"/>
      <c r="N49" s="9"/>
    </row>
    <row r="50" s="1" customFormat="1" ht="36" spans="1:14">
      <c r="A50" s="36"/>
      <c r="B50" s="11"/>
      <c r="C50" s="12"/>
      <c r="D50" s="12"/>
      <c r="E50" s="8" t="s">
        <v>673</v>
      </c>
      <c r="F50" s="9">
        <v>44439</v>
      </c>
      <c r="G50" s="10" t="s">
        <v>674</v>
      </c>
      <c r="H50" s="10" t="s">
        <v>137</v>
      </c>
      <c r="I50" s="9">
        <v>44438</v>
      </c>
      <c r="J50" s="9">
        <v>44439</v>
      </c>
      <c r="K50" s="9"/>
      <c r="L50" s="9"/>
      <c r="M50" s="9"/>
      <c r="N50" s="9"/>
    </row>
    <row r="51" s="1" customFormat="1" ht="36" spans="1:14">
      <c r="A51" s="36"/>
      <c r="B51" s="11"/>
      <c r="C51" s="12"/>
      <c r="D51" s="12"/>
      <c r="E51" s="8" t="s">
        <v>675</v>
      </c>
      <c r="F51" s="9">
        <v>44439</v>
      </c>
      <c r="G51" s="10" t="s">
        <v>676</v>
      </c>
      <c r="H51" s="10" t="s">
        <v>137</v>
      </c>
      <c r="I51" s="9">
        <v>44438</v>
      </c>
      <c r="J51" s="9">
        <v>44439</v>
      </c>
      <c r="K51" s="9"/>
      <c r="L51" s="9"/>
      <c r="M51" s="9"/>
      <c r="N51" s="9"/>
    </row>
    <row r="52" s="1" customFormat="1" ht="24" spans="1:14">
      <c r="A52" s="36"/>
      <c r="B52" s="11"/>
      <c r="C52" s="12"/>
      <c r="D52" s="12"/>
      <c r="E52" s="8" t="s">
        <v>677</v>
      </c>
      <c r="F52" s="9"/>
      <c r="G52" s="10" t="s">
        <v>678</v>
      </c>
      <c r="H52" s="10" t="s">
        <v>137</v>
      </c>
      <c r="I52" s="9">
        <v>44438</v>
      </c>
      <c r="J52" s="9">
        <v>44439</v>
      </c>
      <c r="K52" s="9"/>
      <c r="L52" s="9"/>
      <c r="M52" s="9"/>
      <c r="N52" s="9"/>
    </row>
    <row r="53" s="1" customFormat="1" ht="24" spans="1:14">
      <c r="A53" s="36"/>
      <c r="B53" s="13"/>
      <c r="C53" s="14"/>
      <c r="D53" s="14"/>
      <c r="E53" s="8" t="s">
        <v>679</v>
      </c>
      <c r="F53" s="9">
        <v>44439</v>
      </c>
      <c r="G53" s="10" t="s">
        <v>680</v>
      </c>
      <c r="H53" s="10" t="s">
        <v>137</v>
      </c>
      <c r="I53" s="9">
        <v>44438</v>
      </c>
      <c r="J53" s="9">
        <v>44439</v>
      </c>
      <c r="K53" s="9"/>
      <c r="L53" s="9"/>
      <c r="M53" s="9"/>
      <c r="N53" s="9"/>
    </row>
  </sheetData>
  <sheetProtection formatCells="0" insertHyperlinks="0" autoFilter="0"/>
  <mergeCells count="50">
    <mergeCell ref="A2:A9"/>
    <mergeCell ref="A10:A19"/>
    <mergeCell ref="A20:A31"/>
    <mergeCell ref="A32:A42"/>
    <mergeCell ref="A43:A53"/>
    <mergeCell ref="B2:B5"/>
    <mergeCell ref="B6:B7"/>
    <mergeCell ref="B8:B9"/>
    <mergeCell ref="B10:B13"/>
    <mergeCell ref="B14:B17"/>
    <mergeCell ref="B18:B19"/>
    <mergeCell ref="B20:B23"/>
    <mergeCell ref="B24:B26"/>
    <mergeCell ref="B28:B31"/>
    <mergeCell ref="B32:B35"/>
    <mergeCell ref="B36:B38"/>
    <mergeCell ref="B39:B42"/>
    <mergeCell ref="B43:B46"/>
    <mergeCell ref="B47:B48"/>
    <mergeCell ref="B49:B53"/>
    <mergeCell ref="C2:C5"/>
    <mergeCell ref="C6:C7"/>
    <mergeCell ref="C8:C9"/>
    <mergeCell ref="C10:C13"/>
    <mergeCell ref="C14:C17"/>
    <mergeCell ref="C18:C19"/>
    <mergeCell ref="C20:C23"/>
    <mergeCell ref="C24:C26"/>
    <mergeCell ref="C28:C31"/>
    <mergeCell ref="C32:C35"/>
    <mergeCell ref="C36:C38"/>
    <mergeCell ref="C39:C42"/>
    <mergeCell ref="C43:C46"/>
    <mergeCell ref="C47:C48"/>
    <mergeCell ref="C49:C53"/>
    <mergeCell ref="D2:D5"/>
    <mergeCell ref="D6:D7"/>
    <mergeCell ref="D8:D9"/>
    <mergeCell ref="D10:D13"/>
    <mergeCell ref="D14:D17"/>
    <mergeCell ref="D18:D19"/>
    <mergeCell ref="D20:D23"/>
    <mergeCell ref="D24:D26"/>
    <mergeCell ref="D28:D31"/>
    <mergeCell ref="D32:D35"/>
    <mergeCell ref="D36:D38"/>
    <mergeCell ref="D39:D42"/>
    <mergeCell ref="D43:D46"/>
    <mergeCell ref="D47:D48"/>
    <mergeCell ref="D49:D5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WWO_aliyun_20210412160921-27045d1653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深度分析要求</vt:lpstr>
      <vt:lpstr>1要点分析</vt:lpstr>
      <vt:lpstr>2竞品分析</vt:lpstr>
      <vt:lpstr>3核心关键词</vt:lpstr>
      <vt:lpstr>4卡位</vt:lpstr>
      <vt:lpstr>5定价策略</vt:lpstr>
      <vt:lpstr>6测评方案</vt:lpstr>
      <vt:lpstr>7流量方案</vt:lpstr>
      <vt:lpstr>8推广计划表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2021-07-15T07:22:00Z</dcterms:created>
  <dcterms:modified xsi:type="dcterms:W3CDTF">2024-03-07T01:49:22Z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2C0391BE2689485E97FF5E0F5D37635E</vt:lpwstr>
  </property>
  <property fmtid="{D5CDD505-2E9C-101B-9397-08002B2CF9AE}" pid="3" name="KSOProductBuildVer">
    <vt:lpwstr>2052-12.1.0.16388</vt:lpwstr>
  </property>
  <property fmtid="{D5CDD505-2E9C-101B-9397-08002B2CF9AE}" pid="4" name="KSOReadingLayout">
    <vt:bool>false</vt:bool>
  </property>
</Properties>
</file>