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firstSheet="1"/>
  </bookViews>
  <sheets>
    <sheet name="市场分析" sheetId="2" r:id="rId1"/>
    <sheet name="竞品分析" sheetId="5" r:id="rId2"/>
    <sheet name="竞品品牌分析" sheetId="4" r:id="rId3"/>
    <sheet name="用户场景分析" sheetId="6" r:id="rId4"/>
    <sheet name="用户需求分析" sheetId="7" r:id="rId5"/>
    <sheet name="产品测试报告" sheetId="9" r:id="rId6"/>
    <sheet name="利润分析" sheetId="3" r:id="rId7"/>
    <sheet name="投入产出表" sheetId="8" r:id="rId8"/>
    <sheet name="数据源" sheetId="1" r:id="rId9"/>
  </sheets>
  <externalReferences>
    <externalReference r:id="rId11"/>
  </externalReferences>
  <definedNames>
    <definedName name="_xlnm._FilterDatabase" localSheetId="8" hidden="1">数据源!$A$2:$N$50</definedName>
  </definedNames>
  <calcPr calcId="191029" calcCompleted="0" calcOnSave="0"/>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cassie</author>
  </authors>
  <commentList>
    <comment ref="K2" authorId="0">
      <text>
        <r>
          <rPr>
            <b/>
            <sz val="9"/>
            <rFont val="宋体"/>
            <charset val="134"/>
          </rPr>
          <t>cassie:</t>
        </r>
        <r>
          <rPr>
            <sz val="9"/>
            <rFont val="宋体"/>
            <charset val="134"/>
          </rPr>
          <t xml:space="preserve">
无关税</t>
        </r>
      </text>
    </comment>
  </commentList>
</comments>
</file>

<file path=xl/comments2.xml><?xml version="1.0" encoding="utf-8"?>
<comments xmlns="http://schemas.openxmlformats.org/spreadsheetml/2006/main">
  <authors>
    <author>cassie</author>
  </authors>
  <commentList>
    <comment ref="C6" authorId="0">
      <text>
        <r>
          <rPr>
            <b/>
            <sz val="9"/>
            <rFont val="宋体"/>
            <charset val="134"/>
          </rPr>
          <t>cassie:</t>
        </r>
        <r>
          <rPr>
            <sz val="9"/>
            <rFont val="宋体"/>
            <charset val="134"/>
          </rPr>
          <t xml:space="preserve">
需客户尽快出货</t>
        </r>
      </text>
    </comment>
  </commentList>
</comments>
</file>

<file path=xl/sharedStrings.xml><?xml version="1.0" encoding="utf-8"?>
<sst xmlns="http://schemas.openxmlformats.org/spreadsheetml/2006/main" count="1055" uniqueCount="644">
  <si>
    <t>市场趋势及分析</t>
  </si>
  <si>
    <t>品牌</t>
  </si>
  <si>
    <t>求和项:日销量</t>
  </si>
  <si>
    <t>求和项:月销量</t>
  </si>
  <si>
    <t>求和项:月销售额</t>
  </si>
  <si>
    <t>计数项:ASIN</t>
  </si>
  <si>
    <t>市场份额</t>
  </si>
  <si>
    <t>Amazon Renewed</t>
  </si>
  <si>
    <t>AVERY</t>
  </si>
  <si>
    <t>BESTEASY</t>
  </si>
  <si>
    <t>Brady</t>
  </si>
  <si>
    <t>Brother</t>
  </si>
  <si>
    <t>Datamax-O'Neil</t>
  </si>
  <si>
    <t>DT-Techno</t>
  </si>
  <si>
    <t>DYMO</t>
  </si>
  <si>
    <t>Immuson</t>
  </si>
  <si>
    <t>LotFancy</t>
  </si>
  <si>
    <t>MFLABEL</t>
  </si>
  <si>
    <t>NANA</t>
  </si>
  <si>
    <t>NETUM</t>
  </si>
  <si>
    <t>Phomemo</t>
  </si>
  <si>
    <t>Rollo</t>
  </si>
  <si>
    <t>Seiko Instruments</t>
  </si>
  <si>
    <t>ZEBRA</t>
  </si>
  <si>
    <t>总计</t>
  </si>
  <si>
    <t>价格</t>
  </si>
  <si>
    <t>&lt;50</t>
  </si>
  <si>
    <t>50-100</t>
  </si>
  <si>
    <t>100-150</t>
  </si>
  <si>
    <t>150-200</t>
  </si>
  <si>
    <t>200-250</t>
  </si>
  <si>
    <t>250-300</t>
  </si>
  <si>
    <t>300-350</t>
  </si>
  <si>
    <t>350-400</t>
  </si>
  <si>
    <t>400-450</t>
  </si>
  <si>
    <t>450-500</t>
  </si>
  <si>
    <t>&gt;500</t>
  </si>
  <si>
    <t>评分</t>
  </si>
  <si>
    <t>&lt;3.2</t>
  </si>
  <si>
    <t>3.2-3.7</t>
  </si>
  <si>
    <t>3.7-4.2</t>
  </si>
  <si>
    <t>4.2-4.7</t>
  </si>
  <si>
    <t>&gt;4.7</t>
  </si>
  <si>
    <t>评论数</t>
  </si>
  <si>
    <t>0-99</t>
  </si>
  <si>
    <t>100-199</t>
  </si>
  <si>
    <t>200-299</t>
  </si>
  <si>
    <t>300-399</t>
  </si>
  <si>
    <t>700-799</t>
  </si>
  <si>
    <t>&gt;1000</t>
  </si>
  <si>
    <t>1. 整体市场结论</t>
  </si>
  <si>
    <t>2. 目前竞争格局</t>
  </si>
  <si>
    <t>3. 细分市场--价位段</t>
  </si>
  <si>
    <t>4. 外观设计情况</t>
  </si>
  <si>
    <t>4. RV和Rating情况</t>
  </si>
  <si>
    <t>目前标签打印机整体市场的月销售额达到近850W USD，月销达到5W pcs，整体日销达到1700pcs。</t>
  </si>
  <si>
    <t>目前市场已经形成了寡头垄断竞争格局，这些品牌主要有：DYMO，Rollo，Brother，ZEBRA等，这几个品牌占据了近九成市场。</t>
  </si>
  <si>
    <t>目前市场上标签打印机的主要价位段在150-200间，此价位段竞争激烈，市场份额占据最大
·</t>
  </si>
  <si>
    <t xml:space="preserve">目前标签打印机市场上主要以黑色，灰色为主，少数白色，且大部分为小型便携式打印机，汉印打印机款在市场上较少。
</t>
  </si>
  <si>
    <t>RV: 普遍在0-100个这个段位，评分基本稳定在四颗半星，但市场上较多ASIN具有产品质量问题。</t>
  </si>
  <si>
    <t>市场波动不大，整体发展较为平稳，年底旺季有小高峰出现，其他时期均稳定波动，今年因疫情原因市场容量有小幅度提升。</t>
  </si>
  <si>
    <t xml:space="preserve">DYMO和brother品牌产品布局较为均匀，低中高端价格均有涉及，ZEBRA主打高端价位，产品售价均在200USD以上，Rollo虽在top50中仅有一款，排名小类第二，但市场份额占据较高。
</t>
  </si>
  <si>
    <r>
      <rPr>
        <sz val="11"/>
        <rFont val="微软雅黑"/>
        <charset val="134"/>
      </rPr>
      <t>根据产品自身的功能，</t>
    </r>
    <r>
      <rPr>
        <sz val="11"/>
        <color rgb="FFFF0000"/>
        <rFont val="微软雅黑"/>
        <charset val="134"/>
      </rPr>
      <t>150-200这个细分价位段更易打入市场，前期对标Phomemo</t>
    </r>
  </si>
  <si>
    <r>
      <rPr>
        <sz val="11"/>
        <color rgb="FFFF0000"/>
        <rFont val="微软雅黑"/>
        <charset val="134"/>
      </rPr>
      <t>我们可选择灰白色或黑白色外观进行外观差异化。</t>
    </r>
    <r>
      <rPr>
        <sz val="11"/>
        <rFont val="微软雅黑"/>
        <charset val="134"/>
      </rPr>
      <t xml:space="preserve">
可以外观作为突破口进行市场投放</t>
    </r>
  </si>
  <si>
    <r>
      <rPr>
        <sz val="11"/>
        <rFont val="微软雅黑"/>
        <charset val="134"/>
      </rPr>
      <t>Rating: 前五星普遍在四颗半星以上，需要维护好星级，</t>
    </r>
    <r>
      <rPr>
        <sz val="11"/>
        <color rgb="FFFF0000"/>
        <rFont val="微软雅黑"/>
        <charset val="134"/>
      </rPr>
      <t>星级及售后可成为我们的推广优势。</t>
    </r>
  </si>
  <si>
    <t>label printer类目中，整个市场的listing数量达近2000条，Top 100中新品占比3%，亚马逊自营产品占比15%，仍有可进入空间。</t>
  </si>
  <si>
    <t>汉印标签打印机的市场份额目标前期可以对标Phomemo快速进入市场等，后期可对标DYMO或者Brother继续拓展其他细分市场</t>
  </si>
  <si>
    <t>品牌基本信息</t>
  </si>
  <si>
    <t>listing信息</t>
  </si>
  <si>
    <t>产品信息</t>
  </si>
  <si>
    <t>ASIN</t>
  </si>
  <si>
    <t>Link</t>
  </si>
  <si>
    <t>主图</t>
  </si>
  <si>
    <t>小类排名</t>
  </si>
  <si>
    <t>大类排名</t>
  </si>
  <si>
    <t>review数量</t>
  </si>
  <si>
    <t>review评分</t>
  </si>
  <si>
    <t>价格（$)</t>
  </si>
  <si>
    <t>上线时长（天）</t>
  </si>
  <si>
    <t>预估日销</t>
  </si>
  <si>
    <t>预估月销</t>
  </si>
  <si>
    <t>月销售额</t>
  </si>
  <si>
    <t>技术</t>
  </si>
  <si>
    <t>分辨率（DPI)</t>
  </si>
  <si>
    <t>是否有应用程序</t>
  </si>
  <si>
    <t>每分钟打印标签数量/每秒打印长度</t>
  </si>
  <si>
    <t>输出类型</t>
  </si>
  <si>
    <t>产品重量（磅）</t>
  </si>
  <si>
    <t>外观</t>
  </si>
  <si>
    <t>兼容系统</t>
  </si>
  <si>
    <t>可打印标签范围</t>
  </si>
  <si>
    <t>卖点</t>
  </si>
  <si>
    <t>客诉点</t>
  </si>
  <si>
    <t>备注</t>
  </si>
  <si>
    <t>DYMO(市场份额：34.19%）</t>
  </si>
  <si>
    <t>B0027JBLV4</t>
  </si>
  <si>
    <t>https://www.amazon.com/DYMO-LabelWriter-Thermal-Printer-1752264/dp/B0027JBLV4/ref=sr_1_1?dchild=1&amp;keywords=B0027JBLV4&amp;qid=1600764014&amp;sr=8-1</t>
  </si>
  <si>
    <t xml:space="preserve"> </t>
  </si>
  <si>
    <t>#526</t>
  </si>
  <si>
    <t>热敏</t>
  </si>
  <si>
    <t>600*300</t>
  </si>
  <si>
    <t xml:space="preserve">是 </t>
  </si>
  <si>
    <t>51张</t>
  </si>
  <si>
    <t>/</t>
  </si>
  <si>
    <t>银黑色</t>
  </si>
  <si>
    <t>Windows 7或更高版本；
Mac OS X v10.8或更高版本</t>
  </si>
  <si>
    <t>运输和邮寄标签，资产标识，条形码，文件，名称徽章和绑定器</t>
  </si>
  <si>
    <t>1. 打印精确的数量，不浪费；
2. 热敏打印技术无需墨水和碳粉；
3. 随附DYMO软件快速创建和打印；
4. 每分钟最多创建和打印51个标签；
5. 直接从Word，Excel，Outlook和Google联系人中文本创建标签；
6. 各种尺寸的标签；
7. 与Dymo邮票不兼容。</t>
  </si>
  <si>
    <t>1. DYMO相关软件操做麻烦；
2. 不兼容MAC、PC等部分系统；
3. 打印标签颜色变淡；
4. 打印纸缠绕，顺序错乱；
5. 自动喷出大量空白标签。</t>
  </si>
  <si>
    <t>B07DXH5CCJ</t>
  </si>
  <si>
    <t>https://www.amazon.com/DYMO-LabelWriter-Adhesive-Shipping-400-pound/dp/B07DXH5CCJ/ref=sr_1_1?dchild=1&amp;keywords=B07DXH5CCJ&amp;qid=1600764027&amp;sr=8-1</t>
  </si>
  <si>
    <t>#1,630</t>
  </si>
  <si>
    <t>71张</t>
  </si>
  <si>
    <t>Windows 7或更高版本；
Mac OS X v10.9或更高版本</t>
  </si>
  <si>
    <t>1. 每分钟最多创建和打印71个标签；
2. 随附DYMO Stamps软件可直接打印USPS批准的邮资；
3. 使用软件无需支付费用；
4. 热敏打印技术无需墨水和碳粉；
5. 内置便携式电子秤；
6. 电子秤可拆卸LED屏，方便手持或壁挂观看。</t>
  </si>
  <si>
    <t>1. 自动打印标签；
2. 产品太小，无法大量打印标签；
3. DYMO相关操作软件太难使用；
4. 打印错误标签，标签内容、字体错误；
5. 标签不完整，仅有部分内容；</t>
  </si>
  <si>
    <t>B0027J9KH6</t>
  </si>
  <si>
    <t>https://www.amazon.com/DYMO-Writer-printer-Labels-1752266/dp/B0027J9KH6/ref=sr_1_1?dchild=1&amp;keywords=B0027J9KH6&amp;qid=1600764044&amp;sr=8-1</t>
  </si>
  <si>
    <t>#3,908</t>
  </si>
  <si>
    <t>72张</t>
  </si>
  <si>
    <t>单色</t>
  </si>
  <si>
    <t>Windows 7或更高版本；
Mac OS V10.10或更高版本</t>
  </si>
  <si>
    <t>大批量运输和邮寄标签，资产标识，条形码，文件，名称徽章和绑定器</t>
  </si>
  <si>
    <t>1. 热敏打印技术无需墨水和碳粉；
2. 每分钟最多可打印71个标签；
3. 与Windows 7、Mac OS X v10.8或更高版本兼容；
4. DYMO软件从PC自定义打印；
5. 600 x 300 dpi分辨率打印更清晰；
6. 精确打印，不浪费纸张； 
7. 使用软件无需支付费用；</t>
  </si>
  <si>
    <t>1. 无法与Wind 10兼容；
2. 自动疯狂喷出一堆空白标签；
3.卡顿；
4. 只有一边正常工作；
5. 标签缠绕在滚轴上；
6. 需额外购买标签纸。</t>
  </si>
  <si>
    <t>B07DXDSPFT</t>
  </si>
  <si>
    <t>https://www.amazon.com/DYMO-1801611-Industrial-Labels-LabelWriter/dp/B07DXDSPFT/ref=sr_1_1?dchild=1&amp;keywords=B07DXDSPFT&amp;qid=1600764129&amp;sr=8-1</t>
  </si>
  <si>
    <t>#10,971</t>
  </si>
  <si>
    <t>否</t>
  </si>
  <si>
    <t>1. 轻触“热键”，用于创建和格式化标签的快捷方式；
2. 使用计算机风格（AZERTY）键盘输入文本；
3. 打印各种材料和颜色的1/4“，3/8”，1/2“和3/4”宽工业标签；
4. 可直接在热缩管上打印；
5. 耐用防污，耐化学药品，溶剂，油脂，热，湿气和其他苛刻元素。</t>
  </si>
  <si>
    <t>B01MEEI5WC</t>
  </si>
  <si>
    <t>https://www.amazon.com/DYMO-LabelWriter-Thermal-Printer-1755120/dp/B01MEEI5WC/ref=sr_1_1?dchild=1&amp;keywords=B01MEEI5WC&amp;qid=1600764097&amp;sr=8-1</t>
  </si>
  <si>
    <t>#19,618</t>
  </si>
  <si>
    <t>Windows 7或更高版本；
Mac OS v10.11或更高版本</t>
  </si>
  <si>
    <t>大量邮寄，运输，专业，资产识别，条形码，文件和装订</t>
  </si>
  <si>
    <t>1. 宽幅标签打印机可打印大量标签；
2. 打印宽度最大为4.16英寸的标签；
3. 热敏打印技术无需墨水和碳粉；
4. 与平台兼容，直接从DYMO Stamps，eBay，Etsy和iabol打印运输标签；
5. 打印数量准确，无标签浪费；
6. 直接从Word，Excel或Outlook等进行打印;
7. 系统要求：Windows 7、Mac OS v10.11或更高版本。</t>
  </si>
  <si>
    <t>1. 打印错误尺寸标签，浪费纸张；</t>
  </si>
  <si>
    <t>B002M1LG1M</t>
  </si>
  <si>
    <t>https://www.amazon.com/DYMO-1752267-LabelWriter-Thermal-Printer/dp/B002M1LG1M/ref=sr_1_1?dchild=1&amp;keywords=B002M1LG1M&amp;qid=1600764115&amp;sr=8-1</t>
  </si>
  <si>
    <t>#46,051</t>
  </si>
  <si>
    <t>运输和邮寄标签，专业，资产标识，条形码，文件和装订夹，家庭组织，名称徽章和工业</t>
  </si>
  <si>
    <t>1. 每分钟最多创建和打印71个标签；
2. DYMO Stamps软件直接从桌面打印USPS批准的邮资；
3. 使用软件无需支付费用；
4. 热敏打印技术无需墨水和碳粉；
5. 连接到PC或Mac，可直接从Word，Excel，Outlook，Quick Books和其他程序中打印标签。</t>
  </si>
  <si>
    <t>1. 自动改变标签格式；
2. 产品使用寿命太短 ，质量差；
3. 频繁卡顿、拥堵；
4. 额外付费购买标签；</t>
  </si>
  <si>
    <t>B01MTWGMRR</t>
  </si>
  <si>
    <t>https://www.amazon.com/Brother-QL-810W-Ultra-Fast-Wireless-Networking/dp/B01MTWGMRR/ref=sr_1_1?dchild=1&amp;keywords=B01MTWGMRR&amp;qid=1600764790&amp;sr=8-1</t>
  </si>
  <si>
    <t>#6,603</t>
  </si>
  <si>
    <t>110张</t>
  </si>
  <si>
    <t>白色</t>
  </si>
  <si>
    <t>电脑：Windows Mac；
移动设备兼容性：AirPrint，Brother iPrint$Label</t>
  </si>
  <si>
    <t>包裹、信封、文件夹、姓名牌、邮件标签</t>
  </si>
  <si>
    <t>1. 连接WIFI，任何地方打印或网络共享；
2. 可打印黑色/红色标签；
3. 切纸机寿命：高达300,000（模切标签）150,000（连续标签）；
4. 兼容不同操作系统：Mac，Windows；
AirPrint，Brother iPrint和Label；
5. 无需墨水和碳粉；
6. 每分钟多达110个标签；
7. 300dpi分辨率。</t>
  </si>
  <si>
    <t>1. 不能兼容MAC、Wind10，连接网络故障；
2. 不能打印条形码；
3. 操作麻烦，难操作；
4. 标签质量差，颜色太浓，有斑点；
5. 机器突然死机，机器冒烟了。</t>
  </si>
  <si>
    <t>B01N49R9KP</t>
  </si>
  <si>
    <t>https://www.amazon.com/Brother-High-Speed-Professional-Multi-System-Compatible/dp/B01N49R9KP/ref=sr_1_1?dchild=1&amp;keywords=B01N49R9KP&amp;qid=1600764801&amp;sr=8-1</t>
  </si>
  <si>
    <t>#7,408</t>
  </si>
  <si>
    <t>93张</t>
  </si>
  <si>
    <t>Windows和Mac</t>
  </si>
  <si>
    <t>1. 打印黑色/红色标签；
2. 超快速，每分钟可打印93个标签；
3. 300dpi分辨率的黑色文本显示；
4. 自动切纸器可启用3英尺横幅和标牌；
5. 可以直接在办公桌上打印邮资；
6. 打印机输出：单色
7. 连接技术：无线。</t>
  </si>
  <si>
    <t>1. 不予MAC兼容，操作麻烦，费时；
2. 产品寿命短，不工作；
3. 相关软件不识别打印机，无法打印；
4. 打印机容易处于脱机或未连接状态</t>
  </si>
  <si>
    <t>B079G51QTB</t>
  </si>
  <si>
    <t>https://www.amazon.com/Brother-QL-1100-Postage-Barcode-Professional/dp/B079G51QTB/ref=sr_1_1?dchild=1&amp;keywords=B079G51QTB&amp;qid=1600764814&amp;sr=8-1</t>
  </si>
  <si>
    <t>#9,612</t>
  </si>
  <si>
    <t>300x300</t>
  </si>
  <si>
    <t>69张</t>
  </si>
  <si>
    <t xml:space="preserve">
无需Windows pc安装软件；
iPrint&amp;Label app移动打印</t>
  </si>
  <si>
    <t>包裹，文件夹，信封，邮资，航运</t>
  </si>
  <si>
    <t>1. 在最大4英寸宽的宽幅标签上打印；
2. 条形码裁剪功能；
3. USB主机接口：允许与外围设备一起使用；
4. 无需在PC上安装软件即可打印标签；
5. 免费SDK轻松集成打印；
6. 内存（MB）：7.8；
7. 最大标签长度：9.8英尺（USB）3英尺（串行）。</t>
  </si>
  <si>
    <t>1. 打印标签尺寸错误；
2. 无法与MAC兼容；
3. 打印标签不完整，仅打印部分标签；
4. 步骤麻烦，很难操作；
5. 质量差，仅使用几次就坏了，不工作。</t>
  </si>
  <si>
    <t>1. 印刷标签宽达4英寸；
2. 免费软件开发工具包(SDK)；</t>
  </si>
  <si>
    <t>B005TJMC0S</t>
  </si>
  <si>
    <t>https://www.amazon.com/Brother-QL-700-High-speed-Professional-Printer/dp/B005TJMC0S/ref=sr_1_1?dchild=1&amp;keywords=B005TJMC0S&amp;qid=1600764822&amp;sr=8-1</t>
  </si>
  <si>
    <t>#27,580</t>
  </si>
  <si>
    <t>300*300</t>
  </si>
  <si>
    <t>仅Windows</t>
  </si>
  <si>
    <t>包裹、信封、文件夹、光盘、横幅、邮件标签</t>
  </si>
  <si>
    <t>1. 超快速，每分钟可打印多达93个标签；
2. 打印尺寸预先设定，易剥离；
3. 可在连续长度的纸和膜胶带上打印；
4. 用于横幅和标牌，最长3英尺；
5. 直接在办公桌上打印包裹和信封的邮资
6. 无需墨水或碳粉；
7. 自动裁纸器提供精确裁切。</t>
  </si>
  <si>
    <t>1. 不兼容Wind 10，MAC等系统；
2. 巨响后死机，有噪音；
3. 冒烟，有安全隐患；
4. 操作程序复杂；
5. 打印机卡顿；</t>
  </si>
  <si>
    <t>需要申请pbsmart邮费服务、互联网连接、USB连接和邮费标签卷</t>
  </si>
  <si>
    <t>Zebra</t>
  </si>
  <si>
    <t>B07HLVSHVZ</t>
  </si>
  <si>
    <t>https://www.amazon.com/Zebra-Label-Thermal-Printer-ZP450-0501-0006A/dp/B07HLVSHVZ/ref=sr_1_1?dchild=1&amp;keywords=B07HLVSHVZ&amp;qid=1600764857&amp;sr=8-1</t>
  </si>
  <si>
    <t>#12,034</t>
  </si>
  <si>
    <t>203*600</t>
  </si>
  <si>
    <t>127mm/s</t>
  </si>
  <si>
    <t>灰色</t>
  </si>
  <si>
    <t>1. 连接性：并行（IEEE1284），串行（RS-232C），USB 1.0 / 1.1；
2. 黑色打印速度5英寸/秒；
3. 最大分辨率（Bw）203x600DPI；</t>
  </si>
  <si>
    <t>1. 标签质量差，看不清标签内容；
2. 只与UPS Worldship一起工作；
3. 连不上以太网；
4. 只与UPS Worldship一起工作；
5. 缺少电源适配器；
6. 质量差，不工作。</t>
  </si>
  <si>
    <t>B00EUN90SG</t>
  </si>
  <si>
    <t>https://www.amazon.com/Zebra-Receipts-Barcodes-Parallel-Connectivity/dp/B00EUN90SG/ref=sr_1_1?dchild=1&amp;keywords=B00EUN90SG&amp;qid=1600764870&amp;sr=8-1</t>
  </si>
  <si>
    <t>#14,700</t>
  </si>
  <si>
    <t>Windows 10及以上；
MAC OS X 10.6 Snow Leopard及以上；
以及使用当前CUPS打印机驱动程序的Linux系统。</t>
  </si>
  <si>
    <t>地址、运输、邮寄、文件夹、条形码、活页夹标签以及姓名标签、腕带和收据</t>
  </si>
  <si>
    <t>1. 通过USB串行或并行端口连接，并与直接热敏标签卷兼容；
2. 热敏技术打印，无需墨水或碳粉；
3. 专为耐用性和频繁使用而设计；
4. 203 dpi，打印速度5英寸/秒；
5. 精准打印，不浪费；
6. 与Windows 10及更高版本兼容。</t>
  </si>
  <si>
    <t>1. 不兼容Wind10系统；
2. 无法连接以太网，通信连接失败；
3. 操作复杂，难使用；
4. 电源适配器坏了；
5. 打印标签尺寸不准确。</t>
  </si>
  <si>
    <t>B07TX9PX1K</t>
  </si>
  <si>
    <t>https://www.amazon.com/Phomemo-Printer-Printing-Thermal-Compatible/dp/B07TX9PX1K/ref=sr_1_1?dchild=1&amp;keywords=B07TX9PX1K&amp;qid=1600764882&amp;sr=8-1</t>
  </si>
  <si>
    <t>#10,698</t>
  </si>
  <si>
    <t>150mm/s</t>
  </si>
  <si>
    <t>Windows, Mac OS</t>
  </si>
  <si>
    <t>运输标签，仓库标签，条形码和ID标签，批量邮件标签</t>
  </si>
  <si>
    <t>1. 150mm / s的速度进行高速打印；
2. 打印宽度最大为4''，可连续工作12个小时以上；
3. 6英寸/秒打印速度打印4“x6“标签；
4. 与Windows，Mac OS兼容；
5. 无需购买任何墨水，碳粉或色带；
6. 与所有主要的运输平台兼容；
7. 内存：8MB SDRAM，2MB闪存；
8. 插入标签，打印机将自动捕获标签。</t>
  </si>
  <si>
    <t>1. 打印标签尺寸不准确，只打印出部分内容；
2. 打印的标签颜色变淡；
3. 启动慢，卡顿，堵塞；
4. 打印空白或者相同的标签；
5. 无法与Wind10系统兼容。</t>
  </si>
  <si>
    <t>B07XXB2MXN</t>
  </si>
  <si>
    <t>https://www.amazon.com/Phomemo-M110-Label-Maker-Bluetooth-Compatible/dp/B07XXB2MXN/ref=sr_1_1?dchild=1&amp;keywords=B07XXB2MXN&amp;qid=1600764898&amp;sr=8-1</t>
  </si>
  <si>
    <t>#34,950</t>
  </si>
  <si>
    <t>是</t>
  </si>
  <si>
    <t>黑色</t>
  </si>
  <si>
    <t>蓝牙连接“打印大师”APP</t>
  </si>
  <si>
    <t>衣服标签，价格标签，电缆标签，珠宝标签，地址标签，文件夹标签</t>
  </si>
  <si>
    <t>1. 迷你蓝牙无线热敏移动标签打印机；
2. 轻松连接手机，APP中有很多模板；
3. 宽度范围为20mm〜50mm，最大宽度为48mm。
4. 强大的功能-OCR-光学字符识别；
5. 热敏打印技术无需墨水或碳粉；
6. 方便携带，内置1500mAh可充电电池，可待机1周。</t>
  </si>
  <si>
    <t>1. 程序故障，保存的标签内容自动消失；
2.  打印出的标签尺寸很小；
3. 可选择的字体太少；
4. 应用程序无法运行。</t>
  </si>
  <si>
    <t>B01MA3EYC5</t>
  </si>
  <si>
    <t>https://www.amazon.com/Rollo-Label-Printer-Commercial-Compatible/dp/B01MA3EYC5/ref=sr_1_1?dchild=1&amp;keywords=B01MA3EYC5&amp;qid=1600765002&amp;sr=8-1</t>
  </si>
  <si>
    <t>#633</t>
  </si>
  <si>
    <t xml:space="preserve">Windows, Mac；
</t>
  </si>
  <si>
    <t>适合所有快递标签，包括UPS, USPS</t>
  </si>
  <si>
    <t>1. 与Thermal Direct Label一起使用；
2. 150mm / s的高速打印；
3. 热敏技术无需碳粉或墨水；
4. 与所有主要的运输平台兼容；
5. 与Windows和Mac兼容；
6. 可以打印宽度从1.57英寸到4.1英寸的标签。</t>
  </si>
  <si>
    <t>1. 打印出空白的标签
2. 标签质量差，无法被识别出来
3. 标签有斑点，模糊看不清
4. 长期使用后会褪色，颜色变淡
5. 使用六个月后冒烟
6. 卡顿，每次只能打印出一个标签</t>
  </si>
  <si>
    <t>Windows 2000,XP,Vista7,8,10 MAC, LINUX</t>
  </si>
  <si>
    <r>
      <rPr>
        <sz val="10"/>
        <color theme="1"/>
        <rFont val="微软雅黑"/>
        <charset val="134"/>
      </rPr>
      <t xml:space="preserve">1. 直热式，分辨率：203dpi（8dots / mm）; 
2. 宽度最大108mm，最大长度300mm;
3. 高达6IPS的高速打印且噪音低；
4. 最高速度150mm / s;
5. </t>
    </r>
    <r>
      <rPr>
        <sz val="10"/>
        <color theme="4" tint="-0.249977111117893"/>
        <rFont val="微软雅黑"/>
        <charset val="134"/>
      </rPr>
      <t>内存：2MB  RAM：2MB闪存</t>
    </r>
    <r>
      <rPr>
        <sz val="10"/>
        <color theme="4" tint="0.599993896298105"/>
        <rFont val="微软雅黑"/>
        <charset val="134"/>
      </rPr>
      <t>；</t>
    </r>
    <r>
      <rPr>
        <sz val="10"/>
        <color theme="1"/>
        <rFont val="微软雅黑"/>
        <charset val="134"/>
      </rPr>
      <t xml:space="preserve">
6. 设计紧凑，内置适配器，节省更多空间；
7. 打印机头增强了涂层，更加耐用；
8. 较大尺寸的橡胶辊防止标签粘着;
9. 自动标签检测
10. 错误重印技术</t>
    </r>
  </si>
  <si>
    <t>标签打印机SWOT分析</t>
  </si>
  <si>
    <t>Strength</t>
  </si>
  <si>
    <t>Weakness</t>
  </si>
  <si>
    <t>1. 品质相对稳定，比竞品更有保障；
2. 具有较高的分辨率，能够打印清楚的标签；
3. 设计紧凑，体积小，能节省很大的办公空间，并且方便携带；
4. 打印速度较快，能满足客户的紧急需求；
5. 目前有较大的空间和优势
6. 电子办公产品是汉印强项，且具有成品；
7. 具有配套产品、耗材可以增长大量销售额；
8. 产品容易做升级和优化。</t>
  </si>
  <si>
    <t xml:space="preserve">1. 客户拥有不同的设备，很难兼容每一个操作系统，对兼容性要求较高；
2. 标签打印机普遍存在较多的客诉问题，维护评分难度大；
3. 打印机更新迭代快，市场上不断出现功能多元化的打印机；
4. 打印机操作步骤繁多，操作麻烦；
5. 客户对打印机的打印质量和打印容量有较高的要求；
6. 品牌没有知名度，需要长期做品宣工作；
7. 亚马逊自营的大牌品牌效应大和链接稳定；
</t>
  </si>
  <si>
    <t>Opportunity</t>
  </si>
  <si>
    <t>SO</t>
  </si>
  <si>
    <t>OW</t>
  </si>
  <si>
    <t>打印机已经成为办公必备品之一，市场关注度逐年攀升；</t>
  </si>
  <si>
    <t>1. 强大的售后体系（call center)
2. 强大的品宣力度（建立完整的品牌体系）；
3. 强大的研发力度；</t>
  </si>
  <si>
    <r>
      <rPr>
        <sz val="10"/>
        <color theme="1"/>
        <rFont val="微软雅黑"/>
        <charset val="134"/>
      </rPr>
      <t xml:space="preserve">1. 进入市场较晚，作为后入市场者，较难抢占市场份额；
2. 品牌/RV积累较少，前期品宣不易。
3. </t>
    </r>
    <r>
      <rPr>
        <sz val="10"/>
        <color rgb="FFFF0000"/>
        <rFont val="微软雅黑"/>
        <charset val="134"/>
      </rPr>
      <t>说明书内容过于简单粗略</t>
    </r>
    <r>
      <rPr>
        <sz val="10"/>
        <color theme="1"/>
        <rFont val="微软雅黑"/>
        <charset val="134"/>
      </rPr>
      <t xml:space="preserve">
</t>
    </r>
  </si>
  <si>
    <t>Threat</t>
  </si>
  <si>
    <t xml:space="preserve">ST </t>
  </si>
  <si>
    <t>WT</t>
  </si>
  <si>
    <t>1、Rollo、DYMO、Brother、ZEBRA占有市场较大；
2、众多新兴电商品牌显露头角；
3. 市场上产品价格跨度较大，汉印打印机有一定的成本，价格战不具有优势。</t>
  </si>
  <si>
    <t xml:space="preserve">1. 产品功能和配件齐全，便于配套销售增加销量；
2. 是汉印强项产品，有很强的实力；
3. 产品升级容易，能够不断迭代产品
</t>
  </si>
  <si>
    <t>1. 大品牌市场占有率较高，知名度高，前期较难进入市场；
2. 品牌积累不足，市场份额小；
3. 成本较高，不利于定价；
4. 兼容性要求高，客诉问题多，评分维护困难。</t>
  </si>
  <si>
    <t>对标品牌分析</t>
  </si>
  <si>
    <t>竞品品牌</t>
  </si>
  <si>
    <t>细分市场</t>
  </si>
  <si>
    <t>指标</t>
  </si>
  <si>
    <t>情况</t>
  </si>
  <si>
    <t>竞对</t>
  </si>
  <si>
    <t>DYMO（美国 帝么股份有限公司）</t>
  </si>
  <si>
    <t>Office Products</t>
  </si>
  <si>
    <t>产品</t>
  </si>
  <si>
    <t>星级</t>
  </si>
  <si>
    <t>主要ASIN星级：3.8- 4.7，星级相对维护较好</t>
  </si>
  <si>
    <t>RV数量</t>
  </si>
  <si>
    <t>主要ASIN：15-3400，平均2000</t>
  </si>
  <si>
    <t>$89.99-$312.99, 各价格段均有分布</t>
  </si>
  <si>
    <t>产品线布局</t>
  </si>
  <si>
    <t>专注印刷类产品，分办公及工业类，主要品线有标签打印机，工业标签制作机，标签，标签带（标签打印机和工业标签制作机产品布局较为齐全）</t>
  </si>
  <si>
    <t>上新速度</t>
  </si>
  <si>
    <t>标签打印机均为老品，多年前已上线</t>
  </si>
  <si>
    <t>供应链</t>
  </si>
  <si>
    <t>资金投入</t>
  </si>
  <si>
    <r>
      <rPr>
        <sz val="10"/>
        <rFont val="微软雅黑"/>
        <charset val="134"/>
      </rPr>
      <t>该品牌属于诺威品牌股份有限公司旗下品牌，总部位于美国桑迪斯普林斯 (佐治亚州)，是一家全球市场营销各类产品，包括：派克、帝么、史派、纸美、屈伯德等著名品牌用品，已上市。</t>
    </r>
    <r>
      <rPr>
        <sz val="10"/>
        <color rgb="FFFF0000"/>
        <rFont val="微软雅黑"/>
        <charset val="134"/>
      </rPr>
      <t>帝么股份有限公司</t>
    </r>
    <r>
      <rPr>
        <sz val="10"/>
        <rFont val="微软雅黑"/>
        <charset val="134"/>
      </rPr>
      <t>，是一家全球生产电子标贴、印刷标贴、以及其他印刷镭射影碟等公司。 其企业成立于1958年，现时为诺威屈伯德旗下公司，资金实力雄厚。</t>
    </r>
  </si>
  <si>
    <t>供货能力</t>
  </si>
  <si>
    <t>自身供货能力较强，核心listing偶有断货现象，断货两周能接上</t>
  </si>
  <si>
    <t>库存周转</t>
  </si>
  <si>
    <t>亚马逊自营，供货能力强，少有断货情况</t>
  </si>
  <si>
    <t>研发实力</t>
  </si>
  <si>
    <t>研发实力强劲，多种型号与外观，有外观专利</t>
  </si>
  <si>
    <t>资源整合能力</t>
  </si>
  <si>
    <t>资源整合能力较强，各国家市场均有涉猎</t>
  </si>
  <si>
    <t>运营</t>
  </si>
  <si>
    <t>市场洞察力</t>
  </si>
  <si>
    <t>市场洞察力一般，市场排名较为稳定，波动不大</t>
  </si>
  <si>
    <t>流量/转化</t>
  </si>
  <si>
    <t>广告bid出价较高，长时间居于shipping label printer首页中间及下方位置。但是站内投入不大，在label print下无广告位，主要关键词首页有编辑推荐</t>
  </si>
  <si>
    <t>站内活动</t>
  </si>
  <si>
    <t>站内deal较少参与</t>
  </si>
  <si>
    <t>独立站/官网</t>
  </si>
  <si>
    <t>有独立官网及其他独立站，官网较为简单，产品分布齐全但不能在官网进行购买，会跳转至亚马逊，沃尔玛等渠道进行购买 官网：https://www.dymo.com/en-US</t>
  </si>
  <si>
    <t>站外品宣</t>
  </si>
  <si>
    <t>Youtube无官方频道，FB粉丝3.78W，互动较少。INS粉丝2.6W，发布内容大多为厨具储存类产品，本营业务指向性不强</t>
  </si>
  <si>
    <t>售后体系</t>
  </si>
  <si>
    <t>官方售后服务热线+邮箱双重售后，售后系统比较完善，但是亚马逊上售后服务一般，差评基本无回复及处理</t>
  </si>
  <si>
    <t>Brother（日本 兄弟工业株式会社）</t>
  </si>
  <si>
    <t>主要ASIN星级：4.2 - 4.3，评分较危险</t>
  </si>
  <si>
    <t>主要ASIN：190-1200</t>
  </si>
  <si>
    <t>79.99-488.39</t>
  </si>
  <si>
    <r>
      <rPr>
        <sz val="10"/>
        <color theme="1"/>
        <rFont val="微软雅黑"/>
        <charset val="134"/>
      </rPr>
      <t>专注打印类类产品，核心产品为打印机、缝纫机、大型机床、标签打印机和打字机、传真机等。</t>
    </r>
    <r>
      <rPr>
        <sz val="10"/>
        <color rgb="FFFF0000"/>
        <rFont val="微软雅黑"/>
        <charset val="134"/>
      </rPr>
      <t>产品布局齐全。</t>
    </r>
  </si>
  <si>
    <t>兄弟工业株式会社是一家多元化经营的日本公司，生产各种各样的产品，包括打印机、缝纫机、大型机床、标签打印机和打字机、传真机、电脑和其他相关电子产品。资金实力雄厚，迅速从进口公司转为出口公司。资金实力雄厚。</t>
  </si>
  <si>
    <t>部分产品自发货，部分产品亚马逊自营，未曾断货，库存掌控力强</t>
  </si>
  <si>
    <t>周转迅速，无滞销品</t>
  </si>
  <si>
    <t>研发实力强，涉及各国各大市场，产品种类丰富。</t>
  </si>
  <si>
    <t>资源整合能力较强，集研发设计制造于一体</t>
  </si>
  <si>
    <t>线上市场洞察力比较强，在打造品牌方面有一定的成果，采用性价比及产品多样化的运营策略</t>
  </si>
  <si>
    <t>亚马逊站内流量高，站外流量较低但正在铺开建设</t>
  </si>
  <si>
    <t>站内活动参与度不高，deal较少参与</t>
  </si>
  <si>
    <t>有自己的官网及独立站，官网设计有一定的品牌格调，简约大方 官网：https://www.cosori.com/</t>
  </si>
  <si>
    <t>站外品宣较弱，YouTube站外视频1300多个，更新频繁但播放量与互动较少，FB无官方页面，有少部分群组及公共主页。</t>
  </si>
  <si>
    <t>官方售后服务热线+邮箱+美国本地公司，本地化较强，构建完整售后体系，亚马逊平台上2月份前会维护差评，2月份后基本不再维护。</t>
  </si>
  <si>
    <t>ZEBRA（美国 斑马技术公司）</t>
  </si>
  <si>
    <t>主要ASIN星级：2.8 - 4.5，平均3.8，评分较差</t>
  </si>
  <si>
    <t>主要ASIN：2-140</t>
  </si>
  <si>
    <r>
      <rPr>
        <sz val="10"/>
        <color theme="1"/>
        <rFont val="微软雅黑"/>
        <charset val="134"/>
      </rPr>
      <t>集中价格段$198-$699，</t>
    </r>
    <r>
      <rPr>
        <sz val="10"/>
        <color rgb="FFFF0000"/>
        <rFont val="微软雅黑"/>
        <charset val="134"/>
      </rPr>
      <t>主打高端市场</t>
    </r>
  </si>
  <si>
    <t>主打打印类型产品，主营产品有标签打印机，工业打印机和标签及散热带等</t>
  </si>
  <si>
    <t>上新速度较慢，还是以老款为主，新品两年间上线一款</t>
  </si>
  <si>
    <t>斑马技术是一家位于美国伊利诺伊州在NASDAQ上市的计算机外设制造公司。主要从事票据、条码标签打印机、RFID智能标签打印机、固定或手持读码器。 全世界170多个国家或地区，世界500强企业超过90%都在使用斑马打印机。</t>
  </si>
  <si>
    <t>供货能力稍弱，经常断货</t>
  </si>
  <si>
    <t>研发实力较强，产品风格相似，有外观专利</t>
  </si>
  <si>
    <t>资源整合能力一般，主打亚马逊站内</t>
  </si>
  <si>
    <t>线上市场洞察力比较强，在打造品牌方面有一定的成果，有点类似精铺货。</t>
  </si>
  <si>
    <t>站外广告位较靠后，编辑推荐处无该品牌。</t>
  </si>
  <si>
    <t>基本无秒杀</t>
  </si>
  <si>
    <t>官网：https://www.zebra.cn/us/en.html</t>
  </si>
  <si>
    <t>基本无站外，无FB官方频道无YouTube频道</t>
  </si>
  <si>
    <t>页面上找不到售后信息，未构建完整售后体系。官网有service服务</t>
  </si>
  <si>
    <t>Phomemo（广东珠海 珠海趣印科技有限公司）</t>
  </si>
  <si>
    <t>主要ASIN星级：4 - 4.1，评分较差</t>
  </si>
  <si>
    <t>主要ASIN：2个，191和210</t>
  </si>
  <si>
    <r>
      <rPr>
        <sz val="10"/>
        <color theme="1"/>
        <rFont val="微软雅黑"/>
        <charset val="134"/>
      </rPr>
      <t>集中价格段$90-$150，</t>
    </r>
    <r>
      <rPr>
        <sz val="10"/>
        <color rgb="FFFF0000"/>
        <rFont val="微软雅黑"/>
        <charset val="134"/>
      </rPr>
      <t>主打中低端市场</t>
    </r>
  </si>
  <si>
    <t>主打打印类型产品，主营产品有标签打印机，热敏打印机和学习打印机，迷你打印机和标签等</t>
  </si>
  <si>
    <t>上新速度较慢，一年上新一款</t>
  </si>
  <si>
    <t>珠海趣印科技有限公司，成立于2017年10月，公司位于珠海，致力于专业级标签打印机的自主研发与销售。 
主营业务包括趣印及其所属品牌的手持标签打印机、桌面标签打印机、迷你打印机等产品的设计、研发和销售，提供多方位的标签打印解决方案和配套服务，产品覆盖电力、通信、商业和办公等领域，支持区域代理和个性化定制，倡导移动互联打印新方式</t>
  </si>
  <si>
    <t>供货能力较强，基本未曾断货</t>
  </si>
  <si>
    <t>研发实力较强，细分品类规划有序，品牌重视产品研发和技术创新，作为初创公司不容小觑。</t>
  </si>
  <si>
    <t>资源整合能力较强，重视线上市场，扩展多个平台</t>
  </si>
  <si>
    <t>洞察力一般，产品本身差评较多，且未能及时回复差评，首页有差评</t>
  </si>
  <si>
    <t>流量一般，广告位查询不到，但仍具有站内资源，可做bundle</t>
  </si>
  <si>
    <t>无秒杀</t>
  </si>
  <si>
    <t>国内官网：http://www.qu-in.com/about/  官网设计有格调及其风格，简约大方  品牌官网：https://phomemo.com/</t>
  </si>
  <si>
    <t>已开始布局站外渠道，Youtube已有官方频道，虽播放量少，但更新较为频繁。FB已有主页，且点赞量相对较多</t>
  </si>
  <si>
    <t>有售后邮箱+官网指引，暂无AS和call center</t>
  </si>
  <si>
    <t>匹配动作</t>
  </si>
  <si>
    <r>
      <rPr>
        <sz val="10"/>
        <color theme="1"/>
        <rFont val="微软雅黑"/>
        <charset val="134"/>
      </rPr>
      <t>推广初期快速上评且维持评论星级在</t>
    </r>
    <r>
      <rPr>
        <b/>
        <sz val="10"/>
        <color theme="1"/>
        <rFont val="微软雅黑"/>
        <charset val="134"/>
      </rPr>
      <t>4.8</t>
    </r>
    <r>
      <rPr>
        <sz val="10"/>
        <color theme="1"/>
        <rFont val="微软雅黑"/>
        <charset val="134"/>
      </rPr>
      <t>以上，</t>
    </r>
    <r>
      <rPr>
        <b/>
        <sz val="10"/>
        <color theme="1"/>
        <rFont val="微软雅黑"/>
        <charset val="134"/>
      </rPr>
      <t>迅速上评至50+</t>
    </r>
  </si>
  <si>
    <t>对标竞品中高端产品</t>
  </si>
  <si>
    <t>先跑一条链接进入市场</t>
  </si>
  <si>
    <t>推广期运营投入在RV/星级/品宣方面，配合完整的售后服务体系，建议拍摄使用视频并且加入call center。后续逐渐完善产品线布局，品牌效应与产品线相互配合</t>
  </si>
  <si>
    <t>1. 完善官网布局，且竞争对手站外短板较明显，所以需要形成站外品宣体系，推广初期就开始站外品宣，以此更快地产生品牌效应
2. 完善售后体系，建议加入call center并采取邮箱+电话的形式保障售后，建立官网，官网上也强调售后，已形成对亚马逊的引导</t>
  </si>
  <si>
    <t>客户使用关键词</t>
  </si>
  <si>
    <t>数量</t>
  </si>
  <si>
    <t>占比</t>
  </si>
  <si>
    <t>用户群体</t>
  </si>
  <si>
    <t>使用场景</t>
  </si>
  <si>
    <t>提到的功能/特点</t>
  </si>
  <si>
    <t>label maker</t>
  </si>
  <si>
    <t>officer</t>
  </si>
  <si>
    <t>office</t>
  </si>
  <si>
    <t>easy to use</t>
  </si>
  <si>
    <t>label printer</t>
  </si>
  <si>
    <t>seller</t>
  </si>
  <si>
    <t>company</t>
  </si>
  <si>
    <t xml:space="preserve"> print clear</t>
  </si>
  <si>
    <t>shipping label printer</t>
  </si>
  <si>
    <t>doctor/nurse/teacher</t>
  </si>
  <si>
    <t>shop/store</t>
  </si>
  <si>
    <t>good label quality</t>
  </si>
  <si>
    <t>label maker machine</t>
  </si>
  <si>
    <t>express/shipper</t>
  </si>
  <si>
    <t>logistics/express</t>
  </si>
  <si>
    <t>fast print speed, don't jam</t>
  </si>
  <si>
    <t>thermal printer</t>
  </si>
  <si>
    <t>family</t>
  </si>
  <si>
    <t xml:space="preserve">easy to connect, good compatibility </t>
  </si>
  <si>
    <t>barcode printer</t>
  </si>
  <si>
    <t>hospital</t>
  </si>
  <si>
    <t>print accurate</t>
  </si>
  <si>
    <t>usps label printer</t>
  </si>
  <si>
    <t>saving paper</t>
  </si>
  <si>
    <t>label printer for shipping packages</t>
  </si>
  <si>
    <t>汇总分析：</t>
  </si>
  <si>
    <t>1. 关键词：label printer是客户提到最频繁的关键词，使用频率高达49%；此外客户在搜索时主要使用label maker、shipping label printer和thermal printer这三个关键词，以上关键词适合用于标题以及广告重点关注的词；除此之外，客户使用到的关键词流量排序是：barcode printer、label maker machine、usps label printer和label printer for shipping packages，可用来埋词测试。
2. 用户群：根据用户群体和用户场景的分析，企业办公室工作者对标签打印机的需求最大，是最主要的客户资源，占比70%以上；商品卖家，销售人员的需求也较高；此外，还有来自教育和医疗行业的客户需求；需要注意到的是物流快递行业从业者对标签打印机的需求应该是很大的，但是通过客诉分析很难看出客户的职业，因此可能会带来一定的误差。
3. 提到的功能：
（1）科技快速发展带来标签打印机更新迭代较快，一些品牌不断推出新的功能导致打印机的操作越来越麻烦，因此超过70%的客户最关注的是打印机是否操作简便，在客诉调查中发现更多的客户希望拿到的一台“即插即用”的打印机，而不是程序复杂、功能繁琐、操作麻烦的打印机；
（2）客户对打印出的标签质量关注度也很高，一些打印机打印出的条码不清晰，颜色太深或太浅，导致扫码枪识别不出来；
（3）此外，打印机的高度兼容性也是客户十分关注的点，一些产品在电脑系统更新后就没办法兼容，导致产品无法使用；
（4）客户对打印机的打印速度、是否卡顿、打印尺寸和内容是否精确也十分关注，一些产品因为打印不精确导致浪费纸张，增加客户的成本而带来客诉。</t>
  </si>
  <si>
    <t>Brand</t>
  </si>
  <si>
    <t>Asin</t>
  </si>
  <si>
    <t>首图</t>
  </si>
  <si>
    <t>差评类型</t>
  </si>
  <si>
    <t>功能性</t>
  </si>
  <si>
    <t>打印标签尺寸、内容、类型不准确，只印到一部分</t>
  </si>
  <si>
    <t>标签质量差，颜色变淡/浓/脏/斑点，不清楚/模糊，无法识别</t>
  </si>
  <si>
    <t>打印空白标签/相同标签，浪费纸张</t>
  </si>
  <si>
    <t>不兼容MAC、PC、Wind10、stamps等</t>
  </si>
  <si>
    <t>启动慢，响应速度很慢，浪费时间</t>
  </si>
  <si>
    <t>堵塞/卡顿、不流畅、撕裂纸张，缠绕</t>
  </si>
  <si>
    <t>标签粘在打印头和传感器上，打印时自动剥离标签</t>
  </si>
  <si>
    <t>打印跳过，顺序乱/错误标签</t>
  </si>
  <si>
    <t>设计性</t>
  </si>
  <si>
    <t>使用麻烦，操作复杂，难使用，浪费时间</t>
  </si>
  <si>
    <t>无法大规模打印</t>
  </si>
  <si>
    <t>软件安装/操作麻烦，程序难操作无法使用</t>
  </si>
  <si>
    <t>网络连接/通信连接故障</t>
  </si>
  <si>
    <t>打印程序指令错乱，打印一次后要重新设置，每次打印都需校准</t>
  </si>
  <si>
    <t>有噪音/巨响</t>
  </si>
  <si>
    <t>只与UPS Worldship一起工作</t>
  </si>
  <si>
    <t>自动打印大量标签</t>
  </si>
  <si>
    <t>批次性</t>
  </si>
  <si>
    <t>质量差，使用寿命短，不工作</t>
  </si>
  <si>
    <t>零件坏了，滚筒、电源适配器坏了</t>
  </si>
  <si>
    <t>防损做不好/次品，缺少配件</t>
  </si>
  <si>
    <t>突然死机，机器冒烟了</t>
  </si>
  <si>
    <t>差评总结分析：</t>
  </si>
  <si>
    <r>
      <rPr>
        <sz val="11"/>
        <color rgb="FFFF0000"/>
        <rFont val="微软雅黑"/>
        <charset val="134"/>
      </rPr>
      <t xml:space="preserve">功能性：
</t>
    </r>
    <r>
      <rPr>
        <sz val="11"/>
        <color theme="1"/>
        <rFont val="微软雅黑"/>
        <charset val="134"/>
      </rPr>
      <t>1. 差评最多的点集中在产品的兼容性，在客户更新升级设备后无法连接打印机，产品不能满足广泛的连接需求导致了客诉，因此产品应具备高度的兼容性，以适应不同的操作系统；但也可能存在客户在购买前没有仔细阅读说明导致的客诉；</t>
    </r>
    <r>
      <rPr>
        <sz val="11"/>
        <color rgb="FFFF0000"/>
        <rFont val="微软雅黑"/>
        <charset val="134"/>
      </rPr>
      <t xml:space="preserve">
</t>
    </r>
    <r>
      <rPr>
        <sz val="11"/>
        <color theme="1"/>
        <rFont val="微软雅黑"/>
        <charset val="134"/>
      </rPr>
      <t xml:space="preserve">2. 其次是打印出的标签质量问题，一些打印机打印出大量空白标签或者相同的标签、标签不清楚、内容模糊，导致无法被扫码枪扫描出来，浪费了很多标签纸，增加了客户的成本；
3. 此外，打印机不能精准打印标签，只打印出部分内容、尺寸不准确也带来了较多客诉；
4. 打印机在打印过程中出现卡顿、不流畅、打印纸缠绕、打印顺序错乱也是导致客诉问题的主要原因之一。
</t>
    </r>
    <r>
      <rPr>
        <sz val="11"/>
        <color rgb="FFFF0000"/>
        <rFont val="微软雅黑"/>
        <charset val="134"/>
      </rPr>
      <t xml:space="preserve">设计性：
</t>
    </r>
    <r>
      <rPr>
        <sz val="11"/>
        <rFont val="微软雅黑"/>
        <charset val="134"/>
      </rPr>
      <t>（1）一些品牌为使产品的功能更加丰富、与市场上的产品区别开来而增加了更多复杂的程序和操作，例如设置自己品牌的程序和驱动软件，导致客户很难理解操作步骤增加客户的使用难度带来大量客诉问题，而客户需要的是能够“即插即用”产品；
（2)一些产品存在打印程序指令错乱问题，有的打印机每一次打印都需要校对才能打印出标签，又有的打印机会自动打印大量标签， 在打印的过程中客户需要花大量时间去检查和监控，因此打印机在这方面的设计要注意；
（3）很多客户需要一次性打印大量标签，打印机应该满足大量打印的需求；
（4）有少量的打印机在工作时会发出噪音。
批次性：
（1）产品的质量和使用寿命是客户最关注的方面，打印机应该满足一个长期的使用过程而不是仅使用几次后就坏了；
（2）其次是产品的包装和运输方面，要做好防损工作，检查好包装内部零件；
（3）有少量产品在使用过程中发热冒烟，给客户带来安全隐患。</t>
    </r>
  </si>
  <si>
    <t>热敏标签打印机</t>
  </si>
  <si>
    <t>产品示图</t>
  </si>
  <si>
    <t>测试汇总</t>
  </si>
  <si>
    <r>
      <rPr>
        <b/>
        <sz val="10"/>
        <color theme="1"/>
        <rFont val="微软雅黑"/>
        <charset val="134"/>
      </rPr>
      <t>优势：</t>
    </r>
    <r>
      <rPr>
        <sz val="10"/>
        <color theme="1"/>
        <rFont val="微软雅黑"/>
        <charset val="134"/>
      </rPr>
      <t xml:space="preserve">
1. 操作方便，下载驱动程序、插上电源后就可以使用，符合“即插即用”的需求；
2. 打印出的标签内容清晰，可清楚看到文字内容；
3. 打印速度快，能够满足大量且急需打印的需求；
4. 有记忆功能，中途暂停后会从上次中断处继续打印；
5. 可选择较多不同类型的运输标签，尺寸齐全；
6. 体积小，不占据空间；
</t>
    </r>
    <r>
      <rPr>
        <b/>
        <sz val="10"/>
        <color theme="1"/>
        <rFont val="微软雅黑"/>
        <charset val="134"/>
      </rPr>
      <t>劣势：</t>
    </r>
    <r>
      <rPr>
        <sz val="10"/>
        <color theme="1"/>
        <rFont val="微软雅黑"/>
        <charset val="134"/>
      </rPr>
      <t xml:space="preserve">
1. 有噪声，在安静的办公环境下会比较吵；
2. 无取消功能，如打印错了没办法立即取消，只能将原来的设置打印结束才可重新设置新的打印需求，会造成纸张和时间的浪费；
3. 打印几张标签后，出现亮绿灯不吸标签纸的情况，但机器并没有卡顿，找不出是何原因；
4. 出现不能完全复印标签内容的情况，边缘位置缺少内容，且横向的标签会变斜；
5. 说明书不齐全，没办法确定指示灯颜色变换代表机器处于什么状态，需要使用者自行摸索；
6. 白色外观及材质不耐脏。</t>
    </r>
  </si>
  <si>
    <t>产品是否具有高度兼容性是客诉的重要原因之一，由于缺少设备，无法检测在MAC上是否工作流畅，需要商务或者客户自行测试。</t>
  </si>
  <si>
    <r>
      <rPr>
        <b/>
        <sz val="10"/>
        <color theme="1"/>
        <rFont val="微软雅黑"/>
        <charset val="134"/>
      </rPr>
      <t>1. 产品概述：</t>
    </r>
    <r>
      <rPr>
        <sz val="10"/>
        <color theme="1"/>
        <rFont val="微软雅黑"/>
        <charset val="134"/>
      </rPr>
      <t xml:space="preserve">汉印N41热敏标签打印机，出货标签打印机；
</t>
    </r>
    <r>
      <rPr>
        <b/>
        <sz val="10"/>
        <color theme="1"/>
        <rFont val="微软雅黑"/>
        <charset val="134"/>
      </rPr>
      <t>2. 体验时间：</t>
    </r>
    <r>
      <rPr>
        <sz val="10"/>
        <color theme="1"/>
        <rFont val="微软雅黑"/>
        <charset val="134"/>
      </rPr>
      <t xml:space="preserve">30分钟；
</t>
    </r>
    <r>
      <rPr>
        <b/>
        <sz val="10"/>
        <color theme="1"/>
        <rFont val="微软雅黑"/>
        <charset val="134"/>
      </rPr>
      <t>3. 体验目的：</t>
    </r>
    <r>
      <rPr>
        <sz val="10"/>
        <color theme="1"/>
        <rFont val="微软雅黑"/>
        <charset val="134"/>
      </rPr>
      <t xml:space="preserve">实测产品质量、操作方法及市场上客诉较多的内容；
</t>
    </r>
    <r>
      <rPr>
        <b/>
        <sz val="10"/>
        <color theme="1"/>
        <rFont val="微软雅黑"/>
        <charset val="134"/>
      </rPr>
      <t>4. 环境：</t>
    </r>
    <r>
      <rPr>
        <sz val="10"/>
        <color theme="1"/>
        <rFont val="微软雅黑"/>
        <charset val="134"/>
      </rPr>
      <t xml:space="preserve">办公环境；
</t>
    </r>
    <r>
      <rPr>
        <b/>
        <sz val="10"/>
        <color theme="1"/>
        <rFont val="微软雅黑"/>
        <charset val="134"/>
      </rPr>
      <t>5. 配件：</t>
    </r>
    <r>
      <rPr>
        <sz val="10"/>
        <color theme="1"/>
        <rFont val="微软雅黑"/>
        <charset val="134"/>
      </rPr>
      <t>打印机，电源线，USB端口线、说明指南。</t>
    </r>
  </si>
  <si>
    <t>客户或工厂自行常规测试项</t>
  </si>
  <si>
    <t>特殊测试</t>
  </si>
  <si>
    <t>高温环境测试（40%以上）</t>
  </si>
  <si>
    <t>建议客户自行摸底测试，主要是验证产品可靠性和寿命（老化）。</t>
  </si>
  <si>
    <t>高湿环境测试(75%以上)</t>
  </si>
  <si>
    <t>可靠性测试</t>
  </si>
  <si>
    <t xml:space="preserve">机械强度，如裸机跌落，振动，冲击测试 </t>
  </si>
  <si>
    <t>需要根据大货出货包装进行验证。</t>
  </si>
  <si>
    <t>安规测试</t>
  </si>
  <si>
    <t>外观结构安全性测试</t>
  </si>
  <si>
    <t>根据产品定义客户测试</t>
  </si>
  <si>
    <t>高压，接地测试</t>
  </si>
  <si>
    <t>耐火测试</t>
  </si>
  <si>
    <t>内部结构安规测试</t>
  </si>
  <si>
    <t>环保确认</t>
  </si>
  <si>
    <t>主要针对塑胶件或大件有塑料或缓冲包装产品的RoHS,Reach,加州65等</t>
  </si>
  <si>
    <t>内部安装工艺及元器件检查</t>
  </si>
  <si>
    <t>此项检查包括电源线安装；电源插头极性检查；内部焊接，连接检查；内部关机元器件检查；内部工艺（如走线工艺，元器件打胶固定等等）；内部螺丝装配（螺丝柱尺寸，位置是否合理等等）</t>
  </si>
  <si>
    <t>测试示图</t>
  </si>
  <si>
    <t>1. 标签内容不能完全印在纸上，超出边缘，标签变斜 ；      
2. 打印出的标签有斑点是市场上客诉的原因之一，在测试过程中仅打印了少量标签，却发现少量出现斑点的情况，可能会影响扫码，需要注意大量打印后是否仍然存在该问题；
3. 在测试过程中，仅打印几次后出现不吸纸的情况，当时指示灯变绿，纸张也没有折角和褶皱，需要打开掀开顶盖再关闭才会继续工作，这种情况出现了大概三次，没有找出原因。</t>
  </si>
  <si>
    <t>FBA利润核算表</t>
  </si>
  <si>
    <t>运输方式</t>
  </si>
  <si>
    <t>国家</t>
  </si>
  <si>
    <t>size</t>
  </si>
  <si>
    <t>售价（当地币种）</t>
  </si>
  <si>
    <t>汇率
（当地币种兑美金）</t>
  </si>
  <si>
    <t>售价
（$）</t>
  </si>
  <si>
    <t>产品成本
（$）</t>
  </si>
  <si>
    <t>头程
（$）</t>
  </si>
  <si>
    <t>FBA发货费</t>
  </si>
  <si>
    <t>美国关税额</t>
  </si>
  <si>
    <t>平台佣金比例（%）</t>
  </si>
  <si>
    <t>成交费
（$）</t>
  </si>
  <si>
    <t>总成本
（$）</t>
  </si>
  <si>
    <t>毛利
（$）</t>
  </si>
  <si>
    <t>平台毛利率</t>
  </si>
  <si>
    <t>全年推广费（预估）</t>
  </si>
  <si>
    <t>退款比率（预估）</t>
  </si>
  <si>
    <t>净利率【扣除12%佣金】</t>
  </si>
  <si>
    <t>备注说明</t>
  </si>
  <si>
    <t>海运</t>
  </si>
  <si>
    <t>US</t>
  </si>
  <si>
    <t>SP410</t>
  </si>
  <si>
    <t>快船</t>
  </si>
  <si>
    <t>（采购价*数量）*关税</t>
  </si>
  <si>
    <t>RMB</t>
  </si>
  <si>
    <t>USD</t>
  </si>
  <si>
    <t>海运头程</t>
  </si>
  <si>
    <t>CBM*海运单价</t>
  </si>
  <si>
    <t>FBA发货费对标款</t>
  </si>
  <si>
    <t>GR20AA</t>
  </si>
  <si>
    <t>B07WLSQPM5</t>
  </si>
  <si>
    <t>GR33AA</t>
  </si>
  <si>
    <t>B077KDNCHG</t>
  </si>
  <si>
    <t>空炸烤箱对标</t>
  </si>
  <si>
    <t>B086K2N9GN</t>
  </si>
  <si>
    <t>标签打印机SP410 运营计划</t>
  </si>
  <si>
    <t>产品：</t>
  </si>
  <si>
    <t>阶段一</t>
  </si>
  <si>
    <t>阶段二</t>
  </si>
  <si>
    <t>阶段目标</t>
  </si>
  <si>
    <t>阶段</t>
  </si>
  <si>
    <t>完成P1.1目标</t>
  </si>
  <si>
    <t>完成P1.2目标</t>
  </si>
  <si>
    <t>P2.1</t>
  </si>
  <si>
    <t>P2.2</t>
  </si>
  <si>
    <t>目标</t>
  </si>
  <si>
    <t>reviews&gt;50
rate&gt;=4.8</t>
  </si>
  <si>
    <t>reviews&gt;150
rate&gt;=4.8</t>
  </si>
  <si>
    <t>rank&lt;5（筹备新款）
reviews&gt;300
rate&gt;=4.5</t>
  </si>
  <si>
    <t>rank&lt;5（上线新款）
reviews&gt;500
rate&gt;=4.5</t>
  </si>
  <si>
    <t>MILESTONE</t>
  </si>
  <si>
    <t>完成P2.1目标</t>
  </si>
  <si>
    <t>完成P2.2目标</t>
  </si>
  <si>
    <t>预计时间</t>
  </si>
  <si>
    <t>11月-12月</t>
  </si>
  <si>
    <t>12月-1月</t>
  </si>
  <si>
    <t>1月-2月</t>
  </si>
  <si>
    <t>2月-3月</t>
  </si>
  <si>
    <t>营销费用</t>
  </si>
  <si>
    <t>站内
(账号扣款不需要打款)</t>
  </si>
  <si>
    <t>站外(需打款)
(刷单/红人/礼品/删差评等)</t>
  </si>
  <si>
    <t>站外费用：15000
品宣：$5000</t>
  </si>
  <si>
    <t>站外费用：15000
品宣：$10000</t>
  </si>
  <si>
    <t>站外费用：7000
品宣：$3500</t>
  </si>
  <si>
    <t>站外费用：10000
品宣：$5000</t>
  </si>
  <si>
    <t>合计</t>
  </si>
  <si>
    <t>动作</t>
  </si>
  <si>
    <t>1. 上新链接，预计11月上旬到货
2. 产品到货后C账号安排测评100个（带评+免评），累积评论，维持满星星级
3. 广告投放，主打关键词
shipping label printers
4.测试Coupon
5.旺季前抓紧站外品宣引流，联系YouTube红人及网站编辑宣传推广，提前造势，提升排名。</t>
  </si>
  <si>
    <t>1.判断市场情况上秒杀/旺季各项活动，加大广告投放，站内站外同步推广,主推关键词label printers
2.抓紧旺季进行部分红人折扣营销活动，推广品牌
3.通过测评和删差评进行评分维护，维持评分4.8
4.申报秒杀活动</t>
  </si>
  <si>
    <r>
      <rPr>
        <sz val="10"/>
        <rFont val="微软雅黑"/>
        <charset val="134"/>
      </rPr>
      <t>1. 根据链接表现情况，</t>
    </r>
    <r>
      <rPr>
        <sz val="10"/>
        <color rgb="FFFF0000"/>
        <rFont val="微软雅黑"/>
        <charset val="134"/>
      </rPr>
      <t>准备上新其他款式或颜色新品</t>
    </r>
    <r>
      <rPr>
        <sz val="10"/>
        <rFont val="微软雅黑"/>
        <charset val="134"/>
      </rPr>
      <t xml:space="preserve">
2. 总结自己产品及市场上的标签打印机产品表现情况，综合退货报告和客诉报告，重新调研准备上新品
3. 继续申报秒杀活动</t>
    </r>
  </si>
  <si>
    <t>1.旧品创建新链接进行推广
2. 准备新品上线
3.旧品上LD/7Day Deal, 可适当设置Coupon推广
4.新品旧品绑定变体
5.联系品宣，加强红人宣传和媒体宣传</t>
  </si>
  <si>
    <t>销售预计</t>
  </si>
  <si>
    <t>销售量/日</t>
  </si>
  <si>
    <t>≥20</t>
  </si>
  <si>
    <t>≥40</t>
  </si>
  <si>
    <t>≥70</t>
  </si>
  <si>
    <t>≥100</t>
  </si>
  <si>
    <t>销售量/月</t>
  </si>
  <si>
    <t>≥600</t>
  </si>
  <si>
    <t>≥1200</t>
  </si>
  <si>
    <t>≥2100</t>
  </si>
  <si>
    <t>≥3000</t>
  </si>
  <si>
    <t>销售均价</t>
  </si>
  <si>
    <t>≥109.99</t>
  </si>
  <si>
    <t>销售额/日</t>
  </si>
  <si>
    <t>≥$2200</t>
  </si>
  <si>
    <t>≥$4400</t>
  </si>
  <si>
    <t>≥$7700</t>
  </si>
  <si>
    <t>≥$11000</t>
  </si>
  <si>
    <t>销售额/月</t>
  </si>
  <si>
    <t>≥66000</t>
  </si>
  <si>
    <t>≥132000</t>
  </si>
  <si>
    <t>≥231000</t>
  </si>
  <si>
    <t>≥330000</t>
  </si>
  <si>
    <r>
      <rPr>
        <sz val="11"/>
        <color theme="1"/>
        <rFont val="微软雅黑"/>
        <charset val="134"/>
      </rPr>
      <t>1. 市场平均价格$167, 我们的产品相对于平均水平$115来说，</t>
    </r>
    <r>
      <rPr>
        <sz val="11"/>
        <color rgb="FFFF0000"/>
        <rFont val="微软雅黑"/>
        <charset val="134"/>
      </rPr>
      <t>成本有较大优势</t>
    </r>
    <r>
      <rPr>
        <sz val="11"/>
        <color theme="1"/>
        <rFont val="微软雅黑"/>
        <charset val="134"/>
      </rPr>
      <t>，且功能相对齐全（热敏技术，分辨率，兼容WINDOWS和MAC，高速打印）。
2. 该市场被DYMO，Brother,Zebra等品牌瓜分近九成市场容量，</t>
    </r>
    <r>
      <rPr>
        <sz val="11"/>
        <color rgb="FFFF0000"/>
        <rFont val="微软雅黑"/>
        <charset val="134"/>
      </rPr>
      <t>新品牌上线竞争环境较为被动。</t>
    </r>
    <r>
      <rPr>
        <sz val="11"/>
        <color theme="1"/>
        <rFont val="微软雅黑"/>
        <charset val="134"/>
      </rPr>
      <t xml:space="preserve">
3. 我们前期先对标Phomemo品牌，两款产品外观及功能较为相似，该款评分相对市场为弱势项，</t>
    </r>
    <r>
      <rPr>
        <sz val="11"/>
        <color rgb="FFFF0000"/>
        <rFont val="微软雅黑"/>
        <charset val="134"/>
      </rPr>
      <t>后期产品规划可参考品牌DYMO，主打中高端</t>
    </r>
    <r>
      <rPr>
        <sz val="11"/>
        <color theme="1"/>
        <rFont val="微软雅黑"/>
        <charset val="134"/>
      </rPr>
      <t>。
   Phomemo为中国卖家，公司位于广东珠海，且为初创型企业，创立于2017年。
4. 按摩仪市场容量尚可，市场评分四星半占比高，但相对售后及品宣较为薄弱，</t>
    </r>
    <r>
      <rPr>
        <sz val="11"/>
        <color rgb="FFFF0000"/>
        <rFont val="微软雅黑"/>
        <charset val="134"/>
      </rPr>
      <t>上线需要测评费用支持+站外同步宣传+售后体系打造</t>
    </r>
    <r>
      <rPr>
        <sz val="11"/>
        <color theme="1"/>
        <rFont val="微软雅黑"/>
        <charset val="134"/>
      </rPr>
      <t>，打造品牌效应。
5. 前期需投入，第四个月后开始盈利。若产品质量过关，后面可有不错的盈利。</t>
    </r>
  </si>
  <si>
    <t>首批备货1500PCS</t>
  </si>
  <si>
    <t>Label Printers</t>
  </si>
  <si>
    <t>排名</t>
  </si>
  <si>
    <t>商品</t>
  </si>
  <si>
    <t>分类</t>
  </si>
  <si>
    <t>月销量</t>
  </si>
  <si>
    <t>日销量</t>
  </si>
  <si>
    <t>上架天数</t>
  </si>
  <si>
    <t>发货方式</t>
  </si>
  <si>
    <t>DYMO Label Printer | LabelWriter 450 Direct Thermal Label Printer, Great for Labeling, Filing, Mailing, Barcodes and More, Home &amp; Office Organization</t>
  </si>
  <si>
    <t>AMZ</t>
  </si>
  <si>
    <t>ROLLO Label Printer - Commercial Grade Direct Thermal High Speed Printer – Compatible with Etsy, eBay, Amazon - Barcode Printer - 4x6 Printer</t>
  </si>
  <si>
    <t>FBA</t>
  </si>
  <si>
    <t>DYMO LabelWriter 450 Turbo Thermal Label Printer (1752265) with LabelWriter LW Adhesive White Mailing Address Labels Retail Box With 2 Rolls of 350 Labels per Roll &amp; Digital Shipping Scale, 400-pound</t>
  </si>
  <si>
    <t>DYMO Label Writer 450 Twin Turbo label printer, 71 Labels Per Minute, Black/Silver (1752266)</t>
  </si>
  <si>
    <t>#5,379</t>
  </si>
  <si>
    <t>B0081TZD54</t>
  </si>
  <si>
    <t>Brother QL-720NW Professional, High-speed Label Printer with Built-in Ethernet and Wireless Networking (QL720NW)</t>
  </si>
  <si>
    <t>FBM</t>
  </si>
  <si>
    <t>#5,457</t>
  </si>
  <si>
    <t>B08DQRH5B3</t>
  </si>
  <si>
    <t>BESTEASY Label Printer,USPS Label Printer,4x6 Direct Thermal Printer,Commercial Grade Label Printer,High Speed,Clear Printing,Compatible with USPS,FedEx,Amazon, Ebay,UPS,Etsy,Shopify,etc</t>
  </si>
  <si>
    <t>Brother QL-810W Ultra-Fast Label Printer with Wireless Networking</t>
  </si>
  <si>
    <t>Brother QL-800 High-Speed Professional Label Printer, Lightning Quick Printing, Plug &amp; Label Feature, Brother Genuine DK Pre-Sized Labels, Multi-System Compatible – Black &amp; Red Printing Available</t>
  </si>
  <si>
    <t>Brother QL-1100 Wide Format, Postage and Barcode Professional Thermal Label Printer, Black</t>
  </si>
  <si>
    <t>Phomemo Label Printer- 4''×6'' Label Printer- High Speed Printing at 150mm/s PM-246 Thermal Printer, Compatible with UPS, FedEx, Amazon, Ebay, Etsy, Shopify,etc</t>
  </si>
  <si>
    <t>DYMO RHINO 4200 Label Maker (1801611) with Industrial Labels for LabelWriter and Industrial Label Makers, Black on White, 3/4", 1 Roll</t>
  </si>
  <si>
    <t>Zebra ZP 450 Label Thermal Bar Code Printer ZP450-0501-0006A</t>
  </si>
  <si>
    <t>#12,155</t>
  </si>
  <si>
    <t>B00066FHNI</t>
  </si>
  <si>
    <t>Avery CD/DVD Label Applicator ( 5699 ), Black,2.1 x 6.4 x 6.5 inches</t>
  </si>
  <si>
    <t>#13,600</t>
  </si>
  <si>
    <t>B07YQGV1XK</t>
  </si>
  <si>
    <t>Zebra - GX420d Direct Thermal Desktop Printer for Labels, Receipts, Barcodes, Tags, and Wrist Bands - Print Width of 4 in - USB, Serial, and Parallel Port Connectivity (Renewed)</t>
  </si>
  <si>
    <t>--</t>
  </si>
  <si>
    <t>#14,043</t>
  </si>
  <si>
    <t>B07WV9TVT9</t>
  </si>
  <si>
    <t>Immuson Label Printer 4x6 Direct Thermal Label Marker - Commercial Grade USB Destop Printer - Compatible with Amazon, Ebay, Etsy, Shopify- NOT Compatible with MacBook iOS System</t>
  </si>
  <si>
    <t>Zebra GK420d Direct Thermal Desktop Printer Print Width of 4 in USB Serial and Parallel Port Connectivity GK42-202510-000</t>
  </si>
  <si>
    <t>#16,901</t>
  </si>
  <si>
    <t>B0814PD4KQ</t>
  </si>
  <si>
    <t>MFLABEL 4x6 Direct Thermal Printer, Commercial High Speed Label Writer,Compatibel with Amazon,Ebay</t>
  </si>
  <si>
    <t>DYMO LabelWriter 4XL Thermal Label Printer (1755120) plus 5 bonus rolls</t>
  </si>
  <si>
    <t>#20,282</t>
  </si>
  <si>
    <t>B0859CZ1DH</t>
  </si>
  <si>
    <t>MFLABEL Label Printer, 4x6 Thermal Printer, Commercial Direct Thermal High Speed USB Port Label Maker Machine, Etsy, Ebay, Amazon Barcode Express Label Printing,White</t>
  </si>
  <si>
    <t>#26,315</t>
  </si>
  <si>
    <t>B07JNDHJMQ</t>
  </si>
  <si>
    <t>Zebra ZP505-0503-0018 Zebra Thermal Label Printer</t>
  </si>
  <si>
    <t>#27,136</t>
  </si>
  <si>
    <t>B07RQR1SVD</t>
  </si>
  <si>
    <t>MFLABEL Label Printer, 4x6 Thermal Printer, Commercial Direct Thermal High Speed USB Port Label Maker Machine, Etsy, Ebay, Amazon Barcode Express Label Printing</t>
  </si>
  <si>
    <t>Brother QL-700 High-speed, Professional Label Printer</t>
  </si>
  <si>
    <t>#29,999</t>
  </si>
  <si>
    <t>B01BPJU48M</t>
  </si>
  <si>
    <t>Zebra ZD410 Direct Thermal Desktop Printer Print Width of 2 in USB Connectivity ZD41022-D01000EZ</t>
  </si>
  <si>
    <t>#32,677</t>
  </si>
  <si>
    <t>B0036CBYKE</t>
  </si>
  <si>
    <t>Zebra - TLP2824 Plus Thermal Transfer Desktop Printer for labels, Receipts, Barcodes, Tags, and Wrist Bands - Print Width of 2 in - USB and Ethernet Port Connectivity - 282P-101510-000</t>
  </si>
  <si>
    <t>#34,489</t>
  </si>
  <si>
    <t>B07QL2V71W</t>
  </si>
  <si>
    <t>Zebra ZP 450 Label Thermal Bar Code Printer ZP450-0501-0006A (Renewed)</t>
  </si>
  <si>
    <t>Phomemo-M110 Label Maker - Portable Bluetooth Thermal Label Printer Apply to Clothing, Jewelry, Retail, Mailing, Barcode, Compatible for Android &amp; iOS System, with 1 40×30mm Label Roll,Black</t>
  </si>
  <si>
    <t>#36,414</t>
  </si>
  <si>
    <t>B081FGJPTP</t>
  </si>
  <si>
    <t>LP2844 Barcode Label Printer, USB and Ethernet Interface, 4 Inch, Direct Thermal, with Power Supply (Renewed)</t>
  </si>
  <si>
    <t>#36,474</t>
  </si>
  <si>
    <t>B07KCQ67Y1</t>
  </si>
  <si>
    <t>Zebra GX420D Thermal Label Barcode Printer GX42-202410-000 (Renewed)</t>
  </si>
  <si>
    <t>#36,605</t>
  </si>
  <si>
    <t>B005J037F6</t>
  </si>
  <si>
    <t>Zebra - GK420t Thermal Transfer Desktop Printer for labels, Receipts, Barcodes, Tags, and Wrist Bands - Print Width of 4 in - USB and Ethernet Port Connectivity - GK42-102210-000</t>
  </si>
  <si>
    <t>#36,671</t>
  </si>
  <si>
    <t>B0819WV9RJ</t>
  </si>
  <si>
    <t>NETUM Label Printer, High Speed Commercial Grade Direct Thermal Printer, 4×6 Printer, Barcode Printer, Compatible with Ebay,Amazon,USPS,Etsy,Shopify</t>
  </si>
  <si>
    <t>#38,241</t>
  </si>
  <si>
    <t>B07N35JVN7</t>
  </si>
  <si>
    <t>DYMO LabelWriter 4XL Thermal Label Printer (1755120) (Renewed)</t>
  </si>
  <si>
    <t>#40,952</t>
  </si>
  <si>
    <t>B005J038LE</t>
  </si>
  <si>
    <t>Zebra GK420d Direct Thermal Desktop Printer Print Width of 4 in USB and Ethernet Port Connectivity GK42-202210-000</t>
  </si>
  <si>
    <t>#41,242</t>
  </si>
  <si>
    <t>B00EUN99E6</t>
  </si>
  <si>
    <t>Zebra - GK420t Thermal Transfer Desktop Printer for labels, Receipts, Barcodes, Tags, and Wrist Bands - Print Width of 4 in - USB, Serial, and Parallel Connectivity - GK42-102510-000</t>
  </si>
  <si>
    <t>#41,371</t>
  </si>
  <si>
    <t>B07R7SQ3V2</t>
  </si>
  <si>
    <t>Zebra - GK420t Thermal Transfer Desktop Printer for Labels, Receipts, Barcodes, Tags, and Wrist Bands - Print Width of 4 in - USB, Serial, and Parallel Connectivity (Renewed)</t>
  </si>
  <si>
    <t>#41,488</t>
  </si>
  <si>
    <t>B07ZL67B6G</t>
  </si>
  <si>
    <t>Zebra, ZD41022-D01000EZ AIT, DT Printer ZD410, 2" Print Width, Standard EZPL, 203 DPI, US Cord, USB, USB Host, Modular CONNECTIVITY Slot</t>
  </si>
  <si>
    <t>#43,844</t>
  </si>
  <si>
    <t>B087CHRBHG</t>
  </si>
  <si>
    <t>Label Printer，D11 Mini Smart Label Maker with Bluetooth Thermal Label Printer Machine (1 Roll Paper, D11 Label Printer)</t>
  </si>
  <si>
    <t>#44,002</t>
  </si>
  <si>
    <t>B082XVV978</t>
  </si>
  <si>
    <t>Brother TD4550DNWB 4-inch Thermal Desktop Barcode and Label Printer, for Labels, Barcodes, Receipts and Tags, 300 dpi, 6 IPS, Standard USB and Serial, Ethernet LAN, Built-in Wi-Fi and Bluetooth</t>
  </si>
  <si>
    <t>#44,184</t>
  </si>
  <si>
    <t>B07VPCRPWZ</t>
  </si>
  <si>
    <t>Direct Thermal Label Printer, Commercial Grade 4x6 Label Printer Maker Writer Machine, USB Port Connectivity, Compatible with Amazon, Ebay, Shopify,Works with Windows MAC System</t>
  </si>
  <si>
    <t>#45,390</t>
  </si>
  <si>
    <t>B01C602202</t>
  </si>
  <si>
    <t>Zebra - ZD410 Direct Thermal Desktop Printer for labels, Receipts, Barcodes, Tags - Print Width of 2 in - USB, Ethernet Connectivity - ZD41022-D01E00EZ</t>
  </si>
  <si>
    <t>DYMO 1752267 LabelWriter 450 Duo Thermal Label Printer</t>
  </si>
  <si>
    <t>#47,445</t>
  </si>
  <si>
    <t>B00BTKXPYI</t>
  </si>
  <si>
    <t>Seiko Instruments Smart Label Printer 620, USB, PC/Mac, 2.76 inches/second</t>
  </si>
  <si>
    <t>#47,592</t>
  </si>
  <si>
    <t>B0141N6REO</t>
  </si>
  <si>
    <t>Datamax-Oneil E-Class E-4205A Direct Thermal/Thermal Transfer Printer - Monochrome - Desktop - Label Print EA2-00-1J005A00</t>
  </si>
  <si>
    <t>#49,547</t>
  </si>
  <si>
    <t>B00EUN953G</t>
  </si>
  <si>
    <t>Zebra - GC420t Thermal Transfer Desktop Printer for labels, Receipts, Barcodes, Tags, and Wrist Bands - Print Width of 4 in - USB, Serial, and Parallel Port Connectivity - GC420-100510-000</t>
  </si>
  <si>
    <t>#51,164</t>
  </si>
  <si>
    <t>B01LWUULRJ</t>
  </si>
  <si>
    <t>Zebra - ZD410 Direct Thermal Desktop Printer for labels, Receipts, Barcodes, Tags, and Wrist Bands - Print Width of 2 in - USB, Bluetooth, and Wifi Connectivity - ZD41022-D01W01EZ</t>
  </si>
  <si>
    <t>#52,055</t>
  </si>
  <si>
    <t>B008515ROA</t>
  </si>
  <si>
    <t>Zebra ZT23042-D01000FZ Direct Thermal Printer 203 DPI, Serial USB, Monochrome</t>
  </si>
  <si>
    <t>#52,206</t>
  </si>
  <si>
    <t>B0048BQ1QE</t>
  </si>
  <si>
    <t>Brady BMP71 Label Printer with Quick Charger and USB Connectivity</t>
  </si>
  <si>
    <t>#55,526</t>
  </si>
  <si>
    <t>B00EUNAMCE</t>
  </si>
  <si>
    <t>Zebra GX430t Thermal Transfer Desktop Printer Print Width of 4 in USB Serial Parallel and Ethernet Connectivity GX43-102410-000</t>
  </si>
  <si>
    <t>#57,391</t>
  </si>
  <si>
    <t>B07RKX8JMX</t>
  </si>
  <si>
    <t>NETUM Label Maker - Portable Bluetooth Thermal Label Printer Apply to Clothing, Jewelry, Retail, Mailing, Barcode, Compatible for Android &amp; iOS System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</si>
</sst>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_ "/>
    <numFmt numFmtId="178" formatCode="0.00_ "/>
    <numFmt numFmtId="179" formatCode="#,##0.00_ "/>
    <numFmt numFmtId="180" formatCode="0.00_);[Red]\(0.00\)"/>
    <numFmt numFmtId="181" formatCode="0.00_);[Red]\(0.00\)"/>
    <numFmt numFmtId="182" formatCode="0.00_);[Red]\(0.00\)"/>
    <numFmt numFmtId="183" formatCode="0.00_);[Red]\(0.00\)"/>
  </numFmts>
  <fonts count="50">
    <font>
      <sz val="11"/>
      <color theme="1"/>
      <name val="宋体"/>
      <charset val="134"/>
      <scheme val="minor"/>
    </font>
    <font>
      <sz val="11"/>
      <color theme="1"/>
      <name val="微软雅黑"/>
      <charset val="134"/>
    </font>
    <font>
      <sz val="11"/>
      <name val="微软雅黑"/>
      <charset val="134"/>
    </font>
    <font>
      <b/>
      <sz val="11"/>
      <color theme="1"/>
      <name val="微软雅黑"/>
      <charset val="134"/>
    </font>
    <font>
      <b/>
      <sz val="12"/>
      <color theme="1"/>
      <name val="微软雅黑"/>
      <charset val="134"/>
    </font>
    <font>
      <b/>
      <sz val="10"/>
      <name val="微软雅黑"/>
      <charset val="134"/>
    </font>
    <font>
      <sz val="10"/>
      <name val="微软雅黑"/>
      <charset val="134"/>
    </font>
    <font>
      <sz val="11"/>
      <color rgb="FFFF0000"/>
      <name val="微软雅黑"/>
      <charset val="134"/>
    </font>
    <font>
      <sz val="11"/>
      <color indexed="8"/>
      <name val="微软雅黑"/>
      <charset val="134"/>
    </font>
    <font>
      <b/>
      <sz val="12"/>
      <color indexed="8"/>
      <name val="微软雅黑"/>
      <charset val="134"/>
    </font>
    <font>
      <sz val="12"/>
      <color rgb="FFFF0000"/>
      <name val="微软雅黑"/>
      <charset val="134"/>
    </font>
    <font>
      <b/>
      <sz val="24"/>
      <color indexed="8"/>
      <name val="微软雅黑"/>
      <charset val="134"/>
    </font>
    <font>
      <sz val="12"/>
      <name val="微软雅黑"/>
      <charset val="134"/>
    </font>
    <font>
      <b/>
      <sz val="12"/>
      <name val="微软雅黑"/>
      <charset val="134"/>
    </font>
    <font>
      <b/>
      <sz val="12"/>
      <color rgb="FFFF0000"/>
      <name val="微软雅黑"/>
      <charset val="134"/>
    </font>
    <font>
      <sz val="16"/>
      <color theme="1"/>
      <name val="微软雅黑"/>
      <charset val="134"/>
    </font>
    <font>
      <b/>
      <sz val="10"/>
      <color theme="1"/>
      <name val="微软雅黑"/>
      <charset val="134"/>
    </font>
    <font>
      <sz val="10"/>
      <color theme="1"/>
      <name val="微软雅黑"/>
      <charset val="134"/>
    </font>
    <font>
      <sz val="14"/>
      <color theme="1"/>
      <name val="微软雅黑"/>
      <charset val="134"/>
    </font>
    <font>
      <sz val="10"/>
      <color theme="1"/>
      <name val="宋体"/>
      <charset val="134"/>
      <scheme val="minor"/>
    </font>
    <font>
      <b/>
      <sz val="11"/>
      <name val="微软雅黑"/>
      <charset val="134"/>
    </font>
    <font>
      <b/>
      <sz val="11"/>
      <color theme="0"/>
      <name val="微软雅黑"/>
      <charset val="134"/>
    </font>
    <font>
      <sz val="10"/>
      <color rgb="FFFF0000"/>
      <name val="微软雅黑"/>
      <charset val="134"/>
    </font>
    <font>
      <sz val="10"/>
      <color rgb="FF00B0F0"/>
      <name val="微软雅黑"/>
      <charset val="134"/>
    </font>
    <font>
      <b/>
      <sz val="14"/>
      <color theme="1"/>
      <name val="微软雅黑"/>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0"/>
      <color theme="4" tint="-0.249977111117893"/>
      <name val="微软雅黑"/>
      <charset val="134"/>
    </font>
    <font>
      <sz val="10"/>
      <color theme="4" tint="0.599993896298105"/>
      <name val="微软雅黑"/>
      <charset val="134"/>
    </font>
    <font>
      <sz val="9"/>
      <name val="宋体"/>
      <charset val="134"/>
    </font>
    <font>
      <b/>
      <sz val="9"/>
      <name val="宋体"/>
      <charset val="134"/>
    </font>
  </fonts>
  <fills count="44">
    <fill>
      <patternFill patternType="none"/>
    </fill>
    <fill>
      <patternFill patternType="gray125"/>
    </fill>
    <fill>
      <patternFill patternType="solid">
        <fgColor theme="4" tint="0.599993896298105"/>
        <bgColor indexed="64"/>
      </patternFill>
    </fill>
    <fill>
      <patternFill patternType="solid">
        <fgColor rgb="FF84A3CE"/>
        <bgColor indexed="64"/>
      </patternFill>
    </fill>
    <fill>
      <patternFill patternType="solid">
        <fgColor theme="0" tint="-0.249977111117893"/>
        <bgColor indexed="64"/>
      </patternFill>
    </fill>
    <fill>
      <patternFill patternType="solid">
        <fgColor theme="7" tint="0.599993896298105"/>
        <bgColor indexed="64"/>
      </patternFill>
    </fill>
    <fill>
      <patternFill patternType="solid">
        <fgColor theme="2" tint="-0.0999786370433668"/>
        <bgColor indexed="64"/>
      </patternFill>
    </fill>
    <fill>
      <patternFill patternType="solid">
        <fgColor theme="0"/>
        <bgColor indexed="64"/>
      </patternFill>
    </fill>
    <fill>
      <patternFill patternType="solid">
        <fgColor theme="0" tint="-0.1499679555650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6" tint="0.799768059327982"/>
        <bgColor indexed="64"/>
      </patternFill>
    </fill>
    <fill>
      <patternFill patternType="solid">
        <fgColor theme="0" tint="-0.049989318521683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6" tint="0.799829096346934"/>
        <bgColor indexed="64"/>
      </patternFill>
    </fill>
    <fill>
      <patternFill patternType="solid">
        <fgColor theme="9" tint="0.799829096346934"/>
        <bgColor indexed="64"/>
      </patternFill>
    </fill>
    <fill>
      <patternFill patternType="solid">
        <fgColor rgb="FFFFFF00"/>
        <bgColor indexed="64"/>
      </patternFill>
    </fill>
    <fill>
      <patternFill patternType="solid">
        <fgColor theme="4" tint="0.799951170384838"/>
        <bgColor theme="4" tint="0.79995117038483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19" borderId="21"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22" applyNumberFormat="0" applyFill="0" applyAlignment="0" applyProtection="0">
      <alignment vertical="center"/>
    </xf>
    <xf numFmtId="0" fontId="32" fillId="0" borderId="22" applyNumberFormat="0" applyFill="0" applyAlignment="0" applyProtection="0">
      <alignment vertical="center"/>
    </xf>
    <xf numFmtId="0" fontId="33" fillId="0" borderId="23" applyNumberFormat="0" applyFill="0" applyAlignment="0" applyProtection="0">
      <alignment vertical="center"/>
    </xf>
    <xf numFmtId="0" fontId="33" fillId="0" borderId="0" applyNumberFormat="0" applyFill="0" applyBorder="0" applyAlignment="0" applyProtection="0">
      <alignment vertical="center"/>
    </xf>
    <xf numFmtId="0" fontId="34" fillId="20" borderId="24" applyNumberFormat="0" applyAlignment="0" applyProtection="0">
      <alignment vertical="center"/>
    </xf>
    <xf numFmtId="0" fontId="35" fillId="21" borderId="25" applyNumberFormat="0" applyAlignment="0" applyProtection="0">
      <alignment vertical="center"/>
    </xf>
    <xf numFmtId="0" fontId="36" fillId="21" borderId="24" applyNumberFormat="0" applyAlignment="0" applyProtection="0">
      <alignment vertical="center"/>
    </xf>
    <xf numFmtId="0" fontId="37" fillId="22" borderId="26" applyNumberFormat="0" applyAlignment="0" applyProtection="0">
      <alignment vertical="center"/>
    </xf>
    <xf numFmtId="0" fontId="38" fillId="0" borderId="27" applyNumberFormat="0" applyFill="0" applyAlignment="0" applyProtection="0">
      <alignment vertical="center"/>
    </xf>
    <xf numFmtId="0" fontId="39" fillId="0" borderId="28" applyNumberFormat="0" applyFill="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2" fillId="25" borderId="0" applyNumberFormat="0" applyBorder="0" applyAlignment="0" applyProtection="0">
      <alignment vertical="center"/>
    </xf>
    <xf numFmtId="0" fontId="43" fillId="26" borderId="0" applyNumberFormat="0" applyBorder="0" applyAlignment="0" applyProtection="0">
      <alignment vertical="center"/>
    </xf>
    <xf numFmtId="0" fontId="44" fillId="13" borderId="0" applyNumberFormat="0" applyBorder="0" applyAlignment="0" applyProtection="0">
      <alignment vertical="center"/>
    </xf>
    <xf numFmtId="0" fontId="44" fillId="2"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4" fillId="14"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4" fillId="10" borderId="0" applyNumberFormat="0" applyBorder="0" applyAlignment="0" applyProtection="0">
      <alignment vertical="center"/>
    </xf>
    <xf numFmtId="0" fontId="44" fillId="5"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4" fillId="38" borderId="0" applyNumberFormat="0" applyBorder="0" applyAlignment="0" applyProtection="0">
      <alignment vertical="center"/>
    </xf>
    <xf numFmtId="0" fontId="44" fillId="39" borderId="0" applyNumberFormat="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4" fillId="9" borderId="0" applyNumberFormat="0" applyBorder="0" applyAlignment="0" applyProtection="0">
      <alignment vertical="center"/>
    </xf>
    <xf numFmtId="0" fontId="44" fillId="42" borderId="0" applyNumberFormat="0" applyBorder="0" applyAlignment="0" applyProtection="0">
      <alignment vertical="center"/>
    </xf>
    <xf numFmtId="0" fontId="43" fillId="43" borderId="0" applyNumberFormat="0" applyBorder="0" applyAlignment="0" applyProtection="0">
      <alignment vertical="center"/>
    </xf>
    <xf numFmtId="0" fontId="45" fillId="0" borderId="0"/>
  </cellStyleXfs>
  <cellXfs count="273">
    <xf numFmtId="0" fontId="0" fillId="0" borderId="0" xfId="0">
      <alignment vertical="center"/>
    </xf>
    <xf numFmtId="0" fontId="1" fillId="0" borderId="0" xfId="0" applyFont="1" applyFill="1" applyAlignment="1">
      <alignment vertical="center"/>
    </xf>
    <xf numFmtId="0" fontId="1" fillId="0" borderId="0" xfId="0" applyFont="1" applyFill="1" applyAlignment="1"/>
    <xf numFmtId="0" fontId="1" fillId="0" borderId="0" xfId="0" applyFont="1" applyFill="1">
      <alignment vertical="center"/>
    </xf>
    <xf numFmtId="0" fontId="2" fillId="0" borderId="0" xfId="0" applyFont="1" applyFill="1">
      <alignment vertical="center"/>
    </xf>
    <xf numFmtId="0" fontId="1" fillId="0" borderId="0" xfId="0" applyFont="1">
      <alignment vertical="center"/>
    </xf>
    <xf numFmtId="0" fontId="1" fillId="0" borderId="0" xfId="0" applyFont="1" applyAlignment="1">
      <alignment horizontal="center" vertical="center"/>
    </xf>
    <xf numFmtId="176" fontId="1" fillId="0" borderId="0" xfId="0" applyNumberFormat="1" applyFont="1">
      <alignment vertical="center"/>
    </xf>
    <xf numFmtId="0" fontId="3" fillId="2" borderId="0" xfId="0" applyFont="1" applyFill="1" applyAlignment="1">
      <alignment vertical="center"/>
    </xf>
    <xf numFmtId="0" fontId="1" fillId="0" borderId="0" xfId="0" applyFont="1" applyFill="1" applyAlignment="1">
      <alignment horizontal="center" vertical="center"/>
    </xf>
    <xf numFmtId="0" fontId="3" fillId="0"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lignment vertical="center"/>
    </xf>
    <xf numFmtId="0" fontId="1" fillId="0" borderId="1" xfId="0" applyFont="1" applyFill="1" applyBorder="1" applyAlignment="1">
      <alignment horizontal="center" vertical="center"/>
    </xf>
    <xf numFmtId="0" fontId="1" fillId="0" borderId="1" xfId="0" applyFont="1" applyFill="1" applyBorder="1">
      <alignment vertical="center"/>
    </xf>
    <xf numFmtId="0" fontId="2" fillId="0" borderId="1" xfId="0" applyFont="1" applyFill="1" applyBorder="1" applyAlignment="1">
      <alignment horizontal="center" vertical="center"/>
    </xf>
    <xf numFmtId="0" fontId="2" fillId="0" borderId="1" xfId="0" applyFont="1" applyFill="1" applyBorder="1">
      <alignment vertical="center"/>
    </xf>
    <xf numFmtId="176" fontId="1" fillId="0" borderId="0" xfId="0" applyNumberFormat="1" applyFont="1" applyFill="1" applyAlignment="1">
      <alignment vertical="center"/>
    </xf>
    <xf numFmtId="176" fontId="3" fillId="0" borderId="1" xfId="0" applyNumberFormat="1" applyFont="1" applyFill="1" applyBorder="1" applyAlignment="1">
      <alignment horizontal="center" vertical="center"/>
    </xf>
    <xf numFmtId="176" fontId="1" fillId="0" borderId="1" xfId="0" applyNumberFormat="1" applyFont="1" applyBorder="1">
      <alignment vertical="center"/>
    </xf>
    <xf numFmtId="176" fontId="1" fillId="0" borderId="1" xfId="0" applyNumberFormat="1" applyFont="1" applyFill="1" applyBorder="1">
      <alignment vertical="center"/>
    </xf>
    <xf numFmtId="176" fontId="2" fillId="0" borderId="1" xfId="0" applyNumberFormat="1" applyFont="1" applyFill="1" applyBorder="1">
      <alignment vertical="center"/>
    </xf>
    <xf numFmtId="0" fontId="4" fillId="0" borderId="2" xfId="0" applyFont="1" applyFill="1" applyBorder="1" applyAlignment="1">
      <alignment horizontal="center" vertical="center"/>
    </xf>
    <xf numFmtId="0" fontId="4" fillId="0" borderId="0" xfId="0" applyFont="1" applyFill="1" applyAlignment="1">
      <alignment horizontal="center" vertical="center"/>
    </xf>
    <xf numFmtId="49" fontId="5" fillId="3" borderId="3" xfId="0" applyNumberFormat="1" applyFont="1" applyFill="1" applyBorder="1" applyAlignment="1">
      <alignment horizontal="center" vertical="center" wrapText="1"/>
    </xf>
    <xf numFmtId="49" fontId="5" fillId="0" borderId="3" xfId="0" applyNumberFormat="1" applyFont="1" applyFill="1" applyBorder="1" applyAlignment="1">
      <alignment horizontal="center" vertical="center" wrapText="1"/>
    </xf>
    <xf numFmtId="49" fontId="5" fillId="3" borderId="4" xfId="0" applyNumberFormat="1" applyFont="1" applyFill="1" applyBorder="1" applyAlignment="1">
      <alignment horizontal="center" vertical="center" wrapText="1"/>
    </xf>
    <xf numFmtId="49" fontId="5" fillId="3" borderId="5" xfId="0" applyNumberFormat="1" applyFont="1" applyFill="1" applyBorder="1" applyAlignment="1">
      <alignment horizontal="center" vertical="center" wrapText="1"/>
    </xf>
    <xf numFmtId="49" fontId="5" fillId="3" borderId="6"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177" fontId="6" fillId="4" borderId="1" xfId="0" applyNumberFormat="1" applyFont="1" applyFill="1" applyBorder="1" applyAlignment="1">
      <alignment horizontal="center" vertical="center" wrapText="1"/>
    </xf>
    <xf numFmtId="177" fontId="6" fillId="5"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178" fontId="6" fillId="4" borderId="1" xfId="0" applyNumberFormat="1" applyFont="1" applyFill="1" applyBorder="1" applyAlignment="1">
      <alignment horizontal="center" vertical="center" wrapText="1"/>
    </xf>
    <xf numFmtId="178" fontId="6" fillId="5" borderId="1" xfId="0" applyNumberFormat="1" applyFont="1" applyFill="1" applyBorder="1" applyAlignment="1">
      <alignment horizontal="center" vertical="center" wrapText="1"/>
    </xf>
    <xf numFmtId="176" fontId="6" fillId="4" borderId="1" xfId="0" applyNumberFormat="1" applyFont="1" applyFill="1" applyBorder="1" applyAlignment="1">
      <alignment horizontal="center" vertical="center" wrapText="1"/>
    </xf>
    <xf numFmtId="10" fontId="6" fillId="4" borderId="1" xfId="0" applyNumberFormat="1" applyFont="1" applyFill="1" applyBorder="1" applyAlignment="1">
      <alignment horizontal="center" vertical="center" wrapText="1"/>
    </xf>
    <xf numFmtId="0" fontId="6" fillId="4" borderId="1" xfId="0" applyNumberFormat="1" applyFont="1" applyFill="1" applyBorder="1" applyAlignment="1">
      <alignment horizontal="center" vertical="center" wrapText="1"/>
    </xf>
    <xf numFmtId="0" fontId="6" fillId="5" borderId="1" xfId="0" applyNumberFormat="1" applyFont="1" applyFill="1" applyBorder="1" applyAlignment="1">
      <alignment horizontal="center" vertical="center" wrapText="1"/>
    </xf>
    <xf numFmtId="26" fontId="6" fillId="4" borderId="1" xfId="0" applyNumberFormat="1" applyFont="1" applyFill="1" applyBorder="1" applyAlignment="1" applyProtection="1">
      <alignment horizontal="center" vertical="center" wrapText="1"/>
    </xf>
    <xf numFmtId="26" fontId="6" fillId="5" borderId="1" xfId="0" applyNumberFormat="1" applyFont="1" applyFill="1" applyBorder="1" applyAlignment="1" applyProtection="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7" fillId="0" borderId="0" xfId="0" applyFont="1">
      <alignment vertical="center"/>
    </xf>
    <xf numFmtId="0" fontId="8" fillId="0" borderId="0" xfId="0" applyFont="1" applyFill="1" applyBorder="1" applyAlignment="1" applyProtection="1">
      <alignment horizontal="center"/>
    </xf>
    <xf numFmtId="0" fontId="9" fillId="0" borderId="0" xfId="0" applyFont="1" applyFill="1" applyBorder="1" applyAlignment="1" applyProtection="1">
      <alignment horizontal="center" wrapText="1"/>
    </xf>
    <xf numFmtId="0" fontId="10" fillId="0" borderId="0" xfId="0" applyFont="1" applyFill="1" applyBorder="1" applyAlignment="1" applyProtection="1">
      <alignment horizontal="center"/>
    </xf>
    <xf numFmtId="0" fontId="11" fillId="0" borderId="0" xfId="0" applyFont="1" applyFill="1" applyAlignment="1" applyProtection="1">
      <alignment horizontal="center" vertical="center"/>
    </xf>
    <xf numFmtId="0" fontId="4" fillId="0" borderId="1" xfId="0" applyFont="1" applyFill="1" applyBorder="1" applyAlignment="1" applyProtection="1">
      <alignment horizontal="center" vertical="center" wrapText="1"/>
    </xf>
    <xf numFmtId="179" fontId="4" fillId="0" borderId="1" xfId="0" applyNumberFormat="1" applyFont="1" applyFill="1" applyBorder="1" applyAlignment="1" applyProtection="1">
      <alignment horizontal="center" vertical="center" wrapText="1"/>
    </xf>
    <xf numFmtId="178" fontId="4" fillId="0" borderId="1" xfId="0" applyNumberFormat="1" applyFont="1" applyFill="1" applyBorder="1" applyAlignment="1" applyProtection="1">
      <alignment horizontal="center" vertical="center" wrapText="1"/>
    </xf>
    <xf numFmtId="0" fontId="10" fillId="0" borderId="0" xfId="0" applyFont="1" applyFill="1" applyBorder="1" applyAlignment="1" applyProtection="1">
      <alignment horizontal="center" vertical="center"/>
    </xf>
    <xf numFmtId="0" fontId="2" fillId="0" borderId="1" xfId="0" applyFont="1" applyFill="1" applyBorder="1" applyAlignment="1" applyProtection="1">
      <alignment horizontal="center"/>
    </xf>
    <xf numFmtId="0" fontId="12" fillId="0" borderId="1" xfId="0" applyFont="1" applyFill="1" applyBorder="1" applyAlignment="1">
      <alignment horizontal="center" vertical="center"/>
    </xf>
    <xf numFmtId="0" fontId="1" fillId="0" borderId="1" xfId="49" applyFont="1" applyFill="1" applyBorder="1" applyAlignment="1">
      <alignment horizontal="center" vertical="center"/>
    </xf>
    <xf numFmtId="178" fontId="1" fillId="0" borderId="1" xfId="0" applyNumberFormat="1" applyFont="1" applyFill="1" applyBorder="1" applyAlignment="1" applyProtection="1">
      <alignment horizontal="center" vertical="center"/>
    </xf>
    <xf numFmtId="0" fontId="1" fillId="0" borderId="0" xfId="0" applyFont="1" applyBorder="1" applyAlignment="1">
      <alignment horizontal="center" vertical="center"/>
    </xf>
    <xf numFmtId="0" fontId="1" fillId="0" borderId="7" xfId="0" applyFont="1" applyBorder="1" applyAlignment="1">
      <alignment horizontal="center" vertical="center"/>
    </xf>
    <xf numFmtId="178" fontId="1" fillId="0" borderId="1" xfId="0" applyNumberFormat="1" applyFont="1" applyBorder="1" applyAlignment="1">
      <alignment horizontal="center" vertical="center"/>
    </xf>
    <xf numFmtId="178" fontId="4" fillId="0" borderId="1" xfId="0" applyNumberFormat="1" applyFont="1" applyFill="1" applyBorder="1" applyAlignment="1" applyProtection="1">
      <alignment horizontal="center" vertical="center" wrapText="1"/>
      <protection locked="0"/>
    </xf>
    <xf numFmtId="178" fontId="13" fillId="0" borderId="1" xfId="0" applyNumberFormat="1" applyFont="1" applyFill="1" applyBorder="1" applyAlignment="1" applyProtection="1">
      <alignment horizontal="center" vertical="center" wrapText="1"/>
      <protection locked="0"/>
    </xf>
    <xf numFmtId="10" fontId="4" fillId="0" borderId="1" xfId="0" applyNumberFormat="1" applyFont="1" applyFill="1" applyBorder="1" applyAlignment="1" applyProtection="1">
      <alignment horizontal="center" vertical="center" wrapText="1"/>
      <protection locked="0"/>
    </xf>
    <xf numFmtId="178" fontId="1" fillId="6" borderId="1" xfId="0" applyNumberFormat="1" applyFont="1" applyFill="1" applyBorder="1" applyAlignment="1" applyProtection="1">
      <alignment horizontal="center" vertical="center"/>
    </xf>
    <xf numFmtId="176" fontId="1" fillId="0" borderId="1" xfId="3" applyNumberFormat="1" applyFont="1" applyFill="1" applyBorder="1" applyAlignment="1" applyProtection="1">
      <alignment horizontal="center" vertical="center"/>
    </xf>
    <xf numFmtId="10" fontId="2" fillId="0" borderId="1" xfId="0" applyNumberFormat="1" applyFont="1" applyFill="1" applyBorder="1" applyAlignment="1" applyProtection="1">
      <alignment horizontal="center" vertical="center"/>
    </xf>
    <xf numFmtId="10" fontId="1" fillId="0" borderId="1" xfId="0" applyNumberFormat="1" applyFont="1" applyFill="1" applyBorder="1" applyAlignment="1" applyProtection="1">
      <alignment horizontal="center" vertical="center"/>
    </xf>
    <xf numFmtId="10" fontId="14" fillId="0" borderId="1" xfId="0" applyNumberFormat="1" applyFont="1" applyFill="1" applyBorder="1" applyAlignment="1" applyProtection="1">
      <alignment horizontal="center" vertical="center" wrapText="1"/>
      <protection locked="0"/>
    </xf>
    <xf numFmtId="10" fontId="8" fillId="0" borderId="1" xfId="3" applyNumberFormat="1" applyFont="1" applyFill="1" applyBorder="1" applyAlignment="1" applyProtection="1">
      <alignment horizontal="center" vertical="center"/>
    </xf>
    <xf numFmtId="10" fontId="1" fillId="0" borderId="1" xfId="3" applyNumberFormat="1" applyFont="1" applyFill="1" applyBorder="1" applyAlignment="1" applyProtection="1">
      <alignment horizontal="center" vertical="center" wrapText="1"/>
    </xf>
    <xf numFmtId="10" fontId="14" fillId="0" borderId="1"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3" fillId="0" borderId="0" xfId="0" applyFont="1" applyAlignment="1">
      <alignment horizontal="center" vertical="center"/>
    </xf>
    <xf numFmtId="0" fontId="4" fillId="7" borderId="0" xfId="0" applyFont="1" applyFill="1" applyAlignment="1"/>
    <xf numFmtId="0" fontId="1" fillId="7" borderId="0" xfId="0" applyFont="1" applyFill="1" applyAlignment="1"/>
    <xf numFmtId="0" fontId="15" fillId="7" borderId="0" xfId="0" applyFont="1" applyFill="1" applyBorder="1" applyAlignment="1">
      <alignment horizontal="center" vertical="center"/>
    </xf>
    <xf numFmtId="0" fontId="4" fillId="8" borderId="0" xfId="0" applyFont="1" applyFill="1" applyAlignment="1">
      <alignment horizontal="center" vertical="center"/>
    </xf>
    <xf numFmtId="0" fontId="4" fillId="8" borderId="8" xfId="0" applyFont="1" applyFill="1" applyBorder="1" applyAlignment="1">
      <alignment horizontal="center" vertical="center"/>
    </xf>
    <xf numFmtId="0" fontId="4" fillId="8" borderId="9" xfId="0" applyFont="1" applyFill="1" applyBorder="1" applyAlignment="1">
      <alignment horizontal="center" vertical="center"/>
    </xf>
    <xf numFmtId="0" fontId="4" fillId="8" borderId="10" xfId="0" applyFont="1" applyFill="1" applyBorder="1" applyAlignment="1">
      <alignment horizontal="center" vertical="center"/>
    </xf>
    <xf numFmtId="0" fontId="4" fillId="8" borderId="7" xfId="0" applyFont="1" applyFill="1" applyBorder="1" applyAlignment="1">
      <alignment horizontal="center" vertical="center"/>
    </xf>
    <xf numFmtId="0" fontId="4" fillId="7" borderId="7" xfId="0" applyFont="1" applyFill="1" applyBorder="1" applyAlignment="1">
      <alignment horizontal="center"/>
    </xf>
    <xf numFmtId="0" fontId="1" fillId="9" borderId="1" xfId="0" applyFont="1" applyFill="1" applyBorder="1" applyAlignment="1"/>
    <xf numFmtId="0" fontId="16" fillId="9" borderId="11" xfId="0" applyFont="1" applyFill="1" applyBorder="1" applyAlignment="1">
      <alignment horizontal="left" vertical="center" wrapText="1"/>
    </xf>
    <xf numFmtId="0" fontId="17" fillId="9" borderId="12" xfId="0" applyFont="1" applyFill="1" applyBorder="1" applyAlignment="1">
      <alignment horizontal="left" vertical="center" wrapText="1"/>
    </xf>
    <xf numFmtId="0" fontId="17" fillId="9" borderId="13" xfId="0" applyFont="1" applyFill="1" applyBorder="1" applyAlignment="1">
      <alignment horizontal="left" vertical="center" wrapText="1"/>
    </xf>
    <xf numFmtId="0" fontId="7" fillId="7" borderId="6" xfId="0" applyFont="1" applyFill="1" applyBorder="1" applyAlignment="1">
      <alignment horizontal="left" vertical="center" wrapText="1"/>
    </xf>
    <xf numFmtId="0" fontId="16" fillId="9" borderId="14" xfId="0" applyFont="1" applyFill="1" applyBorder="1" applyAlignment="1">
      <alignment horizontal="left" vertical="center" wrapText="1"/>
    </xf>
    <xf numFmtId="0" fontId="17" fillId="9" borderId="0" xfId="0" applyFont="1" applyFill="1" applyBorder="1" applyAlignment="1">
      <alignment horizontal="left" vertical="center" wrapText="1"/>
    </xf>
    <xf numFmtId="0" fontId="17" fillId="9" borderId="0" xfId="0" applyFont="1" applyFill="1" applyAlignment="1">
      <alignment horizontal="left" vertical="center" wrapText="1"/>
    </xf>
    <xf numFmtId="0" fontId="17" fillId="9" borderId="8" xfId="0" applyFont="1" applyFill="1" applyBorder="1" applyAlignment="1">
      <alignment horizontal="left" vertical="center" wrapText="1"/>
    </xf>
    <xf numFmtId="0" fontId="17" fillId="9" borderId="14" xfId="0" applyFont="1" applyFill="1" applyBorder="1" applyAlignment="1">
      <alignment horizontal="left" vertical="center" wrapText="1"/>
    </xf>
    <xf numFmtId="0" fontId="1" fillId="7" borderId="2" xfId="0" applyFont="1" applyFill="1" applyBorder="1" applyAlignment="1">
      <alignment horizontal="center"/>
    </xf>
    <xf numFmtId="0" fontId="17" fillId="9" borderId="5" xfId="0" applyFont="1" applyFill="1" applyBorder="1" applyAlignment="1">
      <alignment horizontal="left" vertical="center" wrapText="1"/>
    </xf>
    <xf numFmtId="0" fontId="17" fillId="9" borderId="6" xfId="0" applyFont="1" applyFill="1" applyBorder="1" applyAlignment="1">
      <alignment horizontal="left" vertical="center" wrapText="1"/>
    </xf>
    <xf numFmtId="0" fontId="1" fillId="7" borderId="14" xfId="0" applyFont="1" applyFill="1" applyBorder="1" applyAlignment="1">
      <alignment horizontal="center"/>
    </xf>
    <xf numFmtId="0" fontId="18"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15" fillId="7" borderId="1" xfId="0" applyFont="1" applyFill="1" applyBorder="1" applyAlignment="1">
      <alignment horizontal="center"/>
    </xf>
    <xf numFmtId="0" fontId="1" fillId="7" borderId="1" xfId="0" applyFont="1" applyFill="1" applyBorder="1" applyAlignment="1">
      <alignment horizontal="center"/>
    </xf>
    <xf numFmtId="0" fontId="1" fillId="7" borderId="9" xfId="0" applyFont="1" applyFill="1" applyBorder="1" applyAlignment="1">
      <alignment vertical="center" wrapText="1"/>
    </xf>
    <xf numFmtId="0" fontId="1" fillId="7" borderId="10" xfId="0" applyFont="1" applyFill="1" applyBorder="1" applyAlignment="1">
      <alignment vertical="center" wrapText="1"/>
    </xf>
    <xf numFmtId="0" fontId="1" fillId="7" borderId="7" xfId="0" applyFont="1" applyFill="1" applyBorder="1" applyAlignment="1">
      <alignment vertical="center" wrapText="1"/>
    </xf>
    <xf numFmtId="0" fontId="3" fillId="0" borderId="0" xfId="0" applyFont="1">
      <alignment vertical="center"/>
    </xf>
    <xf numFmtId="0" fontId="3" fillId="0" borderId="0" xfId="0" applyFont="1" applyFill="1">
      <alignment vertical="center"/>
    </xf>
    <xf numFmtId="0" fontId="17" fillId="0" borderId="0" xfId="0" applyFont="1">
      <alignment vertical="center"/>
    </xf>
    <xf numFmtId="0" fontId="19" fillId="0" borderId="0" xfId="0" applyFont="1">
      <alignment vertical="center"/>
    </xf>
    <xf numFmtId="0" fontId="19" fillId="0" borderId="0" xfId="0" applyFont="1" applyAlignment="1">
      <alignment horizontal="center" vertical="center"/>
    </xf>
    <xf numFmtId="0" fontId="3" fillId="10" borderId="1" xfId="0" applyFont="1" applyFill="1" applyBorder="1" applyAlignment="1">
      <alignment vertical="center"/>
    </xf>
    <xf numFmtId="0" fontId="3" fillId="10" borderId="7" xfId="0" applyFont="1" applyFill="1" applyBorder="1" applyAlignment="1">
      <alignment horizontal="center" vertical="center"/>
    </xf>
    <xf numFmtId="0" fontId="3" fillId="10" borderId="9" xfId="0" applyFont="1" applyFill="1" applyBorder="1" applyAlignment="1">
      <alignment horizontal="center" vertical="center"/>
    </xf>
    <xf numFmtId="0" fontId="3" fillId="2" borderId="3" xfId="0" applyFont="1" applyFill="1" applyBorder="1" applyAlignment="1">
      <alignment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16" fillId="11" borderId="14" xfId="0" applyFont="1" applyFill="1" applyBorder="1" applyAlignment="1">
      <alignment vertical="center"/>
    </xf>
    <xf numFmtId="0" fontId="17" fillId="0" borderId="1" xfId="0" applyFont="1" applyBorder="1" applyAlignment="1">
      <alignment vertical="center"/>
    </xf>
    <xf numFmtId="0" fontId="17" fillId="0" borderId="1" xfId="0" applyFont="1" applyBorder="1" applyAlignment="1">
      <alignment horizontal="center" vertical="center"/>
    </xf>
    <xf numFmtId="0" fontId="16" fillId="11" borderId="1" xfId="0" applyFont="1" applyFill="1" applyBorder="1" applyAlignment="1">
      <alignment vertical="center"/>
    </xf>
    <xf numFmtId="10" fontId="5" fillId="0" borderId="15" xfId="0" applyNumberFormat="1" applyFont="1" applyBorder="1" applyAlignment="1">
      <alignment vertical="center"/>
    </xf>
    <xf numFmtId="0" fontId="5" fillId="0" borderId="1" xfId="0" applyFont="1" applyBorder="1" applyAlignment="1">
      <alignment horizontal="center" vertical="center"/>
    </xf>
    <xf numFmtId="0" fontId="16" fillId="0" borderId="15" xfId="0" applyFont="1" applyBorder="1" applyAlignment="1">
      <alignment horizontal="center" vertical="center"/>
    </xf>
    <xf numFmtId="0" fontId="17" fillId="12" borderId="1" xfId="0" applyFont="1" applyFill="1" applyBorder="1" applyAlignment="1">
      <alignment vertical="center" wrapText="1"/>
    </xf>
    <xf numFmtId="10" fontId="16" fillId="0" borderId="1" xfId="3" applyNumberFormat="1" applyFont="1" applyBorder="1" applyAlignment="1">
      <alignment horizontal="right" vertical="center"/>
    </xf>
    <xf numFmtId="0" fontId="16" fillId="0" borderId="14" xfId="0" applyFont="1" applyBorder="1" applyAlignment="1">
      <alignment horizontal="center" vertical="center"/>
    </xf>
    <xf numFmtId="0" fontId="16" fillId="0" borderId="3" xfId="0" applyFont="1" applyBorder="1" applyAlignment="1">
      <alignment horizontal="center" vertical="center"/>
    </xf>
    <xf numFmtId="0" fontId="17" fillId="12" borderId="7" xfId="0" applyFont="1" applyFill="1" applyBorder="1" applyAlignment="1">
      <alignment vertical="center" wrapText="1"/>
    </xf>
    <xf numFmtId="0" fontId="20"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horizontal="left" vertical="center"/>
    </xf>
    <xf numFmtId="0" fontId="3" fillId="10" borderId="1" xfId="0" applyFont="1" applyFill="1" applyBorder="1" applyAlignment="1">
      <alignment horizontal="center" vertical="center"/>
    </xf>
    <xf numFmtId="0" fontId="17" fillId="0" borderId="1" xfId="0" applyFont="1" applyFill="1" applyBorder="1" applyAlignment="1">
      <alignment horizontal="center" vertical="center"/>
    </xf>
    <xf numFmtId="0" fontId="0" fillId="0" borderId="0" xfId="0" applyAlignment="1">
      <alignment horizontal="center" vertical="center"/>
    </xf>
    <xf numFmtId="0" fontId="3" fillId="13" borderId="1" xfId="0" applyFont="1" applyFill="1" applyBorder="1" applyAlignment="1">
      <alignment horizontal="center"/>
    </xf>
    <xf numFmtId="0" fontId="3" fillId="5" borderId="1" xfId="0" applyFont="1" applyFill="1" applyBorder="1" applyAlignment="1">
      <alignment horizontal="center"/>
    </xf>
    <xf numFmtId="0" fontId="3" fillId="9" borderId="1" xfId="0" applyFont="1" applyFill="1" applyBorder="1" applyAlignment="1">
      <alignment horizontal="center"/>
    </xf>
    <xf numFmtId="0" fontId="1" fillId="13" borderId="1" xfId="0" applyFont="1" applyFill="1" applyBorder="1" applyAlignment="1">
      <alignment horizontal="center"/>
    </xf>
    <xf numFmtId="10" fontId="1" fillId="13" borderId="1" xfId="3" applyNumberFormat="1" applyFont="1" applyFill="1" applyBorder="1" applyAlignment="1">
      <alignment horizontal="center"/>
    </xf>
    <xf numFmtId="0" fontId="1" fillId="5" borderId="1" xfId="0" applyFont="1" applyFill="1" applyBorder="1" applyAlignment="1">
      <alignment horizontal="center"/>
    </xf>
    <xf numFmtId="10" fontId="1" fillId="5" borderId="1" xfId="3" applyNumberFormat="1" applyFont="1" applyFill="1" applyBorder="1" applyAlignment="1">
      <alignment horizontal="center"/>
    </xf>
    <xf numFmtId="0" fontId="1" fillId="9" borderId="1" xfId="0" applyFont="1" applyFill="1" applyBorder="1" applyAlignment="1">
      <alignment horizontal="center"/>
    </xf>
    <xf numFmtId="0" fontId="16" fillId="0" borderId="0" xfId="0" applyFont="1" applyAlignment="1">
      <alignment horizontal="left" vertical="center"/>
    </xf>
    <xf numFmtId="0" fontId="17" fillId="0" borderId="0" xfId="0" applyFont="1" applyAlignment="1">
      <alignment horizontal="left" vertical="center" wrapText="1"/>
    </xf>
    <xf numFmtId="0" fontId="3" fillId="14" borderId="1" xfId="0" applyFont="1" applyFill="1" applyBorder="1" applyAlignment="1">
      <alignment horizontal="center"/>
    </xf>
    <xf numFmtId="10" fontId="1" fillId="9" borderId="1" xfId="3" applyNumberFormat="1" applyFont="1" applyFill="1" applyBorder="1" applyAlignment="1">
      <alignment horizontal="center"/>
    </xf>
    <xf numFmtId="0" fontId="1" fillId="14" borderId="1" xfId="0" applyFont="1" applyFill="1" applyBorder="1" applyAlignment="1">
      <alignment horizontal="center"/>
    </xf>
    <xf numFmtId="10" fontId="1" fillId="14" borderId="1" xfId="3" applyNumberFormat="1" applyFont="1" applyFill="1" applyBorder="1" applyAlignment="1">
      <alignment horizontal="center"/>
    </xf>
    <xf numFmtId="0" fontId="0" fillId="0" borderId="0" xfId="0" applyFill="1" applyAlignment="1"/>
    <xf numFmtId="0" fontId="0" fillId="0" borderId="0" xfId="0" applyFill="1" applyAlignment="1">
      <alignment horizontal="justify" vertical="center"/>
    </xf>
    <xf numFmtId="0" fontId="0" fillId="0" borderId="0" xfId="0" applyFill="1" applyAlignment="1">
      <alignment vertical="center"/>
    </xf>
    <xf numFmtId="0" fontId="20" fillId="2" borderId="0" xfId="0" applyFont="1" applyFill="1" applyAlignment="1">
      <alignment horizontal="center" vertical="center"/>
    </xf>
    <xf numFmtId="0" fontId="21" fillId="0" borderId="0" xfId="0" applyFont="1" applyFill="1" applyAlignment="1"/>
    <xf numFmtId="0" fontId="17" fillId="0" borderId="0" xfId="0" applyFont="1" applyFill="1" applyAlignment="1">
      <alignment horizontal="justify" vertical="center"/>
    </xf>
    <xf numFmtId="0" fontId="0" fillId="0" borderId="1" xfId="0" applyFill="1" applyBorder="1" applyAlignment="1"/>
    <xf numFmtId="0" fontId="3" fillId="0"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4" fillId="0" borderId="8" xfId="0" applyFont="1" applyFill="1" applyBorder="1" applyAlignment="1">
      <alignment horizontal="center" vertical="center"/>
    </xf>
    <xf numFmtId="0" fontId="3" fillId="0" borderId="3" xfId="0" applyFont="1" applyFill="1" applyBorder="1" applyAlignment="1">
      <alignment horizontal="center" vertical="center" wrapText="1"/>
    </xf>
    <xf numFmtId="0" fontId="3" fillId="0" borderId="19" xfId="0" applyFont="1" applyFill="1" applyBorder="1" applyAlignment="1">
      <alignment horizontal="center" vertical="center" wrapText="1"/>
    </xf>
    <xf numFmtId="10" fontId="3" fillId="0" borderId="19" xfId="0" applyNumberFormat="1" applyFont="1" applyFill="1" applyBorder="1" applyAlignment="1">
      <alignment horizontal="center" vertical="center" wrapText="1"/>
    </xf>
    <xf numFmtId="0" fontId="17" fillId="0" borderId="3" xfId="0" applyFont="1" applyFill="1" applyBorder="1" applyAlignment="1">
      <alignment horizontal="center" vertical="center" wrapText="1"/>
    </xf>
    <xf numFmtId="0" fontId="17" fillId="0" borderId="3" xfId="0" applyFont="1" applyFill="1" applyBorder="1" applyAlignment="1">
      <alignment vertical="center" wrapText="1"/>
    </xf>
    <xf numFmtId="0" fontId="22" fillId="0" borderId="3" xfId="0" applyFont="1" applyFill="1" applyBorder="1" applyAlignment="1">
      <alignment horizontal="justify" vertical="center"/>
    </xf>
    <xf numFmtId="0" fontId="3" fillId="0" borderId="1"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7" fillId="0" borderId="1" xfId="0" applyFont="1" applyFill="1" applyBorder="1" applyAlignment="1">
      <alignment vertical="center" wrapText="1"/>
    </xf>
    <xf numFmtId="0" fontId="17" fillId="0" borderId="1" xfId="0" applyFont="1" applyFill="1" applyBorder="1" applyAlignment="1">
      <alignment horizontal="justify" vertical="center"/>
    </xf>
    <xf numFmtId="0" fontId="6" fillId="0" borderId="1" xfId="0" applyFont="1" applyFill="1" applyBorder="1" applyAlignment="1">
      <alignment horizontal="justify" vertical="center" wrapText="1"/>
    </xf>
    <xf numFmtId="0" fontId="17" fillId="0" borderId="1" xfId="0" applyFont="1" applyFill="1" applyBorder="1" applyAlignment="1">
      <alignment horizontal="justify" vertical="center" wrapText="1"/>
    </xf>
    <xf numFmtId="0" fontId="17" fillId="0" borderId="1" xfId="0" applyFont="1" applyFill="1" applyBorder="1" applyAlignment="1">
      <alignment vertical="center"/>
    </xf>
    <xf numFmtId="0" fontId="23" fillId="0" borderId="15" xfId="0" applyFont="1" applyFill="1" applyBorder="1" applyAlignment="1">
      <alignment horizontal="justify" vertical="center" wrapText="1"/>
    </xf>
    <xf numFmtId="0" fontId="3" fillId="0" borderId="20" xfId="0" applyFont="1" applyFill="1" applyBorder="1" applyAlignment="1">
      <alignment horizontal="center" vertical="center" wrapText="1"/>
    </xf>
    <xf numFmtId="0" fontId="17" fillId="0" borderId="17" xfId="0" applyFont="1" applyFill="1" applyBorder="1" applyAlignment="1">
      <alignment horizontal="center" vertical="center" wrapText="1"/>
    </xf>
    <xf numFmtId="0" fontId="17" fillId="0" borderId="17" xfId="0" applyFont="1" applyFill="1" applyBorder="1" applyAlignment="1">
      <alignment vertical="center" wrapText="1"/>
    </xf>
    <xf numFmtId="0" fontId="17" fillId="0" borderId="17" xfId="0" applyFont="1" applyFill="1" applyBorder="1" applyAlignment="1">
      <alignment horizontal="justify" vertical="center"/>
    </xf>
    <xf numFmtId="0" fontId="23" fillId="0" borderId="3" xfId="0" applyFont="1" applyFill="1" applyBorder="1" applyAlignment="1">
      <alignment horizontal="justify" vertical="center"/>
    </xf>
    <xf numFmtId="0" fontId="23" fillId="0" borderId="1" xfId="0" applyFont="1" applyFill="1" applyBorder="1" applyAlignment="1">
      <alignment horizontal="justify" vertical="center"/>
    </xf>
    <xf numFmtId="0" fontId="23" fillId="0" borderId="17" xfId="0" applyFont="1" applyFill="1" applyBorder="1" applyAlignment="1">
      <alignment horizontal="justify" vertical="center"/>
    </xf>
    <xf numFmtId="0" fontId="6" fillId="0" borderId="1" xfId="0" applyFont="1" applyFill="1" applyBorder="1" applyAlignment="1">
      <alignment horizontal="justify" vertical="center"/>
    </xf>
    <xf numFmtId="0" fontId="6" fillId="0" borderId="17" xfId="0" applyFont="1" applyFill="1" applyBorder="1" applyAlignment="1">
      <alignment horizontal="justify" vertical="center"/>
    </xf>
    <xf numFmtId="0" fontId="4" fillId="2" borderId="19" xfId="0" applyFont="1" applyFill="1" applyBorder="1" applyAlignment="1">
      <alignment horizontal="center" vertical="center"/>
    </xf>
    <xf numFmtId="0" fontId="20" fillId="0" borderId="19" xfId="0" applyFont="1" applyFill="1" applyBorder="1" applyAlignment="1">
      <alignment horizontal="center" vertical="center" wrapText="1"/>
    </xf>
    <xf numFmtId="10" fontId="20" fillId="0" borderId="19" xfId="0" applyNumberFormat="1" applyFont="1" applyFill="1" applyBorder="1" applyAlignment="1">
      <alignment horizontal="center" vertical="center" wrapText="1"/>
    </xf>
    <xf numFmtId="0" fontId="17" fillId="0" borderId="14" xfId="0" applyFont="1" applyFill="1" applyBorder="1" applyAlignment="1">
      <alignment horizontal="justify" vertical="center"/>
    </xf>
    <xf numFmtId="0" fontId="4" fillId="2" borderId="14" xfId="0" applyFont="1" applyFill="1" applyBorder="1" applyAlignment="1">
      <alignment horizontal="center" vertical="center"/>
    </xf>
    <xf numFmtId="0" fontId="20" fillId="0" borderId="14" xfId="0" applyFont="1" applyFill="1" applyBorder="1" applyAlignment="1">
      <alignment horizontal="center" vertical="center" wrapText="1"/>
    </xf>
    <xf numFmtId="0" fontId="17" fillId="0" borderId="3" xfId="0" applyFont="1" applyFill="1" applyBorder="1" applyAlignment="1">
      <alignment horizontal="justify" vertical="center"/>
    </xf>
    <xf numFmtId="0" fontId="17" fillId="0" borderId="15" xfId="0" applyFont="1" applyFill="1" applyBorder="1" applyAlignment="1">
      <alignment horizontal="justify" vertical="center"/>
    </xf>
    <xf numFmtId="0" fontId="17" fillId="0" borderId="15" xfId="0" applyFont="1" applyFill="1" applyBorder="1" applyAlignment="1">
      <alignment horizontal="justify" vertical="center" wrapText="1"/>
    </xf>
    <xf numFmtId="0" fontId="17" fillId="0" borderId="14" xfId="0" applyFont="1" applyFill="1" applyBorder="1" applyAlignment="1">
      <alignment horizontal="justify" vertical="center" wrapText="1"/>
    </xf>
    <xf numFmtId="0" fontId="17" fillId="0" borderId="3" xfId="0" applyFont="1" applyFill="1" applyBorder="1" applyAlignment="1">
      <alignment horizontal="justify" vertical="center" wrapText="1"/>
    </xf>
    <xf numFmtId="0" fontId="4" fillId="2" borderId="20" xfId="0" applyFont="1" applyFill="1" applyBorder="1" applyAlignment="1">
      <alignment horizontal="center" vertical="center"/>
    </xf>
    <xf numFmtId="0" fontId="20" fillId="0" borderId="20" xfId="0" applyFont="1" applyFill="1" applyBorder="1" applyAlignment="1">
      <alignment horizontal="center" vertical="center" wrapText="1"/>
    </xf>
    <xf numFmtId="0" fontId="17" fillId="0" borderId="20" xfId="0" applyFont="1" applyFill="1" applyBorder="1" applyAlignment="1">
      <alignment horizontal="justify" vertical="center"/>
    </xf>
    <xf numFmtId="0" fontId="17" fillId="0" borderId="0" xfId="0" applyFont="1" applyFill="1" applyBorder="1" applyAlignment="1">
      <alignment horizontal="center" vertical="center"/>
    </xf>
    <xf numFmtId="0" fontId="17" fillId="10" borderId="0" xfId="0" applyFont="1" applyFill="1" applyBorder="1" applyAlignment="1">
      <alignment horizontal="center" vertical="center"/>
    </xf>
    <xf numFmtId="0" fontId="17" fillId="0" borderId="0" xfId="0" applyFont="1" applyFill="1">
      <alignment vertical="center"/>
    </xf>
    <xf numFmtId="0" fontId="17" fillId="2" borderId="0" xfId="0" applyFont="1" applyFill="1">
      <alignment vertical="center"/>
    </xf>
    <xf numFmtId="0" fontId="17" fillId="10" borderId="0" xfId="0" applyFont="1" applyFill="1">
      <alignment vertical="center"/>
    </xf>
    <xf numFmtId="10" fontId="1" fillId="0" borderId="0" xfId="3" applyNumberFormat="1" applyFont="1">
      <alignment vertical="center"/>
    </xf>
    <xf numFmtId="0" fontId="1" fillId="0" borderId="0" xfId="0" applyFont="1" applyAlignment="1">
      <alignment horizontal="left" vertical="center" wrapText="1"/>
    </xf>
    <xf numFmtId="0" fontId="16" fillId="15" borderId="1" xfId="0" applyFont="1" applyFill="1" applyBorder="1" applyAlignment="1">
      <alignment horizontal="center" vertical="center"/>
    </xf>
    <xf numFmtId="0" fontId="16" fillId="0" borderId="1" xfId="0" applyFont="1" applyFill="1" applyBorder="1" applyAlignment="1">
      <alignment horizontal="center" vertical="center"/>
    </xf>
    <xf numFmtId="10" fontId="5" fillId="15" borderId="1" xfId="3" applyNumberFormat="1" applyFont="1" applyFill="1" applyBorder="1" applyAlignment="1">
      <alignment horizontal="center" vertical="center"/>
    </xf>
    <xf numFmtId="0" fontId="16" fillId="15" borderId="1" xfId="0" applyFont="1" applyFill="1" applyBorder="1" applyAlignment="1">
      <alignment horizontal="left" vertical="center"/>
    </xf>
    <xf numFmtId="0" fontId="5" fillId="13" borderId="1" xfId="0" applyFont="1" applyFill="1" applyBorder="1" applyAlignment="1">
      <alignment horizontal="center" vertical="center"/>
    </xf>
    <xf numFmtId="0" fontId="16" fillId="10" borderId="1" xfId="0" applyFont="1" applyFill="1" applyBorder="1" applyAlignment="1">
      <alignment horizontal="center" vertical="center"/>
    </xf>
    <xf numFmtId="10" fontId="5" fillId="10" borderId="1" xfId="3" applyNumberFormat="1" applyFont="1" applyFill="1" applyBorder="1" applyAlignment="1">
      <alignment horizontal="center" vertical="center"/>
    </xf>
    <xf numFmtId="0" fontId="16" fillId="10" borderId="1" xfId="0" applyFont="1" applyFill="1" applyBorder="1" applyAlignment="1">
      <alignment horizontal="center" vertical="center" wrapText="1"/>
    </xf>
    <xf numFmtId="49" fontId="16" fillId="10" borderId="1" xfId="0" applyNumberFormat="1" applyFont="1" applyFill="1" applyBorder="1" applyAlignment="1">
      <alignment horizontal="center" vertical="center"/>
    </xf>
    <xf numFmtId="0" fontId="17" fillId="0" borderId="15" xfId="0" applyFont="1" applyFill="1" applyBorder="1" applyAlignment="1">
      <alignment horizontal="center" vertical="center"/>
    </xf>
    <xf numFmtId="10" fontId="17" fillId="0" borderId="1" xfId="3" applyNumberFormat="1" applyFont="1" applyFill="1" applyBorder="1" applyAlignment="1">
      <alignment horizontal="center" vertical="center"/>
    </xf>
    <xf numFmtId="0" fontId="17" fillId="0" borderId="1" xfId="0" applyFont="1" applyFill="1" applyBorder="1" applyAlignment="1">
      <alignment horizontal="left" vertical="center"/>
    </xf>
    <xf numFmtId="0" fontId="17" fillId="0" borderId="14" xfId="0" applyFont="1" applyFill="1" applyBorder="1" applyAlignment="1">
      <alignment horizontal="center" vertical="center"/>
    </xf>
    <xf numFmtId="0" fontId="17" fillId="0" borderId="3" xfId="0" applyFont="1" applyFill="1" applyBorder="1" applyAlignment="1">
      <alignment horizontal="center" vertical="center"/>
    </xf>
    <xf numFmtId="0" fontId="17" fillId="2" borderId="1" xfId="0" applyFont="1" applyFill="1" applyBorder="1" applyAlignment="1">
      <alignment horizontal="center" vertical="center"/>
    </xf>
    <xf numFmtId="10" fontId="17" fillId="2" borderId="1" xfId="3" applyNumberFormat="1" applyFont="1" applyFill="1" applyBorder="1" applyAlignment="1">
      <alignment horizontal="center" vertical="center"/>
    </xf>
    <xf numFmtId="0" fontId="17" fillId="2" borderId="1" xfId="0" applyFont="1" applyFill="1" applyBorder="1" applyAlignment="1">
      <alignment horizontal="left" vertical="center"/>
    </xf>
    <xf numFmtId="0" fontId="17" fillId="10" borderId="0" xfId="0" applyFont="1" applyFill="1" applyAlignment="1">
      <alignment horizontal="center" vertical="center"/>
    </xf>
    <xf numFmtId="10" fontId="17" fillId="10" borderId="0" xfId="3" applyNumberFormat="1" applyFont="1" applyFill="1">
      <alignment vertical="center"/>
    </xf>
    <xf numFmtId="0" fontId="17" fillId="10" borderId="0" xfId="0" applyFont="1" applyFill="1" applyAlignment="1">
      <alignment horizontal="left" vertical="center"/>
    </xf>
    <xf numFmtId="0" fontId="16" fillId="10" borderId="0" xfId="0" applyFont="1" applyFill="1" applyAlignment="1">
      <alignment horizontal="left" vertical="center" wrapText="1"/>
    </xf>
    <xf numFmtId="0" fontId="16" fillId="0" borderId="0" xfId="0" applyFont="1" applyFill="1" applyAlignment="1">
      <alignment horizontal="center" vertical="center" wrapText="1"/>
    </xf>
    <xf numFmtId="10" fontId="16" fillId="0" borderId="0" xfId="3" applyNumberFormat="1" applyFont="1" applyFill="1" applyAlignment="1">
      <alignment vertical="center" wrapText="1"/>
    </xf>
    <xf numFmtId="0" fontId="16" fillId="0" borderId="0" xfId="0" applyFont="1" applyFill="1" applyAlignment="1">
      <alignment horizontal="left" vertical="center"/>
    </xf>
    <xf numFmtId="0" fontId="16" fillId="0" borderId="8" xfId="0" applyFont="1" applyFill="1" applyBorder="1" applyAlignment="1">
      <alignment horizontal="center" vertical="center"/>
    </xf>
    <xf numFmtId="0" fontId="17" fillId="0" borderId="1" xfId="0" applyFont="1" applyFill="1" applyBorder="1" applyAlignment="1">
      <alignment horizontal="left" vertical="center" wrapText="1"/>
    </xf>
    <xf numFmtId="10" fontId="17" fillId="0" borderId="1" xfId="3" applyNumberFormat="1" applyFont="1" applyFill="1" applyBorder="1" applyAlignment="1">
      <alignment horizontal="left" vertical="center" wrapText="1"/>
    </xf>
    <xf numFmtId="0" fontId="16" fillId="0" borderId="6" xfId="0" applyFont="1" applyFill="1" applyBorder="1" applyAlignment="1">
      <alignment horizontal="center" vertical="center" wrapText="1"/>
    </xf>
    <xf numFmtId="0" fontId="16" fillId="0" borderId="4" xfId="0" applyFont="1" applyFill="1" applyBorder="1" applyAlignment="1">
      <alignment horizontal="center" vertical="center" wrapText="1"/>
    </xf>
    <xf numFmtId="10" fontId="16" fillId="0" borderId="6" xfId="3" applyNumberFormat="1" applyFont="1" applyFill="1" applyBorder="1" applyAlignment="1">
      <alignment horizontal="center" vertical="center" wrapText="1"/>
    </xf>
    <xf numFmtId="0" fontId="16" fillId="0" borderId="3" xfId="0" applyFont="1" applyFill="1" applyBorder="1" applyAlignment="1">
      <alignment horizontal="left" vertical="center" wrapText="1"/>
    </xf>
    <xf numFmtId="0" fontId="16" fillId="0" borderId="3" xfId="0" applyFont="1" applyFill="1" applyBorder="1" applyAlignment="1">
      <alignment horizontal="center" vertical="center" wrapText="1"/>
    </xf>
    <xf numFmtId="0" fontId="17" fillId="0" borderId="7" xfId="0" applyFont="1" applyFill="1" applyBorder="1" applyAlignment="1">
      <alignment horizontal="left" vertical="center" wrapText="1"/>
    </xf>
    <xf numFmtId="0" fontId="16" fillId="0" borderId="7" xfId="0" applyFont="1" applyFill="1" applyBorder="1" applyAlignment="1">
      <alignment horizontal="center" vertical="center" wrapText="1"/>
    </xf>
    <xf numFmtId="0" fontId="16" fillId="0" borderId="1"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16" fillId="16" borderId="1" xfId="0" applyFont="1" applyFill="1" applyBorder="1" applyAlignment="1">
      <alignment horizontal="center" vertical="center"/>
    </xf>
    <xf numFmtId="0" fontId="16" fillId="16" borderId="1" xfId="0" applyFont="1" applyFill="1" applyBorder="1" applyAlignment="1">
      <alignment horizontal="left" vertical="center"/>
    </xf>
    <xf numFmtId="0" fontId="16" fillId="16" borderId="1" xfId="0" applyFont="1" applyFill="1" applyBorder="1" applyAlignment="1">
      <alignment horizontal="left" vertical="center" wrapText="1"/>
    </xf>
    <xf numFmtId="0" fontId="17" fillId="2" borderId="1" xfId="0" applyFont="1" applyFill="1" applyBorder="1" applyAlignment="1">
      <alignment horizontal="left" vertical="center" wrapText="1"/>
    </xf>
    <xf numFmtId="0" fontId="17" fillId="10" borderId="0" xfId="0" applyFont="1" applyFill="1" applyAlignment="1">
      <alignment horizontal="left" vertical="center" wrapText="1"/>
    </xf>
    <xf numFmtId="10" fontId="1" fillId="0" borderId="0" xfId="3" applyNumberFormat="1" applyFont="1" applyAlignment="1">
      <alignment horizontal="center" vertical="center"/>
    </xf>
    <xf numFmtId="0" fontId="24" fillId="13" borderId="1" xfId="0" applyFont="1" applyFill="1" applyBorder="1" applyAlignment="1">
      <alignment horizontal="center" vertical="center"/>
    </xf>
    <xf numFmtId="0" fontId="1" fillId="0" borderId="3" xfId="0" applyFont="1" applyBorder="1" applyAlignment="1">
      <alignment horizontal="center" vertical="center"/>
    </xf>
    <xf numFmtId="0" fontId="1" fillId="17"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0" borderId="1" xfId="0" applyFont="1" applyFill="1" applyBorder="1" applyAlignment="1">
      <alignment horizontal="justify" vertical="center" wrapText="1"/>
    </xf>
    <xf numFmtId="0" fontId="2" fillId="0" borderId="1" xfId="0" applyFont="1" applyFill="1" applyBorder="1" applyAlignment="1">
      <alignment horizontal="justify" vertical="center" wrapText="1"/>
    </xf>
    <xf numFmtId="0" fontId="1" fillId="0" borderId="1" xfId="0" applyFont="1" applyFill="1" applyBorder="1" applyAlignment="1">
      <alignment horizontal="justify" vertical="center"/>
    </xf>
    <xf numFmtId="0" fontId="2" fillId="0" borderId="1" xfId="0" applyFont="1" applyFill="1" applyBorder="1" applyAlignment="1">
      <alignment horizontal="justify" vertical="center"/>
    </xf>
    <xf numFmtId="10" fontId="3" fillId="18" borderId="3" xfId="3" applyNumberFormat="1" applyFont="1" applyFill="1" applyBorder="1" applyAlignment="1">
      <alignment horizontal="center" vertical="center"/>
    </xf>
    <xf numFmtId="10" fontId="1" fillId="0" borderId="1" xfId="3" applyNumberFormat="1" applyFont="1" applyFill="1" applyBorder="1" applyAlignment="1">
      <alignment horizontal="center" vertical="center"/>
    </xf>
    <xf numFmtId="10" fontId="1" fillId="0" borderId="1" xfId="3" applyNumberFormat="1" applyFont="1" applyBorder="1" applyAlignment="1">
      <alignment horizontal="center" vertical="center"/>
    </xf>
    <xf numFmtId="10" fontId="3" fillId="18" borderId="1" xfId="3" applyNumberFormat="1" applyFont="1" applyFill="1" applyBorder="1" applyAlignment="1">
      <alignment horizontal="center" vertical="center"/>
    </xf>
    <xf numFmtId="0" fontId="2"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7" fillId="0" borderId="1" xfId="0" applyFont="1" applyFill="1" applyBorder="1" applyAlignment="1">
      <alignment horizontal="justify" vertical="center" wrapText="1"/>
    </xf>
    <xf numFmtId="0" fontId="7" fillId="0" borderId="1" xfId="0" applyFont="1" applyFill="1" applyBorder="1" applyAlignment="1">
      <alignment horizontal="center" vertical="center"/>
    </xf>
    <xf numFmtId="0" fontId="25" fillId="0" borderId="1"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s>
  <dxfs count="48">
    <dxf>
      <font>
        <name val="微软雅黑"/>
        <scheme val="none"/>
      </font>
    </dxf>
    <dxf>
      <border>
        <left style="thin">
          <color indexed="0"/>
        </left>
        <right style="thin">
          <color indexed="0"/>
        </right>
        <top style="thin">
          <color indexed="0"/>
        </top>
        <bottom style="thin">
          <color indexed="0"/>
        </bottom>
      </bord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ont>
        <name val="微软雅黑"/>
        <scheme val="none"/>
      </font>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ill>
    </dxf>
    <dxf>
      <fill>
        <patternFill patternType="none"/>
      </fill>
    </dxf>
    <dxf>
      <fill>
        <patternFill patternType="none"/>
      </fill>
    </dxf>
    <dxf>
      <fill>
        <patternFill patternType="none"/>
      </fill>
    </dxf>
    <dxf>
      <fill>
        <patternFill patternType="none"/>
      </fill>
    </dxf>
    <dxf>
      <border>
        <top/>
      </border>
    </dxf>
    <dxf>
      <border>
        <top/>
      </border>
    </dxf>
    <dxf>
      <border>
        <top/>
      </border>
    </dxf>
    <dxf>
      <border>
        <top/>
      </border>
    </dxf>
    <dxf>
      <border>
        <top/>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ill>
    </dxf>
    <dxf>
      <fill>
        <patternFill patternType="none"/>
      </fill>
    </dxf>
    <dxf>
      <font>
        <name val="微软雅黑"/>
        <scheme val="none"/>
      </font>
    </dxf>
    <dxf>
      <border>
        <left style="thin">
          <color indexed="0"/>
        </left>
        <right style="thin">
          <color indexed="0"/>
        </right>
        <top style="thin">
          <color indexed="0"/>
        </top>
        <bottom style="thin">
          <color indexed="0"/>
        </bottom>
      </border>
    </dxf>
    <dxf>
      <alignment horizontal="center"/>
    </dxf>
    <dxf>
      <font>
        <name val="微软雅黑"/>
        <scheme val="none"/>
      </font>
    </dxf>
    <dxf>
      <alignment horizontal="center"/>
    </dxf>
    <dxf>
      <fill>
        <patternFill patternType="solid">
          <bgColor rgb="FFFFFF00"/>
        </patternFill>
      </fill>
    </dxf>
    <dxf>
      <font>
        <name val="微软雅黑"/>
        <scheme val="none"/>
      </font>
    </dxf>
    <dxf>
      <alignment horizontal="center"/>
    </dxf>
    <dxf>
      <border>
        <left style="thin">
          <color indexed="0"/>
        </left>
        <right style="thin">
          <color indexed="0"/>
        </right>
        <top style="thin">
          <color indexed="0"/>
        </top>
        <bottom style="thin">
          <color indexed="0"/>
        </bottom>
      </border>
    </dxf>
    <dxf>
      <fill>
        <patternFill patternType="solid">
          <bgColor rgb="FFFFFF00"/>
        </patternFill>
      </fill>
    </dxf>
    <dxf>
      <font>
        <name val="微软雅黑"/>
        <scheme val="none"/>
      </font>
    </dxf>
    <dxf>
      <alignment horizontal="center"/>
    </dxf>
    <dxf>
      <border>
        <left style="thin">
          <color indexed="0"/>
        </left>
        <right style="thin">
          <color indexed="0"/>
        </right>
        <top style="thin">
          <color indexed="0"/>
        </top>
        <bottom style="thin">
          <color indexed="0"/>
        </bottom>
      </border>
    </dxf>
    <dxf>
      <fill>
        <patternFill patternType="solid">
          <bgColor rgb="FFFFFF00"/>
        </patternFill>
      </fill>
    </dxf>
    <dxf>
      <fill>
        <patternFill patternType="none"/>
      </fill>
    </dxf>
    <dxf>
      <fill>
        <patternFill patternType="solid">
          <bgColor rgb="FFFFFF00"/>
        </patternFill>
      </fill>
    </dxf>
    <dxf>
      <fill>
        <patternFill patternType="none"/>
      </fill>
    </dxf>
    <dxf>
      <fill>
        <patternFill patternType="solid">
          <bgColor rgb="FFFFFF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externalLink" Target="externalLinks/externalLink1.xml"/><Relationship Id="rId10" Type="http://schemas.openxmlformats.org/officeDocument/2006/relationships/pivotCacheDefinition" Target="pivotCache/pivotCacheDefinition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175563802455039"/>
          <c:y val="0.192506329762409"/>
          <c:w val="0.547387953182986"/>
          <c:h val="0.714285714285714"/>
        </c:manualLayout>
      </c:layout>
      <c:pieChart>
        <c:varyColors val="1"/>
        <c:ser>
          <c:idx val="0"/>
          <c:order val="0"/>
          <c:spPr/>
          <c:explosion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0" vertOverflow="ellipsis" vert="horz" wrap="square" lIns="38100" tIns="19050" rIns="38100" bIns="19050" anchor="ctr" anchorCtr="1"/>
              <a:lstStyle/>
              <a:p>
                <a:pPr>
                  <a:defRPr lang="zh-CN" sz="1000" b="1" i="0" u="none" strike="noStrike" kern="1200" baseline="0">
                    <a:solidFill>
                      <a:schemeClr val="lt1"/>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[1]用户场景分析!$A$2:$A$9</c:f>
              <c:strCache>
                <c:ptCount val="8"/>
                <c:pt idx="0">
                  <c:v>label maker</c:v>
                </c:pt>
                <c:pt idx="1">
                  <c:v>label printer</c:v>
                </c:pt>
                <c:pt idx="2">
                  <c:v>shipping label printer</c:v>
                </c:pt>
                <c:pt idx="3">
                  <c:v>label maker machine</c:v>
                </c:pt>
                <c:pt idx="4">
                  <c:v>thermal printer</c:v>
                </c:pt>
                <c:pt idx="5">
                  <c:v>barcode printer</c:v>
                </c:pt>
                <c:pt idx="6">
                  <c:v>usps label printer</c:v>
                </c:pt>
                <c:pt idx="7">
                  <c:v>label printer for shipping packages</c:v>
                </c:pt>
              </c:strCache>
            </c:strRef>
          </c:cat>
          <c:val>
            <c:numRef>
              <c:f>[1]用户场景分析!$C$2:$C$9</c:f>
              <c:numCache>
                <c:formatCode>General</c:formatCode>
                <c:ptCount val="8"/>
                <c:pt idx="0">
                  <c:v>0.140419480981159</c:v>
                </c:pt>
                <c:pt idx="1">
                  <c:v>0.491290437255599</c:v>
                </c:pt>
                <c:pt idx="2">
                  <c:v>0.159260575897618</c:v>
                </c:pt>
                <c:pt idx="3">
                  <c:v>0.032705296836118</c:v>
                </c:pt>
                <c:pt idx="4">
                  <c:v>0.135442587984358</c:v>
                </c:pt>
                <c:pt idx="5">
                  <c:v>0.0408816210451475</c:v>
                </c:pt>
                <c:pt idx="6">
                  <c:v>0.0330607891930323</c:v>
                </c:pt>
                <c:pt idx="7">
                  <c:v>0.0202630643441166</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2934557299378"/>
          <c:y val="0.120173290638538"/>
          <c:w val="0.309298193663015"/>
          <c:h val="0.754756074590318"/>
        </c:manualLayout>
      </c:layout>
      <c:overlay val="0"/>
      <c:spPr>
        <a:solidFill>
          <a:schemeClr val="lt1">
            <a:lumMod val="95000"/>
            <a:alpha val="39000"/>
          </a:schemeClr>
        </a:solidFill>
        <a:ln>
          <a:noFill/>
        </a:ln>
        <a:effectLst/>
      </c:spPr>
      <c:txPr>
        <a:bodyPr rot="0" spcFirstLastPara="0" vertOverflow="ellipsis" vert="horz" wrap="square" anchor="ctr" anchorCtr="1"/>
        <a:lstStyle/>
        <a:p>
          <a:pPr>
            <a:defRPr lang="zh-CN"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90904843482324"/>
          <c:y val="0.213105303612606"/>
          <c:w val="0.560504594299953"/>
          <c:h val="0.691583397386625"/>
        </c:manualLayout>
      </c:layout>
      <c:pieChart>
        <c:varyColors val="1"/>
        <c:ser>
          <c:idx val="0"/>
          <c:order val="0"/>
          <c:spPr/>
          <c:explosion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dLbl>
              <c:idx val="2"/>
              <c:layout>
                <c:manualLayout>
                  <c:x val="-0.0139024510751961"/>
                  <c:y val="-0.0446465547831871"/>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383575294274434"/>
                  <c:y val="-0.019884189028655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0" vertOverflow="ellipsis" vert="horz" wrap="square" lIns="38100" tIns="19050" rIns="38100" bIns="19050" anchor="ctr" anchorCtr="1"/>
              <a:lstStyle/>
              <a:p>
                <a:pPr>
                  <a:defRPr lang="zh-CN" sz="1000" b="1" i="0" u="none" strike="noStrike" kern="1200" baseline="0">
                    <a:solidFill>
                      <a:schemeClr val="lt1"/>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[1]用户场景分析!$D$2:$D$5</c:f>
              <c:strCache>
                <c:ptCount val="4"/>
                <c:pt idx="0">
                  <c:v>officer</c:v>
                </c:pt>
                <c:pt idx="1">
                  <c:v>seller</c:v>
                </c:pt>
                <c:pt idx="2">
                  <c:v>doctor/nurse/teacher</c:v>
                </c:pt>
                <c:pt idx="3">
                  <c:v>express/shipper</c:v>
                </c:pt>
              </c:strCache>
            </c:strRef>
          </c:cat>
          <c:val>
            <c:numRef>
              <c:f>[1]用户场景分析!$F$2:$F$5</c:f>
              <c:numCache>
                <c:formatCode>General</c:formatCode>
                <c:ptCount val="4"/>
                <c:pt idx="0">
                  <c:v>0.722916666666667</c:v>
                </c:pt>
                <c:pt idx="1">
                  <c:v>0.2625</c:v>
                </c:pt>
                <c:pt idx="2">
                  <c:v>0.0145833333333333</c:v>
                </c:pt>
                <c:pt idx="3">
                  <c:v>0.04375</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680890826974"/>
          <c:y val="0.37086856264412"/>
          <c:w val="0.294502413954213"/>
          <c:h val="0.446771714066103"/>
        </c:manualLayout>
      </c:layout>
      <c:overlay val="0"/>
      <c:spPr>
        <a:solidFill>
          <a:schemeClr val="lt1">
            <a:lumMod val="95000"/>
            <a:alpha val="39000"/>
          </a:schemeClr>
        </a:solidFill>
        <a:ln>
          <a:noFill/>
        </a:ln>
        <a:effectLst/>
      </c:spPr>
      <c:txPr>
        <a:bodyPr rot="0" spcFirstLastPara="0" vertOverflow="ellipsis" vert="horz" wrap="square" anchor="ctr" anchorCtr="1"/>
        <a:lstStyle/>
        <a:p>
          <a:pPr>
            <a:defRPr lang="zh-CN"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53236772095773"/>
          <c:y val="0.223920519679022"/>
          <c:w val="0.544782737215489"/>
          <c:h val="0.704241497898357"/>
        </c:manualLayout>
      </c:layout>
      <c:pieChart>
        <c:varyColors val="1"/>
        <c:ser>
          <c:idx val="0"/>
          <c:order val="0"/>
          <c:spPr/>
          <c:explosion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dLbl>
              <c:idx val="3"/>
              <c:layout>
                <c:manualLayout>
                  <c:x val="-0.0603316753053978"/>
                  <c:y val="-0.0385754241314365"/>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0302792880311"/>
                  <c:y val="-0.0884765858138734"/>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611364096638088"/>
                  <c:y val="-0.0471503229397327"/>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0" vertOverflow="ellipsis" vert="horz" wrap="square" lIns="38100" tIns="19050" rIns="38100" bIns="19050" anchor="ctr" anchorCtr="1"/>
              <a:lstStyle/>
              <a:p>
                <a:pPr>
                  <a:defRPr lang="zh-CN" sz="1000" b="1" i="0" u="none" strike="noStrike" kern="1200" baseline="0">
                    <a:solidFill>
                      <a:schemeClr val="lt1"/>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[1]用户场景分析!$G$2:$G$7</c:f>
              <c:strCache>
                <c:ptCount val="6"/>
                <c:pt idx="0">
                  <c:v>office</c:v>
                </c:pt>
                <c:pt idx="1">
                  <c:v>company</c:v>
                </c:pt>
                <c:pt idx="2">
                  <c:v>shop/store</c:v>
                </c:pt>
                <c:pt idx="3">
                  <c:v>logistics/express</c:v>
                </c:pt>
                <c:pt idx="4">
                  <c:v>family</c:v>
                </c:pt>
                <c:pt idx="5">
                  <c:v>hospital</c:v>
                </c:pt>
              </c:strCache>
            </c:strRef>
          </c:cat>
          <c:val>
            <c:numRef>
              <c:f>[1]用户场景分析!$I$2:$I$7</c:f>
              <c:numCache>
                <c:formatCode>General</c:formatCode>
                <c:ptCount val="6"/>
                <c:pt idx="0">
                  <c:v>0.93125</c:v>
                </c:pt>
                <c:pt idx="1">
                  <c:v>0.472916666666667</c:v>
                </c:pt>
                <c:pt idx="2">
                  <c:v>0.516666666666667</c:v>
                </c:pt>
                <c:pt idx="3">
                  <c:v>0.0270833333333333</c:v>
                </c:pt>
                <c:pt idx="4">
                  <c:v>0.0229166666666667</c:v>
                </c:pt>
                <c:pt idx="5">
                  <c:v>0.00833333333333333</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977534732486"/>
          <c:y val="0.239778372181888"/>
          <c:w val="0.275790718297369"/>
          <c:h val="0.715705005731754"/>
        </c:manualLayout>
      </c:layout>
      <c:overlay val="0"/>
      <c:spPr>
        <a:solidFill>
          <a:schemeClr val="lt1">
            <a:lumMod val="95000"/>
            <a:alpha val="39000"/>
          </a:schemeClr>
        </a:solidFill>
        <a:ln>
          <a:noFill/>
        </a:ln>
        <a:effectLst/>
      </c:spPr>
      <c:txPr>
        <a:bodyPr rot="0" spcFirstLastPara="0" vertOverflow="ellipsis" vert="horz" wrap="square" anchor="ctr" anchorCtr="1"/>
        <a:lstStyle/>
        <a:p>
          <a:pPr>
            <a:defRPr lang="zh-CN"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95179516521242"/>
          <c:y val="0.19434835737301"/>
          <c:w val="0.543412959519382"/>
          <c:h val="0.7382432957637"/>
        </c:manualLayout>
      </c:layout>
      <c:pieChart>
        <c:varyColors val="1"/>
        <c:ser>
          <c:idx val="0"/>
          <c:order val="0"/>
          <c:spPr/>
          <c:explosion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Lbls>
            <c:dLbl>
              <c:idx val="4"/>
              <c:layout>
                <c:manualLayout>
                  <c:x val="-0.0295471153946459"/>
                  <c:y val="-0.056537666193799"/>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126053174695198"/>
                  <c:y val="-0.0450863286738311"/>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809973210117597"/>
                  <c:y val="0.00113372304290618"/>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0" vertOverflow="ellipsis" vert="horz" wrap="square" lIns="38100" tIns="19050" rIns="38100" bIns="19050" anchor="ctr" anchorCtr="1"/>
              <a:lstStyle/>
              <a:p>
                <a:pPr>
                  <a:defRPr lang="zh-CN" sz="1000" b="1" i="0" u="none" strike="noStrike" kern="1200" baseline="0">
                    <a:solidFill>
                      <a:schemeClr val="lt1"/>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[1]用户场景分析!$J$2:$J$8</c:f>
              <c:strCache>
                <c:ptCount val="7"/>
                <c:pt idx="0">
                  <c:v>easy to use</c:v>
                </c:pt>
                <c:pt idx="1">
                  <c:v>print clear</c:v>
                </c:pt>
                <c:pt idx="2">
                  <c:v>good label quality</c:v>
                </c:pt>
                <c:pt idx="3">
                  <c:v>fast print speed, don't jam</c:v>
                </c:pt>
                <c:pt idx="4">
                  <c:v>easy to connect, good compatibility</c:v>
                </c:pt>
                <c:pt idx="5">
                  <c:v>print accurate</c:v>
                </c:pt>
                <c:pt idx="6">
                  <c:v>saving paper</c:v>
                </c:pt>
              </c:strCache>
            </c:strRef>
          </c:cat>
          <c:val>
            <c:numRef>
              <c:f>[1]用户场景分析!$L$2:$L$8</c:f>
              <c:numCache>
                <c:formatCode>General</c:formatCode>
                <c:ptCount val="7"/>
                <c:pt idx="0">
                  <c:v>0.715859030837004</c:v>
                </c:pt>
                <c:pt idx="1">
                  <c:v>0.11784140969163</c:v>
                </c:pt>
                <c:pt idx="2">
                  <c:v>0.0418502202643172</c:v>
                </c:pt>
                <c:pt idx="3">
                  <c:v>0.0363436123348018</c:v>
                </c:pt>
                <c:pt idx="4">
                  <c:v>0.0473568281938326</c:v>
                </c:pt>
                <c:pt idx="5">
                  <c:v>0.0187224669603524</c:v>
                </c:pt>
                <c:pt idx="6">
                  <c:v>0.0220264317180617</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0" vertOverflow="ellipsis" vert="horz" wrap="square" anchor="ctr" anchorCtr="1"/>
        <a:lstStyle/>
        <a:p>
          <a:pPr>
            <a:defRPr lang="zh-CN"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2.png"/><Relationship Id="rId8" Type="http://schemas.openxmlformats.org/officeDocument/2006/relationships/image" Target="../media/image11.png"/><Relationship Id="rId7" Type="http://schemas.openxmlformats.org/officeDocument/2006/relationships/image" Target="../media/image10.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6" Type="http://schemas.openxmlformats.org/officeDocument/2006/relationships/image" Target="../media/image19.png"/><Relationship Id="rId15" Type="http://schemas.openxmlformats.org/officeDocument/2006/relationships/image" Target="../media/image18.png"/><Relationship Id="rId14" Type="http://schemas.openxmlformats.org/officeDocument/2006/relationships/image" Target="../media/image17.png"/><Relationship Id="rId13" Type="http://schemas.openxmlformats.org/officeDocument/2006/relationships/image" Target="../media/image16.png"/><Relationship Id="rId12" Type="http://schemas.openxmlformats.org/officeDocument/2006/relationships/image" Target="../media/image15.png"/><Relationship Id="rId11" Type="http://schemas.openxmlformats.org/officeDocument/2006/relationships/image" Target="../media/image14.png"/><Relationship Id="rId10" Type="http://schemas.openxmlformats.org/officeDocument/2006/relationships/image" Target="../media/image13.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18.png"/><Relationship Id="rId7" Type="http://schemas.openxmlformats.org/officeDocument/2006/relationships/image" Target="../media/image16.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3" Type="http://schemas.openxmlformats.org/officeDocument/2006/relationships/image" Target="../media/image10.png"/><Relationship Id="rId2" Type="http://schemas.openxmlformats.org/officeDocument/2006/relationships/image" Target="../media/image6.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5" Type="http://schemas.openxmlformats.org/officeDocument/2006/relationships/image" Target="../media/image23.png"/><Relationship Id="rId4" Type="http://schemas.openxmlformats.org/officeDocument/2006/relationships/image" Target="../media/image22.png"/><Relationship Id="rId3" Type="http://schemas.openxmlformats.org/officeDocument/2006/relationships/image" Target="../media/image21.png"/><Relationship Id="rId2" Type="http://schemas.openxmlformats.org/officeDocument/2006/relationships/image" Target="../media/image20.jpeg"/><Relationship Id="rId1" Type="http://schemas.openxmlformats.org/officeDocument/2006/relationships/image" Target="../media/image19.png"/></Relationships>
</file>

<file path=xl/drawings/_rels/drawing6.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31</xdr:row>
      <xdr:rowOff>8255</xdr:rowOff>
    </xdr:from>
    <xdr:to>
      <xdr:col>10</xdr:col>
      <xdr:colOff>0</xdr:colOff>
      <xdr:row>59</xdr:row>
      <xdr:rowOff>342900</xdr:rowOff>
    </xdr:to>
    <xdr:pic>
      <xdr:nvPicPr>
        <xdr:cNvPr id="2" name="图片 1"/>
        <xdr:cNvPicPr>
          <a:picLocks noChangeAspect="1"/>
        </xdr:cNvPicPr>
      </xdr:nvPicPr>
      <xdr:blipFill>
        <a:blip r:embed="rId1"/>
        <a:stretch>
          <a:fillRect/>
        </a:stretch>
      </xdr:blipFill>
      <xdr:spPr>
        <a:xfrm>
          <a:off x="1270" y="6440805"/>
          <a:ext cx="6285230" cy="6487795"/>
        </a:xfrm>
        <a:prstGeom prst="rect">
          <a:avLst/>
        </a:prstGeom>
        <a:noFill/>
        <a:ln w="9525">
          <a:noFill/>
        </a:ln>
      </xdr:spPr>
    </xdr:pic>
    <xdr:clientData/>
  </xdr:twoCellAnchor>
  <xdr:twoCellAnchor editAs="oneCell">
    <xdr:from>
      <xdr:col>0</xdr:col>
      <xdr:colOff>1905</xdr:colOff>
      <xdr:row>2</xdr:row>
      <xdr:rowOff>48895</xdr:rowOff>
    </xdr:from>
    <xdr:to>
      <xdr:col>10</xdr:col>
      <xdr:colOff>0</xdr:colOff>
      <xdr:row>31</xdr:row>
      <xdr:rowOff>15240</xdr:rowOff>
    </xdr:to>
    <xdr:pic>
      <xdr:nvPicPr>
        <xdr:cNvPr id="3" name="图片 2"/>
        <xdr:cNvPicPr>
          <a:picLocks noChangeAspect="1"/>
        </xdr:cNvPicPr>
      </xdr:nvPicPr>
      <xdr:blipFill>
        <a:blip r:embed="rId2"/>
        <a:stretch>
          <a:fillRect/>
        </a:stretch>
      </xdr:blipFill>
      <xdr:spPr>
        <a:xfrm>
          <a:off x="1905" y="404495"/>
          <a:ext cx="6284595" cy="6043295"/>
        </a:xfrm>
        <a:prstGeom prst="rect">
          <a:avLst/>
        </a:prstGeom>
        <a:noFill/>
        <a:ln w="9525">
          <a:noFill/>
        </a:ln>
      </xdr:spPr>
    </xdr:pic>
    <xdr:clientData/>
  </xdr:twoCellAnchor>
  <xdr:twoCellAnchor editAs="oneCell">
    <xdr:from>
      <xdr:col>0</xdr:col>
      <xdr:colOff>20320</xdr:colOff>
      <xdr:row>59</xdr:row>
      <xdr:rowOff>647065</xdr:rowOff>
    </xdr:from>
    <xdr:to>
      <xdr:col>10</xdr:col>
      <xdr:colOff>0</xdr:colOff>
      <xdr:row>68</xdr:row>
      <xdr:rowOff>17145</xdr:rowOff>
    </xdr:to>
    <xdr:pic>
      <xdr:nvPicPr>
        <xdr:cNvPr id="4" name="图片 3"/>
        <xdr:cNvPicPr>
          <a:picLocks noChangeAspect="1"/>
        </xdr:cNvPicPr>
      </xdr:nvPicPr>
      <xdr:blipFill>
        <a:blip r:embed="rId3"/>
        <a:stretch>
          <a:fillRect/>
        </a:stretch>
      </xdr:blipFill>
      <xdr:spPr>
        <a:xfrm>
          <a:off x="20320" y="13232765"/>
          <a:ext cx="6266180" cy="641858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85090</xdr:colOff>
      <xdr:row>2</xdr:row>
      <xdr:rowOff>29845</xdr:rowOff>
    </xdr:from>
    <xdr:to>
      <xdr:col>4</xdr:col>
      <xdr:colOff>1536065</xdr:colOff>
      <xdr:row>2</xdr:row>
      <xdr:rowOff>1388110</xdr:rowOff>
    </xdr:to>
    <xdr:pic>
      <xdr:nvPicPr>
        <xdr:cNvPr id="2" name="图片 1"/>
        <xdr:cNvPicPr>
          <a:picLocks noChangeAspect="1"/>
        </xdr:cNvPicPr>
      </xdr:nvPicPr>
      <xdr:blipFill>
        <a:blip r:embed="rId1"/>
        <a:stretch>
          <a:fillRect/>
        </a:stretch>
      </xdr:blipFill>
      <xdr:spPr>
        <a:xfrm>
          <a:off x="4887595" y="777875"/>
          <a:ext cx="1450975" cy="1358265"/>
        </a:xfrm>
        <a:prstGeom prst="rect">
          <a:avLst/>
        </a:prstGeom>
        <a:noFill/>
        <a:ln w="9525">
          <a:noFill/>
        </a:ln>
      </xdr:spPr>
    </xdr:pic>
    <xdr:clientData/>
  </xdr:twoCellAnchor>
  <xdr:twoCellAnchor>
    <xdr:from>
      <xdr:col>4</xdr:col>
      <xdr:colOff>135255</xdr:colOff>
      <xdr:row>3</xdr:row>
      <xdr:rowOff>52070</xdr:rowOff>
    </xdr:from>
    <xdr:to>
      <xdr:col>4</xdr:col>
      <xdr:colOff>1513205</xdr:colOff>
      <xdr:row>3</xdr:row>
      <xdr:rowOff>1351915</xdr:rowOff>
    </xdr:to>
    <xdr:pic>
      <xdr:nvPicPr>
        <xdr:cNvPr id="3" name="图片 2"/>
        <xdr:cNvPicPr>
          <a:picLocks noChangeAspect="1"/>
        </xdr:cNvPicPr>
      </xdr:nvPicPr>
      <xdr:blipFill>
        <a:blip r:embed="rId2"/>
        <a:stretch>
          <a:fillRect/>
        </a:stretch>
      </xdr:blipFill>
      <xdr:spPr>
        <a:xfrm>
          <a:off x="4937760" y="2247900"/>
          <a:ext cx="1377950" cy="1299845"/>
        </a:xfrm>
        <a:prstGeom prst="rect">
          <a:avLst/>
        </a:prstGeom>
        <a:noFill/>
        <a:ln w="9525">
          <a:noFill/>
        </a:ln>
      </xdr:spPr>
    </xdr:pic>
    <xdr:clientData/>
  </xdr:twoCellAnchor>
  <xdr:twoCellAnchor>
    <xdr:from>
      <xdr:col>4</xdr:col>
      <xdr:colOff>143510</xdr:colOff>
      <xdr:row>4</xdr:row>
      <xdr:rowOff>262255</xdr:rowOff>
    </xdr:from>
    <xdr:to>
      <xdr:col>4</xdr:col>
      <xdr:colOff>1768475</xdr:colOff>
      <xdr:row>4</xdr:row>
      <xdr:rowOff>1315720</xdr:rowOff>
    </xdr:to>
    <xdr:pic>
      <xdr:nvPicPr>
        <xdr:cNvPr id="4" name="图片 3"/>
        <xdr:cNvPicPr>
          <a:picLocks noChangeAspect="1"/>
        </xdr:cNvPicPr>
      </xdr:nvPicPr>
      <xdr:blipFill>
        <a:blip r:embed="rId3"/>
        <a:stretch>
          <a:fillRect/>
        </a:stretch>
      </xdr:blipFill>
      <xdr:spPr>
        <a:xfrm>
          <a:off x="4946015" y="3894455"/>
          <a:ext cx="1550670" cy="1053465"/>
        </a:xfrm>
        <a:prstGeom prst="rect">
          <a:avLst/>
        </a:prstGeom>
        <a:noFill/>
        <a:ln w="9525">
          <a:noFill/>
        </a:ln>
      </xdr:spPr>
    </xdr:pic>
    <xdr:clientData/>
  </xdr:twoCellAnchor>
  <xdr:twoCellAnchor>
    <xdr:from>
      <xdr:col>4</xdr:col>
      <xdr:colOff>257175</xdr:colOff>
      <xdr:row>5</xdr:row>
      <xdr:rowOff>76835</xdr:rowOff>
    </xdr:from>
    <xdr:to>
      <xdr:col>4</xdr:col>
      <xdr:colOff>1507490</xdr:colOff>
      <xdr:row>5</xdr:row>
      <xdr:rowOff>1336040</xdr:rowOff>
    </xdr:to>
    <xdr:pic>
      <xdr:nvPicPr>
        <xdr:cNvPr id="5" name="图片 4"/>
        <xdr:cNvPicPr>
          <a:picLocks noChangeAspect="1"/>
        </xdr:cNvPicPr>
      </xdr:nvPicPr>
      <xdr:blipFill>
        <a:blip r:embed="rId4"/>
        <a:stretch>
          <a:fillRect/>
        </a:stretch>
      </xdr:blipFill>
      <xdr:spPr>
        <a:xfrm>
          <a:off x="5059680" y="5168900"/>
          <a:ext cx="1250315" cy="1259205"/>
        </a:xfrm>
        <a:prstGeom prst="rect">
          <a:avLst/>
        </a:prstGeom>
        <a:noFill/>
        <a:ln w="9525">
          <a:noFill/>
        </a:ln>
      </xdr:spPr>
    </xdr:pic>
    <xdr:clientData/>
  </xdr:twoCellAnchor>
  <xdr:twoCellAnchor>
    <xdr:from>
      <xdr:col>4</xdr:col>
      <xdr:colOff>209550</xdr:colOff>
      <xdr:row>6</xdr:row>
      <xdr:rowOff>26035</xdr:rowOff>
    </xdr:from>
    <xdr:to>
      <xdr:col>4</xdr:col>
      <xdr:colOff>1504950</xdr:colOff>
      <xdr:row>6</xdr:row>
      <xdr:rowOff>1372870</xdr:rowOff>
    </xdr:to>
    <xdr:pic>
      <xdr:nvPicPr>
        <xdr:cNvPr id="6" name="图片 5"/>
        <xdr:cNvPicPr>
          <a:picLocks noChangeAspect="1"/>
        </xdr:cNvPicPr>
      </xdr:nvPicPr>
      <xdr:blipFill>
        <a:blip r:embed="rId5"/>
        <a:stretch>
          <a:fillRect/>
        </a:stretch>
      </xdr:blipFill>
      <xdr:spPr>
        <a:xfrm>
          <a:off x="5012055" y="6616065"/>
          <a:ext cx="1295400" cy="1346835"/>
        </a:xfrm>
        <a:prstGeom prst="rect">
          <a:avLst/>
        </a:prstGeom>
        <a:noFill/>
        <a:ln w="9525">
          <a:noFill/>
        </a:ln>
      </xdr:spPr>
    </xdr:pic>
    <xdr:clientData/>
  </xdr:twoCellAnchor>
  <xdr:twoCellAnchor>
    <xdr:from>
      <xdr:col>4</xdr:col>
      <xdr:colOff>306070</xdr:colOff>
      <xdr:row>7</xdr:row>
      <xdr:rowOff>69215</xdr:rowOff>
    </xdr:from>
    <xdr:to>
      <xdr:col>4</xdr:col>
      <xdr:colOff>1467485</xdr:colOff>
      <xdr:row>7</xdr:row>
      <xdr:rowOff>1286510</xdr:rowOff>
    </xdr:to>
    <xdr:pic>
      <xdr:nvPicPr>
        <xdr:cNvPr id="7" name="图片 6"/>
        <xdr:cNvPicPr>
          <a:picLocks noChangeAspect="1"/>
        </xdr:cNvPicPr>
      </xdr:nvPicPr>
      <xdr:blipFill>
        <a:blip r:embed="rId6"/>
        <a:stretch>
          <a:fillRect/>
        </a:stretch>
      </xdr:blipFill>
      <xdr:spPr>
        <a:xfrm>
          <a:off x="5108575" y="8095615"/>
          <a:ext cx="1161415" cy="1217295"/>
        </a:xfrm>
        <a:prstGeom prst="rect">
          <a:avLst/>
        </a:prstGeom>
        <a:noFill/>
        <a:ln w="9525">
          <a:noFill/>
        </a:ln>
      </xdr:spPr>
    </xdr:pic>
    <xdr:clientData/>
  </xdr:twoCellAnchor>
  <xdr:twoCellAnchor>
    <xdr:from>
      <xdr:col>4</xdr:col>
      <xdr:colOff>340995</xdr:colOff>
      <xdr:row>8</xdr:row>
      <xdr:rowOff>138430</xdr:rowOff>
    </xdr:from>
    <xdr:to>
      <xdr:col>4</xdr:col>
      <xdr:colOff>1397635</xdr:colOff>
      <xdr:row>8</xdr:row>
      <xdr:rowOff>1485900</xdr:rowOff>
    </xdr:to>
    <xdr:pic>
      <xdr:nvPicPr>
        <xdr:cNvPr id="8" name="图片 7"/>
        <xdr:cNvPicPr>
          <a:picLocks noChangeAspect="1"/>
        </xdr:cNvPicPr>
      </xdr:nvPicPr>
      <xdr:blipFill>
        <a:blip r:embed="rId7"/>
        <a:stretch>
          <a:fillRect/>
        </a:stretch>
      </xdr:blipFill>
      <xdr:spPr>
        <a:xfrm>
          <a:off x="5143500" y="9586595"/>
          <a:ext cx="1056640" cy="1347470"/>
        </a:xfrm>
        <a:prstGeom prst="rect">
          <a:avLst/>
        </a:prstGeom>
        <a:noFill/>
        <a:ln w="9525">
          <a:noFill/>
        </a:ln>
      </xdr:spPr>
    </xdr:pic>
    <xdr:clientData/>
  </xdr:twoCellAnchor>
  <xdr:twoCellAnchor>
    <xdr:from>
      <xdr:col>4</xdr:col>
      <xdr:colOff>399415</xdr:colOff>
      <xdr:row>9</xdr:row>
      <xdr:rowOff>39370</xdr:rowOff>
    </xdr:from>
    <xdr:to>
      <xdr:col>4</xdr:col>
      <xdr:colOff>1439545</xdr:colOff>
      <xdr:row>9</xdr:row>
      <xdr:rowOff>1374140</xdr:rowOff>
    </xdr:to>
    <xdr:pic>
      <xdr:nvPicPr>
        <xdr:cNvPr id="9" name="图片 8"/>
        <xdr:cNvPicPr>
          <a:picLocks noChangeAspect="1"/>
        </xdr:cNvPicPr>
      </xdr:nvPicPr>
      <xdr:blipFill>
        <a:blip r:embed="rId8"/>
        <a:stretch>
          <a:fillRect/>
        </a:stretch>
      </xdr:blipFill>
      <xdr:spPr>
        <a:xfrm>
          <a:off x="5201920" y="11202035"/>
          <a:ext cx="1040130" cy="1334770"/>
        </a:xfrm>
        <a:prstGeom prst="rect">
          <a:avLst/>
        </a:prstGeom>
        <a:noFill/>
        <a:ln w="9525">
          <a:noFill/>
        </a:ln>
      </xdr:spPr>
    </xdr:pic>
    <xdr:clientData/>
  </xdr:twoCellAnchor>
  <xdr:twoCellAnchor>
    <xdr:from>
      <xdr:col>4</xdr:col>
      <xdr:colOff>314325</xdr:colOff>
      <xdr:row>10</xdr:row>
      <xdr:rowOff>91440</xdr:rowOff>
    </xdr:from>
    <xdr:to>
      <xdr:col>4</xdr:col>
      <xdr:colOff>1602105</xdr:colOff>
      <xdr:row>10</xdr:row>
      <xdr:rowOff>1448435</xdr:rowOff>
    </xdr:to>
    <xdr:pic>
      <xdr:nvPicPr>
        <xdr:cNvPr id="10" name="图片 9"/>
        <xdr:cNvPicPr>
          <a:picLocks noChangeAspect="1"/>
        </xdr:cNvPicPr>
      </xdr:nvPicPr>
      <xdr:blipFill>
        <a:blip r:embed="rId9"/>
        <a:stretch>
          <a:fillRect/>
        </a:stretch>
      </xdr:blipFill>
      <xdr:spPr>
        <a:xfrm>
          <a:off x="5116830" y="12728575"/>
          <a:ext cx="1287780" cy="1356995"/>
        </a:xfrm>
        <a:prstGeom prst="rect">
          <a:avLst/>
        </a:prstGeom>
        <a:noFill/>
        <a:ln w="9525">
          <a:noFill/>
        </a:ln>
      </xdr:spPr>
    </xdr:pic>
    <xdr:clientData/>
  </xdr:twoCellAnchor>
  <xdr:twoCellAnchor>
    <xdr:from>
      <xdr:col>4</xdr:col>
      <xdr:colOff>547370</xdr:colOff>
      <xdr:row>11</xdr:row>
      <xdr:rowOff>31115</xdr:rowOff>
    </xdr:from>
    <xdr:to>
      <xdr:col>4</xdr:col>
      <xdr:colOff>1497330</xdr:colOff>
      <xdr:row>11</xdr:row>
      <xdr:rowOff>1387475</xdr:rowOff>
    </xdr:to>
    <xdr:pic>
      <xdr:nvPicPr>
        <xdr:cNvPr id="11" name="图片 10"/>
        <xdr:cNvPicPr>
          <a:picLocks noChangeAspect="1"/>
        </xdr:cNvPicPr>
      </xdr:nvPicPr>
      <xdr:blipFill>
        <a:blip r:embed="rId10"/>
        <a:stretch>
          <a:fillRect/>
        </a:stretch>
      </xdr:blipFill>
      <xdr:spPr>
        <a:xfrm>
          <a:off x="5349875" y="14142720"/>
          <a:ext cx="949960" cy="1356360"/>
        </a:xfrm>
        <a:prstGeom prst="rect">
          <a:avLst/>
        </a:prstGeom>
        <a:noFill/>
        <a:ln w="9525">
          <a:noFill/>
        </a:ln>
      </xdr:spPr>
    </xdr:pic>
    <xdr:clientData/>
  </xdr:twoCellAnchor>
  <xdr:twoCellAnchor>
    <xdr:from>
      <xdr:col>4</xdr:col>
      <xdr:colOff>187960</xdr:colOff>
      <xdr:row>12</xdr:row>
      <xdr:rowOff>53340</xdr:rowOff>
    </xdr:from>
    <xdr:to>
      <xdr:col>4</xdr:col>
      <xdr:colOff>1456690</xdr:colOff>
      <xdr:row>12</xdr:row>
      <xdr:rowOff>1450975</xdr:rowOff>
    </xdr:to>
    <xdr:pic>
      <xdr:nvPicPr>
        <xdr:cNvPr id="12" name="图片 11"/>
        <xdr:cNvPicPr>
          <a:picLocks noChangeAspect="1"/>
        </xdr:cNvPicPr>
      </xdr:nvPicPr>
      <xdr:blipFill>
        <a:blip r:embed="rId11"/>
        <a:stretch>
          <a:fillRect/>
        </a:stretch>
      </xdr:blipFill>
      <xdr:spPr>
        <a:xfrm>
          <a:off x="4990465" y="15624810"/>
          <a:ext cx="1268730" cy="1397635"/>
        </a:xfrm>
        <a:prstGeom prst="rect">
          <a:avLst/>
        </a:prstGeom>
        <a:noFill/>
        <a:ln w="9525">
          <a:noFill/>
        </a:ln>
      </xdr:spPr>
    </xdr:pic>
    <xdr:clientData/>
  </xdr:twoCellAnchor>
  <xdr:twoCellAnchor>
    <xdr:from>
      <xdr:col>4</xdr:col>
      <xdr:colOff>219710</xdr:colOff>
      <xdr:row>13</xdr:row>
      <xdr:rowOff>81280</xdr:rowOff>
    </xdr:from>
    <xdr:to>
      <xdr:col>4</xdr:col>
      <xdr:colOff>1630680</xdr:colOff>
      <xdr:row>13</xdr:row>
      <xdr:rowOff>1292860</xdr:rowOff>
    </xdr:to>
    <xdr:pic>
      <xdr:nvPicPr>
        <xdr:cNvPr id="13" name="图片 12"/>
        <xdr:cNvPicPr>
          <a:picLocks noChangeAspect="1"/>
        </xdr:cNvPicPr>
      </xdr:nvPicPr>
      <xdr:blipFill>
        <a:blip r:embed="rId12"/>
        <a:stretch>
          <a:fillRect/>
        </a:stretch>
      </xdr:blipFill>
      <xdr:spPr>
        <a:xfrm>
          <a:off x="5022215" y="17176750"/>
          <a:ext cx="1410970" cy="1211580"/>
        </a:xfrm>
        <a:prstGeom prst="rect">
          <a:avLst/>
        </a:prstGeom>
        <a:noFill/>
        <a:ln w="9525">
          <a:noFill/>
        </a:ln>
      </xdr:spPr>
    </xdr:pic>
    <xdr:clientData/>
  </xdr:twoCellAnchor>
  <xdr:twoCellAnchor>
    <xdr:from>
      <xdr:col>4</xdr:col>
      <xdr:colOff>69850</xdr:colOff>
      <xdr:row>14</xdr:row>
      <xdr:rowOff>359410</xdr:rowOff>
    </xdr:from>
    <xdr:to>
      <xdr:col>4</xdr:col>
      <xdr:colOff>1647825</xdr:colOff>
      <xdr:row>14</xdr:row>
      <xdr:rowOff>1540510</xdr:rowOff>
    </xdr:to>
    <xdr:pic>
      <xdr:nvPicPr>
        <xdr:cNvPr id="14" name="图片 13"/>
        <xdr:cNvPicPr>
          <a:picLocks noChangeAspect="1"/>
        </xdr:cNvPicPr>
      </xdr:nvPicPr>
      <xdr:blipFill>
        <a:blip r:embed="rId13"/>
        <a:stretch>
          <a:fillRect/>
        </a:stretch>
      </xdr:blipFill>
      <xdr:spPr>
        <a:xfrm>
          <a:off x="4872355" y="18891250"/>
          <a:ext cx="1577975" cy="1181100"/>
        </a:xfrm>
        <a:prstGeom prst="rect">
          <a:avLst/>
        </a:prstGeom>
        <a:noFill/>
        <a:ln w="9525">
          <a:noFill/>
        </a:ln>
      </xdr:spPr>
    </xdr:pic>
    <xdr:clientData/>
  </xdr:twoCellAnchor>
  <xdr:twoCellAnchor>
    <xdr:from>
      <xdr:col>4</xdr:col>
      <xdr:colOff>481965</xdr:colOff>
      <xdr:row>15</xdr:row>
      <xdr:rowOff>29845</xdr:rowOff>
    </xdr:from>
    <xdr:to>
      <xdr:col>4</xdr:col>
      <xdr:colOff>1604645</xdr:colOff>
      <xdr:row>15</xdr:row>
      <xdr:rowOff>1470660</xdr:rowOff>
    </xdr:to>
    <xdr:pic>
      <xdr:nvPicPr>
        <xdr:cNvPr id="15" name="图片 14"/>
        <xdr:cNvPicPr>
          <a:picLocks noChangeAspect="1"/>
        </xdr:cNvPicPr>
      </xdr:nvPicPr>
      <xdr:blipFill>
        <a:blip r:embed="rId14"/>
        <a:stretch>
          <a:fillRect/>
        </a:stretch>
      </xdr:blipFill>
      <xdr:spPr>
        <a:xfrm>
          <a:off x="5284470" y="20593050"/>
          <a:ext cx="1122680" cy="1440815"/>
        </a:xfrm>
        <a:prstGeom prst="rect">
          <a:avLst/>
        </a:prstGeom>
        <a:noFill/>
        <a:ln w="9525">
          <a:noFill/>
        </a:ln>
      </xdr:spPr>
    </xdr:pic>
    <xdr:clientData/>
  </xdr:twoCellAnchor>
  <xdr:twoCellAnchor>
    <xdr:from>
      <xdr:col>4</xdr:col>
      <xdr:colOff>145415</xdr:colOff>
      <xdr:row>16</xdr:row>
      <xdr:rowOff>113030</xdr:rowOff>
    </xdr:from>
    <xdr:to>
      <xdr:col>4</xdr:col>
      <xdr:colOff>1823720</xdr:colOff>
      <xdr:row>16</xdr:row>
      <xdr:rowOff>1313180</xdr:rowOff>
    </xdr:to>
    <xdr:pic>
      <xdr:nvPicPr>
        <xdr:cNvPr id="16" name="图片 15"/>
        <xdr:cNvPicPr>
          <a:picLocks noChangeAspect="1"/>
        </xdr:cNvPicPr>
      </xdr:nvPicPr>
      <xdr:blipFill>
        <a:blip r:embed="rId15"/>
        <a:stretch>
          <a:fillRect/>
        </a:stretch>
      </xdr:blipFill>
      <xdr:spPr>
        <a:xfrm>
          <a:off x="4947920" y="22174200"/>
          <a:ext cx="1548765" cy="1200150"/>
        </a:xfrm>
        <a:prstGeom prst="rect">
          <a:avLst/>
        </a:prstGeom>
        <a:noFill/>
        <a:ln w="9525">
          <a:noFill/>
        </a:ln>
      </xdr:spPr>
    </xdr:pic>
    <xdr:clientData/>
  </xdr:twoCellAnchor>
  <xdr:twoCellAnchor editAs="oneCell">
    <xdr:from>
      <xdr:col>4</xdr:col>
      <xdr:colOff>90170</xdr:colOff>
      <xdr:row>17</xdr:row>
      <xdr:rowOff>510540</xdr:rowOff>
    </xdr:from>
    <xdr:to>
      <xdr:col>5</xdr:col>
      <xdr:colOff>0</xdr:colOff>
      <xdr:row>17</xdr:row>
      <xdr:rowOff>1674495</xdr:rowOff>
    </xdr:to>
    <xdr:pic>
      <xdr:nvPicPr>
        <xdr:cNvPr id="17" name="图片 16"/>
        <xdr:cNvPicPr>
          <a:picLocks noChangeAspect="1"/>
        </xdr:cNvPicPr>
      </xdr:nvPicPr>
      <xdr:blipFill>
        <a:blip r:embed="rId16"/>
        <a:stretch>
          <a:fillRect/>
        </a:stretch>
      </xdr:blipFill>
      <xdr:spPr>
        <a:xfrm>
          <a:off x="4892675" y="23993475"/>
          <a:ext cx="1604010" cy="1163955"/>
        </a:xfrm>
        <a:prstGeom prst="rect">
          <a:avLst/>
        </a:prstGeom>
        <a:solidFill>
          <a:schemeClr val="accent3">
            <a:lumMod val="20000"/>
            <a:lumOff val="80000"/>
          </a:schemeClr>
        </a:solid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9</xdr:row>
      <xdr:rowOff>155575</xdr:rowOff>
    </xdr:from>
    <xdr:to>
      <xdr:col>2</xdr:col>
      <xdr:colOff>688340</xdr:colOff>
      <xdr:row>29</xdr:row>
      <xdr:rowOff>97790</xdr:rowOff>
    </xdr:to>
    <xdr:graphicFrame>
      <xdr:nvGraphicFramePr>
        <xdr:cNvPr id="2" name="图表 1"/>
        <xdr:cNvGraphicFramePr/>
      </xdr:nvGraphicFramePr>
      <xdr:xfrm>
        <a:off x="9525" y="2041525"/>
        <a:ext cx="3963670" cy="34982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708025</xdr:colOff>
      <xdr:row>10</xdr:row>
      <xdr:rowOff>22225</xdr:rowOff>
    </xdr:from>
    <xdr:to>
      <xdr:col>6</xdr:col>
      <xdr:colOff>22860</xdr:colOff>
      <xdr:row>29</xdr:row>
      <xdr:rowOff>69215</xdr:rowOff>
    </xdr:to>
    <xdr:graphicFrame>
      <xdr:nvGraphicFramePr>
        <xdr:cNvPr id="3" name="图表 2"/>
        <xdr:cNvGraphicFramePr/>
      </xdr:nvGraphicFramePr>
      <xdr:xfrm>
        <a:off x="3973195" y="2085975"/>
        <a:ext cx="3724910" cy="34251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22225</xdr:colOff>
      <xdr:row>10</xdr:row>
      <xdr:rowOff>41275</xdr:rowOff>
    </xdr:from>
    <xdr:to>
      <xdr:col>8</xdr:col>
      <xdr:colOff>1175385</xdr:colOff>
      <xdr:row>29</xdr:row>
      <xdr:rowOff>78105</xdr:rowOff>
    </xdr:to>
    <xdr:graphicFrame>
      <xdr:nvGraphicFramePr>
        <xdr:cNvPr id="4" name="图表 3"/>
        <xdr:cNvGraphicFramePr/>
      </xdr:nvGraphicFramePr>
      <xdr:xfrm>
        <a:off x="7697470" y="2105025"/>
        <a:ext cx="3933190" cy="341503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1165225</xdr:colOff>
      <xdr:row>10</xdr:row>
      <xdr:rowOff>50800</xdr:rowOff>
    </xdr:from>
    <xdr:to>
      <xdr:col>11</xdr:col>
      <xdr:colOff>918210</xdr:colOff>
      <xdr:row>29</xdr:row>
      <xdr:rowOff>60960</xdr:rowOff>
    </xdr:to>
    <xdr:graphicFrame>
      <xdr:nvGraphicFramePr>
        <xdr:cNvPr id="5" name="图表 4"/>
        <xdr:cNvGraphicFramePr/>
      </xdr:nvGraphicFramePr>
      <xdr:xfrm>
        <a:off x="11630660" y="2114550"/>
        <a:ext cx="4077335" cy="33883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4</xdr:col>
      <xdr:colOff>151765</xdr:colOff>
      <xdr:row>2</xdr:row>
      <xdr:rowOff>50165</xdr:rowOff>
    </xdr:from>
    <xdr:to>
      <xdr:col>4</xdr:col>
      <xdr:colOff>1203325</xdr:colOff>
      <xdr:row>2</xdr:row>
      <xdr:rowOff>1034415</xdr:rowOff>
    </xdr:to>
    <xdr:pic>
      <xdr:nvPicPr>
        <xdr:cNvPr id="2" name="图片 1"/>
        <xdr:cNvPicPr>
          <a:picLocks noChangeAspect="1"/>
        </xdr:cNvPicPr>
      </xdr:nvPicPr>
      <xdr:blipFill>
        <a:blip r:embed="rId1"/>
        <a:stretch>
          <a:fillRect/>
        </a:stretch>
      </xdr:blipFill>
      <xdr:spPr>
        <a:xfrm>
          <a:off x="3924300" y="553085"/>
          <a:ext cx="1051560" cy="984250"/>
        </a:xfrm>
        <a:prstGeom prst="rect">
          <a:avLst/>
        </a:prstGeom>
        <a:noFill/>
        <a:ln w="9525">
          <a:noFill/>
        </a:ln>
      </xdr:spPr>
    </xdr:pic>
    <xdr:clientData/>
  </xdr:twoCellAnchor>
  <xdr:twoCellAnchor>
    <xdr:from>
      <xdr:col>5</xdr:col>
      <xdr:colOff>114300</xdr:colOff>
      <xdr:row>2</xdr:row>
      <xdr:rowOff>180975</xdr:rowOff>
    </xdr:from>
    <xdr:to>
      <xdr:col>5</xdr:col>
      <xdr:colOff>1233805</xdr:colOff>
      <xdr:row>2</xdr:row>
      <xdr:rowOff>906780</xdr:rowOff>
    </xdr:to>
    <xdr:pic>
      <xdr:nvPicPr>
        <xdr:cNvPr id="3" name="图片 2"/>
        <xdr:cNvPicPr>
          <a:picLocks noChangeAspect="1"/>
        </xdr:cNvPicPr>
      </xdr:nvPicPr>
      <xdr:blipFill>
        <a:blip r:embed="rId2"/>
        <a:stretch>
          <a:fillRect/>
        </a:stretch>
      </xdr:blipFill>
      <xdr:spPr>
        <a:xfrm>
          <a:off x="5135245" y="683895"/>
          <a:ext cx="1099185" cy="725805"/>
        </a:xfrm>
        <a:prstGeom prst="rect">
          <a:avLst/>
        </a:prstGeom>
        <a:noFill/>
        <a:ln w="9525">
          <a:noFill/>
        </a:ln>
      </xdr:spPr>
    </xdr:pic>
    <xdr:clientData/>
  </xdr:twoCellAnchor>
  <xdr:twoCellAnchor>
    <xdr:from>
      <xdr:col>6</xdr:col>
      <xdr:colOff>225425</xdr:colOff>
      <xdr:row>2</xdr:row>
      <xdr:rowOff>19050</xdr:rowOff>
    </xdr:from>
    <xdr:to>
      <xdr:col>6</xdr:col>
      <xdr:colOff>1012190</xdr:colOff>
      <xdr:row>2</xdr:row>
      <xdr:rowOff>1023620</xdr:rowOff>
    </xdr:to>
    <xdr:pic>
      <xdr:nvPicPr>
        <xdr:cNvPr id="4" name="图片 3"/>
        <xdr:cNvPicPr>
          <a:picLocks noChangeAspect="1"/>
        </xdr:cNvPicPr>
      </xdr:nvPicPr>
      <xdr:blipFill>
        <a:blip r:embed="rId3"/>
        <a:stretch>
          <a:fillRect/>
        </a:stretch>
      </xdr:blipFill>
      <xdr:spPr>
        <a:xfrm>
          <a:off x="6459855" y="521970"/>
          <a:ext cx="786765" cy="1004570"/>
        </a:xfrm>
        <a:prstGeom prst="rect">
          <a:avLst/>
        </a:prstGeom>
        <a:noFill/>
        <a:ln w="9525">
          <a:noFill/>
        </a:ln>
      </xdr:spPr>
    </xdr:pic>
    <xdr:clientData/>
  </xdr:twoCellAnchor>
  <xdr:twoCellAnchor>
    <xdr:from>
      <xdr:col>7</xdr:col>
      <xdr:colOff>300990</xdr:colOff>
      <xdr:row>2</xdr:row>
      <xdr:rowOff>37465</xdr:rowOff>
    </xdr:from>
    <xdr:to>
      <xdr:col>7</xdr:col>
      <xdr:colOff>997585</xdr:colOff>
      <xdr:row>2</xdr:row>
      <xdr:rowOff>1032510</xdr:rowOff>
    </xdr:to>
    <xdr:pic>
      <xdr:nvPicPr>
        <xdr:cNvPr id="5" name="图片 4"/>
        <xdr:cNvPicPr>
          <a:picLocks noChangeAspect="1"/>
        </xdr:cNvPicPr>
      </xdr:nvPicPr>
      <xdr:blipFill>
        <a:blip r:embed="rId4"/>
        <a:stretch>
          <a:fillRect/>
        </a:stretch>
      </xdr:blipFill>
      <xdr:spPr>
        <a:xfrm>
          <a:off x="7687945" y="540385"/>
          <a:ext cx="696595" cy="995045"/>
        </a:xfrm>
        <a:prstGeom prst="rect">
          <a:avLst/>
        </a:prstGeom>
        <a:noFill/>
        <a:ln w="9525">
          <a:noFill/>
        </a:ln>
      </xdr:spPr>
    </xdr:pic>
    <xdr:clientData/>
  </xdr:twoCellAnchor>
  <xdr:twoCellAnchor>
    <xdr:from>
      <xdr:col>8</xdr:col>
      <xdr:colOff>219710</xdr:colOff>
      <xdr:row>2</xdr:row>
      <xdr:rowOff>50165</xdr:rowOff>
    </xdr:from>
    <xdr:to>
      <xdr:col>8</xdr:col>
      <xdr:colOff>1087755</xdr:colOff>
      <xdr:row>2</xdr:row>
      <xdr:rowOff>1007110</xdr:rowOff>
    </xdr:to>
    <xdr:pic>
      <xdr:nvPicPr>
        <xdr:cNvPr id="6" name="图片 5"/>
        <xdr:cNvPicPr>
          <a:picLocks noChangeAspect="1"/>
        </xdr:cNvPicPr>
      </xdr:nvPicPr>
      <xdr:blipFill>
        <a:blip r:embed="rId5"/>
        <a:stretch>
          <a:fillRect/>
        </a:stretch>
      </xdr:blipFill>
      <xdr:spPr>
        <a:xfrm>
          <a:off x="8785225" y="553085"/>
          <a:ext cx="836930" cy="956945"/>
        </a:xfrm>
        <a:prstGeom prst="rect">
          <a:avLst/>
        </a:prstGeom>
        <a:noFill/>
        <a:ln w="9525">
          <a:noFill/>
        </a:ln>
      </xdr:spPr>
    </xdr:pic>
    <xdr:clientData/>
  </xdr:twoCellAnchor>
  <xdr:twoCellAnchor>
    <xdr:from>
      <xdr:col>9</xdr:col>
      <xdr:colOff>56515</xdr:colOff>
      <xdr:row>2</xdr:row>
      <xdr:rowOff>79375</xdr:rowOff>
    </xdr:from>
    <xdr:to>
      <xdr:col>9</xdr:col>
      <xdr:colOff>1020445</xdr:colOff>
      <xdr:row>2</xdr:row>
      <xdr:rowOff>906780</xdr:rowOff>
    </xdr:to>
    <xdr:pic>
      <xdr:nvPicPr>
        <xdr:cNvPr id="7" name="图片 6"/>
        <xdr:cNvPicPr>
          <a:picLocks noChangeAspect="1"/>
        </xdr:cNvPicPr>
      </xdr:nvPicPr>
      <xdr:blipFill>
        <a:blip r:embed="rId6"/>
        <a:stretch>
          <a:fillRect/>
        </a:stretch>
      </xdr:blipFill>
      <xdr:spPr>
        <a:xfrm>
          <a:off x="9678670" y="582295"/>
          <a:ext cx="912495" cy="827405"/>
        </a:xfrm>
        <a:prstGeom prst="rect">
          <a:avLst/>
        </a:prstGeom>
        <a:noFill/>
        <a:ln w="9525">
          <a:noFill/>
        </a:ln>
      </xdr:spPr>
    </xdr:pic>
    <xdr:clientData/>
  </xdr:twoCellAnchor>
  <xdr:twoCellAnchor>
    <xdr:from>
      <xdr:col>10</xdr:col>
      <xdr:colOff>85090</xdr:colOff>
      <xdr:row>2</xdr:row>
      <xdr:rowOff>125730</xdr:rowOff>
    </xdr:from>
    <xdr:to>
      <xdr:col>10</xdr:col>
      <xdr:colOff>1177290</xdr:colOff>
      <xdr:row>2</xdr:row>
      <xdr:rowOff>942975</xdr:rowOff>
    </xdr:to>
    <xdr:pic>
      <xdr:nvPicPr>
        <xdr:cNvPr id="8" name="图片 7"/>
        <xdr:cNvPicPr>
          <a:picLocks noChangeAspect="1"/>
        </xdr:cNvPicPr>
      </xdr:nvPicPr>
      <xdr:blipFill>
        <a:blip r:embed="rId7"/>
        <a:stretch>
          <a:fillRect/>
        </a:stretch>
      </xdr:blipFill>
      <xdr:spPr>
        <a:xfrm>
          <a:off x="10676255" y="628650"/>
          <a:ext cx="1076325" cy="817245"/>
        </a:xfrm>
        <a:prstGeom prst="rect">
          <a:avLst/>
        </a:prstGeom>
        <a:noFill/>
        <a:ln w="9525">
          <a:noFill/>
        </a:ln>
      </xdr:spPr>
    </xdr:pic>
    <xdr:clientData/>
  </xdr:twoCellAnchor>
  <xdr:twoCellAnchor>
    <xdr:from>
      <xdr:col>11</xdr:col>
      <xdr:colOff>137160</xdr:colOff>
      <xdr:row>2</xdr:row>
      <xdr:rowOff>142875</xdr:rowOff>
    </xdr:from>
    <xdr:to>
      <xdr:col>11</xdr:col>
      <xdr:colOff>1316355</xdr:colOff>
      <xdr:row>2</xdr:row>
      <xdr:rowOff>986155</xdr:rowOff>
    </xdr:to>
    <xdr:pic>
      <xdr:nvPicPr>
        <xdr:cNvPr id="9" name="图片 8"/>
        <xdr:cNvPicPr>
          <a:picLocks noChangeAspect="1"/>
        </xdr:cNvPicPr>
      </xdr:nvPicPr>
      <xdr:blipFill>
        <a:blip r:embed="rId8"/>
        <a:stretch>
          <a:fillRect/>
        </a:stretch>
      </xdr:blipFill>
      <xdr:spPr>
        <a:xfrm>
          <a:off x="11889740" y="645795"/>
          <a:ext cx="1129030" cy="84328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170180</xdr:colOff>
      <xdr:row>2</xdr:row>
      <xdr:rowOff>76200</xdr:rowOff>
    </xdr:from>
    <xdr:to>
      <xdr:col>1</xdr:col>
      <xdr:colOff>1803400</xdr:colOff>
      <xdr:row>2</xdr:row>
      <xdr:rowOff>1195070</xdr:rowOff>
    </xdr:to>
    <xdr:pic>
      <xdr:nvPicPr>
        <xdr:cNvPr id="2" name="图片 1"/>
        <xdr:cNvPicPr>
          <a:picLocks noChangeAspect="1"/>
        </xdr:cNvPicPr>
      </xdr:nvPicPr>
      <xdr:blipFill>
        <a:blip r:embed="rId1"/>
        <a:stretch>
          <a:fillRect/>
        </a:stretch>
      </xdr:blipFill>
      <xdr:spPr>
        <a:xfrm>
          <a:off x="537210" y="733425"/>
          <a:ext cx="1633220" cy="1118870"/>
        </a:xfrm>
        <a:prstGeom prst="rect">
          <a:avLst/>
        </a:prstGeom>
        <a:noFill/>
        <a:ln w="9525">
          <a:noFill/>
        </a:ln>
      </xdr:spPr>
    </xdr:pic>
    <xdr:clientData/>
  </xdr:twoCellAnchor>
  <xdr:twoCellAnchor editAs="oneCell">
    <xdr:from>
      <xdr:col>1</xdr:col>
      <xdr:colOff>202565</xdr:colOff>
      <xdr:row>2</xdr:row>
      <xdr:rowOff>1180465</xdr:rowOff>
    </xdr:from>
    <xdr:to>
      <xdr:col>1</xdr:col>
      <xdr:colOff>1808480</xdr:colOff>
      <xdr:row>2</xdr:row>
      <xdr:rowOff>2388870</xdr:rowOff>
    </xdr:to>
    <xdr:pic>
      <xdr:nvPicPr>
        <xdr:cNvPr id="3" name="图片 2" descr="c27524fa313f5e395253502111af954"/>
        <xdr:cNvPicPr>
          <a:picLocks noChangeAspect="1"/>
        </xdr:cNvPicPr>
      </xdr:nvPicPr>
      <xdr:blipFill>
        <a:blip r:embed="rId2"/>
        <a:stretch>
          <a:fillRect/>
        </a:stretch>
      </xdr:blipFill>
      <xdr:spPr>
        <a:xfrm>
          <a:off x="569595" y="1837690"/>
          <a:ext cx="1605915" cy="1208405"/>
        </a:xfrm>
        <a:prstGeom prst="rect">
          <a:avLst/>
        </a:prstGeom>
      </xdr:spPr>
    </xdr:pic>
    <xdr:clientData/>
  </xdr:twoCellAnchor>
  <xdr:twoCellAnchor>
    <xdr:from>
      <xdr:col>1</xdr:col>
      <xdr:colOff>81280</xdr:colOff>
      <xdr:row>19</xdr:row>
      <xdr:rowOff>125730</xdr:rowOff>
    </xdr:from>
    <xdr:to>
      <xdr:col>2</xdr:col>
      <xdr:colOff>121285</xdr:colOff>
      <xdr:row>19</xdr:row>
      <xdr:rowOff>1579880</xdr:rowOff>
    </xdr:to>
    <xdr:pic>
      <xdr:nvPicPr>
        <xdr:cNvPr id="4" name="图片 3"/>
        <xdr:cNvPicPr>
          <a:picLocks noChangeAspect="1"/>
        </xdr:cNvPicPr>
      </xdr:nvPicPr>
      <xdr:blipFill>
        <a:blip r:embed="rId3"/>
        <a:stretch>
          <a:fillRect/>
        </a:stretch>
      </xdr:blipFill>
      <xdr:spPr>
        <a:xfrm>
          <a:off x="448310" y="9051290"/>
          <a:ext cx="1978660" cy="1454150"/>
        </a:xfrm>
        <a:prstGeom prst="rect">
          <a:avLst/>
        </a:prstGeom>
        <a:noFill/>
        <a:ln w="9525">
          <a:noFill/>
        </a:ln>
      </xdr:spPr>
    </xdr:pic>
    <xdr:clientData/>
  </xdr:twoCellAnchor>
  <xdr:twoCellAnchor>
    <xdr:from>
      <xdr:col>2</xdr:col>
      <xdr:colOff>981075</xdr:colOff>
      <xdr:row>19</xdr:row>
      <xdr:rowOff>278765</xdr:rowOff>
    </xdr:from>
    <xdr:to>
      <xdr:col>3</xdr:col>
      <xdr:colOff>1557655</xdr:colOff>
      <xdr:row>19</xdr:row>
      <xdr:rowOff>1515110</xdr:rowOff>
    </xdr:to>
    <xdr:pic>
      <xdr:nvPicPr>
        <xdr:cNvPr id="5" name="图片 4"/>
        <xdr:cNvPicPr>
          <a:picLocks noChangeAspect="1"/>
        </xdr:cNvPicPr>
      </xdr:nvPicPr>
      <xdr:blipFill>
        <a:blip r:embed="rId4"/>
        <a:stretch>
          <a:fillRect/>
        </a:stretch>
      </xdr:blipFill>
      <xdr:spPr>
        <a:xfrm>
          <a:off x="3286760" y="9204325"/>
          <a:ext cx="2340610" cy="1236345"/>
        </a:xfrm>
        <a:prstGeom prst="rect">
          <a:avLst/>
        </a:prstGeom>
        <a:noFill/>
        <a:ln w="9525">
          <a:noFill/>
        </a:ln>
      </xdr:spPr>
    </xdr:pic>
    <xdr:clientData/>
  </xdr:twoCellAnchor>
  <xdr:twoCellAnchor>
    <xdr:from>
      <xdr:col>4</xdr:col>
      <xdr:colOff>212725</xdr:colOff>
      <xdr:row>19</xdr:row>
      <xdr:rowOff>44450</xdr:rowOff>
    </xdr:from>
    <xdr:to>
      <xdr:col>4</xdr:col>
      <xdr:colOff>1571625</xdr:colOff>
      <xdr:row>19</xdr:row>
      <xdr:rowOff>1681480</xdr:rowOff>
    </xdr:to>
    <xdr:pic>
      <xdr:nvPicPr>
        <xdr:cNvPr id="6" name="图片 5"/>
        <xdr:cNvPicPr>
          <a:picLocks noChangeAspect="1"/>
        </xdr:cNvPicPr>
      </xdr:nvPicPr>
      <xdr:blipFill>
        <a:blip r:embed="rId5"/>
        <a:stretch>
          <a:fillRect/>
        </a:stretch>
      </xdr:blipFill>
      <xdr:spPr>
        <a:xfrm>
          <a:off x="6675120" y="8970010"/>
          <a:ext cx="1358900" cy="163703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10</xdr:row>
      <xdr:rowOff>76200</xdr:rowOff>
    </xdr:from>
    <xdr:to>
      <xdr:col>11</xdr:col>
      <xdr:colOff>608330</xdr:colOff>
      <xdr:row>14</xdr:row>
      <xdr:rowOff>171450</xdr:rowOff>
    </xdr:to>
    <xdr:pic>
      <xdr:nvPicPr>
        <xdr:cNvPr id="2" name="图片 1"/>
        <xdr:cNvPicPr>
          <a:picLocks noChangeAspect="1"/>
        </xdr:cNvPicPr>
      </xdr:nvPicPr>
      <xdr:blipFill>
        <a:blip r:embed="rId1"/>
        <a:stretch>
          <a:fillRect/>
        </a:stretch>
      </xdr:blipFill>
      <xdr:spPr>
        <a:xfrm>
          <a:off x="0" y="3022600"/>
          <a:ext cx="9182735" cy="933450"/>
        </a:xfrm>
        <a:prstGeom prst="rect">
          <a:avLst/>
        </a:prstGeom>
        <a:noFill/>
        <a:ln w="9525">
          <a:noFill/>
        </a:ln>
      </xdr:spPr>
    </xdr:pic>
    <xdr:clientData/>
  </xdr:twoCellAnchor>
  <xdr:twoCellAnchor editAs="oneCell">
    <xdr:from>
      <xdr:col>0</xdr:col>
      <xdr:colOff>1270</xdr:colOff>
      <xdr:row>14</xdr:row>
      <xdr:rowOff>150495</xdr:rowOff>
    </xdr:from>
    <xdr:to>
      <xdr:col>19</xdr:col>
      <xdr:colOff>791845</xdr:colOff>
      <xdr:row>26</xdr:row>
      <xdr:rowOff>17145</xdr:rowOff>
    </xdr:to>
    <xdr:pic>
      <xdr:nvPicPr>
        <xdr:cNvPr id="4" name="图片 3"/>
        <xdr:cNvPicPr>
          <a:picLocks noChangeAspect="1"/>
        </xdr:cNvPicPr>
      </xdr:nvPicPr>
      <xdr:blipFill>
        <a:blip r:embed="rId2"/>
        <a:stretch>
          <a:fillRect/>
        </a:stretch>
      </xdr:blipFill>
      <xdr:spPr>
        <a:xfrm>
          <a:off x="1270" y="3935095"/>
          <a:ext cx="16018510" cy="238125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mark\Library\Containers\com.tencent.xinWeChat\Data\Library\Application%20Support\com.tencent.xinWeChat\2.0b4.0.9\1946ea36e1873fed7a9e3a25edb9ca07\Message\MessageTemp\0de40cb3a74c4f82dd43d9bb58660765\File\\dico\Cassie\&#24464;&#33635;&#24425;\&#27721;&#21360;\&#26631;&#31614;&#25171;&#21360;&#26426;\&#25171;&#21360;&#2642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竞对分析"/>
      <sheetName val="用户场景分析"/>
      <sheetName val="用户需求分析"/>
      <sheetName val="数据源"/>
    </sheetNames>
    <sheetDataSet>
      <sheetData sheetId="0"/>
      <sheetData sheetId="1">
        <row r="2">
          <cell r="A2" t="str">
            <v>label maker</v>
          </cell>
        </row>
        <row r="2">
          <cell r="C2">
            <v>0.140419480981159</v>
          </cell>
          <cell r="D2" t="str">
            <v>officer</v>
          </cell>
        </row>
        <row r="2">
          <cell r="F2">
            <v>0.722916666666667</v>
          </cell>
          <cell r="G2" t="str">
            <v>office</v>
          </cell>
        </row>
        <row r="2">
          <cell r="I2">
            <v>0.93125</v>
          </cell>
          <cell r="J2" t="str">
            <v>easy to use</v>
          </cell>
        </row>
        <row r="2">
          <cell r="L2">
            <v>0.715859030837004</v>
          </cell>
        </row>
        <row r="3">
          <cell r="A3" t="str">
            <v>label printer</v>
          </cell>
        </row>
        <row r="3">
          <cell r="C3">
            <v>0.491290437255599</v>
          </cell>
          <cell r="D3" t="str">
            <v>seller</v>
          </cell>
        </row>
        <row r="3">
          <cell r="F3">
            <v>0.2625</v>
          </cell>
          <cell r="G3" t="str">
            <v>company</v>
          </cell>
        </row>
        <row r="3">
          <cell r="I3">
            <v>0.472916666666667</v>
          </cell>
          <cell r="J3" t="str">
            <v>print clear</v>
          </cell>
        </row>
        <row r="3">
          <cell r="L3">
            <v>0.11784140969163</v>
          </cell>
        </row>
        <row r="4">
          <cell r="A4" t="str">
            <v>shipping label printer</v>
          </cell>
        </row>
        <row r="4">
          <cell r="C4">
            <v>0.159260575897618</v>
          </cell>
          <cell r="D4" t="str">
            <v>doctor/nurse/teacher</v>
          </cell>
        </row>
        <row r="4">
          <cell r="F4">
            <v>0.0145833333333333</v>
          </cell>
          <cell r="G4" t="str">
            <v>shop/store</v>
          </cell>
        </row>
        <row r="4">
          <cell r="I4">
            <v>0.516666666666667</v>
          </cell>
          <cell r="J4" t="str">
            <v>good label quality</v>
          </cell>
        </row>
        <row r="4">
          <cell r="L4">
            <v>0.0418502202643172</v>
          </cell>
        </row>
        <row r="5">
          <cell r="A5" t="str">
            <v>label maker machine</v>
          </cell>
        </row>
        <row r="5">
          <cell r="C5">
            <v>0.032705296836118</v>
          </cell>
          <cell r="D5" t="str">
            <v>express/shipper</v>
          </cell>
        </row>
        <row r="5">
          <cell r="F5">
            <v>0.04375</v>
          </cell>
          <cell r="G5" t="str">
            <v>logistics/express</v>
          </cell>
        </row>
        <row r="5">
          <cell r="I5">
            <v>0.0270833333333333</v>
          </cell>
          <cell r="J5" t="str">
            <v>fast print speed, don't jam</v>
          </cell>
        </row>
        <row r="5">
          <cell r="L5">
            <v>0.0363436123348018</v>
          </cell>
        </row>
        <row r="6">
          <cell r="A6" t="str">
            <v>thermal printer</v>
          </cell>
        </row>
        <row r="6">
          <cell r="C6">
            <v>0.135442587984358</v>
          </cell>
        </row>
        <row r="6">
          <cell r="G6" t="str">
            <v>family</v>
          </cell>
        </row>
        <row r="6">
          <cell r="I6">
            <v>0.0229166666666667</v>
          </cell>
          <cell r="J6" t="str">
            <v>easy to connect, good compatibility</v>
          </cell>
        </row>
        <row r="6">
          <cell r="L6">
            <v>0.0473568281938326</v>
          </cell>
        </row>
        <row r="7">
          <cell r="A7" t="str">
            <v>barcode printer</v>
          </cell>
        </row>
        <row r="7">
          <cell r="C7">
            <v>0.0408816210451475</v>
          </cell>
        </row>
        <row r="7">
          <cell r="G7" t="str">
            <v>hospital</v>
          </cell>
        </row>
        <row r="7">
          <cell r="I7">
            <v>0.00833333333333333</v>
          </cell>
          <cell r="J7" t="str">
            <v>print accurate</v>
          </cell>
        </row>
        <row r="7">
          <cell r="L7">
            <v>0.0187224669603524</v>
          </cell>
        </row>
        <row r="8">
          <cell r="A8" t="str">
            <v>usps label printer</v>
          </cell>
        </row>
        <row r="8">
          <cell r="C8">
            <v>0.0330607891930323</v>
          </cell>
        </row>
        <row r="8">
          <cell r="J8" t="str">
            <v>saving paper</v>
          </cell>
        </row>
        <row r="8">
          <cell r="L8">
            <v>0.0220264317180617</v>
          </cell>
        </row>
        <row r="9">
          <cell r="A9" t="str">
            <v>label printer for shipping packages</v>
          </cell>
        </row>
        <row r="9">
          <cell r="C9">
            <v>0.0202630643441166</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4096.5831134259" refreshedBy="cassie" recordCount="0">
  <cacheSource type="worksheet">
    <worksheetSource ref="A2:N50" sheet="数据源"/>
  </cacheSource>
  <cacheFields count="14">
    <cacheField name="排名" numFmtId="0">
      <sharedItems containsSemiMixedTypes="0" containsString="0" containsNumber="1" containsInteger="1" minValue="0" maxValue="48" count="4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sharedItems>
    </cacheField>
    <cacheField name="大类排名" numFmtId="0">
      <sharedItems count="48">
        <s v="#526"/>
        <s v="#633"/>
        <s v="#1,630"/>
        <s v="#3,908"/>
        <s v="#5,379"/>
        <s v="#5,457"/>
        <s v="#6,603"/>
        <s v="#7,408"/>
        <s v="#9,612"/>
        <s v="#10,698"/>
        <s v="#10,971"/>
        <s v="#12,034"/>
        <s v="#12,155"/>
        <s v="#13,600"/>
        <s v="#14,043"/>
        <s v="#14,700"/>
        <s v="#16,901"/>
        <s v="#19,618"/>
        <s v="#20,282"/>
        <s v="#26,315"/>
        <s v="#27,136"/>
        <s v="#27,580"/>
        <s v="#29,999"/>
        <s v="#32,677"/>
        <s v="#34,489"/>
        <s v="#34,950"/>
        <s v="#36,414"/>
        <s v="#36,474"/>
        <s v="#36,605"/>
        <s v="#36,671"/>
        <s v="#38,241"/>
        <s v="#40,952"/>
        <s v="#41,242"/>
        <s v="#41,371"/>
        <s v="#41,488"/>
        <s v="#43,844"/>
        <s v="#44,002"/>
        <s v="#44,184"/>
        <s v="#45,390"/>
        <s v="#46,051"/>
        <s v="#47,445"/>
        <s v="#47,592"/>
        <s v="#49,547"/>
        <s v="#51,164"/>
        <s v="#52,055"/>
        <s v="#52,206"/>
        <s v="#55,526"/>
        <s v="#57,391"/>
      </sharedItems>
    </cacheField>
    <cacheField name="ASIN" numFmtId="0">
      <sharedItems count="48">
        <s v="B0027JBLV4"/>
        <s v="B01MA3EYC5"/>
        <s v="B07DXH5CCJ"/>
        <s v="B0027J9KH6"/>
        <s v="B0081TZD54"/>
        <s v="B08DQRH5B3"/>
        <s v="B01MTWGMRR"/>
        <s v="B01N49R9KP"/>
        <s v="B079G51QTB"/>
        <s v="B07TX9PX1K"/>
        <s v="B07DXDSPFT"/>
        <s v="B07HLVSHVZ"/>
        <s v="B00066FHNI"/>
        <s v="B07YQGV1XK"/>
        <s v="B07WV9TVT9"/>
        <s v="B00EUN90SG"/>
        <s v="B0814PD4KQ"/>
        <s v="B01MEEI5WC"/>
        <s v="B0859CZ1DH"/>
        <s v="B07JNDHJMQ"/>
        <s v="B07RQR1SVD"/>
        <s v="B005TJMC0S"/>
        <s v="B01BPJU48M"/>
        <s v="B0036CBYKE"/>
        <s v="B07QL2V71W"/>
        <s v="B07XXB2MXN"/>
        <s v="B081FGJPTP"/>
        <s v="B07KCQ67Y1"/>
        <s v="B005J037F6"/>
        <s v="B0819WV9RJ"/>
        <s v="B07N35JVN7"/>
        <s v="B005J038LE"/>
        <s v="B00EUN99E6"/>
        <s v="B07R7SQ3V2"/>
        <s v="B07ZL67B6G"/>
        <s v="B087CHRBHG"/>
        <s v="B082XVV978"/>
        <s v="B07VPCRPWZ"/>
        <s v="B01C602202"/>
        <s v="B002M1LG1M"/>
        <s v="B00BTKXPYI"/>
        <s v="B0141N6REO"/>
        <s v="B00EUN953G"/>
        <s v="B01LWUULRJ"/>
        <s v="B008515ROA"/>
        <s v="B0048BQ1QE"/>
        <s v="B00EUNAMCE"/>
        <s v="B07RKX8JMX"/>
      </sharedItems>
    </cacheField>
    <cacheField name="商品" numFmtId="0">
      <sharedItems count="48">
        <s v="DYMO Label Printer | LabelWriter 450 Direct Thermal Label Printer, Great for Labeling, Filing, Mailing, Barcodes and More, Home &amp; Office Organization"/>
        <s v="ROLLO Label Printer - Commercial Grade Direct Thermal High Speed Printer – Compatible with Etsy, eBay, Amazon - Barcode Printer - 4x6 Printer"/>
        <s v="DYMO LabelWriter 450 Turbo Thermal Label Printer (1752265) with LabelWriter LW Adhesive White Mailing Address Labels Retail Box With 2 Rolls of 350 Labels per Roll &amp; Digital Shipping Scale, 400-pound"/>
        <s v="DYMO Label Writer 450 Twin Turbo label printer, 71 Labels Per Minute, Black/Silver (1752266)"/>
        <s v="Brother QL-720NW Professional, High-speed Label Printer with Built-in Ethernet and Wireless Networking (QL720NW)"/>
        <s v="BESTEASY Label Printer,USPS Label Printer,4x6 Direct Thermal Printer,Commercial Grade Label Printer,High Speed,Clear Printing,Compatible with USPS,FedEx,Amazon, Ebay,UPS,Etsy,Shopify,etc"/>
        <s v="Brother QL-810W Ultra-Fast Label Printer with Wireless Networking"/>
        <s v="Brother QL-800 High-Speed Professional Label Printer, Lightning Quick Printing, Plug &amp; Label Feature, Brother Genuine DK Pre-Sized Labels, Multi-System Compatible – Black &amp; Red Printing Available"/>
        <s v="Brother QL-1100 Wide Format, Postage and Barcode Professional Thermal Label Printer, Black"/>
        <s v="Phomemo Label Printer- 4''×6'' Label Printer- High Speed Printing at 150mm/s PM-246 Thermal Printer, Compatible with UPS, FedEx, Amazon, Ebay, Etsy, Shopify,etc"/>
        <s v="DYMO RHINO 4200 Label Maker (1801611) with Industrial Labels for LabelWriter and Industrial Label Makers, Black on White, 3/4&quot;, 1 Roll"/>
        <s v="Zebra ZP 450 Label Thermal Bar Code Printer ZP450-0501-0006A"/>
        <s v="Avery CD/DVD Label Applicator ( 5699 ), Black,2.1 x 6.4 x 6.5 inches"/>
        <s v="Zebra - GX420d Direct Thermal Desktop Printer for Labels, Receipts, Barcodes, Tags, and Wrist Bands - Print Width of 4 in - USB, Serial, and Parallel Port Connectivity (Renewed)"/>
        <s v="Immuson Label Printer 4x6 Direct Thermal Label Marker - Commercial Grade USB Destop Printer - Compatible with Amazon, Ebay, Etsy, Shopify- NOT Compatible with MacBook iOS System"/>
        <s v="Zebra GK420d Direct Thermal Desktop Printer Print Width of 4 in USB Serial and Parallel Port Connectivity GK42-202510-000"/>
        <s v="MFLABEL 4x6 Direct Thermal Printer, Commercial High Speed Label Writer,Compatibel with Amazon,Ebay"/>
        <s v="DYMO LabelWriter 4XL Thermal Label Printer (1755120) plus 5 bonus rolls"/>
        <s v="MFLABEL Label Printer, 4x6 Thermal Printer, Commercial Direct Thermal High Speed USB Port Label Maker Machine, Etsy, Ebay, Amazon Barcode Express Label Printing,White"/>
        <s v="Zebra ZP505-0503-0018 Zebra Thermal Label Printer"/>
        <s v="MFLABEL Label Printer, 4x6 Thermal Printer, Commercial Direct Thermal High Speed USB Port Label Maker Machine, Etsy, Ebay, Amazon Barcode Express Label Printing"/>
        <s v="Brother QL-700 High-speed, Professional Label Printer"/>
        <s v="Zebra ZD410 Direct Thermal Desktop Printer Print Width of 2 in USB Connectivity ZD41022-D01000EZ"/>
        <s v="Zebra - TLP2824 Plus Thermal Transfer Desktop Printer for labels, Receipts, Barcodes, Tags, and Wrist Bands - Print Width of 2 in - USB and Ethernet Port Connectivity - 282P-101510-000"/>
        <s v="Zebra ZP 450 Label Thermal Bar Code Printer ZP450-0501-0006A (Renewed)"/>
        <s v="Phomemo-M110 Label Maker - Portable Bluetooth Thermal Label Printer Apply to Clothing, Jewelry, Retail, Mailing, Barcode, Compatible for Android &amp; iOS System, with 1 40×30mm Label Roll,Black"/>
        <s v="LP2844 Barcode Label Printer, USB and Ethernet Interface, 4 Inch, Direct Thermal, with Power Supply (Renewed)"/>
        <s v="Zebra GX420D Thermal Label Barcode Printer GX42-202410-000 (Renewed)"/>
        <s v="Zebra - GK420t Thermal Transfer Desktop Printer for labels, Receipts, Barcodes, Tags, and Wrist Bands - Print Width of 4 in - USB and Ethernet Port Connectivity - GK42-102210-000"/>
        <s v="NETUM Label Printer, High Speed Commercial Grade Direct Thermal Printer, 4×6 Printer, Barcode Printer, Compatible with Ebay,Amazon,USPS,Etsy,Shopify"/>
        <s v="DYMO LabelWriter 4XL Thermal Label Printer (1755120) (Renewed)"/>
        <s v="Zebra GK420d Direct Thermal Desktop Printer Print Width of 4 in USB and Ethernet Port Connectivity GK42-202210-000"/>
        <s v="Zebra - GK420t Thermal Transfer Desktop Printer for labels, Receipts, Barcodes, Tags, and Wrist Bands - Print Width of 4 in - USB, Serial, and Parallel Connectivity - GK42-102510-000"/>
        <s v="Zebra - GK420t Thermal Transfer Desktop Printer for Labels, Receipts, Barcodes, Tags, and Wrist Bands - Print Width of 4 in - USB, Serial, and Parallel Connectivity (Renewed)"/>
        <s v="Zebra, ZD41022-D01000EZ AIT, DT Printer ZD410, 2&quot; Print Width, Standard EZPL, 203 DPI, US Cord, USB, USB Host, Modular CONNECTIVITY Slot"/>
        <s v="Label Printer，D11 Mini Smart Label Maker with Bluetooth Thermal Label Printer Machine (1 Roll Paper, D11 Label Printer)"/>
        <s v="Brother TD4550DNWB 4-inch Thermal Desktop Barcode and Label Printer, for Labels, Barcodes, Receipts and Tags, 300 dpi, 6 IPS, Standard USB and Serial, Ethernet LAN, Built-in Wi-Fi and Bluetooth"/>
        <s v="Direct Thermal Label Printer, Commercial Grade 4x6 Label Printer Maker Writer Machine, USB Port Connectivity, Compatible with Amazon, Ebay, Shopify,Works with Windows MAC System"/>
        <s v="Zebra - ZD410 Direct Thermal Desktop Printer for labels, Receipts, Barcodes, Tags - Print Width of 2 in - USB, Ethernet Connectivity - ZD41022-D01E00EZ"/>
        <s v="DYMO 1752267 LabelWriter 450 Duo Thermal Label Printer"/>
        <s v="Seiko Instruments Smart Label Printer 620, USB, PC/Mac, 2.76 inches/second"/>
        <s v="Datamax-Oneil E-Class E-4205A Direct Thermal/Thermal Transfer Printer - Monochrome - Desktop - Label Print EA2-00-1J005A00"/>
        <s v="Zebra - GC420t Thermal Transfer Desktop Printer for labels, Receipts, Barcodes, Tags, and Wrist Bands - Print Width of 4 in - USB, Serial, and Parallel Port Connectivity - GC420-100510-000"/>
        <s v="Zebra - ZD410 Direct Thermal Desktop Printer for labels, Receipts, Barcodes, Tags, and Wrist Bands - Print Width of 2 in - USB, Bluetooth, and Wifi Connectivity - ZD41022-D01W01EZ"/>
        <s v="Zebra ZT23042-D01000FZ Direct Thermal Printer 203 DPI, Serial USB, Monochrome"/>
        <s v="Brady BMP71 Label Printer with Quick Charger and USB Connectivity"/>
        <s v="Zebra GX430t Thermal Transfer Desktop Printer Print Width of 4 in USB Serial Parallel and Ethernet Connectivity GX43-102410-000"/>
        <s v="NETUM Label Maker - Portable Bluetooth Thermal Label Printer Apply to Clothing, Jewelry, Retail, Mailing, Barcode, Compatible for Android &amp; iOS System"/>
      </sharedItems>
    </cacheField>
    <cacheField name="品牌" numFmtId="0">
      <sharedItems count="17">
        <s v="DYMO"/>
        <s v="Rollo"/>
        <s v="Brother"/>
        <s v="BESTEASY"/>
        <s v="Phomemo"/>
        <s v="ZEBRA"/>
        <s v="AVERY"/>
        <s v="Amazon Renewed"/>
        <s v="Immuson"/>
        <s v="MFLABEL"/>
        <s v="NETUM"/>
        <s v="DT-Techno"/>
        <s v="NANA"/>
        <s v="LotFancy"/>
        <s v="Seiko Instruments"/>
        <s v="Datamax-O'Neil"/>
        <s v="Brady"/>
      </sharedItems>
    </cacheField>
    <cacheField name="分类" numFmtId="0">
      <sharedItems count="1">
        <s v="Office Products"/>
      </sharedItems>
    </cacheField>
    <cacheField name="月销量" numFmtId="0">
      <sharedItems containsSemiMixedTypes="0" containsString="0" containsNumber="1" containsInteger="1" minValue="0" maxValue="11580" count="22">
        <n v="11580"/>
        <n v="10050"/>
        <n v="4500"/>
        <n v="1890"/>
        <n v="1350"/>
        <n v="1320"/>
        <n v="1050"/>
        <n v="930"/>
        <n v="690"/>
        <n v="600"/>
        <n v="510"/>
        <n v="420"/>
        <n v="390"/>
        <n v="330"/>
        <n v="270"/>
        <n v="240"/>
        <n v="180"/>
        <n v="150"/>
        <n v="120"/>
        <n v="90"/>
        <n v="60"/>
        <n v="30"/>
      </sharedItems>
    </cacheField>
    <cacheField name="日销量" numFmtId="0">
      <sharedItems containsSemiMixedTypes="0" containsString="0" containsNumber="1" containsInteger="1" minValue="0" maxValue="386" count="22">
        <n v="386"/>
        <n v="335"/>
        <n v="150"/>
        <n v="63"/>
        <n v="45"/>
        <n v="44"/>
        <n v="35"/>
        <n v="31"/>
        <n v="23"/>
        <n v="20"/>
        <n v="17"/>
        <n v="14"/>
        <n v="13"/>
        <n v="11"/>
        <n v="9"/>
        <n v="8"/>
        <n v="6"/>
        <n v="5"/>
        <n v="4"/>
        <n v="3"/>
        <n v="2"/>
        <n v="1"/>
      </sharedItems>
    </cacheField>
    <cacheField name="价格" numFmtId="0">
      <sharedItems containsSemiMixedTypes="0" containsString="0" containsNumber="1" minValue="0" maxValue="868.63" count="43">
        <n v="79.99"/>
        <n v="199.99"/>
        <n v="208.97"/>
        <n v="139.99"/>
        <n v="488.39"/>
        <n v="145.99"/>
        <n v="129.99"/>
        <n v="179.99"/>
        <n v="149.99"/>
        <n v="89.99"/>
        <n v="289.99"/>
        <n v="13.06"/>
        <n v="150"/>
        <n v="99.99"/>
        <n v="339.99"/>
        <n v="312.11"/>
        <n v="159.99"/>
        <n v="469.99"/>
        <n v="133.95"/>
        <n v="198"/>
        <n v="420.84"/>
        <n v="209.99"/>
        <n v="86.99"/>
        <n v="105.88"/>
        <n v="458"/>
        <n v="240.66"/>
        <n v="400"/>
        <n v="329.99"/>
        <n v="169.99"/>
        <n v="310"/>
        <n v="38.99"/>
        <n v="479.23"/>
        <n v="139.94"/>
        <n v="338"/>
        <n v="205.83"/>
        <n v="65.43"/>
        <n v="345.33"/>
        <n v="374.99"/>
        <n v="365"/>
        <n v="699"/>
        <n v="868.63"/>
        <n v="570"/>
        <n v="86.88"/>
      </sharedItems>
      <fieldGroup base="8">
        <rangePr autoStart="0" autoEnd="0" startNum="50" endNum="500" groupInterval="50"/>
        <groupItems count="11">
          <s v="&lt;50"/>
          <s v="50-100"/>
          <s v="100-150"/>
          <s v="150-200"/>
          <s v="200-250"/>
          <s v="250-300"/>
          <s v="300-350"/>
          <s v="350-400"/>
          <s v="400-450"/>
          <s v="450-500"/>
          <s v="&gt;500"/>
        </groupItems>
      </fieldGroup>
    </cacheField>
    <cacheField name="月销售额" numFmtId="183">
      <sharedItems containsSemiMixedTypes="0" containsString="0" containsNumber="1" minValue="0" maxValue="2009899.5" count="48">
        <n v="926284.2"/>
        <n v="2009899.5"/>
        <n v="940365"/>
        <n v="264581.1"/>
        <n v="659326.5"/>
        <n v="192706.8"/>
        <n v="136489.5"/>
        <n v="74390.7"/>
        <n v="124193.1"/>
        <n v="89994"/>
        <n v="53994"/>
        <n v="147894.9"/>
        <n v="6660.6"/>
        <n v="63000"/>
        <n v="41995.8"/>
        <n v="132596.1"/>
        <n v="49496.7"/>
        <n v="84269.7"/>
        <n v="38397.6"/>
        <n v="84598.2"/>
        <n v="28798.2"/>
        <n v="20092.5"/>
        <n v="29700"/>
        <n v="50500.8"/>
        <n v="25198.8"/>
        <n v="10438.8"/>
        <n v="12705.6"/>
        <n v="13500"/>
        <n v="41220"/>
        <n v="14399.1"/>
        <n v="21659.4"/>
        <n v="36000"/>
        <n v="29699.1"/>
        <n v="15299.1"/>
        <n v="18600"/>
        <n v="2339.4"/>
        <n v="28753.8"/>
        <n v="8396.4"/>
        <n v="20280"/>
        <n v="12349.8"/>
        <n v="3925.8"/>
        <n v="20719.8"/>
        <n v="22499.4"/>
        <n v="10950"/>
        <n v="20970"/>
        <n v="26058.9"/>
        <n v="17100"/>
        <n v="2606.4"/>
      </sharedItems>
    </cacheField>
    <cacheField name="评论数" numFmtId="0">
      <sharedItems containsSemiMixedTypes="0" containsString="0" containsNumber="1" containsInteger="1" minValue="0" maxValue="4733" count="46">
        <n v="3331"/>
        <n v="4733"/>
        <n v="3039"/>
        <n v="1141"/>
        <n v="363"/>
        <n v="4"/>
        <n v="317"/>
        <n v="749"/>
        <n v="190"/>
        <n v="210"/>
        <n v="705"/>
        <n v="54"/>
        <n v="1085"/>
        <n v="34"/>
        <n v="61"/>
        <n v="140"/>
        <n v="51"/>
        <n v="15"/>
        <n v="129"/>
        <n v="2"/>
        <n v="241"/>
        <n v="1182"/>
        <n v="66"/>
        <n v="6"/>
        <n v="46"/>
        <n v="191"/>
        <n v="10"/>
        <n v="108"/>
        <n v="21"/>
        <n v="232"/>
        <n v="35"/>
        <n v="40"/>
        <n v="29"/>
        <n v="13"/>
        <n v="27"/>
        <n v="0"/>
        <n v="26"/>
        <n v="16"/>
        <n v="90"/>
        <n v="223"/>
        <n v="3"/>
        <n v="86"/>
        <n v="7"/>
        <n v="18"/>
        <n v="11"/>
        <n v="94"/>
      </sharedItems>
      <fieldGroup base="10">
        <rangePr autoEnd="0" startNum="0" endNum="1000" groupInterval="100"/>
        <groupItems count="12">
          <s v="&lt;0"/>
          <s v="0-99"/>
          <s v="100-199"/>
          <s v="200-299"/>
          <s v="300-399"/>
          <s v="400-499"/>
          <s v="500-599"/>
          <s v="600-699"/>
          <s v="700-799"/>
          <s v="800-899"/>
          <s v="900-1000"/>
          <s v="&gt;1000"/>
        </groupItems>
      </fieldGroup>
    </cacheField>
    <cacheField name="评分" numFmtId="0">
      <sharedItems containsSemiMixedTypes="0" containsString="0" containsNumber="1" minValue="0" maxValue="5" count="18">
        <n v="4.5"/>
        <n v="4.7"/>
        <n v="4.4"/>
        <n v="4.3"/>
        <n v="5"/>
        <n v="4.2"/>
        <n v="4"/>
        <n v="4.6"/>
        <n v="4.1"/>
        <n v="2.8"/>
        <n v="3.9"/>
        <n v="3.3"/>
        <n v="0"/>
        <n v="3.5"/>
        <n v="3.8"/>
        <n v="2.7"/>
        <n v="3.7"/>
        <n v="3.4"/>
      </sharedItems>
      <fieldGroup base="11">
        <rangePr autoStart="0" autoEnd="0" startNum="3.2" endNum="4.3" groupInterval="0.5"/>
        <groupItems count="5">
          <s v="&lt;3.2"/>
          <s v="3.2-3.7"/>
          <s v="3.7-4.2"/>
          <s v="4.2-4.7"/>
          <s v="&gt;4.7"/>
        </groupItems>
      </fieldGroup>
    </cacheField>
    <cacheField name="上架天数" numFmtId="0">
      <sharedItems containsSemiMixedTypes="0" containsString="0" containsNumber="1" containsInteger="1" minValue="0" maxValue="4335" count="47">
        <n v="3469"/>
        <n v="1440"/>
        <n v="4050"/>
        <n v="4072"/>
        <n v="3025"/>
        <n v="48"/>
        <n v="1346"/>
        <n v="1389"/>
        <n v="4335"/>
        <n v="442"/>
        <n v="3231"/>
        <n v="727"/>
        <n v="351"/>
        <n v="361"/>
        <n v="679"/>
        <n v="294"/>
        <n v="3862"/>
        <n v="173"/>
        <n v="661"/>
        <n v="466"/>
        <n v="1154"/>
        <n v="1613"/>
        <n v="1127"/>
        <n v="530"/>
        <n v="324"/>
        <n v="0"/>
        <n v="563"/>
        <n v="707"/>
        <n v="315"/>
        <n v="601"/>
        <n v="683"/>
        <n v="706"/>
        <n v="454"/>
        <n v="304"/>
        <n v="154"/>
        <n v="272"/>
        <n v="367"/>
        <n v="1074"/>
        <n v="4190"/>
        <n v="2631"/>
        <n v="1582"/>
        <n v="2431"/>
        <n v="1280"/>
        <n v="2695"/>
        <n v="3410"/>
        <n v="1560"/>
        <n v="504"/>
      </sharedItems>
    </cacheField>
    <cacheField name="发货方式" numFmtId="0">
      <sharedItems count="4">
        <s v="AMZ"/>
        <s v="FBA"/>
        <s v="FBM"/>
        <s v="--"/>
      </sharedItems>
    </cacheField>
  </cacheFields>
</pivotCacheDefinition>
</file>

<file path=xl/pivotCache/pivotCacheRecords1.xml><?xml version="1.0" encoding="utf-8"?>
<pivotCacheRecords xmlns="http://schemas.openxmlformats.org/spreadsheetml/2006/main" xmlns:r="http://schemas.openxmlformats.org/officeDocument/2006/relationships" count="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8"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M3:Q21" firstHeaderRow="0" firstDataRow="1" firstDataCol="1"/>
  <pivotFields count="14">
    <pivotField compact="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compact="0" showAll="0">
      <items count="49">
        <item x="12"/>
        <item x="3"/>
        <item x="0"/>
        <item x="39"/>
        <item x="23"/>
        <item x="45"/>
        <item x="28"/>
        <item x="31"/>
        <item x="21"/>
        <item x="4"/>
        <item x="44"/>
        <item x="40"/>
        <item x="15"/>
        <item x="42"/>
        <item x="32"/>
        <item x="46"/>
        <item x="41"/>
        <item x="22"/>
        <item x="38"/>
        <item x="43"/>
        <item x="1"/>
        <item x="17"/>
        <item x="6"/>
        <item x="7"/>
        <item x="8"/>
        <item x="10"/>
        <item x="2"/>
        <item x="11"/>
        <item x="19"/>
        <item x="27"/>
        <item x="30"/>
        <item x="24"/>
        <item x="33"/>
        <item x="47"/>
        <item x="20"/>
        <item x="9"/>
        <item x="37"/>
        <item x="14"/>
        <item x="25"/>
        <item x="13"/>
        <item x="34"/>
        <item x="16"/>
        <item x="29"/>
        <item x="26"/>
        <item x="36"/>
        <item x="18"/>
        <item x="35"/>
        <item x="5"/>
        <item t="default"/>
      </items>
    </pivotField>
    <pivotField compact="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compact="0" showAll="0">
      <items count="18">
        <item x="7"/>
        <item x="6"/>
        <item x="3"/>
        <item x="16"/>
        <item x="2"/>
        <item x="15"/>
        <item x="11"/>
        <item x="0"/>
        <item x="8"/>
        <item x="13"/>
        <item x="9"/>
        <item x="12"/>
        <item x="10"/>
        <item x="4"/>
        <item x="1"/>
        <item x="14"/>
        <item x="5"/>
        <item t="default"/>
      </items>
    </pivotField>
    <pivotField compact="0" showAll="0">
      <items count="2">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compact="0" showAll="0">
      <items count="12">
        <item x="0"/>
        <item x="1"/>
        <item x="2"/>
        <item x="3"/>
        <item x="4"/>
        <item x="5"/>
        <item x="6"/>
        <item x="7"/>
        <item x="8"/>
        <item x="9"/>
        <item x="10"/>
        <item t="default"/>
      </items>
    </pivotField>
    <pivotField dataField="1" compact="0" numFmtId="176" showAll="0">
      <items count="49">
        <item x="35"/>
        <item x="47"/>
        <item x="40"/>
        <item x="12"/>
        <item x="37"/>
        <item x="25"/>
        <item x="43"/>
        <item x="39"/>
        <item x="26"/>
        <item x="27"/>
        <item x="29"/>
        <item x="33"/>
        <item x="46"/>
        <item x="34"/>
        <item x="21"/>
        <item x="38"/>
        <item x="41"/>
        <item x="44"/>
        <item x="30"/>
        <item x="42"/>
        <item x="24"/>
        <item x="45"/>
        <item x="36"/>
        <item x="20"/>
        <item x="32"/>
        <item x="22"/>
        <item x="31"/>
        <item x="18"/>
        <item x="28"/>
        <item x="14"/>
        <item x="16"/>
        <item x="23"/>
        <item x="10"/>
        <item x="13"/>
        <item x="7"/>
        <item x="17"/>
        <item x="19"/>
        <item x="9"/>
        <item x="8"/>
        <item x="15"/>
        <item x="6"/>
        <item x="11"/>
        <item x="5"/>
        <item x="3"/>
        <item x="4"/>
        <item x="0"/>
        <item x="2"/>
        <item x="1"/>
        <item t="default"/>
      </items>
    </pivotField>
    <pivotField compact="0" showAll="0">
      <items count="13">
        <item x="0"/>
        <item x="1"/>
        <item x="2"/>
        <item x="3"/>
        <item x="4"/>
        <item x="5"/>
        <item x="6"/>
        <item x="7"/>
        <item x="8"/>
        <item x="9"/>
        <item x="10"/>
        <item x="11"/>
        <item t="default"/>
      </items>
    </pivotField>
    <pivotField compact="0" showAll="0">
      <items count="6">
        <item x="0"/>
        <item x="1"/>
        <item x="2"/>
        <item x="3"/>
        <item x="4"/>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
        <item x="0"/>
        <item x="1"/>
        <item x="2"/>
        <item x="3"/>
        <item t="default"/>
      </items>
    </pivotField>
  </pivotFields>
  <rowFields count="1">
    <field x="4"/>
  </rowFields>
  <rowItems count="18">
    <i>
      <x/>
    </i>
    <i>
      <x v="1"/>
    </i>
    <i>
      <x v="2"/>
    </i>
    <i>
      <x v="3"/>
    </i>
    <i>
      <x v="4"/>
    </i>
    <i>
      <x v="5"/>
    </i>
    <i>
      <x v="6"/>
    </i>
    <i>
      <x v="7"/>
    </i>
    <i>
      <x v="8"/>
    </i>
    <i>
      <x v="9"/>
    </i>
    <i>
      <x v="10"/>
    </i>
    <i>
      <x v="11"/>
    </i>
    <i>
      <x v="12"/>
    </i>
    <i>
      <x v="13"/>
    </i>
    <i>
      <x v="14"/>
    </i>
    <i>
      <x v="15"/>
    </i>
    <i>
      <x v="16"/>
    </i>
    <i t="grand">
      <x/>
    </i>
  </rowItems>
  <colFields count="1">
    <field x="-2"/>
  </colFields>
  <colItems count="4">
    <i>
      <x/>
    </i>
    <i i="1">
      <x v="1"/>
    </i>
    <i i="2">
      <x v="2"/>
    </i>
    <i i="3">
      <x v="3"/>
    </i>
  </colItems>
  <dataFields count="4">
    <dataField name="求和项:日销量" fld="7" baseField="0" baseItem="0"/>
    <dataField name="求和项:月销量" fld="6" baseField="0" baseItem="0"/>
    <dataField name="求和项:月销售额" fld="9" baseField="0" baseItem="0"/>
    <dataField name="计数项:ASIN" fld="2" subtotal="count" baseField="0" baseItem="0"/>
  </dataFields>
  <formats count="29">
    <format dxfId="0">
      <pivotArea type="all" dataOnly="0" outline="0" fieldPosition="0"/>
    </format>
    <format dxfId="1">
      <pivotArea type="all" dataOnly="0" outline="0" fieldPosition="0"/>
    </format>
    <format dxfId="2">
      <pivotArea type="all" dataOnly="0" outline="0" fieldPosition="0"/>
    </format>
    <format dxfId="3">
      <pivotArea dataOnly="0" labelOnly="1" fieldPosition="0">
        <references count="1">
          <reference field="4" count="1">
            <x v="7"/>
          </reference>
        </references>
      </pivotArea>
    </format>
    <format dxfId="4">
      <pivotArea dataOnly="0" labelOnly="1" fieldPosition="0">
        <references count="1">
          <reference field="4" count="1">
            <x v="4"/>
          </reference>
        </references>
      </pivotArea>
    </format>
    <format dxfId="5">
      <pivotArea dataOnly="0" labelOnly="1" fieldPosition="0">
        <references count="1">
          <reference field="4" count="1">
            <x v="16"/>
          </reference>
        </references>
      </pivotArea>
    </format>
    <format dxfId="6">
      <pivotArea type="all" dataOnly="0" outline="0" fieldPosition="0"/>
    </format>
    <format dxfId="7">
      <pivotArea type="all" dataOnly="0" outline="0" fieldPosition="0"/>
    </format>
    <format dxfId="8">
      <pivotArea dataOnly="0" labelOnly="1" fieldPosition="0">
        <references count="1">
          <reference field="4" count="1">
            <x v="14"/>
          </reference>
        </references>
      </pivotArea>
    </format>
    <format dxfId="9">
      <pivotArea dataOnly="0" labelOnly="1" fieldPosition="0">
        <references count="1">
          <reference field="4" count="1">
            <x v="13"/>
          </reference>
        </references>
      </pivotArea>
    </format>
    <format dxfId="10">
      <pivotArea collapsedLevelsAreSubtotals="1" fieldPosition="0">
        <references count="1">
          <reference field="4" count="1" selected="0">
            <x v="13"/>
          </reference>
        </references>
      </pivotArea>
    </format>
    <format dxfId="11">
      <pivotArea dataOnly="0" labelOnly="1" fieldPosition="0">
        <references count="1">
          <reference field="4" count="1">
            <x v="13"/>
          </reference>
        </references>
      </pivotArea>
    </format>
    <format dxfId="12">
      <pivotArea collapsedLevelsAreSubtotals="1" fieldPosition="0">
        <references count="1">
          <reference field="4" count="1" selected="0">
            <x v="13"/>
          </reference>
        </references>
      </pivotArea>
    </format>
    <format dxfId="13">
      <pivotArea dataOnly="0" labelOnly="1" fieldPosition="0">
        <references count="1">
          <reference field="4" count="1">
            <x v="4"/>
          </reference>
        </references>
      </pivotArea>
    </format>
    <format dxfId="14">
      <pivotArea dataOnly="0" labelOnly="1" fieldPosition="0">
        <references count="1">
          <reference field="4" count="1">
            <x v="14"/>
          </reference>
        </references>
      </pivotArea>
    </format>
    <format dxfId="15">
      <pivotArea dataOnly="0" labelOnly="1" fieldPosition="0">
        <references count="1">
          <reference field="4" count="1">
            <x v="16"/>
          </reference>
        </references>
      </pivotArea>
    </format>
    <format dxfId="16">
      <pivotArea field="4" type="button" dataOnly="0" labelOnly="1" outline="0" fieldPosition="0"/>
    </format>
    <format dxfId="17">
      <pivotArea dataOnly="0" labelOnly="1" fieldPosition="0">
        <references count="1">
          <reference field="4294967294" count="1">
            <x v="0"/>
          </reference>
        </references>
      </pivotArea>
    </format>
    <format dxfId="18">
      <pivotArea dataOnly="0" labelOnly="1" fieldPosition="0">
        <references count="1">
          <reference field="4294967294" count="1">
            <x v="1"/>
          </reference>
        </references>
      </pivotArea>
    </format>
    <format dxfId="19">
      <pivotArea dataOnly="0" labelOnly="1" fieldPosition="0">
        <references count="1">
          <reference field="4294967294" count="1">
            <x v="2"/>
          </reference>
        </references>
      </pivotArea>
    </format>
    <format dxfId="20">
      <pivotArea dataOnly="0" labelOnly="1" fieldPosition="0">
        <references count="1">
          <reference field="4294967294" count="1">
            <x v="3"/>
          </reference>
        </references>
      </pivotArea>
    </format>
    <format dxfId="21">
      <pivotArea dataOnly="0" labelOnly="1" fieldPosition="0">
        <references count="1">
          <reference field="4" count="1">
            <x v="0"/>
          </reference>
        </references>
      </pivotArea>
    </format>
    <format dxfId="22">
      <pivotArea collapsedLevelsAreSubtotals="1" fieldPosition="0">
        <references count="1">
          <reference field="4" count="1" selected="0">
            <x v="0"/>
          </reference>
        </references>
      </pivotArea>
    </format>
    <format dxfId="23">
      <pivotArea dataOnly="0" labelOnly="1" fieldPosition="0">
        <references count="1">
          <reference field="4" count="1">
            <x v="0"/>
          </reference>
        </references>
      </pivotArea>
    </format>
    <format dxfId="24">
      <pivotArea collapsedLevelsAreSubtotals="1" fieldPosition="0">
        <references count="1">
          <reference field="4" count="1" selected="0">
            <x v="0"/>
          </reference>
        </references>
      </pivotArea>
    </format>
    <format dxfId="25">
      <pivotArea dataOnly="0" labelOnly="1" fieldPosition="0">
        <references count="1">
          <reference field="4" count="1">
            <x v="0"/>
          </reference>
        </references>
      </pivotArea>
    </format>
    <format dxfId="26">
      <pivotArea collapsedLevelsAreSubtotals="1" fieldPosition="0">
        <references count="1">
          <reference field="4" count="1" selected="0">
            <x v="0"/>
          </reference>
        </references>
      </pivotArea>
    </format>
    <format dxfId="27">
      <pivotArea dataOnly="0" labelOnly="1" fieldPosition="0">
        <references count="1">
          <reference field="4" count="1">
            <x v="0"/>
          </reference>
        </references>
      </pivotArea>
    </format>
    <format dxfId="28">
      <pivotArea collapsedLevelsAreSubtotals="1" fieldPosition="0">
        <references count="1">
          <reference field="4" count="1" selected="0">
            <x v="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9"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M24:Q36" firstHeaderRow="0" firstDataRow="1" firstDataCol="1"/>
  <pivotFields count="14">
    <pivotField compact="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showAll="0"/>
    <pivotField dataField="1" compact="0" showAll="0">
      <items count="49">
        <item x="12"/>
        <item x="3"/>
        <item x="0"/>
        <item x="39"/>
        <item x="23"/>
        <item x="45"/>
        <item x="28"/>
        <item x="31"/>
        <item x="21"/>
        <item x="4"/>
        <item x="44"/>
        <item x="40"/>
        <item x="15"/>
        <item x="42"/>
        <item x="32"/>
        <item x="46"/>
        <item x="41"/>
        <item x="22"/>
        <item x="38"/>
        <item x="43"/>
        <item x="1"/>
        <item x="17"/>
        <item x="6"/>
        <item x="7"/>
        <item x="8"/>
        <item x="10"/>
        <item x="2"/>
        <item x="11"/>
        <item x="19"/>
        <item x="27"/>
        <item x="30"/>
        <item x="24"/>
        <item x="33"/>
        <item x="47"/>
        <item x="20"/>
        <item x="9"/>
        <item x="37"/>
        <item x="14"/>
        <item x="25"/>
        <item x="13"/>
        <item x="34"/>
        <item x="16"/>
        <item x="29"/>
        <item x="26"/>
        <item x="36"/>
        <item x="18"/>
        <item x="35"/>
        <item x="5"/>
        <item t="default"/>
      </items>
    </pivotField>
    <pivotField compact="0" showAll="0"/>
    <pivotField compact="0" showAll="0"/>
    <pivotField compact="0" showAll="0"/>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axis="axisRow" compact="0" showAll="0">
      <items count="12">
        <item x="0"/>
        <item x="1"/>
        <item x="2"/>
        <item x="3"/>
        <item x="4"/>
        <item x="5"/>
        <item x="6"/>
        <item x="7"/>
        <item x="8"/>
        <item x="9"/>
        <item x="10"/>
        <item t="default"/>
      </items>
    </pivotField>
    <pivotField dataField="1" compact="0" numFmtId="176" showAll="0">
      <items count="49">
        <item x="35"/>
        <item x="47"/>
        <item x="40"/>
        <item x="12"/>
        <item x="37"/>
        <item x="25"/>
        <item x="43"/>
        <item x="39"/>
        <item x="26"/>
        <item x="27"/>
        <item x="29"/>
        <item x="33"/>
        <item x="46"/>
        <item x="34"/>
        <item x="21"/>
        <item x="38"/>
        <item x="41"/>
        <item x="44"/>
        <item x="30"/>
        <item x="42"/>
        <item x="24"/>
        <item x="45"/>
        <item x="36"/>
        <item x="20"/>
        <item x="32"/>
        <item x="22"/>
        <item x="31"/>
        <item x="18"/>
        <item x="28"/>
        <item x="14"/>
        <item x="16"/>
        <item x="23"/>
        <item x="10"/>
        <item x="13"/>
        <item x="7"/>
        <item x="17"/>
        <item x="19"/>
        <item x="9"/>
        <item x="8"/>
        <item x="15"/>
        <item x="6"/>
        <item x="11"/>
        <item x="5"/>
        <item x="3"/>
        <item x="4"/>
        <item x="0"/>
        <item x="2"/>
        <item x="1"/>
        <item t="default"/>
      </items>
    </pivotField>
    <pivotField compact="0" showAll="0"/>
    <pivotField compact="0" showAll="0"/>
    <pivotField compact="0" showAll="0"/>
    <pivotField compact="0" showAll="0"/>
  </pivotFields>
  <rowFields count="1">
    <field x="8"/>
  </rowFields>
  <rowItems count="12">
    <i>
      <x/>
    </i>
    <i>
      <x v="1"/>
    </i>
    <i>
      <x v="2"/>
    </i>
    <i>
      <x v="3"/>
    </i>
    <i>
      <x v="4"/>
    </i>
    <i>
      <x v="5"/>
    </i>
    <i>
      <x v="6"/>
    </i>
    <i>
      <x v="7"/>
    </i>
    <i>
      <x v="8"/>
    </i>
    <i>
      <x v="9"/>
    </i>
    <i>
      <x v="10"/>
    </i>
    <i t="grand">
      <x/>
    </i>
  </rowItems>
  <colFields count="1">
    <field x="-2"/>
  </colFields>
  <colItems count="4">
    <i>
      <x/>
    </i>
    <i i="1">
      <x v="1"/>
    </i>
    <i i="2">
      <x v="2"/>
    </i>
    <i i="3">
      <x v="3"/>
    </i>
  </colItems>
  <dataFields count="4">
    <dataField name="求和项:日销量" fld="7" baseField="0" baseItem="0"/>
    <dataField name="求和项:月销量" fld="6" baseField="0" baseItem="0"/>
    <dataField name="求和项:月销售额" fld="9" baseField="0" baseItem="0"/>
    <dataField name="计数项:ASIN" fld="2" subtotal="count" baseField="0" baseItem="0"/>
  </dataFields>
  <formats count="6">
    <format dxfId="29">
      <pivotArea type="all" dataOnly="0" outline="0" fieldPosition="0"/>
    </format>
    <format dxfId="30">
      <pivotArea type="all" dataOnly="0" outline="0" fieldPosition="0"/>
    </format>
    <format dxfId="31">
      <pivotArea type="all" dataOnly="0" outline="0" fieldPosition="0"/>
    </format>
    <format dxfId="32">
      <pivotArea type="all" dataOnly="0" outline="0" fieldPosition="0"/>
    </format>
    <format dxfId="33">
      <pivotArea type="all" dataOnly="0" outline="0" fieldPosition="0"/>
    </format>
    <format dxfId="34">
      <pivotArea dataOnly="0" labelOnly="1" fieldPosition="0">
        <references count="1">
          <reference field="8" count="1">
            <x v="3"/>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1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M39:Q45" firstHeaderRow="0" firstDataRow="1" firstDataCol="1"/>
  <pivotFields count="14">
    <pivotField compact="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showAll="0"/>
    <pivotField dataField="1" compact="0" showAll="0">
      <items count="49">
        <item x="12"/>
        <item x="3"/>
        <item x="0"/>
        <item x="39"/>
        <item x="23"/>
        <item x="45"/>
        <item x="28"/>
        <item x="31"/>
        <item x="21"/>
        <item x="4"/>
        <item x="44"/>
        <item x="40"/>
        <item x="15"/>
        <item x="42"/>
        <item x="32"/>
        <item x="46"/>
        <item x="41"/>
        <item x="22"/>
        <item x="38"/>
        <item x="43"/>
        <item x="1"/>
        <item x="17"/>
        <item x="6"/>
        <item x="7"/>
        <item x="8"/>
        <item x="10"/>
        <item x="2"/>
        <item x="11"/>
        <item x="19"/>
        <item x="27"/>
        <item x="30"/>
        <item x="24"/>
        <item x="33"/>
        <item x="47"/>
        <item x="20"/>
        <item x="9"/>
        <item x="37"/>
        <item x="14"/>
        <item x="25"/>
        <item x="13"/>
        <item x="34"/>
        <item x="16"/>
        <item x="29"/>
        <item x="26"/>
        <item x="36"/>
        <item x="18"/>
        <item x="35"/>
        <item x="5"/>
        <item t="default"/>
      </items>
    </pivotField>
    <pivotField compact="0" showAll="0"/>
    <pivotField compact="0" showAll="0"/>
    <pivotField compact="0" showAll="0"/>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compact="0" showAll="0"/>
    <pivotField dataField="1" compact="0" numFmtId="176" showAll="0">
      <items count="49">
        <item x="35"/>
        <item x="47"/>
        <item x="40"/>
        <item x="12"/>
        <item x="37"/>
        <item x="25"/>
        <item x="43"/>
        <item x="39"/>
        <item x="26"/>
        <item x="27"/>
        <item x="29"/>
        <item x="33"/>
        <item x="46"/>
        <item x="34"/>
        <item x="21"/>
        <item x="38"/>
        <item x="41"/>
        <item x="44"/>
        <item x="30"/>
        <item x="42"/>
        <item x="24"/>
        <item x="45"/>
        <item x="36"/>
        <item x="20"/>
        <item x="32"/>
        <item x="22"/>
        <item x="31"/>
        <item x="18"/>
        <item x="28"/>
        <item x="14"/>
        <item x="16"/>
        <item x="23"/>
        <item x="10"/>
        <item x="13"/>
        <item x="7"/>
        <item x="17"/>
        <item x="19"/>
        <item x="9"/>
        <item x="8"/>
        <item x="15"/>
        <item x="6"/>
        <item x="11"/>
        <item x="5"/>
        <item x="3"/>
        <item x="4"/>
        <item x="0"/>
        <item x="2"/>
        <item x="1"/>
        <item t="default"/>
      </items>
    </pivotField>
    <pivotField compact="0" showAll="0"/>
    <pivotField axis="axisRow" compact="0" showAll="0">
      <items count="6">
        <item x="0"/>
        <item x="1"/>
        <item x="2"/>
        <item x="3"/>
        <item x="4"/>
        <item t="default"/>
      </items>
    </pivotField>
    <pivotField compact="0" showAll="0"/>
    <pivotField compact="0" showAll="0"/>
  </pivotFields>
  <rowFields count="1">
    <field x="11"/>
  </rowFields>
  <rowItems count="6">
    <i>
      <x/>
    </i>
    <i>
      <x v="1"/>
    </i>
    <i>
      <x v="2"/>
    </i>
    <i>
      <x v="3"/>
    </i>
    <i>
      <x v="4"/>
    </i>
    <i t="grand">
      <x/>
    </i>
  </rowItems>
  <colFields count="1">
    <field x="-2"/>
  </colFields>
  <colItems count="4">
    <i>
      <x/>
    </i>
    <i i="1">
      <x v="1"/>
    </i>
    <i i="2">
      <x v="2"/>
    </i>
    <i i="3">
      <x v="3"/>
    </i>
  </colItems>
  <dataFields count="4">
    <dataField name="求和项:日销量" fld="7" baseField="0" baseItem="0"/>
    <dataField name="求和项:月销量" fld="6" baseField="0" baseItem="0"/>
    <dataField name="求和项:月销售额" fld="9" baseField="0" baseItem="0"/>
    <dataField name="计数项:ASIN" fld="2" subtotal="count" baseField="0" baseItem="0"/>
  </dataFields>
  <formats count="4">
    <format dxfId="35">
      <pivotArea type="all" dataOnly="0" outline="0" fieldPosition="0"/>
    </format>
    <format dxfId="36">
      <pivotArea type="all" dataOnly="0" outline="0" fieldPosition="0"/>
    </format>
    <format dxfId="37">
      <pivotArea type="all" dataOnly="0" outline="0" fieldPosition="0"/>
    </format>
    <format dxfId="38">
      <pivotArea dataOnly="0" labelOnly="1" fieldPosition="0">
        <references count="1">
          <reference field="11" count="1">
            <x v="3"/>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15"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M48:Q55" firstHeaderRow="0" firstDataRow="1" firstDataCol="1"/>
  <pivotFields count="14">
    <pivotField compact="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showAll="0"/>
    <pivotField dataField="1" compact="0" showAll="0">
      <items count="49">
        <item x="12"/>
        <item x="3"/>
        <item x="0"/>
        <item x="39"/>
        <item x="23"/>
        <item x="45"/>
        <item x="28"/>
        <item x="31"/>
        <item x="21"/>
        <item x="4"/>
        <item x="44"/>
        <item x="40"/>
        <item x="15"/>
        <item x="42"/>
        <item x="32"/>
        <item x="46"/>
        <item x="41"/>
        <item x="22"/>
        <item x="38"/>
        <item x="43"/>
        <item x="1"/>
        <item x="17"/>
        <item x="6"/>
        <item x="7"/>
        <item x="8"/>
        <item x="10"/>
        <item x="2"/>
        <item x="11"/>
        <item x="19"/>
        <item x="27"/>
        <item x="30"/>
        <item x="24"/>
        <item x="33"/>
        <item x="47"/>
        <item x="20"/>
        <item x="9"/>
        <item x="37"/>
        <item x="14"/>
        <item x="25"/>
        <item x="13"/>
        <item x="34"/>
        <item x="16"/>
        <item x="29"/>
        <item x="26"/>
        <item x="36"/>
        <item x="18"/>
        <item x="35"/>
        <item x="5"/>
        <item t="default"/>
      </items>
    </pivotField>
    <pivotField compact="0" showAll="0"/>
    <pivotField compact="0" showAll="0"/>
    <pivotField compact="0" showAll="0"/>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compact="0" showAll="0"/>
    <pivotField dataField="1" compact="0" numFmtId="176" showAll="0">
      <items count="49">
        <item x="35"/>
        <item x="47"/>
        <item x="40"/>
        <item x="12"/>
        <item x="37"/>
        <item x="25"/>
        <item x="43"/>
        <item x="39"/>
        <item x="26"/>
        <item x="27"/>
        <item x="29"/>
        <item x="33"/>
        <item x="46"/>
        <item x="34"/>
        <item x="21"/>
        <item x="38"/>
        <item x="41"/>
        <item x="44"/>
        <item x="30"/>
        <item x="42"/>
        <item x="24"/>
        <item x="45"/>
        <item x="36"/>
        <item x="20"/>
        <item x="32"/>
        <item x="22"/>
        <item x="31"/>
        <item x="18"/>
        <item x="28"/>
        <item x="14"/>
        <item x="16"/>
        <item x="23"/>
        <item x="10"/>
        <item x="13"/>
        <item x="7"/>
        <item x="17"/>
        <item x="19"/>
        <item x="9"/>
        <item x="8"/>
        <item x="15"/>
        <item x="6"/>
        <item x="11"/>
        <item x="5"/>
        <item x="3"/>
        <item x="4"/>
        <item x="0"/>
        <item x="2"/>
        <item x="1"/>
        <item t="default"/>
      </items>
    </pivotField>
    <pivotField axis="axisRow" compact="0" showAll="0">
      <items count="13">
        <item x="0"/>
        <item x="1"/>
        <item x="2"/>
        <item x="3"/>
        <item x="4"/>
        <item x="5"/>
        <item x="6"/>
        <item x="7"/>
        <item x="8"/>
        <item x="9"/>
        <item x="10"/>
        <item x="11"/>
        <item t="default"/>
      </items>
    </pivotField>
    <pivotField compact="0" showAll="0"/>
    <pivotField compact="0" showAll="0"/>
    <pivotField compact="0" showAll="0"/>
  </pivotFields>
  <rowFields count="1">
    <field x="10"/>
  </rowFields>
  <rowItems count="7">
    <i>
      <x v="1"/>
    </i>
    <i>
      <x v="2"/>
    </i>
    <i>
      <x v="3"/>
    </i>
    <i>
      <x v="4"/>
    </i>
    <i>
      <x v="8"/>
    </i>
    <i>
      <x v="11"/>
    </i>
    <i t="grand">
      <x/>
    </i>
  </rowItems>
  <colFields count="1">
    <field x="-2"/>
  </colFields>
  <colItems count="4">
    <i>
      <x/>
    </i>
    <i i="1">
      <x v="1"/>
    </i>
    <i i="2">
      <x v="2"/>
    </i>
    <i i="3">
      <x v="3"/>
    </i>
  </colItems>
  <dataFields count="4">
    <dataField name="求和项:日销量" fld="7" baseField="0" baseItem="0"/>
    <dataField name="求和项:月销量" fld="6" baseField="0" baseItem="0"/>
    <dataField name="求和项:月销售额" fld="9" baseField="0" baseItem="0"/>
    <dataField name="计数项:ASIN" fld="2" subtotal="count" baseField="0" baseItem="0"/>
  </dataFields>
  <formats count="8">
    <format dxfId="39">
      <pivotArea type="all" dataOnly="0" outline="0" fieldPosition="0"/>
    </format>
    <format dxfId="40">
      <pivotArea type="all" dataOnly="0" outline="0" fieldPosition="0"/>
    </format>
    <format dxfId="41">
      <pivotArea type="all" dataOnly="0" outline="0" fieldPosition="0"/>
    </format>
    <format dxfId="42">
      <pivotArea dataOnly="0" labelOnly="1" fieldPosition="0">
        <references count="1">
          <reference field="10" count="1">
            <x v="1"/>
          </reference>
        </references>
      </pivotArea>
    </format>
    <format dxfId="43">
      <pivotArea dataOnly="0" labelOnly="1" fieldPosition="0">
        <references count="1">
          <reference field="10" count="1">
            <x v="1"/>
          </reference>
        </references>
      </pivotArea>
    </format>
    <format dxfId="44">
      <pivotArea dataOnly="0" labelOnly="1" fieldPosition="0">
        <references count="1">
          <reference field="10" count="1">
            <x v="11"/>
          </reference>
        </references>
      </pivotArea>
    </format>
    <format dxfId="45">
      <pivotArea dataOnly="0" labelOnly="1" fieldPosition="0">
        <references count="1">
          <reference field="10" count="1">
            <x v="11"/>
          </reference>
        </references>
      </pivotArea>
    </format>
    <format dxfId="46">
      <pivotArea dataOnly="0" labelOnly="1" fieldPosition="0">
        <references count="1">
          <reference field="10" count="1">
            <x v="1"/>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drawing" Target="../drawings/drawing1.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9" Type="http://schemas.openxmlformats.org/officeDocument/2006/relationships/hyperlink" Target="https://www.amazon.com/Brother-High-Speed-Professional-Multi-System-Compatible/dp/B01N49R9KP/ref=sr_1_1?dchild=1&amp;keywords=B01N49R9KP&amp;qid=1600764801&amp;sr=8-1" TargetMode="External"/><Relationship Id="rId8" Type="http://schemas.openxmlformats.org/officeDocument/2006/relationships/hyperlink" Target="https://www.amazon.com/Brother-QL-810W-Ultra-Fast-Wireless-Networking/dp/B01MTWGMRR/ref=sr_1_1?dchild=1&amp;keywords=B01MTWGMRR&amp;qid=1600764790&amp;sr=8-1" TargetMode="External"/><Relationship Id="rId7" Type="http://schemas.openxmlformats.org/officeDocument/2006/relationships/hyperlink" Target="https://www.amazon.com/DYMO-1752267-LabelWriter-Thermal-Printer/dp/B002M1LG1M/ref=sr_1_1?dchild=1&amp;keywords=B002M1LG1M&amp;qid=1600764115&amp;sr=8-1" TargetMode="External"/><Relationship Id="rId6" Type="http://schemas.openxmlformats.org/officeDocument/2006/relationships/hyperlink" Target="https://www.amazon.com/DYMO-LabelWriter-Thermal-Printer-1755120/dp/B01MEEI5WC/ref=sr_1_1?dchild=1&amp;keywords=B01MEEI5WC&amp;qid=1600764097&amp;sr=8-1" TargetMode="External"/><Relationship Id="rId5" Type="http://schemas.openxmlformats.org/officeDocument/2006/relationships/hyperlink" Target="https://www.amazon.com/DYMO-1801611-Industrial-Labels-LabelWriter/dp/B07DXDSPFT/ref=sr_1_1?dchild=1&amp;keywords=B07DXDSPFT&amp;qid=1600764129&amp;sr=8-1" TargetMode="External"/><Relationship Id="rId4" Type="http://schemas.openxmlformats.org/officeDocument/2006/relationships/hyperlink" Target="https://www.amazon.com/DYMO-Writer-printer-Labels-1752266/dp/B0027J9KH6/ref=sr_1_1?dchild=1&amp;keywords=B0027J9KH6&amp;qid=1600764044&amp;sr=8-1" TargetMode="External"/><Relationship Id="rId3" Type="http://schemas.openxmlformats.org/officeDocument/2006/relationships/hyperlink" Target="https://www.amazon.com/DYMO-LabelWriter-Adhesive-Shipping-400-pound/dp/B07DXH5CCJ/ref=sr_1_1?dchild=1&amp;keywords=B07DXH5CCJ&amp;qid=1600764027&amp;sr=8-1" TargetMode="External"/><Relationship Id="rId2" Type="http://schemas.openxmlformats.org/officeDocument/2006/relationships/hyperlink" Target="https://www.amazon.com/DYMO-LabelWriter-Thermal-Printer-1752264/dp/B0027JBLV4/ref=sr_1_1?dchild=1&amp;keywords=B0027JBLV4&amp;qid=1600764014&amp;sr=8-1" TargetMode="External"/><Relationship Id="rId16" Type="http://schemas.openxmlformats.org/officeDocument/2006/relationships/hyperlink" Target="https://www.amazon.com/Rollo-Label-Printer-Commercial-Compatible/dp/B01MA3EYC5/ref=sr_1_1?dchild=1&amp;keywords=B01MA3EYC5&amp;qid=1600765002&amp;sr=8-1" TargetMode="External"/><Relationship Id="rId15" Type="http://schemas.openxmlformats.org/officeDocument/2006/relationships/hyperlink" Target="https://www.amazon.com/Phomemo-M110-Label-Maker-Bluetooth-Compatible/dp/B07XXB2MXN/ref=sr_1_1?dchild=1&amp;keywords=B07XXB2MXN&amp;qid=1600764898&amp;sr=8-1" TargetMode="External"/><Relationship Id="rId14" Type="http://schemas.openxmlformats.org/officeDocument/2006/relationships/hyperlink" Target="https://www.amazon.com/Phomemo-Printer-Printing-Thermal-Compatible/dp/B07TX9PX1K/ref=sr_1_1?dchild=1&amp;keywords=B07TX9PX1K&amp;qid=1600764882&amp;sr=8-1" TargetMode="External"/><Relationship Id="rId13" Type="http://schemas.openxmlformats.org/officeDocument/2006/relationships/hyperlink" Target="https://www.amazon.com/Zebra-Receipts-Barcodes-Parallel-Connectivity/dp/B00EUN90SG/ref=sr_1_1?dchild=1&amp;keywords=B00EUN90SG&amp;qid=1600764870&amp;sr=8-1" TargetMode="External"/><Relationship Id="rId12" Type="http://schemas.openxmlformats.org/officeDocument/2006/relationships/hyperlink" Target="https://www.amazon.com/Zebra-Label-Thermal-Printer-ZP450-0501-0006A/dp/B07HLVSHVZ/ref=sr_1_1?dchild=1&amp;keywords=B07HLVSHVZ&amp;qid=1600764857&amp;sr=8-1" TargetMode="External"/><Relationship Id="rId11" Type="http://schemas.openxmlformats.org/officeDocument/2006/relationships/hyperlink" Target="https://www.amazon.com/Brother-QL-700-High-speed-Professional-Printer/dp/B005TJMC0S/ref=sr_1_1?dchild=1&amp;keywords=B005TJMC0S&amp;qid=1600764822&amp;sr=8-1" TargetMode="External"/><Relationship Id="rId10" Type="http://schemas.openxmlformats.org/officeDocument/2006/relationships/hyperlink" Target="https://www.amazon.com/Brother-QL-1100-Postage-Barcode-Professional/dp/B079G51QTB/ref=sr_1_1?dchild=1&amp;keywords=B079G51QTB&amp;qid=1600764814&amp;sr=8-1" TargetMode="Externa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43"/>
  <sheetViews>
    <sheetView tabSelected="1" topLeftCell="H1" workbookViewId="0">
      <selection activeCell="Q61" sqref="Q61:R61"/>
    </sheetView>
  </sheetViews>
  <sheetFormatPr defaultColWidth="9" defaultRowHeight="16.5"/>
  <cols>
    <col min="1" max="12" width="9" style="6"/>
    <col min="13" max="13" width="18.6272727272727" style="6"/>
    <col min="14" max="17" width="15.6272727272727" style="6"/>
    <col min="18" max="18" width="12.2545454545455" style="255" customWidth="1"/>
    <col min="19" max="19" width="11.7545454545455" style="6" customWidth="1"/>
    <col min="20" max="20" width="12.5" style="6" customWidth="1"/>
    <col min="21" max="21" width="11.1272727272727" style="6" customWidth="1"/>
    <col min="22" max="22" width="12.3727272727273" style="6" customWidth="1"/>
    <col min="23" max="16384" width="9" style="6"/>
  </cols>
  <sheetData>
    <row r="1" ht="14" spans="1:18">
      <c r="A1" s="256" t="s">
        <v>0</v>
      </c>
      <c r="B1" s="256"/>
      <c r="C1" s="256"/>
      <c r="D1" s="256"/>
      <c r="E1" s="256"/>
      <c r="F1" s="256"/>
      <c r="G1" s="256"/>
      <c r="H1" s="256"/>
      <c r="I1" s="256"/>
      <c r="J1" s="256"/>
      <c r="K1" s="256"/>
      <c r="L1" s="256"/>
      <c r="M1" s="256"/>
      <c r="N1" s="256"/>
      <c r="O1" s="256"/>
      <c r="P1" s="256"/>
      <c r="Q1" s="256"/>
      <c r="R1" s="256"/>
    </row>
    <row r="2" ht="14" spans="1:18">
      <c r="A2" s="256"/>
      <c r="B2" s="256"/>
      <c r="C2" s="256"/>
      <c r="D2" s="256"/>
      <c r="E2" s="256"/>
      <c r="F2" s="256"/>
      <c r="G2" s="256"/>
      <c r="H2" s="256"/>
      <c r="I2" s="256"/>
      <c r="J2" s="256"/>
      <c r="K2" s="256"/>
      <c r="L2" s="256"/>
      <c r="M2" s="256"/>
      <c r="N2" s="256"/>
      <c r="O2" s="256"/>
      <c r="P2" s="256"/>
      <c r="Q2" s="256"/>
      <c r="R2" s="256"/>
    </row>
    <row r="3" spans="13:18">
      <c r="M3" s="257" t="s">
        <v>1</v>
      </c>
      <c r="N3" s="257" t="s">
        <v>2</v>
      </c>
      <c r="O3" s="257" t="s">
        <v>3</v>
      </c>
      <c r="P3" s="257" t="s">
        <v>4</v>
      </c>
      <c r="Q3" s="257" t="s">
        <v>5</v>
      </c>
      <c r="R3" s="264" t="s">
        <v>6</v>
      </c>
    </row>
    <row r="4" s="9" customFormat="1" spans="13:18">
      <c r="M4" s="13" t="s">
        <v>7</v>
      </c>
      <c r="N4" s="13">
        <v>31</v>
      </c>
      <c r="O4" s="13">
        <v>930</v>
      </c>
      <c r="P4" s="13">
        <v>151362.9</v>
      </c>
      <c r="Q4" s="13">
        <v>6</v>
      </c>
      <c r="R4" s="265">
        <f ca="1">GETPIVOTDATA("求和项:月销售额",$M$3,"品牌","Amazon Renewed")/GETPIVOTDATA("求和项:月销售额",$M$3)</f>
        <v>0.0226391377274226</v>
      </c>
    </row>
    <row r="5" spans="13:18">
      <c r="M5" s="11" t="s">
        <v>8</v>
      </c>
      <c r="N5" s="11">
        <v>17</v>
      </c>
      <c r="O5" s="11">
        <v>510</v>
      </c>
      <c r="P5" s="11">
        <v>6660.6</v>
      </c>
      <c r="Q5" s="11">
        <v>1</v>
      </c>
      <c r="R5" s="266">
        <f ca="1">GETPIVOTDATA("求和项:月销售额",$M$3,"品牌","AVERY")/GETPIVOTDATA("求和项:月销售额",$M$3)</f>
        <v>0.000996216647192087</v>
      </c>
    </row>
    <row r="6" spans="13:18">
      <c r="M6" s="11" t="s">
        <v>9</v>
      </c>
      <c r="N6" s="11">
        <v>44</v>
      </c>
      <c r="O6" s="11">
        <v>1320</v>
      </c>
      <c r="P6" s="11">
        <v>192706.8</v>
      </c>
      <c r="Q6" s="11">
        <v>1</v>
      </c>
      <c r="R6" s="266">
        <f ca="1">GETPIVOTDATA("求和项:月销售额",$M$3,"品牌","BESTEASY")/GETPIVOTDATA("求和项:月销售额",$M$3)</f>
        <v>0.0288228871553788</v>
      </c>
    </row>
    <row r="7" spans="13:18">
      <c r="M7" s="11" t="s">
        <v>10</v>
      </c>
      <c r="N7" s="11">
        <v>1</v>
      </c>
      <c r="O7" s="11">
        <v>30</v>
      </c>
      <c r="P7" s="11">
        <v>26058.9</v>
      </c>
      <c r="Q7" s="11">
        <v>1</v>
      </c>
      <c r="R7" s="266">
        <f ca="1">GETPIVOTDATA("求和项:月销售额",$M$3,"品牌","Brady")/GETPIVOTDATA("求和项:月销售额",$M$3)</f>
        <v>0.00389759330803739</v>
      </c>
    </row>
    <row r="8" spans="13:18">
      <c r="M8" s="13" t="s">
        <v>11</v>
      </c>
      <c r="N8" s="11">
        <v>141</v>
      </c>
      <c r="O8" s="11">
        <v>4230</v>
      </c>
      <c r="P8" s="11">
        <v>1043246.1</v>
      </c>
      <c r="Q8" s="11">
        <v>6</v>
      </c>
      <c r="R8" s="266">
        <f ca="1">GETPIVOTDATA("求和项:月销售额",$M$3,"品牌","Brother")/GETPIVOTDATA("求和项:月销售额",$M$3)</f>
        <v>0.156036863336369</v>
      </c>
    </row>
    <row r="9" spans="13:18">
      <c r="M9" s="11" t="s">
        <v>12</v>
      </c>
      <c r="N9" s="11">
        <v>2</v>
      </c>
      <c r="O9" s="11">
        <v>60</v>
      </c>
      <c r="P9" s="11">
        <v>20719.8</v>
      </c>
      <c r="Q9" s="11">
        <v>1</v>
      </c>
      <c r="R9" s="266">
        <f ca="1">GETPIVOTDATA("求和项:月销售额",$M$3,"品牌","Datamax-O'Neil")/GETPIVOTDATA("求和项:月销售额",$M$3)</f>
        <v>0.00309903157170384</v>
      </c>
    </row>
    <row r="10" spans="13:18">
      <c r="M10" s="11" t="s">
        <v>13</v>
      </c>
      <c r="N10" s="11">
        <v>2</v>
      </c>
      <c r="O10" s="11">
        <v>60</v>
      </c>
      <c r="P10" s="11">
        <v>18600</v>
      </c>
      <c r="Q10" s="11">
        <v>1</v>
      </c>
      <c r="R10" s="266">
        <f ca="1">GETPIVOTDATA("求和项:月销售额",$M$3,"品牌","DT-Techno")/GETPIVOTDATA("求和项:月销售额",$M$3)</f>
        <v>0.00278197604386584</v>
      </c>
    </row>
    <row r="11" spans="13:18">
      <c r="M11" s="258" t="s">
        <v>14</v>
      </c>
      <c r="N11" s="11">
        <v>630</v>
      </c>
      <c r="O11" s="11">
        <v>18900</v>
      </c>
      <c r="P11" s="11">
        <v>2281843.8</v>
      </c>
      <c r="Q11" s="11">
        <v>6</v>
      </c>
      <c r="R11" s="266">
        <f ca="1">GETPIVOTDATA("求和项:月销售额",$M$3,"品牌","DYMO")/GETPIVOTDATA("求和项:月销售额",$M$3)</f>
        <v>0.341292192873322</v>
      </c>
    </row>
    <row r="12" spans="13:18">
      <c r="M12" s="11" t="s">
        <v>15</v>
      </c>
      <c r="N12" s="11">
        <v>14</v>
      </c>
      <c r="O12" s="11">
        <v>420</v>
      </c>
      <c r="P12" s="11">
        <v>41995.8</v>
      </c>
      <c r="Q12" s="11">
        <v>1</v>
      </c>
      <c r="R12" s="266">
        <f ca="1">GETPIVOTDATA("求和项:月销售额",$M$3,"品牌","Immuson")/GETPIVOTDATA("求和项:月销售额",$M$3)</f>
        <v>0.00628125320123554</v>
      </c>
    </row>
    <row r="13" spans="13:18">
      <c r="M13" s="11" t="s">
        <v>16</v>
      </c>
      <c r="N13" s="11">
        <v>2</v>
      </c>
      <c r="O13" s="11">
        <v>60</v>
      </c>
      <c r="P13" s="11">
        <v>8396.4</v>
      </c>
      <c r="Q13" s="11">
        <v>1</v>
      </c>
      <c r="R13" s="266">
        <f ca="1">GETPIVOTDATA("求和项:月销售额",$M$3,"品牌","LotFancy")/GETPIVOTDATA("求和项:月销售额",$M$3)</f>
        <v>0.00125583783089866</v>
      </c>
    </row>
    <row r="14" spans="13:18">
      <c r="M14" s="11" t="s">
        <v>17</v>
      </c>
      <c r="N14" s="11">
        <v>25</v>
      </c>
      <c r="O14" s="11">
        <v>750</v>
      </c>
      <c r="P14" s="11">
        <v>116692.5</v>
      </c>
      <c r="Q14" s="11">
        <v>3</v>
      </c>
      <c r="R14" s="266">
        <f ca="1">GETPIVOTDATA("求和项:月销售额",$M$3,"品牌","MFLABEL")/GETPIVOTDATA("求和项:月销售额",$M$3)</f>
        <v>0.0174535343816567</v>
      </c>
    </row>
    <row r="15" spans="13:18">
      <c r="M15" s="11" t="s">
        <v>18</v>
      </c>
      <c r="N15" s="11">
        <v>2</v>
      </c>
      <c r="O15" s="11">
        <v>60</v>
      </c>
      <c r="P15" s="11">
        <v>2339.4</v>
      </c>
      <c r="Q15" s="11">
        <v>1</v>
      </c>
      <c r="R15" s="266">
        <f ca="1">GETPIVOTDATA("求和项:月销售额",$M$3,"品牌","NANA")/GETPIVOTDATA("求和项:月销售额",$M$3)</f>
        <v>0.000349900793388158</v>
      </c>
    </row>
    <row r="16" spans="13:18">
      <c r="M16" s="11" t="s">
        <v>19</v>
      </c>
      <c r="N16" s="11">
        <v>4</v>
      </c>
      <c r="O16" s="11">
        <v>120</v>
      </c>
      <c r="P16" s="11">
        <v>17005.5</v>
      </c>
      <c r="Q16" s="11">
        <v>2</v>
      </c>
      <c r="R16" s="266">
        <f ca="1">GETPIVOTDATA("求和项:月销售额",$M$3,"品牌","NETUM")/GETPIVOTDATA("求和项:月销售额",$M$3)</f>
        <v>0.00254348890397637</v>
      </c>
    </row>
    <row r="17" s="9" customFormat="1" spans="13:18">
      <c r="M17" s="13" t="s">
        <v>20</v>
      </c>
      <c r="N17" s="13">
        <v>24</v>
      </c>
      <c r="O17" s="13">
        <v>720</v>
      </c>
      <c r="P17" s="13">
        <v>100432.8</v>
      </c>
      <c r="Q17" s="13">
        <v>2</v>
      </c>
      <c r="R17" s="265">
        <f ca="1">GETPIVOTDATA("求和项:月销售额",$M$3,"品牌","Phomemo")/GETPIVOTDATA("求和项:月销售额",$M$3)</f>
        <v>0.0150215937429231</v>
      </c>
    </row>
    <row r="18" spans="13:18">
      <c r="M18" s="13" t="s">
        <v>21</v>
      </c>
      <c r="N18" s="11">
        <v>335</v>
      </c>
      <c r="O18" s="11">
        <v>10050</v>
      </c>
      <c r="P18" s="11">
        <v>2009899.5</v>
      </c>
      <c r="Q18" s="11">
        <v>1</v>
      </c>
      <c r="R18" s="266">
        <f ca="1">GETPIVOTDATA("求和项:月销售额",$M$3,"品牌","Rollo")/GETPIVOTDATA("求和项:月销售额",$M$3)</f>
        <v>0.300617863418168</v>
      </c>
    </row>
    <row r="19" spans="13:18">
      <c r="M19" s="11" t="s">
        <v>22</v>
      </c>
      <c r="N19" s="11">
        <v>2</v>
      </c>
      <c r="O19" s="11">
        <v>60</v>
      </c>
      <c r="P19" s="11">
        <v>3925.8</v>
      </c>
      <c r="Q19" s="11">
        <v>1</v>
      </c>
      <c r="R19" s="266">
        <f ca="1">GETPIVOTDATA("求和项:月销售额",$M$3,"品牌","Seiko Instruments")/GETPIVOTDATA("求和项:月销售额",$M$3)</f>
        <v>0.000587176427581103</v>
      </c>
    </row>
    <row r="20" spans="13:18">
      <c r="M20" s="13" t="s">
        <v>23</v>
      </c>
      <c r="N20" s="11">
        <v>61</v>
      </c>
      <c r="O20" s="11">
        <v>1830</v>
      </c>
      <c r="P20" s="11">
        <v>644008.5</v>
      </c>
      <c r="Q20" s="11">
        <v>13</v>
      </c>
      <c r="R20" s="266">
        <f ca="1">GETPIVOTDATA("求和项:月销售额",$M$3,"品牌","ZEBRA")/GETPIVOTDATA("求和项:月销售额",$M$3)</f>
        <v>0.0963234526368803</v>
      </c>
    </row>
    <row r="21" spans="13:18">
      <c r="M21" s="11" t="s">
        <v>24</v>
      </c>
      <c r="N21" s="11">
        <v>1337</v>
      </c>
      <c r="O21" s="11">
        <v>40110</v>
      </c>
      <c r="P21" s="11">
        <v>6685895.1</v>
      </c>
      <c r="Q21" s="11">
        <v>48</v>
      </c>
      <c r="R21" s="266">
        <f ca="1">SUM(R4:R20)</f>
        <v>1</v>
      </c>
    </row>
    <row r="24" spans="13:18">
      <c r="M24" s="11" t="s">
        <v>25</v>
      </c>
      <c r="N24" s="11" t="s">
        <v>2</v>
      </c>
      <c r="O24" s="11" t="s">
        <v>3</v>
      </c>
      <c r="P24" s="11" t="s">
        <v>4</v>
      </c>
      <c r="Q24" s="11" t="s">
        <v>5</v>
      </c>
      <c r="R24" s="267" t="s">
        <v>6</v>
      </c>
    </row>
    <row r="25" spans="13:18">
      <c r="M25" s="11" t="s">
        <v>26</v>
      </c>
      <c r="N25" s="11">
        <v>19</v>
      </c>
      <c r="O25" s="11">
        <v>570</v>
      </c>
      <c r="P25" s="11">
        <v>9000</v>
      </c>
      <c r="Q25" s="11">
        <v>2</v>
      </c>
      <c r="R25" s="266">
        <f ca="1">GETPIVOTDATA("求和项:月销售额",$M$24,"价格","&lt;50")/GETPIVOTDATA("求和项:月销售额",$M$24)</f>
        <v>0.00134611744058025</v>
      </c>
    </row>
    <row r="26" spans="13:18">
      <c r="M26" s="11" t="s">
        <v>27</v>
      </c>
      <c r="N26" s="11">
        <v>458</v>
      </c>
      <c r="O26" s="11">
        <v>13740</v>
      </c>
      <c r="P26" s="11">
        <v>1113635.7</v>
      </c>
      <c r="Q26" s="11">
        <v>7</v>
      </c>
      <c r="R26" s="266">
        <f ca="1">GETPIVOTDATA("求和项:月销售额",$M$24,"价格","50-100")/GETPIVOTDATA("求和项:月销售额",$M$24)</f>
        <v>0.16656493758031</v>
      </c>
    </row>
    <row r="27" spans="13:18">
      <c r="M27" s="11" t="s">
        <v>28</v>
      </c>
      <c r="N27" s="11">
        <v>184</v>
      </c>
      <c r="O27" s="11">
        <v>5520</v>
      </c>
      <c r="P27" s="11">
        <v>774462.6</v>
      </c>
      <c r="Q27" s="11">
        <v>8</v>
      </c>
      <c r="R27" s="266">
        <f ca="1">GETPIVOTDATA("求和项:月销售额",$M$24,"价格","100-150")/GETPIVOTDATA("求和项:月销售额",$M$24)</f>
        <v>0.115835290326347</v>
      </c>
    </row>
    <row r="28" spans="13:18">
      <c r="M28" s="258" t="s">
        <v>29</v>
      </c>
      <c r="N28" s="11">
        <v>400</v>
      </c>
      <c r="O28" s="11">
        <v>12000</v>
      </c>
      <c r="P28" s="11">
        <v>2337186.6</v>
      </c>
      <c r="Q28" s="11">
        <v>9</v>
      </c>
      <c r="R28" s="266">
        <f ca="1">GETPIVOTDATA("求和项:月销售额",$M$24,"价格","150-200")/GETPIVOTDATA("求和项:月销售额",$M$24)</f>
        <v>0.349569738238938</v>
      </c>
    </row>
    <row r="29" spans="13:18">
      <c r="M29" s="11" t="s">
        <v>30</v>
      </c>
      <c r="N29" s="11">
        <v>159</v>
      </c>
      <c r="O29" s="11">
        <v>4770</v>
      </c>
      <c r="P29" s="11">
        <v>999573</v>
      </c>
      <c r="Q29" s="11">
        <v>4</v>
      </c>
      <c r="R29" s="266">
        <f ca="1">GETPIVOTDATA("求和项:月销售额",$M$24,"价格","200-250")/GETPIVOTDATA("求和项:月销售额",$M$24)</f>
        <v>0.149504738714791</v>
      </c>
    </row>
    <row r="30" spans="13:18">
      <c r="M30" s="11" t="s">
        <v>31</v>
      </c>
      <c r="N30" s="11">
        <v>17</v>
      </c>
      <c r="O30" s="11">
        <v>510</v>
      </c>
      <c r="P30" s="11">
        <v>147894.9</v>
      </c>
      <c r="Q30" s="11">
        <v>1</v>
      </c>
      <c r="R30" s="266">
        <f ca="1">GETPIVOTDATA("求和项:月销售额",$M$24,"价格","250-300")/GETPIVOTDATA("求和项:月销售额",$M$24)</f>
        <v>0.0221204338069857</v>
      </c>
    </row>
    <row r="31" spans="13:18">
      <c r="M31" s="11" t="s">
        <v>32</v>
      </c>
      <c r="N31" s="11">
        <v>31</v>
      </c>
      <c r="O31" s="11">
        <v>930</v>
      </c>
      <c r="P31" s="11">
        <v>306164.7</v>
      </c>
      <c r="Q31" s="11">
        <v>6</v>
      </c>
      <c r="R31" s="266">
        <f ca="1">GETPIVOTDATA("求和项:月销售额",$M$24,"价格","300-350")/GETPIVOTDATA("求和项:月销售额",$M$24)</f>
        <v>0.0457926269288909</v>
      </c>
    </row>
    <row r="32" spans="13:18">
      <c r="M32" s="11" t="s">
        <v>33</v>
      </c>
      <c r="N32" s="11">
        <v>3</v>
      </c>
      <c r="O32" s="11">
        <v>90</v>
      </c>
      <c r="P32" s="11">
        <v>33449.4</v>
      </c>
      <c r="Q32" s="11">
        <v>2</v>
      </c>
      <c r="R32" s="266">
        <f ca="1">GETPIVOTDATA("求和项:月销售额",$M$24,"价格","350-400")/GETPIVOTDATA("求和项:月销售额",$M$24)</f>
        <v>0.00500298007966054</v>
      </c>
    </row>
    <row r="33" spans="13:18">
      <c r="M33" s="11" t="s">
        <v>34</v>
      </c>
      <c r="N33" s="11">
        <v>7</v>
      </c>
      <c r="O33" s="11">
        <v>210</v>
      </c>
      <c r="P33" s="11">
        <v>86500.8</v>
      </c>
      <c r="Q33" s="11">
        <v>2</v>
      </c>
      <c r="R33" s="266">
        <f ca="1">GETPIVOTDATA("求和项:月销售额",$M$24,"价格","400-450")/GETPIVOTDATA("求和项:月销售额",$M$24)</f>
        <v>0.0129378039449048</v>
      </c>
    </row>
    <row r="34" spans="13:18">
      <c r="M34" s="11" t="s">
        <v>35</v>
      </c>
      <c r="N34" s="11">
        <v>56</v>
      </c>
      <c r="O34" s="11">
        <v>1680</v>
      </c>
      <c r="P34" s="11">
        <v>813898.5</v>
      </c>
      <c r="Q34" s="11">
        <v>4</v>
      </c>
      <c r="R34" s="266">
        <f ca="1">GETPIVOTDATA("求和项:月销售额",$M$24,"价格","450-500")/GETPIVOTDATA("求和项:月销售额",$M$24)</f>
        <v>0.1217336628569</v>
      </c>
    </row>
    <row r="35" spans="13:18">
      <c r="M35" s="11" t="s">
        <v>36</v>
      </c>
      <c r="N35" s="11">
        <v>3</v>
      </c>
      <c r="O35" s="11">
        <v>90</v>
      </c>
      <c r="P35" s="11">
        <v>64128.9</v>
      </c>
      <c r="Q35" s="11">
        <v>3</v>
      </c>
      <c r="R35" s="266">
        <f ca="1">GETPIVOTDATA("求和项:月销售额",$M$24,"价格","&gt;500")/GETPIVOTDATA("求和项:月销售额",$M$24)</f>
        <v>0.00959167008169183</v>
      </c>
    </row>
    <row r="36" spans="13:18">
      <c r="M36" s="11" t="s">
        <v>24</v>
      </c>
      <c r="N36" s="11">
        <v>1337</v>
      </c>
      <c r="O36" s="11">
        <v>40110</v>
      </c>
      <c r="P36" s="11">
        <v>6685895.1</v>
      </c>
      <c r="Q36" s="11">
        <v>48</v>
      </c>
      <c r="R36" s="266"/>
    </row>
    <row r="37" spans="13:17">
      <c r="M37"/>
      <c r="N37"/>
      <c r="O37"/>
      <c r="P37"/>
      <c r="Q37"/>
    </row>
    <row r="38" spans="13:17">
      <c r="M38"/>
      <c r="N38"/>
      <c r="O38"/>
      <c r="P38"/>
      <c r="Q38"/>
    </row>
    <row r="39" spans="13:18">
      <c r="M39" s="11" t="s">
        <v>37</v>
      </c>
      <c r="N39" s="11" t="s">
        <v>2</v>
      </c>
      <c r="O39" s="11" t="s">
        <v>3</v>
      </c>
      <c r="P39" s="11" t="s">
        <v>4</v>
      </c>
      <c r="Q39" s="11" t="s">
        <v>5</v>
      </c>
      <c r="R39" s="267" t="s">
        <v>6</v>
      </c>
    </row>
    <row r="40" spans="13:18">
      <c r="M40" s="11" t="s">
        <v>38</v>
      </c>
      <c r="N40" s="11">
        <v>9</v>
      </c>
      <c r="O40" s="11">
        <v>270</v>
      </c>
      <c r="P40" s="11">
        <v>126033.3</v>
      </c>
      <c r="Q40" s="11">
        <v>4</v>
      </c>
      <c r="R40" s="266">
        <f ca="1">GETPIVOTDATA("求和项:月销售额",$M$39,"评分","&lt;3.2")/GETPIVOTDATA("求和项:月销售额",$M$39)</f>
        <v>0.0188506248026536</v>
      </c>
    </row>
    <row r="41" spans="13:18">
      <c r="M41" s="11" t="s">
        <v>39</v>
      </c>
      <c r="N41" s="11">
        <v>7</v>
      </c>
      <c r="O41" s="11">
        <v>210</v>
      </c>
      <c r="P41" s="11">
        <v>61975.8</v>
      </c>
      <c r="Q41" s="11">
        <v>4</v>
      </c>
      <c r="R41" s="266">
        <f ca="1">GETPIVOTDATA("求和项:月销售额",$M$39,"评分","3.2-3.7")/GETPIVOTDATA("求和项:月销售额",$M$39)</f>
        <v>0.00926963391932368</v>
      </c>
    </row>
    <row r="42" spans="13:18">
      <c r="M42" s="11" t="s">
        <v>40</v>
      </c>
      <c r="N42" s="11">
        <v>99</v>
      </c>
      <c r="O42" s="11">
        <v>2970</v>
      </c>
      <c r="P42" s="11">
        <v>594137.4</v>
      </c>
      <c r="Q42" s="11">
        <v>17</v>
      </c>
      <c r="R42" s="266">
        <f ca="1">GETPIVOTDATA("求和项:月销售额",$M$39,"评分","3.7-4.2")/GETPIVOTDATA("求和项:月销售额",$M$39)</f>
        <v>0.0888643018045557</v>
      </c>
    </row>
    <row r="43" spans="13:18">
      <c r="M43" s="258" t="s">
        <v>41</v>
      </c>
      <c r="N43" s="11">
        <v>1176</v>
      </c>
      <c r="O43" s="11">
        <v>35280</v>
      </c>
      <c r="P43" s="11">
        <v>5692441.8</v>
      </c>
      <c r="Q43" s="11">
        <v>21</v>
      </c>
      <c r="R43" s="266">
        <f ca="1">GETPIVOTDATA("求和项:月销售额",$M$39,"评分","4.2-4.7")/GETPIVOTDATA("求和项:月销售额",$M$39)</f>
        <v>0.851410576274222</v>
      </c>
    </row>
    <row r="44" spans="13:18">
      <c r="M44" s="11" t="s">
        <v>42</v>
      </c>
      <c r="N44" s="11">
        <v>46</v>
      </c>
      <c r="O44" s="11">
        <v>1380</v>
      </c>
      <c r="P44" s="11">
        <v>211306.8</v>
      </c>
      <c r="Q44" s="11">
        <v>2</v>
      </c>
      <c r="R44" s="266">
        <f ca="1">GETPIVOTDATA("求和项:月销售额",$M$39,"评分","&gt;4.7")/GETPIVOTDATA("求和项:月销售额",$M$39)</f>
        <v>0.0316048631992446</v>
      </c>
    </row>
    <row r="45" spans="13:18">
      <c r="M45" s="11" t="s">
        <v>24</v>
      </c>
      <c r="N45" s="11">
        <v>1337</v>
      </c>
      <c r="O45" s="11">
        <v>40110</v>
      </c>
      <c r="P45" s="11">
        <v>6685895.1</v>
      </c>
      <c r="Q45" s="11">
        <v>48</v>
      </c>
      <c r="R45" s="266"/>
    </row>
    <row r="46" spans="13:17">
      <c r="M46"/>
      <c r="N46"/>
      <c r="O46"/>
      <c r="P46"/>
      <c r="Q46"/>
    </row>
    <row r="47" spans="13:17">
      <c r="M47"/>
      <c r="N47"/>
      <c r="O47"/>
      <c r="P47"/>
      <c r="Q47"/>
    </row>
    <row r="48" spans="13:18">
      <c r="M48" s="11" t="s">
        <v>43</v>
      </c>
      <c r="N48" s="11" t="s">
        <v>2</v>
      </c>
      <c r="O48" s="11" t="s">
        <v>3</v>
      </c>
      <c r="P48" s="11" t="s">
        <v>4</v>
      </c>
      <c r="Q48" s="11" t="s">
        <v>5</v>
      </c>
      <c r="R48" s="267" t="s">
        <v>6</v>
      </c>
    </row>
    <row r="49" spans="13:18">
      <c r="M49" s="258" t="s">
        <v>44</v>
      </c>
      <c r="N49" s="11">
        <v>168</v>
      </c>
      <c r="O49" s="11">
        <v>5040</v>
      </c>
      <c r="P49" s="11">
        <v>1137568.8</v>
      </c>
      <c r="Q49" s="11">
        <v>29</v>
      </c>
      <c r="R49" s="266">
        <f ca="1">GETPIVOTDATA("求和项:月销售额",$M$48,"评论数","0-99")/GETPIVOTDATA("求和项:月销售额",$M$48)</f>
        <v>0.170144577948882</v>
      </c>
    </row>
    <row r="50" spans="13:18">
      <c r="M50" s="11" t="s">
        <v>45</v>
      </c>
      <c r="N50" s="11">
        <v>51</v>
      </c>
      <c r="O50" s="11">
        <v>1530</v>
      </c>
      <c r="P50" s="11">
        <v>319125.6</v>
      </c>
      <c r="Q50" s="11">
        <v>5</v>
      </c>
      <c r="R50" s="266">
        <f ca="1">GETPIVOTDATA("求和项:月销售额",$M$48,"评论数","100-199")/GETPIVOTDATA("求和项:月销售额",$M$48)</f>
        <v>0.0477311706550705</v>
      </c>
    </row>
    <row r="51" spans="13:18">
      <c r="M51" s="11" t="s">
        <v>46</v>
      </c>
      <c r="N51" s="11">
        <v>31</v>
      </c>
      <c r="O51" s="11">
        <v>930</v>
      </c>
      <c r="P51" s="11">
        <v>137117.1</v>
      </c>
      <c r="Q51" s="11">
        <v>4</v>
      </c>
      <c r="R51" s="266">
        <f ca="1">GETPIVOTDATA("求和项:月销售额",$M$48,"评论数","200-299")/GETPIVOTDATA("求和项:月销售额",$M$48)</f>
        <v>0.0205084133013095</v>
      </c>
    </row>
    <row r="52" spans="13:18">
      <c r="M52" s="11" t="s">
        <v>47</v>
      </c>
      <c r="N52" s="11">
        <v>80</v>
      </c>
      <c r="O52" s="11">
        <v>2400</v>
      </c>
      <c r="P52" s="11">
        <v>795816</v>
      </c>
      <c r="Q52" s="11">
        <v>2</v>
      </c>
      <c r="R52" s="266">
        <f ca="1">GETPIVOTDATA("求和项:月销售额",$M$48,"评论数","300-399")/GETPIVOTDATA("求和项:月销售额",$M$48)</f>
        <v>0.119029088565868</v>
      </c>
    </row>
    <row r="53" spans="13:18">
      <c r="M53" s="11" t="s">
        <v>48</v>
      </c>
      <c r="N53" s="11">
        <v>51</v>
      </c>
      <c r="O53" s="11">
        <v>1530</v>
      </c>
      <c r="P53" s="11">
        <v>128384.7</v>
      </c>
      <c r="Q53" s="11">
        <v>2</v>
      </c>
      <c r="R53" s="266">
        <f ca="1">GETPIVOTDATA("求和项:月销售额",$M$48,"评论数","700-799")/GETPIVOTDATA("求和项:月销售额",$M$48)</f>
        <v>0.0192023204192958</v>
      </c>
    </row>
    <row r="54" spans="13:18">
      <c r="M54" s="13" t="s">
        <v>49</v>
      </c>
      <c r="N54" s="11">
        <v>956</v>
      </c>
      <c r="O54" s="11">
        <v>28680</v>
      </c>
      <c r="P54" s="11">
        <v>4167882.9</v>
      </c>
      <c r="Q54" s="11">
        <v>6</v>
      </c>
      <c r="R54" s="266">
        <f ca="1">GETPIVOTDATA("求和项:月销售额",$M$48,"评论数","&gt;1000")/GETPIVOTDATA("求和项:月销售额",$M$48)</f>
        <v>0.623384429109574</v>
      </c>
    </row>
    <row r="55" spans="13:18">
      <c r="M55" s="11" t="s">
        <v>24</v>
      </c>
      <c r="N55" s="11">
        <v>1337</v>
      </c>
      <c r="O55" s="11">
        <v>40110</v>
      </c>
      <c r="P55" s="11">
        <v>6685895.1</v>
      </c>
      <c r="Q55" s="11">
        <v>48</v>
      </c>
      <c r="R55" s="266"/>
    </row>
    <row r="56" spans="13:17">
      <c r="M56"/>
      <c r="N56"/>
      <c r="O56"/>
      <c r="P56"/>
      <c r="Q56"/>
    </row>
    <row r="57" spans="13:17">
      <c r="M57"/>
      <c r="N57"/>
      <c r="O57"/>
      <c r="P57"/>
      <c r="Q57"/>
    </row>
    <row r="58" spans="13:17">
      <c r="M58"/>
      <c r="N58"/>
      <c r="O58"/>
      <c r="P58"/>
      <c r="Q58"/>
    </row>
    <row r="59" ht="39" customHeight="1" spans="13:22">
      <c r="M59" s="125" t="s">
        <v>50</v>
      </c>
      <c r="N59" s="125"/>
      <c r="O59" s="259" t="s">
        <v>51</v>
      </c>
      <c r="P59" s="259"/>
      <c r="Q59" s="259" t="s">
        <v>52</v>
      </c>
      <c r="R59" s="259"/>
      <c r="S59" s="125" t="s">
        <v>53</v>
      </c>
      <c r="T59" s="125"/>
      <c r="U59" s="125" t="s">
        <v>54</v>
      </c>
      <c r="V59" s="125"/>
    </row>
    <row r="60" ht="123" customHeight="1" spans="13:22">
      <c r="M60" s="260" t="s">
        <v>55</v>
      </c>
      <c r="N60" s="260"/>
      <c r="O60" s="260" t="s">
        <v>56</v>
      </c>
      <c r="P60" s="260"/>
      <c r="Q60" s="268" t="s">
        <v>57</v>
      </c>
      <c r="R60" s="268"/>
      <c r="S60" s="261" t="s">
        <v>58</v>
      </c>
      <c r="T60" s="261"/>
      <c r="U60" s="269" t="s">
        <v>59</v>
      </c>
      <c r="V60" s="269"/>
    </row>
    <row r="61" ht="198" customHeight="1" spans="13:22">
      <c r="M61" s="260" t="s">
        <v>60</v>
      </c>
      <c r="N61" s="260"/>
      <c r="O61" s="261" t="s">
        <v>61</v>
      </c>
      <c r="P61" s="261"/>
      <c r="Q61" s="261" t="s">
        <v>62</v>
      </c>
      <c r="R61" s="261"/>
      <c r="S61" s="270" t="s">
        <v>63</v>
      </c>
      <c r="T61" s="261"/>
      <c r="U61" s="269" t="s">
        <v>64</v>
      </c>
      <c r="V61" s="269"/>
    </row>
    <row r="62" ht="135" customHeight="1" spans="13:22">
      <c r="M62" s="262" t="s">
        <v>65</v>
      </c>
      <c r="N62" s="262"/>
      <c r="O62" s="263" t="s">
        <v>66</v>
      </c>
      <c r="P62" s="263"/>
      <c r="Q62" s="271"/>
      <c r="R62" s="271"/>
      <c r="S62" s="272"/>
      <c r="T62" s="272"/>
      <c r="U62" s="272"/>
      <c r="V62" s="272"/>
    </row>
    <row r="63" spans="13:17">
      <c r="M63"/>
      <c r="N63"/>
      <c r="O63"/>
      <c r="P63"/>
      <c r="Q63"/>
    </row>
    <row r="64" spans="13:17">
      <c r="M64"/>
      <c r="N64"/>
      <c r="O64"/>
      <c r="P64"/>
      <c r="Q64"/>
    </row>
    <row r="65" spans="13:17">
      <c r="M65"/>
      <c r="N65"/>
      <c r="O65"/>
      <c r="P65"/>
      <c r="Q65"/>
    </row>
    <row r="66" spans="13:17">
      <c r="M66"/>
      <c r="N66"/>
      <c r="O66"/>
      <c r="P66"/>
      <c r="Q66"/>
    </row>
    <row r="67" spans="13:17">
      <c r="M67"/>
      <c r="N67"/>
      <c r="O67"/>
      <c r="P67"/>
      <c r="Q67"/>
    </row>
    <row r="68" spans="13:17">
      <c r="M68"/>
      <c r="N68"/>
      <c r="O68"/>
      <c r="P68"/>
      <c r="Q68"/>
    </row>
    <row r="69" spans="13:17">
      <c r="M69"/>
      <c r="N69"/>
      <c r="O69"/>
      <c r="P69"/>
      <c r="Q69"/>
    </row>
    <row r="70" spans="13:17">
      <c r="M70"/>
      <c r="N70"/>
      <c r="O70"/>
      <c r="P70"/>
      <c r="Q70"/>
    </row>
    <row r="71" spans="13:17">
      <c r="M71"/>
      <c r="N71"/>
      <c r="O71"/>
      <c r="P71"/>
      <c r="Q71"/>
    </row>
    <row r="72" spans="13:17">
      <c r="M72"/>
      <c r="N72"/>
      <c r="O72"/>
      <c r="P72"/>
      <c r="Q72"/>
    </row>
    <row r="73" spans="13:17">
      <c r="M73"/>
      <c r="N73"/>
      <c r="O73"/>
      <c r="P73"/>
      <c r="Q73"/>
    </row>
    <row r="74" spans="13:17">
      <c r="M74"/>
      <c r="N74"/>
      <c r="O74"/>
      <c r="P74"/>
      <c r="Q74"/>
    </row>
    <row r="75" spans="13:17">
      <c r="M75"/>
      <c r="N75"/>
      <c r="O75"/>
      <c r="P75"/>
      <c r="Q75"/>
    </row>
    <row r="76" spans="13:17">
      <c r="M76"/>
      <c r="N76"/>
      <c r="O76"/>
      <c r="P76"/>
      <c r="Q76"/>
    </row>
    <row r="77" spans="13:17">
      <c r="M77"/>
      <c r="N77"/>
      <c r="O77"/>
      <c r="P77"/>
      <c r="Q77"/>
    </row>
    <row r="78" spans="13:17">
      <c r="M78"/>
      <c r="N78"/>
      <c r="O78"/>
      <c r="P78"/>
      <c r="Q78"/>
    </row>
    <row r="79" spans="13:17">
      <c r="M79"/>
      <c r="N79"/>
      <c r="O79"/>
      <c r="P79"/>
      <c r="Q79"/>
    </row>
    <row r="80" spans="13:17">
      <c r="M80"/>
      <c r="N80"/>
      <c r="O80"/>
      <c r="P80"/>
      <c r="Q80"/>
    </row>
    <row r="81" spans="13:17">
      <c r="M81"/>
      <c r="N81"/>
      <c r="O81"/>
      <c r="P81"/>
      <c r="Q81"/>
    </row>
    <row r="82" spans="13:17">
      <c r="M82"/>
      <c r="N82"/>
      <c r="O82"/>
      <c r="P82"/>
      <c r="Q82"/>
    </row>
    <row r="83" spans="13:17">
      <c r="M83"/>
      <c r="N83"/>
      <c r="O83"/>
      <c r="P83"/>
      <c r="Q83"/>
    </row>
    <row r="84" spans="13:17">
      <c r="M84"/>
      <c r="N84"/>
      <c r="O84"/>
      <c r="P84"/>
      <c r="Q84"/>
    </row>
    <row r="85" spans="13:17">
      <c r="M85"/>
      <c r="N85"/>
      <c r="O85"/>
      <c r="P85"/>
      <c r="Q85"/>
    </row>
    <row r="86" spans="13:17">
      <c r="M86"/>
      <c r="N86"/>
      <c r="O86"/>
      <c r="P86"/>
      <c r="Q86"/>
    </row>
    <row r="87" spans="13:17">
      <c r="M87"/>
      <c r="N87"/>
      <c r="O87"/>
      <c r="P87"/>
      <c r="Q87"/>
    </row>
    <row r="88" spans="13:17">
      <c r="M88"/>
      <c r="N88"/>
      <c r="O88"/>
      <c r="P88"/>
      <c r="Q88"/>
    </row>
    <row r="89" spans="13:17">
      <c r="M89"/>
      <c r="N89"/>
      <c r="O89"/>
      <c r="P89"/>
      <c r="Q89"/>
    </row>
    <row r="90" spans="13:17">
      <c r="M90"/>
      <c r="N90"/>
      <c r="O90"/>
      <c r="P90"/>
      <c r="Q90"/>
    </row>
    <row r="91" spans="13:17">
      <c r="M91"/>
      <c r="N91"/>
      <c r="O91"/>
      <c r="P91"/>
      <c r="Q91"/>
    </row>
    <row r="92" spans="13:17">
      <c r="M92"/>
      <c r="N92"/>
      <c r="O92"/>
      <c r="P92"/>
      <c r="Q92"/>
    </row>
    <row r="93" spans="13:17">
      <c r="M93"/>
      <c r="N93"/>
      <c r="O93"/>
      <c r="P93"/>
      <c r="Q93"/>
    </row>
    <row r="94" spans="13:17">
      <c r="M94"/>
      <c r="N94"/>
      <c r="O94"/>
      <c r="P94"/>
      <c r="Q94"/>
    </row>
    <row r="95" spans="13:17">
      <c r="M95"/>
      <c r="N95"/>
      <c r="O95"/>
      <c r="P95"/>
      <c r="Q95"/>
    </row>
    <row r="96" spans="13:17">
      <c r="M96"/>
      <c r="N96"/>
      <c r="O96"/>
      <c r="P96"/>
      <c r="Q96"/>
    </row>
    <row r="97" spans="13:17">
      <c r="M97"/>
      <c r="N97"/>
      <c r="O97"/>
      <c r="P97"/>
      <c r="Q97"/>
    </row>
    <row r="98" spans="13:17">
      <c r="M98"/>
      <c r="N98"/>
      <c r="O98"/>
      <c r="P98"/>
      <c r="Q98"/>
    </row>
    <row r="99" spans="13:17">
      <c r="M99"/>
      <c r="N99"/>
      <c r="O99"/>
      <c r="P99"/>
      <c r="Q99"/>
    </row>
    <row r="100" spans="13:17">
      <c r="M100"/>
      <c r="N100"/>
      <c r="O100"/>
      <c r="P100"/>
      <c r="Q100"/>
    </row>
    <row r="101" spans="13:17">
      <c r="M101"/>
      <c r="N101"/>
      <c r="O101"/>
      <c r="P101"/>
      <c r="Q101"/>
    </row>
    <row r="102" spans="13:17">
      <c r="M102"/>
      <c r="N102"/>
      <c r="O102"/>
      <c r="P102"/>
      <c r="Q102"/>
    </row>
    <row r="103" spans="13:17">
      <c r="M103"/>
      <c r="N103"/>
      <c r="O103"/>
      <c r="P103"/>
      <c r="Q103"/>
    </row>
    <row r="104" spans="13:17">
      <c r="M104"/>
      <c r="N104"/>
      <c r="O104"/>
      <c r="P104"/>
      <c r="Q104"/>
    </row>
    <row r="105" spans="13:17">
      <c r="M105"/>
      <c r="N105"/>
      <c r="O105"/>
      <c r="P105"/>
      <c r="Q105"/>
    </row>
    <row r="106" spans="13:17">
      <c r="M106"/>
      <c r="N106"/>
      <c r="O106"/>
      <c r="P106"/>
      <c r="Q106"/>
    </row>
    <row r="107" spans="13:17">
      <c r="M107"/>
      <c r="N107"/>
      <c r="O107"/>
      <c r="P107"/>
      <c r="Q107"/>
    </row>
    <row r="108" spans="13:17">
      <c r="M108"/>
      <c r="N108"/>
      <c r="O108"/>
      <c r="P108"/>
      <c r="Q108"/>
    </row>
    <row r="109" spans="13:17">
      <c r="M109"/>
      <c r="N109"/>
      <c r="O109"/>
      <c r="P109"/>
      <c r="Q109"/>
    </row>
    <row r="110" spans="13:17">
      <c r="M110"/>
      <c r="N110"/>
      <c r="O110"/>
      <c r="P110"/>
      <c r="Q110"/>
    </row>
    <row r="111" spans="13:17">
      <c r="M111"/>
      <c r="N111"/>
      <c r="O111"/>
      <c r="P111"/>
      <c r="Q111"/>
    </row>
    <row r="112" spans="13:17">
      <c r="M112"/>
      <c r="N112"/>
      <c r="O112"/>
      <c r="P112"/>
      <c r="Q112"/>
    </row>
    <row r="113" spans="13:17">
      <c r="M113"/>
      <c r="N113"/>
      <c r="O113"/>
      <c r="P113"/>
      <c r="Q113"/>
    </row>
    <row r="114" spans="13:17">
      <c r="M114"/>
      <c r="N114"/>
      <c r="O114"/>
      <c r="P114"/>
      <c r="Q114"/>
    </row>
    <row r="115" spans="13:17">
      <c r="M115"/>
      <c r="N115"/>
      <c r="O115"/>
      <c r="P115"/>
      <c r="Q115"/>
    </row>
    <row r="116" spans="13:17">
      <c r="M116"/>
      <c r="N116"/>
      <c r="O116"/>
      <c r="P116"/>
      <c r="Q116"/>
    </row>
    <row r="117" spans="13:17">
      <c r="M117"/>
      <c r="N117"/>
      <c r="O117"/>
      <c r="P117"/>
      <c r="Q117"/>
    </row>
    <row r="118" spans="13:17">
      <c r="M118"/>
      <c r="N118"/>
      <c r="O118"/>
      <c r="P118"/>
      <c r="Q118"/>
    </row>
    <row r="119" spans="13:17">
      <c r="M119"/>
      <c r="N119"/>
      <c r="O119"/>
      <c r="P119"/>
      <c r="Q119"/>
    </row>
    <row r="120" spans="13:17">
      <c r="M120"/>
      <c r="N120"/>
      <c r="O120"/>
      <c r="P120"/>
      <c r="Q120"/>
    </row>
    <row r="121" spans="13:17">
      <c r="M121"/>
      <c r="N121"/>
      <c r="O121"/>
      <c r="P121"/>
      <c r="Q121"/>
    </row>
    <row r="122" spans="13:17">
      <c r="M122"/>
      <c r="N122"/>
      <c r="O122"/>
      <c r="P122"/>
      <c r="Q122"/>
    </row>
    <row r="123" spans="13:17">
      <c r="M123"/>
      <c r="N123"/>
      <c r="O123"/>
      <c r="P123"/>
      <c r="Q123"/>
    </row>
    <row r="124" spans="13:17">
      <c r="M124"/>
      <c r="N124"/>
      <c r="O124"/>
      <c r="P124"/>
      <c r="Q124"/>
    </row>
    <row r="125" spans="13:17">
      <c r="M125"/>
      <c r="N125"/>
      <c r="O125"/>
      <c r="P125"/>
      <c r="Q125"/>
    </row>
    <row r="126" spans="13:17">
      <c r="M126"/>
      <c r="N126"/>
      <c r="O126"/>
      <c r="P126"/>
      <c r="Q126"/>
    </row>
    <row r="127" spans="13:17">
      <c r="M127"/>
      <c r="N127"/>
      <c r="O127"/>
      <c r="P127"/>
      <c r="Q127"/>
    </row>
    <row r="128" spans="13:17">
      <c r="M128"/>
      <c r="N128"/>
      <c r="O128"/>
      <c r="P128"/>
      <c r="Q128"/>
    </row>
    <row r="129" spans="13:17">
      <c r="M129"/>
      <c r="N129"/>
      <c r="O129"/>
      <c r="P129"/>
      <c r="Q129"/>
    </row>
    <row r="130" spans="13:17">
      <c r="M130"/>
      <c r="N130"/>
      <c r="O130"/>
      <c r="P130"/>
      <c r="Q130"/>
    </row>
    <row r="131" spans="13:17">
      <c r="M131"/>
      <c r="N131"/>
      <c r="O131"/>
      <c r="P131"/>
      <c r="Q131"/>
    </row>
    <row r="132" spans="13:17">
      <c r="M132"/>
      <c r="N132"/>
      <c r="O132"/>
      <c r="P132"/>
      <c r="Q132"/>
    </row>
    <row r="133" spans="13:17">
      <c r="M133"/>
      <c r="N133"/>
      <c r="O133"/>
      <c r="P133"/>
      <c r="Q133"/>
    </row>
    <row r="134" spans="13:17">
      <c r="M134"/>
      <c r="N134"/>
      <c r="O134"/>
      <c r="P134"/>
      <c r="Q134"/>
    </row>
    <row r="135" spans="13:17">
      <c r="M135"/>
      <c r="N135"/>
      <c r="O135"/>
      <c r="P135"/>
      <c r="Q135"/>
    </row>
    <row r="136" spans="13:17">
      <c r="M136"/>
      <c r="N136"/>
      <c r="O136"/>
      <c r="P136"/>
      <c r="Q136"/>
    </row>
    <row r="137" spans="13:17">
      <c r="M137"/>
      <c r="N137"/>
      <c r="O137"/>
      <c r="P137"/>
      <c r="Q137"/>
    </row>
    <row r="138" spans="13:17">
      <c r="M138"/>
      <c r="N138"/>
      <c r="O138"/>
      <c r="P138"/>
      <c r="Q138"/>
    </row>
    <row r="139" spans="13:17">
      <c r="M139"/>
      <c r="N139"/>
      <c r="O139"/>
      <c r="P139"/>
      <c r="Q139"/>
    </row>
    <row r="140" spans="13:17">
      <c r="M140"/>
      <c r="N140"/>
      <c r="O140"/>
      <c r="P140"/>
      <c r="Q140"/>
    </row>
    <row r="141" spans="13:17">
      <c r="M141"/>
      <c r="N141"/>
      <c r="O141"/>
      <c r="P141"/>
      <c r="Q141"/>
    </row>
    <row r="142" spans="13:17">
      <c r="M142"/>
      <c r="N142"/>
      <c r="O142"/>
      <c r="P142"/>
      <c r="Q142"/>
    </row>
    <row r="143" spans="13:17">
      <c r="M143"/>
      <c r="N143"/>
      <c r="O143"/>
      <c r="P143"/>
      <c r="Q143"/>
    </row>
  </sheetData>
  <mergeCells count="21">
    <mergeCell ref="M59:N59"/>
    <mergeCell ref="O59:P59"/>
    <mergeCell ref="Q59:R59"/>
    <mergeCell ref="S59:T59"/>
    <mergeCell ref="U59:V59"/>
    <mergeCell ref="M60:N60"/>
    <mergeCell ref="O60:P60"/>
    <mergeCell ref="Q60:R60"/>
    <mergeCell ref="S60:T60"/>
    <mergeCell ref="U60:V60"/>
    <mergeCell ref="M61:N61"/>
    <mergeCell ref="O61:P61"/>
    <mergeCell ref="Q61:R61"/>
    <mergeCell ref="S61:T61"/>
    <mergeCell ref="U61:V61"/>
    <mergeCell ref="M62:N62"/>
    <mergeCell ref="O62:P62"/>
    <mergeCell ref="Q62:R62"/>
    <mergeCell ref="S62:T62"/>
    <mergeCell ref="U62:V62"/>
    <mergeCell ref="A1:R2"/>
  </mergeCells>
  <pageMargins left="0.75" right="0.75" top="1" bottom="1" header="0.5" footer="0.5"/>
  <headerFooter/>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6"/>
  <sheetViews>
    <sheetView zoomScale="145" zoomScaleNormal="145" workbookViewId="0">
      <selection activeCell="B22" sqref="B22:C22"/>
    </sheetView>
  </sheetViews>
  <sheetFormatPr defaultColWidth="9" defaultRowHeight="16.5"/>
  <cols>
    <col min="1" max="1" width="27.3727272727273" style="6" customWidth="1"/>
    <col min="2" max="2" width="14.7545454545455" style="9" customWidth="1"/>
    <col min="3" max="3" width="13.7545454545455" style="212" customWidth="1"/>
    <col min="4" max="4" width="12.8727272727273" style="72" customWidth="1"/>
    <col min="5" max="5" width="24.2545454545455" style="5" customWidth="1"/>
    <col min="6" max="7" width="9" style="5"/>
    <col min="8" max="9" width="11.5" style="5" customWidth="1"/>
    <col min="10" max="10" width="9" style="5"/>
    <col min="11" max="11" width="11.8727272727273" style="5" customWidth="1"/>
    <col min="12" max="15" width="9.5" style="5" customWidth="1"/>
    <col min="16" max="17" width="9" style="6"/>
    <col min="18" max="18" width="9.25454545454545" style="6" customWidth="1"/>
    <col min="19" max="19" width="13.6272727272727" style="6" customWidth="1"/>
    <col min="20" max="20" width="9" style="6"/>
    <col min="21" max="21" width="9.87272727272727" style="6" customWidth="1"/>
    <col min="22" max="22" width="21.1272727272727" style="6" customWidth="1"/>
    <col min="23" max="23" width="32" style="213" customWidth="1"/>
    <col min="24" max="24" width="38.2545454545455" style="72" customWidth="1"/>
    <col min="25" max="25" width="29.5" style="6" customWidth="1"/>
    <col min="26" max="26" width="17.6272727272727" style="5" customWidth="1"/>
    <col min="27" max="16384" width="9" style="5"/>
  </cols>
  <sheetData>
    <row r="1" s="207" customFormat="1" ht="24.95" customHeight="1" spans="1:26">
      <c r="A1" s="214" t="s">
        <v>67</v>
      </c>
      <c r="B1" s="215"/>
      <c r="C1" s="216"/>
      <c r="D1" s="217"/>
      <c r="E1" s="214"/>
      <c r="F1" s="218" t="s">
        <v>68</v>
      </c>
      <c r="G1" s="218"/>
      <c r="H1" s="218"/>
      <c r="I1" s="218"/>
      <c r="J1" s="218"/>
      <c r="K1" s="218"/>
      <c r="L1" s="218"/>
      <c r="M1" s="218"/>
      <c r="N1" s="218"/>
      <c r="O1" s="250" t="s">
        <v>69</v>
      </c>
      <c r="P1" s="250"/>
      <c r="Q1" s="250"/>
      <c r="R1" s="250"/>
      <c r="S1" s="250"/>
      <c r="T1" s="250"/>
      <c r="U1" s="250"/>
      <c r="V1" s="251"/>
      <c r="W1" s="252"/>
      <c r="X1" s="252"/>
      <c r="Y1" s="251"/>
      <c r="Z1" s="251"/>
    </row>
    <row r="2" s="208" customFormat="1" ht="33.95" customHeight="1" spans="1:26">
      <c r="A2" s="219" t="s">
        <v>1</v>
      </c>
      <c r="B2" s="219" t="s">
        <v>70</v>
      </c>
      <c r="C2" s="220" t="s">
        <v>6</v>
      </c>
      <c r="D2" s="221" t="s">
        <v>71</v>
      </c>
      <c r="E2" s="219" t="s">
        <v>72</v>
      </c>
      <c r="F2" s="222" t="s">
        <v>73</v>
      </c>
      <c r="G2" s="222" t="s">
        <v>74</v>
      </c>
      <c r="H2" s="219" t="s">
        <v>75</v>
      </c>
      <c r="I2" s="219" t="s">
        <v>76</v>
      </c>
      <c r="J2" s="219" t="s">
        <v>77</v>
      </c>
      <c r="K2" s="219" t="s">
        <v>78</v>
      </c>
      <c r="L2" s="219" t="s">
        <v>79</v>
      </c>
      <c r="M2" s="219" t="s">
        <v>80</v>
      </c>
      <c r="N2" s="219" t="s">
        <v>81</v>
      </c>
      <c r="O2" s="219" t="s">
        <v>82</v>
      </c>
      <c r="P2" s="221" t="s">
        <v>83</v>
      </c>
      <c r="Q2" s="221" t="s">
        <v>84</v>
      </c>
      <c r="R2" s="221" t="s">
        <v>85</v>
      </c>
      <c r="S2" s="219" t="s">
        <v>86</v>
      </c>
      <c r="T2" s="221" t="s">
        <v>87</v>
      </c>
      <c r="U2" s="219" t="s">
        <v>88</v>
      </c>
      <c r="V2" s="219" t="s">
        <v>89</v>
      </c>
      <c r="W2" s="221" t="s">
        <v>90</v>
      </c>
      <c r="X2" s="221" t="s">
        <v>91</v>
      </c>
      <c r="Y2" s="221" t="s">
        <v>92</v>
      </c>
      <c r="Z2" s="221" t="s">
        <v>93</v>
      </c>
    </row>
    <row r="3" s="209" customFormat="1" ht="114" customHeight="1" spans="1:28">
      <c r="A3" s="223" t="s">
        <v>94</v>
      </c>
      <c r="B3" s="142" t="s">
        <v>95</v>
      </c>
      <c r="C3" s="224">
        <f ca="1">N3/GETPIVOTDATA("求和项:月销售额",市场分析!$M$3)</f>
        <v>0.138543035172658</v>
      </c>
      <c r="D3" s="225" t="s">
        <v>96</v>
      </c>
      <c r="E3" s="142" t="s">
        <v>97</v>
      </c>
      <c r="F3" s="142">
        <v>1</v>
      </c>
      <c r="G3" s="142" t="s">
        <v>98</v>
      </c>
      <c r="H3" s="142">
        <v>3331</v>
      </c>
      <c r="I3" s="142">
        <v>4.5</v>
      </c>
      <c r="J3" s="142">
        <v>79.99</v>
      </c>
      <c r="K3" s="142">
        <v>3469</v>
      </c>
      <c r="L3" s="142">
        <v>386</v>
      </c>
      <c r="M3" s="142">
        <v>11580</v>
      </c>
      <c r="N3" s="142">
        <f>J3*M3</f>
        <v>926284.2</v>
      </c>
      <c r="O3" s="142" t="s">
        <v>99</v>
      </c>
      <c r="P3" s="142" t="s">
        <v>100</v>
      </c>
      <c r="Q3" s="142" t="s">
        <v>101</v>
      </c>
      <c r="R3" s="142" t="s">
        <v>102</v>
      </c>
      <c r="S3" s="142" t="s">
        <v>103</v>
      </c>
      <c r="T3" s="142">
        <v>2.2</v>
      </c>
      <c r="U3" s="142" t="s">
        <v>104</v>
      </c>
      <c r="V3" s="239" t="s">
        <v>105</v>
      </c>
      <c r="W3" s="239" t="s">
        <v>106</v>
      </c>
      <c r="X3" s="239" t="s">
        <v>107</v>
      </c>
      <c r="Y3" s="239" t="s">
        <v>108</v>
      </c>
      <c r="Z3" s="225"/>
      <c r="AA3" s="142"/>
      <c r="AB3" s="142"/>
    </row>
    <row r="4" s="209" customFormat="1" ht="113.1" customHeight="1" spans="1:28">
      <c r="A4" s="226"/>
      <c r="B4" s="142" t="s">
        <v>109</v>
      </c>
      <c r="C4" s="224">
        <f ca="1">N4/GETPIVOTDATA("求和项:月销售额",市场分析!$M$3)</f>
        <v>0.140649080779027</v>
      </c>
      <c r="D4" s="225" t="s">
        <v>110</v>
      </c>
      <c r="E4" s="142" t="s">
        <v>97</v>
      </c>
      <c r="F4" s="142">
        <v>3</v>
      </c>
      <c r="G4" s="142" t="s">
        <v>111</v>
      </c>
      <c r="H4" s="142">
        <v>3039</v>
      </c>
      <c r="I4" s="142">
        <v>4.4</v>
      </c>
      <c r="J4" s="142">
        <v>208.97</v>
      </c>
      <c r="K4" s="142">
        <v>4050</v>
      </c>
      <c r="L4" s="142">
        <v>150</v>
      </c>
      <c r="M4" s="142">
        <v>4500</v>
      </c>
      <c r="N4" s="142">
        <f t="shared" ref="N4:N17" si="0">J4*M4</f>
        <v>940365</v>
      </c>
      <c r="O4" s="142" t="s">
        <v>99</v>
      </c>
      <c r="P4" s="142" t="s">
        <v>103</v>
      </c>
      <c r="Q4" s="142" t="s">
        <v>101</v>
      </c>
      <c r="R4" s="142" t="s">
        <v>112</v>
      </c>
      <c r="S4" s="142" t="s">
        <v>103</v>
      </c>
      <c r="T4" s="142" t="s">
        <v>103</v>
      </c>
      <c r="U4" s="142" t="s">
        <v>104</v>
      </c>
      <c r="V4" s="239" t="s">
        <v>113</v>
      </c>
      <c r="W4" s="239" t="s">
        <v>106</v>
      </c>
      <c r="X4" s="239" t="s">
        <v>114</v>
      </c>
      <c r="Y4" s="239" t="s">
        <v>115</v>
      </c>
      <c r="Z4" s="225"/>
      <c r="AA4" s="142"/>
      <c r="AB4" s="142"/>
    </row>
    <row r="5" s="209" customFormat="1" ht="114.95" customHeight="1" spans="1:28">
      <c r="A5" s="226"/>
      <c r="B5" s="142" t="s">
        <v>116</v>
      </c>
      <c r="C5" s="224">
        <f ca="1">N5/GETPIVOTDATA("求和项:月销售额",市场分析!$M$3)</f>
        <v>0.039573025906434</v>
      </c>
      <c r="D5" s="225" t="s">
        <v>117</v>
      </c>
      <c r="E5" s="142" t="s">
        <v>97</v>
      </c>
      <c r="F5" s="142">
        <v>4</v>
      </c>
      <c r="G5" s="142" t="s">
        <v>118</v>
      </c>
      <c r="H5" s="142">
        <v>1141</v>
      </c>
      <c r="I5" s="142">
        <v>4.3</v>
      </c>
      <c r="J5" s="142">
        <v>139.99</v>
      </c>
      <c r="K5" s="142">
        <v>4072</v>
      </c>
      <c r="L5" s="142">
        <v>63</v>
      </c>
      <c r="M5" s="142">
        <v>1890</v>
      </c>
      <c r="N5" s="142">
        <f t="shared" si="0"/>
        <v>264581.1</v>
      </c>
      <c r="O5" s="142" t="s">
        <v>99</v>
      </c>
      <c r="P5" s="142" t="s">
        <v>100</v>
      </c>
      <c r="Q5" s="142" t="s">
        <v>101</v>
      </c>
      <c r="R5" s="142" t="s">
        <v>119</v>
      </c>
      <c r="S5" s="142" t="s">
        <v>120</v>
      </c>
      <c r="T5" s="142">
        <v>1.5</v>
      </c>
      <c r="U5" s="142" t="s">
        <v>104</v>
      </c>
      <c r="V5" s="239" t="s">
        <v>121</v>
      </c>
      <c r="W5" s="239" t="s">
        <v>122</v>
      </c>
      <c r="X5" s="239" t="s">
        <v>123</v>
      </c>
      <c r="Y5" s="239" t="s">
        <v>124</v>
      </c>
      <c r="Z5" s="225"/>
      <c r="AA5" s="142"/>
      <c r="AB5" s="142"/>
    </row>
    <row r="6" s="209" customFormat="1" ht="117.95" customHeight="1" spans="1:28">
      <c r="A6" s="226"/>
      <c r="B6" s="142" t="s">
        <v>125</v>
      </c>
      <c r="C6" s="224">
        <f ca="1">N6/GETPIVOTDATA("求和项:月销售额",市场分析!$M$3)</f>
        <v>0.00807580723185442</v>
      </c>
      <c r="D6" s="225" t="s">
        <v>126</v>
      </c>
      <c r="E6" s="142" t="s">
        <v>97</v>
      </c>
      <c r="F6" s="142">
        <v>11</v>
      </c>
      <c r="G6" s="142" t="s">
        <v>127</v>
      </c>
      <c r="H6" s="142">
        <v>705</v>
      </c>
      <c r="I6" s="142">
        <v>4.6</v>
      </c>
      <c r="J6" s="142">
        <v>89.99</v>
      </c>
      <c r="K6" s="142">
        <v>3231</v>
      </c>
      <c r="L6" s="142">
        <v>20</v>
      </c>
      <c r="M6" s="142">
        <v>600</v>
      </c>
      <c r="N6" s="142">
        <f t="shared" si="0"/>
        <v>53994</v>
      </c>
      <c r="O6" s="142" t="s">
        <v>103</v>
      </c>
      <c r="P6" s="142" t="s">
        <v>103</v>
      </c>
      <c r="Q6" s="142" t="s">
        <v>128</v>
      </c>
      <c r="R6" s="142" t="s">
        <v>103</v>
      </c>
      <c r="S6" s="142" t="s">
        <v>103</v>
      </c>
      <c r="T6" s="142" t="s">
        <v>103</v>
      </c>
      <c r="U6" s="142" t="s">
        <v>103</v>
      </c>
      <c r="V6" s="142" t="s">
        <v>103</v>
      </c>
      <c r="W6" s="239" t="s">
        <v>103</v>
      </c>
      <c r="X6" s="239" t="s">
        <v>129</v>
      </c>
      <c r="Y6" s="142" t="s">
        <v>103</v>
      </c>
      <c r="Z6" s="142"/>
      <c r="AA6" s="142"/>
      <c r="AB6" s="142"/>
    </row>
    <row r="7" s="209" customFormat="1" ht="113.1" customHeight="1" spans="1:28">
      <c r="A7" s="226"/>
      <c r="B7" s="142" t="s">
        <v>130</v>
      </c>
      <c r="C7" s="224">
        <f ca="1">N7/GETPIVOTDATA("求和项:月销售额",市场分析!$M$3)</f>
        <v>0.012604101431385</v>
      </c>
      <c r="D7" s="225" t="s">
        <v>131</v>
      </c>
      <c r="E7" s="142" t="s">
        <v>97</v>
      </c>
      <c r="F7" s="142">
        <v>18</v>
      </c>
      <c r="G7" s="142" t="s">
        <v>132</v>
      </c>
      <c r="H7" s="142">
        <v>15</v>
      </c>
      <c r="I7" s="142">
        <v>4.7</v>
      </c>
      <c r="J7" s="142">
        <v>312.11</v>
      </c>
      <c r="K7" s="142">
        <v>3862</v>
      </c>
      <c r="L7" s="142">
        <v>9</v>
      </c>
      <c r="M7" s="142">
        <v>270</v>
      </c>
      <c r="N7" s="142">
        <f t="shared" si="0"/>
        <v>84269.7</v>
      </c>
      <c r="O7" s="142" t="s">
        <v>99</v>
      </c>
      <c r="P7" s="142" t="s">
        <v>103</v>
      </c>
      <c r="Q7" s="142" t="s">
        <v>101</v>
      </c>
      <c r="R7" s="142" t="s">
        <v>103</v>
      </c>
      <c r="S7" s="142" t="s">
        <v>103</v>
      </c>
      <c r="T7" s="142" t="s">
        <v>103</v>
      </c>
      <c r="U7" s="142" t="s">
        <v>104</v>
      </c>
      <c r="V7" s="239" t="s">
        <v>133</v>
      </c>
      <c r="W7" s="239" t="s">
        <v>134</v>
      </c>
      <c r="X7" s="239" t="s">
        <v>135</v>
      </c>
      <c r="Y7" s="225" t="s">
        <v>136</v>
      </c>
      <c r="Z7" s="225"/>
      <c r="AA7" s="142"/>
      <c r="AB7" s="142"/>
    </row>
    <row r="8" s="209" customFormat="1" ht="111.95" customHeight="1" spans="1:28">
      <c r="A8" s="227"/>
      <c r="B8" s="142" t="s">
        <v>137</v>
      </c>
      <c r="C8" s="224">
        <f ca="1">N8/GETPIVOTDATA("求和项:月销售额",市场分析!$M$3)</f>
        <v>0.00184714235196421</v>
      </c>
      <c r="D8" s="225" t="s">
        <v>138</v>
      </c>
      <c r="E8" s="142" t="s">
        <v>97</v>
      </c>
      <c r="F8" s="142">
        <v>40</v>
      </c>
      <c r="G8" s="142" t="s">
        <v>139</v>
      </c>
      <c r="H8" s="142">
        <v>90</v>
      </c>
      <c r="I8" s="142">
        <v>3.8</v>
      </c>
      <c r="J8" s="142">
        <v>205.83</v>
      </c>
      <c r="K8" s="142">
        <v>4190</v>
      </c>
      <c r="L8" s="142">
        <v>2</v>
      </c>
      <c r="M8" s="142">
        <v>60</v>
      </c>
      <c r="N8" s="142">
        <f t="shared" si="0"/>
        <v>12349.8</v>
      </c>
      <c r="O8" s="142" t="s">
        <v>99</v>
      </c>
      <c r="P8" s="142" t="s">
        <v>100</v>
      </c>
      <c r="Q8" s="142" t="s">
        <v>101</v>
      </c>
      <c r="R8" s="142" t="s">
        <v>112</v>
      </c>
      <c r="S8" s="142" t="s">
        <v>103</v>
      </c>
      <c r="T8" s="142">
        <v>5.25</v>
      </c>
      <c r="U8" s="142" t="s">
        <v>104</v>
      </c>
      <c r="V8" s="239" t="s">
        <v>105</v>
      </c>
      <c r="W8" s="239" t="s">
        <v>140</v>
      </c>
      <c r="X8" s="239" t="s">
        <v>141</v>
      </c>
      <c r="Y8" s="239" t="s">
        <v>142</v>
      </c>
      <c r="Z8" s="225"/>
      <c r="AA8" s="142"/>
      <c r="AB8" s="142"/>
    </row>
    <row r="9" s="209" customFormat="1" ht="135" customHeight="1" spans="1:28">
      <c r="A9" s="223" t="s">
        <v>11</v>
      </c>
      <c r="B9" s="142" t="s">
        <v>143</v>
      </c>
      <c r="C9" s="224">
        <f ca="1">N9/GETPIVOTDATA("求和项:月销售额",市场分析!$M$3)</f>
        <v>0.0204145440451197</v>
      </c>
      <c r="D9" s="225" t="s">
        <v>144</v>
      </c>
      <c r="E9" s="142" t="s">
        <v>97</v>
      </c>
      <c r="F9" s="142">
        <v>7</v>
      </c>
      <c r="G9" s="142" t="s">
        <v>145</v>
      </c>
      <c r="H9" s="142">
        <v>317</v>
      </c>
      <c r="I9" s="142">
        <v>4.3</v>
      </c>
      <c r="J9" s="142">
        <v>129.99</v>
      </c>
      <c r="K9" s="142">
        <v>1346</v>
      </c>
      <c r="L9" s="142">
        <v>35</v>
      </c>
      <c r="M9" s="142">
        <v>1050</v>
      </c>
      <c r="N9" s="142">
        <f t="shared" si="0"/>
        <v>136489.5</v>
      </c>
      <c r="O9" s="142" t="s">
        <v>99</v>
      </c>
      <c r="P9" s="142" t="s">
        <v>100</v>
      </c>
      <c r="Q9" s="142" t="s">
        <v>103</v>
      </c>
      <c r="R9" s="142" t="s">
        <v>146</v>
      </c>
      <c r="S9" s="142" t="s">
        <v>120</v>
      </c>
      <c r="T9" s="142">
        <v>2.4</v>
      </c>
      <c r="U9" s="142" t="s">
        <v>147</v>
      </c>
      <c r="V9" s="239" t="s">
        <v>148</v>
      </c>
      <c r="W9" s="239" t="s">
        <v>149</v>
      </c>
      <c r="X9" s="239" t="s">
        <v>150</v>
      </c>
      <c r="Y9" s="239" t="s">
        <v>151</v>
      </c>
      <c r="Z9" s="225"/>
      <c r="AA9" s="142"/>
      <c r="AB9" s="142"/>
    </row>
    <row r="10" s="209" customFormat="1" ht="116.1" customHeight="1" spans="1:28">
      <c r="A10" s="226"/>
      <c r="B10" s="142" t="s">
        <v>152</v>
      </c>
      <c r="C10" s="224">
        <f ca="1">N10/GETPIVOTDATA("求和项:月销售额",市场分析!$M$3)</f>
        <v>0.0111265131874414</v>
      </c>
      <c r="D10" s="225" t="s">
        <v>153</v>
      </c>
      <c r="E10" s="142" t="s">
        <v>97</v>
      </c>
      <c r="F10" s="142">
        <v>8</v>
      </c>
      <c r="G10" s="142" t="s">
        <v>154</v>
      </c>
      <c r="H10" s="142">
        <v>749</v>
      </c>
      <c r="I10" s="142">
        <v>4.2</v>
      </c>
      <c r="J10" s="142">
        <v>79.99</v>
      </c>
      <c r="K10" s="142">
        <v>1389</v>
      </c>
      <c r="L10" s="142">
        <v>31</v>
      </c>
      <c r="M10" s="142">
        <v>930</v>
      </c>
      <c r="N10" s="142">
        <f t="shared" si="0"/>
        <v>74390.7</v>
      </c>
      <c r="O10" s="142" t="s">
        <v>103</v>
      </c>
      <c r="P10" s="142" t="s">
        <v>100</v>
      </c>
      <c r="Q10" s="142" t="s">
        <v>103</v>
      </c>
      <c r="R10" s="142" t="s">
        <v>155</v>
      </c>
      <c r="S10" s="142" t="s">
        <v>120</v>
      </c>
      <c r="T10" s="142">
        <v>2.5</v>
      </c>
      <c r="U10" s="142" t="s">
        <v>147</v>
      </c>
      <c r="V10" s="225" t="s">
        <v>156</v>
      </c>
      <c r="W10" s="239" t="s">
        <v>149</v>
      </c>
      <c r="X10" s="239" t="s">
        <v>157</v>
      </c>
      <c r="Y10" s="239" t="s">
        <v>158</v>
      </c>
      <c r="Z10" s="225"/>
      <c r="AA10" s="142"/>
      <c r="AB10" s="142"/>
    </row>
    <row r="11" s="209" customFormat="1" ht="116.1" customHeight="1" spans="1:28">
      <c r="A11" s="226"/>
      <c r="B11" s="142" t="s">
        <v>159</v>
      </c>
      <c r="C11" s="224">
        <f ca="1">N11/GETPIVOTDATA("求和项:月销售额",市场分析!$M$3)</f>
        <v>0.0185753886566363</v>
      </c>
      <c r="D11" s="225" t="s">
        <v>160</v>
      </c>
      <c r="E11" s="142" t="s">
        <v>97</v>
      </c>
      <c r="F11" s="142">
        <v>9</v>
      </c>
      <c r="G11" s="142" t="s">
        <v>161</v>
      </c>
      <c r="H11" s="142">
        <v>190</v>
      </c>
      <c r="I11" s="142">
        <v>4.2</v>
      </c>
      <c r="J11" s="142">
        <v>179.99</v>
      </c>
      <c r="K11" s="142">
        <v>4335</v>
      </c>
      <c r="L11" s="142">
        <v>23</v>
      </c>
      <c r="M11" s="142">
        <v>690</v>
      </c>
      <c r="N11" s="142">
        <f t="shared" si="0"/>
        <v>124193.1</v>
      </c>
      <c r="O11" s="142" t="s">
        <v>103</v>
      </c>
      <c r="P11" s="142" t="s">
        <v>162</v>
      </c>
      <c r="Q11" s="142" t="s">
        <v>101</v>
      </c>
      <c r="R11" s="142" t="s">
        <v>163</v>
      </c>
      <c r="S11" s="142" t="s">
        <v>120</v>
      </c>
      <c r="T11" s="142">
        <v>3.65</v>
      </c>
      <c r="U11" s="142" t="s">
        <v>147</v>
      </c>
      <c r="V11" s="239" t="s">
        <v>164</v>
      </c>
      <c r="W11" s="239" t="s">
        <v>165</v>
      </c>
      <c r="X11" s="239" t="s">
        <v>166</v>
      </c>
      <c r="Y11" s="239" t="s">
        <v>167</v>
      </c>
      <c r="Z11" s="239" t="s">
        <v>168</v>
      </c>
      <c r="AA11" s="142"/>
      <c r="AB11" s="142"/>
    </row>
    <row r="12" s="209" customFormat="1" ht="114.95" customHeight="1" spans="1:28">
      <c r="A12" s="226"/>
      <c r="B12" s="142" t="s">
        <v>169</v>
      </c>
      <c r="C12" s="224">
        <f ca="1">N12/GETPIVOTDATA("求和项:月销售额",市场分析!$M$3)</f>
        <v>0.0030052071860954</v>
      </c>
      <c r="D12" s="225" t="s">
        <v>170</v>
      </c>
      <c r="E12" s="142" t="s">
        <v>97</v>
      </c>
      <c r="F12" s="142">
        <v>22</v>
      </c>
      <c r="G12" s="142" t="s">
        <v>171</v>
      </c>
      <c r="H12" s="142">
        <v>1182</v>
      </c>
      <c r="I12" s="142">
        <v>4.3</v>
      </c>
      <c r="J12" s="142">
        <v>133.95</v>
      </c>
      <c r="K12" s="142">
        <v>1154</v>
      </c>
      <c r="L12" s="142">
        <v>5</v>
      </c>
      <c r="M12" s="142">
        <v>150</v>
      </c>
      <c r="N12" s="142">
        <f t="shared" si="0"/>
        <v>20092.5</v>
      </c>
      <c r="O12" s="142" t="s">
        <v>103</v>
      </c>
      <c r="P12" s="142" t="s">
        <v>172</v>
      </c>
      <c r="Q12" s="142" t="s">
        <v>101</v>
      </c>
      <c r="R12" s="142" t="s">
        <v>155</v>
      </c>
      <c r="S12" s="142" t="s">
        <v>103</v>
      </c>
      <c r="T12" s="142">
        <v>2.47</v>
      </c>
      <c r="U12" s="142" t="s">
        <v>147</v>
      </c>
      <c r="V12" s="225" t="s">
        <v>173</v>
      </c>
      <c r="W12" s="239" t="s">
        <v>174</v>
      </c>
      <c r="X12" s="239" t="s">
        <v>175</v>
      </c>
      <c r="Y12" s="239" t="s">
        <v>176</v>
      </c>
      <c r="Z12" s="239" t="s">
        <v>177</v>
      </c>
      <c r="AA12" s="142"/>
      <c r="AB12" s="142"/>
    </row>
    <row r="13" s="209" customFormat="1" ht="120" customHeight="1" spans="1:28">
      <c r="A13" s="223" t="s">
        <v>178</v>
      </c>
      <c r="B13" s="142" t="s">
        <v>179</v>
      </c>
      <c r="C13" s="224">
        <f ca="1">N13/GETPIVOTDATA("求和项:月销售额",市场分析!$M$3)</f>
        <v>0.0221204338069857</v>
      </c>
      <c r="D13" s="225" t="s">
        <v>180</v>
      </c>
      <c r="E13" s="142" t="s">
        <v>97</v>
      </c>
      <c r="F13" s="142">
        <v>12</v>
      </c>
      <c r="G13" s="142" t="s">
        <v>181</v>
      </c>
      <c r="H13" s="142">
        <v>54</v>
      </c>
      <c r="I13" s="142">
        <v>4</v>
      </c>
      <c r="J13" s="142">
        <v>289.99</v>
      </c>
      <c r="K13" s="142">
        <v>727</v>
      </c>
      <c r="L13" s="142">
        <v>17</v>
      </c>
      <c r="M13" s="142">
        <v>510</v>
      </c>
      <c r="N13" s="142">
        <f t="shared" si="0"/>
        <v>147894.9</v>
      </c>
      <c r="O13" s="142" t="s">
        <v>103</v>
      </c>
      <c r="P13" s="142" t="s">
        <v>182</v>
      </c>
      <c r="Q13" s="142" t="s">
        <v>103</v>
      </c>
      <c r="R13" s="142" t="s">
        <v>183</v>
      </c>
      <c r="S13" s="142" t="s">
        <v>103</v>
      </c>
      <c r="T13" s="142">
        <v>7.78</v>
      </c>
      <c r="U13" s="142" t="s">
        <v>184</v>
      </c>
      <c r="V13" s="142" t="s">
        <v>103</v>
      </c>
      <c r="W13" s="239" t="s">
        <v>103</v>
      </c>
      <c r="X13" s="239" t="s">
        <v>185</v>
      </c>
      <c r="Y13" s="239" t="s">
        <v>186</v>
      </c>
      <c r="Z13" s="225"/>
      <c r="AA13" s="142"/>
      <c r="AB13" s="142"/>
    </row>
    <row r="14" s="209" customFormat="1" ht="113.1" customHeight="1" spans="1:28">
      <c r="A14" s="226"/>
      <c r="B14" s="142" t="s">
        <v>187</v>
      </c>
      <c r="C14" s="224">
        <f ca="1">N14/GETPIVOTDATA("求和项:月销售额",市场分析!$M$3)</f>
        <v>0.0198322136403247</v>
      </c>
      <c r="D14" s="225" t="s">
        <v>188</v>
      </c>
      <c r="E14" s="142" t="s">
        <v>97</v>
      </c>
      <c r="F14" s="142">
        <v>16</v>
      </c>
      <c r="G14" s="142" t="s">
        <v>189</v>
      </c>
      <c r="H14" s="142">
        <v>140</v>
      </c>
      <c r="I14" s="142">
        <v>4.2</v>
      </c>
      <c r="J14" s="142">
        <v>339.99</v>
      </c>
      <c r="K14" s="142">
        <v>679</v>
      </c>
      <c r="L14" s="142">
        <v>13</v>
      </c>
      <c r="M14" s="142">
        <v>390</v>
      </c>
      <c r="N14" s="142">
        <f t="shared" si="0"/>
        <v>132596.1</v>
      </c>
      <c r="O14" s="142" t="s">
        <v>99</v>
      </c>
      <c r="P14" s="142">
        <v>203</v>
      </c>
      <c r="Q14" s="142" t="s">
        <v>103</v>
      </c>
      <c r="R14" s="142" t="s">
        <v>183</v>
      </c>
      <c r="S14" s="142" t="s">
        <v>120</v>
      </c>
      <c r="T14" s="142">
        <v>5.95</v>
      </c>
      <c r="U14" s="142" t="s">
        <v>184</v>
      </c>
      <c r="V14" s="239" t="s">
        <v>190</v>
      </c>
      <c r="W14" s="239" t="s">
        <v>191</v>
      </c>
      <c r="X14" s="239" t="s">
        <v>192</v>
      </c>
      <c r="Y14" s="239" t="s">
        <v>193</v>
      </c>
      <c r="Z14" s="225"/>
      <c r="AA14" s="142"/>
      <c r="AB14" s="142"/>
    </row>
    <row r="15" s="210" customFormat="1" ht="159.95" customHeight="1" spans="1:28">
      <c r="A15" s="223" t="s">
        <v>20</v>
      </c>
      <c r="B15" s="228" t="s">
        <v>194</v>
      </c>
      <c r="C15" s="229">
        <f ca="1">N15/GETPIVOTDATA("求和项:月销售额",市场分析!$M$3)</f>
        <v>0.0134602769941754</v>
      </c>
      <c r="D15" s="230" t="s">
        <v>195</v>
      </c>
      <c r="E15" s="228" t="s">
        <v>97</v>
      </c>
      <c r="F15" s="228">
        <v>10</v>
      </c>
      <c r="G15" s="228" t="s">
        <v>196</v>
      </c>
      <c r="H15" s="228">
        <v>210</v>
      </c>
      <c r="I15" s="228">
        <v>4</v>
      </c>
      <c r="J15" s="228">
        <v>149.99</v>
      </c>
      <c r="K15" s="228">
        <v>442</v>
      </c>
      <c r="L15" s="228">
        <v>20</v>
      </c>
      <c r="M15" s="228">
        <v>600</v>
      </c>
      <c r="N15" s="228">
        <f t="shared" si="0"/>
        <v>89994</v>
      </c>
      <c r="O15" s="228" t="s">
        <v>99</v>
      </c>
      <c r="P15" s="228">
        <v>203</v>
      </c>
      <c r="Q15" s="228" t="s">
        <v>103</v>
      </c>
      <c r="R15" s="228" t="s">
        <v>197</v>
      </c>
      <c r="S15" s="228" t="s">
        <v>103</v>
      </c>
      <c r="T15" s="228">
        <v>2</v>
      </c>
      <c r="U15" s="228" t="s">
        <v>147</v>
      </c>
      <c r="V15" s="230" t="s">
        <v>198</v>
      </c>
      <c r="W15" s="253" t="s">
        <v>199</v>
      </c>
      <c r="X15" s="253" t="s">
        <v>200</v>
      </c>
      <c r="Y15" s="253" t="s">
        <v>201</v>
      </c>
      <c r="Z15" s="253"/>
      <c r="AA15" s="228"/>
      <c r="AB15" s="228"/>
    </row>
    <row r="16" s="209" customFormat="1" ht="117.95" customHeight="1" spans="1:28">
      <c r="A16" s="226"/>
      <c r="B16" s="142" t="s">
        <v>202</v>
      </c>
      <c r="C16" s="224">
        <f ca="1">N16/GETPIVOTDATA("求和项:月销售额",市场分析!$M$3)</f>
        <v>0.00156131674874767</v>
      </c>
      <c r="D16" s="225" t="s">
        <v>203</v>
      </c>
      <c r="E16" s="142" t="s">
        <v>97</v>
      </c>
      <c r="F16" s="142">
        <v>26</v>
      </c>
      <c r="G16" s="142" t="s">
        <v>204</v>
      </c>
      <c r="H16" s="142">
        <v>191</v>
      </c>
      <c r="I16" s="142">
        <v>4.1</v>
      </c>
      <c r="J16" s="142">
        <v>86.99</v>
      </c>
      <c r="K16" s="142">
        <v>324</v>
      </c>
      <c r="L16" s="142">
        <v>4</v>
      </c>
      <c r="M16" s="142">
        <v>120</v>
      </c>
      <c r="N16" s="142">
        <f t="shared" si="0"/>
        <v>10438.8</v>
      </c>
      <c r="O16" s="142" t="s">
        <v>99</v>
      </c>
      <c r="P16" s="142" t="s">
        <v>103</v>
      </c>
      <c r="Q16" s="142" t="s">
        <v>205</v>
      </c>
      <c r="R16" s="142" t="s">
        <v>103</v>
      </c>
      <c r="S16" s="142" t="s">
        <v>103</v>
      </c>
      <c r="T16" s="142">
        <v>1</v>
      </c>
      <c r="U16" s="142" t="s">
        <v>206</v>
      </c>
      <c r="V16" s="239" t="s">
        <v>207</v>
      </c>
      <c r="W16" s="239" t="s">
        <v>208</v>
      </c>
      <c r="X16" s="239" t="s">
        <v>209</v>
      </c>
      <c r="Y16" s="239" t="s">
        <v>210</v>
      </c>
      <c r="Z16" s="225"/>
      <c r="AA16" s="142"/>
      <c r="AB16" s="142"/>
    </row>
    <row r="17" s="209" customFormat="1" ht="111.95" customHeight="1" spans="1:28">
      <c r="A17" s="142" t="s">
        <v>21</v>
      </c>
      <c r="B17" s="142" t="s">
        <v>211</v>
      </c>
      <c r="C17" s="224">
        <f ca="1">N17/GETPIVOTDATA("求和项:月销售额",市场分析!$M$3)</f>
        <v>0.300617863418168</v>
      </c>
      <c r="D17" s="225" t="s">
        <v>212</v>
      </c>
      <c r="E17" s="142" t="s">
        <v>97</v>
      </c>
      <c r="F17" s="142">
        <v>2</v>
      </c>
      <c r="G17" s="142" t="s">
        <v>213</v>
      </c>
      <c r="H17" s="142">
        <v>4733</v>
      </c>
      <c r="I17" s="142">
        <v>4.7</v>
      </c>
      <c r="J17" s="142">
        <v>199.99</v>
      </c>
      <c r="K17" s="142">
        <v>1440</v>
      </c>
      <c r="L17" s="142">
        <v>335</v>
      </c>
      <c r="M17" s="142">
        <v>10050</v>
      </c>
      <c r="N17" s="142">
        <f t="shared" si="0"/>
        <v>2009899.5</v>
      </c>
      <c r="O17" s="142" t="s">
        <v>99</v>
      </c>
      <c r="P17" s="142" t="s">
        <v>103</v>
      </c>
      <c r="Q17" s="142" t="s">
        <v>103</v>
      </c>
      <c r="R17" s="142" t="s">
        <v>197</v>
      </c>
      <c r="S17" s="142" t="s">
        <v>103</v>
      </c>
      <c r="T17" s="142">
        <v>2.2</v>
      </c>
      <c r="U17" s="142" t="s">
        <v>184</v>
      </c>
      <c r="V17" s="239" t="s">
        <v>214</v>
      </c>
      <c r="W17" s="239" t="s">
        <v>215</v>
      </c>
      <c r="X17" s="239" t="s">
        <v>216</v>
      </c>
      <c r="Y17" s="239" t="s">
        <v>217</v>
      </c>
      <c r="Z17" s="225"/>
      <c r="AA17" s="142"/>
      <c r="AB17" s="142"/>
    </row>
    <row r="18" s="211" customFormat="1" ht="185.1" customHeight="1" spans="1:25">
      <c r="A18" s="231"/>
      <c r="B18" s="231"/>
      <c r="C18" s="232"/>
      <c r="D18" s="233"/>
      <c r="O18" s="211" t="s">
        <v>99</v>
      </c>
      <c r="P18" s="231">
        <v>203</v>
      </c>
      <c r="Q18" s="231"/>
      <c r="R18" s="231" t="s">
        <v>197</v>
      </c>
      <c r="S18" s="231"/>
      <c r="T18" s="231" t="s">
        <v>103</v>
      </c>
      <c r="U18" s="231" t="s">
        <v>147</v>
      </c>
      <c r="V18" s="254" t="s">
        <v>218</v>
      </c>
      <c r="X18" s="254" t="s">
        <v>219</v>
      </c>
      <c r="Y18" s="231"/>
    </row>
    <row r="21" ht="20.1" customHeight="1" spans="1:5">
      <c r="A21" s="234" t="s">
        <v>220</v>
      </c>
      <c r="B21" s="235" t="s">
        <v>221</v>
      </c>
      <c r="C21" s="236"/>
      <c r="D21" s="237" t="s">
        <v>222</v>
      </c>
      <c r="E21" s="238"/>
    </row>
    <row r="22" ht="248.1" customHeight="1" spans="1:5">
      <c r="A22" s="234"/>
      <c r="B22" s="239" t="s">
        <v>223</v>
      </c>
      <c r="C22" s="240"/>
      <c r="D22" s="239" t="s">
        <v>224</v>
      </c>
      <c r="E22" s="239"/>
    </row>
    <row r="23" ht="14.5" spans="1:5">
      <c r="A23" s="241" t="s">
        <v>225</v>
      </c>
      <c r="B23" s="242" t="s">
        <v>226</v>
      </c>
      <c r="C23" s="243"/>
      <c r="D23" s="244" t="s">
        <v>227</v>
      </c>
      <c r="E23" s="245"/>
    </row>
    <row r="24" ht="108.95" customHeight="1" spans="1:5">
      <c r="A24" s="246" t="s">
        <v>228</v>
      </c>
      <c r="B24" s="239" t="s">
        <v>229</v>
      </c>
      <c r="C24" s="240"/>
      <c r="D24" s="239" t="s">
        <v>230</v>
      </c>
      <c r="E24" s="239"/>
    </row>
    <row r="25" ht="14.5" spans="1:5">
      <c r="A25" s="247" t="s">
        <v>231</v>
      </c>
      <c r="B25" s="242" t="s">
        <v>232</v>
      </c>
      <c r="C25" s="243"/>
      <c r="D25" s="248" t="s">
        <v>233</v>
      </c>
      <c r="E25" s="249"/>
    </row>
    <row r="26" ht="165.95" customHeight="1" spans="1:5">
      <c r="A26" s="246" t="s">
        <v>234</v>
      </c>
      <c r="B26" s="239" t="s">
        <v>235</v>
      </c>
      <c r="C26" s="240"/>
      <c r="D26" s="239" t="s">
        <v>236</v>
      </c>
      <c r="E26" s="239"/>
    </row>
  </sheetData>
  <mergeCells count="20">
    <mergeCell ref="A1:E1"/>
    <mergeCell ref="F1:L1"/>
    <mergeCell ref="O1:Z1"/>
    <mergeCell ref="B21:C21"/>
    <mergeCell ref="D21:E21"/>
    <mergeCell ref="B22:C22"/>
    <mergeCell ref="D22:E22"/>
    <mergeCell ref="B23:C23"/>
    <mergeCell ref="D23:E23"/>
    <mergeCell ref="B24:C24"/>
    <mergeCell ref="D24:E24"/>
    <mergeCell ref="B25:C25"/>
    <mergeCell ref="D25:E25"/>
    <mergeCell ref="B26:C26"/>
    <mergeCell ref="D26:E26"/>
    <mergeCell ref="A3:A8"/>
    <mergeCell ref="A9:A12"/>
    <mergeCell ref="A13:A14"/>
    <mergeCell ref="A15:A16"/>
    <mergeCell ref="A21:A22"/>
  </mergeCells>
  <conditionalFormatting sqref="D2">
    <cfRule type="duplicateValues" dxfId="47" priority="1"/>
  </conditionalFormatting>
  <hyperlinks>
    <hyperlink ref="D3" r:id="rId2" display="https://www.amazon.com/DYMO-LabelWriter-Thermal-Printer-1752264/dp/B0027JBLV4/ref=sr_1_1?dchild=1&amp;keywords=B0027JBLV4&amp;qid=1600764014&amp;sr=8-1"/>
    <hyperlink ref="D4" r:id="rId3" display="https://www.amazon.com/DYMO-LabelWriter-Adhesive-Shipping-400-pound/dp/B07DXH5CCJ/ref=sr_1_1?dchild=1&amp;keywords=B07DXH5CCJ&amp;qid=1600764027&amp;sr=8-1"/>
    <hyperlink ref="D5" r:id="rId4" display="https://www.amazon.com/DYMO-Writer-printer-Labels-1752266/dp/B0027J9KH6/ref=sr_1_1?dchild=1&amp;keywords=B0027J9KH6&amp;qid=1600764044&amp;sr=8-1"/>
    <hyperlink ref="D6" r:id="rId5" display="https://www.amazon.com/DYMO-1801611-Industrial-Labels-LabelWriter/dp/B07DXDSPFT/ref=sr_1_1?dchild=1&amp;keywords=B07DXDSPFT&amp;qid=1600764129&amp;sr=8-1"/>
    <hyperlink ref="D7" r:id="rId6" display="https://www.amazon.com/DYMO-LabelWriter-Thermal-Printer-1755120/dp/B01MEEI5WC/ref=sr_1_1?dchild=1&amp;keywords=B01MEEI5WC&amp;qid=1600764097&amp;sr=8-1"/>
    <hyperlink ref="D8" r:id="rId7" display="https://www.amazon.com/DYMO-1752267-LabelWriter-Thermal-Printer/dp/B002M1LG1M/ref=sr_1_1?dchild=1&amp;keywords=B002M1LG1M&amp;qid=1600764115&amp;sr=8-1"/>
    <hyperlink ref="D9" r:id="rId8" display="https://www.amazon.com/Brother-QL-810W-Ultra-Fast-Wireless-Networking/dp/B01MTWGMRR/ref=sr_1_1?dchild=1&amp;keywords=B01MTWGMRR&amp;qid=1600764790&amp;sr=8-1"/>
    <hyperlink ref="D10" r:id="rId9" display="https://www.amazon.com/Brother-High-Speed-Professional-Multi-System-Compatible/dp/B01N49R9KP/ref=sr_1_1?dchild=1&amp;keywords=B01N49R9KP&amp;qid=1600764801&amp;sr=8-1"/>
    <hyperlink ref="D11" r:id="rId10" display="https://www.amazon.com/Brother-QL-1100-Postage-Barcode-Professional/dp/B079G51QTB/ref=sr_1_1?dchild=1&amp;keywords=B079G51QTB&amp;qid=1600764814&amp;sr=8-1"/>
    <hyperlink ref="D12" r:id="rId11" display="https://www.amazon.com/Brother-QL-700-High-speed-Professional-Printer/dp/B005TJMC0S/ref=sr_1_1?dchild=1&amp;keywords=B005TJMC0S&amp;qid=1600764822&amp;sr=8-1"/>
    <hyperlink ref="D13" r:id="rId12" display="https://www.amazon.com/Zebra-Label-Thermal-Printer-ZP450-0501-0006A/dp/B07HLVSHVZ/ref=sr_1_1?dchild=1&amp;keywords=B07HLVSHVZ&amp;qid=1600764857&amp;sr=8-1"/>
    <hyperlink ref="D14" r:id="rId13" display="https://www.amazon.com/Zebra-Receipts-Barcodes-Parallel-Connectivity/dp/B00EUN90SG/ref=sr_1_1?dchild=1&amp;keywords=B00EUN90SG&amp;qid=1600764870&amp;sr=8-1"/>
    <hyperlink ref="D15" r:id="rId14" display="https://www.amazon.com/Phomemo-Printer-Printing-Thermal-Compatible/dp/B07TX9PX1K/ref=sr_1_1?dchild=1&amp;keywords=B07TX9PX1K&amp;qid=1600764882&amp;sr=8-1"/>
    <hyperlink ref="D16" r:id="rId15" display="https://www.amazon.com/Phomemo-M110-Label-Maker-Bluetooth-Compatible/dp/B07XXB2MXN/ref=sr_1_1?dchild=1&amp;keywords=B07XXB2MXN&amp;qid=1600764898&amp;sr=8-1"/>
    <hyperlink ref="D17" r:id="rId16" display="https://www.amazon.com/Rollo-Label-Printer-Commercial-Compatible/dp/B01MA3EYC5/ref=sr_1_1?dchild=1&amp;keywords=B01MA3EYC5&amp;qid=1600765002&amp;sr=8-1"/>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9"/>
  <sheetViews>
    <sheetView zoomScale="80" zoomScaleNormal="80" topLeftCell="A24" workbookViewId="0">
      <selection activeCell="C65" sqref="C65:C79"/>
    </sheetView>
  </sheetViews>
  <sheetFormatPr defaultColWidth="9" defaultRowHeight="14"/>
  <cols>
    <col min="1" max="1" width="13.7545454545455" style="158" customWidth="1"/>
    <col min="2" max="5" width="9" style="158"/>
    <col min="6" max="6" width="14.2545454545455" style="158" customWidth="1"/>
    <col min="7" max="7" width="92.2545454545455" style="159" customWidth="1"/>
    <col min="8" max="8" width="9" style="158"/>
    <col min="9" max="16384" width="9" style="160"/>
  </cols>
  <sheetData>
    <row r="1" s="158" customFormat="1" ht="30" customHeight="1" spans="1:13">
      <c r="A1" s="161" t="s">
        <v>237</v>
      </c>
      <c r="B1" s="162"/>
      <c r="C1" s="162"/>
      <c r="D1" s="2"/>
      <c r="E1" s="2"/>
      <c r="F1" s="2"/>
      <c r="G1" s="163"/>
      <c r="H1" s="2"/>
      <c r="I1" s="2"/>
      <c r="J1" s="2"/>
      <c r="K1" s="2"/>
      <c r="L1" s="2"/>
      <c r="M1" s="2"/>
    </row>
    <row r="2" s="158" customFormat="1" ht="17.25" spans="1:13">
      <c r="A2" s="164"/>
      <c r="B2" s="165" t="s">
        <v>238</v>
      </c>
      <c r="C2" s="165" t="s">
        <v>239</v>
      </c>
      <c r="D2" s="165" t="s">
        <v>6</v>
      </c>
      <c r="E2" s="166"/>
      <c r="F2" s="167" t="s">
        <v>240</v>
      </c>
      <c r="G2" s="166" t="s">
        <v>241</v>
      </c>
      <c r="H2" s="2"/>
      <c r="I2" s="2"/>
      <c r="J2" s="2"/>
      <c r="K2" s="2"/>
      <c r="L2" s="2"/>
      <c r="M2" s="2"/>
    </row>
    <row r="3" s="158" customFormat="1" ht="23.1" customHeight="1" spans="1:13">
      <c r="A3" s="168" t="s">
        <v>242</v>
      </c>
      <c r="B3" s="169" t="s">
        <v>243</v>
      </c>
      <c r="C3" s="170" t="s">
        <v>244</v>
      </c>
      <c r="D3" s="171">
        <v>0.3413</v>
      </c>
      <c r="E3" s="172" t="s">
        <v>245</v>
      </c>
      <c r="F3" s="173" t="s">
        <v>246</v>
      </c>
      <c r="G3" s="174" t="s">
        <v>247</v>
      </c>
      <c r="H3" s="2"/>
      <c r="I3" s="2"/>
      <c r="J3" s="2"/>
      <c r="K3" s="2"/>
      <c r="L3" s="2"/>
      <c r="M3" s="2"/>
    </row>
    <row r="4" s="158" customFormat="1" ht="23.1" customHeight="1" spans="1:13">
      <c r="A4" s="168"/>
      <c r="B4" s="175"/>
      <c r="C4" s="176"/>
      <c r="D4" s="176"/>
      <c r="E4" s="177"/>
      <c r="F4" s="178" t="s">
        <v>248</v>
      </c>
      <c r="G4" s="179" t="s">
        <v>249</v>
      </c>
      <c r="H4" s="2"/>
      <c r="I4" s="2"/>
      <c r="J4" s="2"/>
      <c r="K4" s="2"/>
      <c r="L4" s="2"/>
      <c r="M4" s="2"/>
    </row>
    <row r="5" s="158" customFormat="1" ht="21.95" customHeight="1" spans="1:13">
      <c r="A5" s="168"/>
      <c r="B5" s="175"/>
      <c r="C5" s="176"/>
      <c r="D5" s="176"/>
      <c r="E5" s="177"/>
      <c r="F5" s="178" t="s">
        <v>25</v>
      </c>
      <c r="G5" s="179" t="s">
        <v>250</v>
      </c>
      <c r="H5" s="2"/>
      <c r="I5" s="2"/>
      <c r="J5" s="2"/>
      <c r="K5" s="2"/>
      <c r="L5" s="2"/>
      <c r="M5" s="2"/>
    </row>
    <row r="6" s="158" customFormat="1" ht="44.1" customHeight="1" spans="1:13">
      <c r="A6" s="168"/>
      <c r="B6" s="175"/>
      <c r="C6" s="176"/>
      <c r="D6" s="176"/>
      <c r="E6" s="177"/>
      <c r="F6" s="178" t="s">
        <v>251</v>
      </c>
      <c r="G6" s="179" t="s">
        <v>252</v>
      </c>
      <c r="H6" s="2"/>
      <c r="I6" s="2"/>
      <c r="J6" s="2"/>
      <c r="K6" s="2"/>
      <c r="L6" s="2"/>
      <c r="M6" s="2"/>
    </row>
    <row r="7" s="158" customFormat="1" ht="24.95" customHeight="1" spans="1:13">
      <c r="A7" s="168"/>
      <c r="B7" s="175"/>
      <c r="C7" s="176"/>
      <c r="D7" s="176"/>
      <c r="E7" s="177"/>
      <c r="F7" s="178" t="s">
        <v>253</v>
      </c>
      <c r="G7" s="179" t="s">
        <v>254</v>
      </c>
      <c r="H7" s="2"/>
      <c r="I7" s="2"/>
      <c r="J7" s="2"/>
      <c r="K7" s="2"/>
      <c r="L7" s="2"/>
      <c r="M7" s="2"/>
    </row>
    <row r="8" s="158" customFormat="1" ht="75" customHeight="1" spans="1:13">
      <c r="A8" s="168"/>
      <c r="B8" s="175"/>
      <c r="C8" s="176"/>
      <c r="D8" s="176"/>
      <c r="E8" s="177" t="s">
        <v>255</v>
      </c>
      <c r="F8" s="178" t="s">
        <v>256</v>
      </c>
      <c r="G8" s="180" t="s">
        <v>257</v>
      </c>
      <c r="H8" s="2"/>
      <c r="I8" s="2"/>
      <c r="J8" s="2"/>
      <c r="K8" s="2"/>
      <c r="L8" s="2"/>
      <c r="M8" s="2"/>
    </row>
    <row r="9" s="158" customFormat="1" ht="24.95" customHeight="1" spans="1:13">
      <c r="A9" s="168"/>
      <c r="B9" s="175"/>
      <c r="C9" s="176"/>
      <c r="D9" s="176"/>
      <c r="E9" s="177"/>
      <c r="F9" s="178" t="s">
        <v>258</v>
      </c>
      <c r="G9" s="181" t="s">
        <v>259</v>
      </c>
      <c r="H9" s="2"/>
      <c r="I9" s="2"/>
      <c r="J9" s="2"/>
      <c r="K9" s="2"/>
      <c r="L9" s="2"/>
      <c r="M9" s="2"/>
    </row>
    <row r="10" s="158" customFormat="1" ht="27.95" customHeight="1" spans="1:13">
      <c r="A10" s="168"/>
      <c r="B10" s="175"/>
      <c r="C10" s="176"/>
      <c r="D10" s="176"/>
      <c r="E10" s="177"/>
      <c r="F10" s="182" t="s">
        <v>260</v>
      </c>
      <c r="G10" s="181" t="s">
        <v>261</v>
      </c>
      <c r="H10" s="2"/>
      <c r="I10" s="2"/>
      <c r="J10" s="2"/>
      <c r="K10" s="2"/>
      <c r="L10" s="2"/>
      <c r="M10" s="2"/>
    </row>
    <row r="11" s="158" customFormat="1" ht="16.5" spans="1:13">
      <c r="A11" s="168"/>
      <c r="B11" s="175"/>
      <c r="C11" s="176"/>
      <c r="D11" s="176"/>
      <c r="E11" s="177"/>
      <c r="F11" s="178" t="s">
        <v>262</v>
      </c>
      <c r="G11" s="179" t="s">
        <v>263</v>
      </c>
      <c r="H11" s="2"/>
      <c r="I11" s="2"/>
      <c r="J11" s="2"/>
      <c r="K11" s="2"/>
      <c r="L11" s="2"/>
      <c r="M11" s="2"/>
    </row>
    <row r="12" s="158" customFormat="1" ht="23.1" customHeight="1" spans="1:13">
      <c r="A12" s="168"/>
      <c r="B12" s="175"/>
      <c r="C12" s="176"/>
      <c r="D12" s="176"/>
      <c r="E12" s="177"/>
      <c r="F12" s="178" t="s">
        <v>264</v>
      </c>
      <c r="G12" s="181" t="s">
        <v>265</v>
      </c>
      <c r="H12" s="2"/>
      <c r="I12" s="2"/>
      <c r="J12" s="2"/>
      <c r="K12" s="2"/>
      <c r="L12" s="2"/>
      <c r="M12" s="2"/>
    </row>
    <row r="13" s="158" customFormat="1" ht="21" customHeight="1" spans="1:13">
      <c r="A13" s="168"/>
      <c r="B13" s="175"/>
      <c r="C13" s="176"/>
      <c r="D13" s="176"/>
      <c r="E13" s="177" t="s">
        <v>266</v>
      </c>
      <c r="F13" s="178" t="s">
        <v>267</v>
      </c>
      <c r="G13" s="179" t="s">
        <v>268</v>
      </c>
      <c r="H13" s="2"/>
      <c r="I13" s="2"/>
      <c r="J13" s="2"/>
      <c r="K13" s="2"/>
      <c r="L13" s="2"/>
      <c r="M13" s="2"/>
    </row>
    <row r="14" s="158" customFormat="1" ht="41.1" customHeight="1" spans="1:13">
      <c r="A14" s="168"/>
      <c r="B14" s="175"/>
      <c r="C14" s="176"/>
      <c r="D14" s="176"/>
      <c r="E14" s="177"/>
      <c r="F14" s="178" t="s">
        <v>269</v>
      </c>
      <c r="G14" s="181" t="s">
        <v>270</v>
      </c>
      <c r="H14" s="2"/>
      <c r="I14" s="2"/>
      <c r="J14" s="2"/>
      <c r="K14" s="2"/>
      <c r="L14" s="2"/>
      <c r="M14" s="2"/>
    </row>
    <row r="15" s="158" customFormat="1" ht="16.5" spans="1:13">
      <c r="A15" s="168"/>
      <c r="B15" s="175"/>
      <c r="C15" s="176"/>
      <c r="D15" s="176"/>
      <c r="E15" s="177"/>
      <c r="F15" s="178" t="s">
        <v>271</v>
      </c>
      <c r="G15" s="179" t="s">
        <v>272</v>
      </c>
      <c r="H15" s="2"/>
      <c r="I15" s="2"/>
      <c r="J15" s="2"/>
      <c r="K15" s="2"/>
      <c r="L15" s="2"/>
      <c r="M15" s="2"/>
    </row>
    <row r="16" s="158" customFormat="1" ht="36" customHeight="1" spans="1:13">
      <c r="A16" s="168"/>
      <c r="B16" s="175"/>
      <c r="C16" s="176"/>
      <c r="D16" s="176"/>
      <c r="E16" s="177"/>
      <c r="F16" s="178" t="s">
        <v>273</v>
      </c>
      <c r="G16" s="181" t="s">
        <v>274</v>
      </c>
      <c r="H16" s="2"/>
      <c r="I16" s="2"/>
      <c r="J16" s="2"/>
      <c r="K16" s="2"/>
      <c r="L16" s="2"/>
      <c r="M16" s="2"/>
    </row>
    <row r="17" s="158" customFormat="1" ht="29" spans="1:13">
      <c r="A17" s="168"/>
      <c r="B17" s="175"/>
      <c r="C17" s="176"/>
      <c r="D17" s="176"/>
      <c r="E17" s="177"/>
      <c r="F17" s="178" t="s">
        <v>275</v>
      </c>
      <c r="G17" s="183" t="s">
        <v>276</v>
      </c>
      <c r="H17" s="2"/>
      <c r="I17" s="2"/>
      <c r="J17" s="2"/>
      <c r="K17" s="2"/>
      <c r="L17" s="2"/>
      <c r="M17" s="2"/>
    </row>
    <row r="18" s="158" customFormat="1" ht="26.1" customHeight="1" spans="1:13">
      <c r="A18" s="168"/>
      <c r="B18" s="166"/>
      <c r="C18" s="184"/>
      <c r="D18" s="184"/>
      <c r="E18" s="185"/>
      <c r="F18" s="186" t="s">
        <v>277</v>
      </c>
      <c r="G18" s="187" t="s">
        <v>278</v>
      </c>
      <c r="H18" s="2"/>
      <c r="I18" s="2"/>
      <c r="J18" s="2"/>
      <c r="K18" s="2"/>
      <c r="L18" s="2"/>
      <c r="M18" s="2"/>
    </row>
    <row r="19" s="158" customFormat="1" ht="16.5" spans="1:13">
      <c r="A19" s="168"/>
      <c r="B19" s="169" t="s">
        <v>279</v>
      </c>
      <c r="C19" s="170" t="s">
        <v>244</v>
      </c>
      <c r="D19" s="171">
        <v>0.156</v>
      </c>
      <c r="E19" s="172" t="s">
        <v>245</v>
      </c>
      <c r="F19" s="173" t="s">
        <v>246</v>
      </c>
      <c r="G19" s="188" t="s">
        <v>280</v>
      </c>
      <c r="H19" s="2"/>
      <c r="I19" s="2"/>
      <c r="J19" s="2"/>
      <c r="K19" s="2"/>
      <c r="L19" s="2"/>
      <c r="M19" s="2"/>
    </row>
    <row r="20" s="158" customFormat="1" ht="16.5" spans="1:13">
      <c r="A20" s="168"/>
      <c r="B20" s="175"/>
      <c r="C20" s="176"/>
      <c r="D20" s="176"/>
      <c r="E20" s="177"/>
      <c r="F20" s="178" t="s">
        <v>248</v>
      </c>
      <c r="G20" s="179" t="s">
        <v>281</v>
      </c>
      <c r="H20" s="2"/>
      <c r="I20" s="2"/>
      <c r="J20" s="2"/>
      <c r="K20" s="2"/>
      <c r="L20" s="2"/>
      <c r="M20" s="2"/>
    </row>
    <row r="21" s="158" customFormat="1" ht="16.5" spans="1:13">
      <c r="A21" s="168"/>
      <c r="B21" s="175"/>
      <c r="C21" s="176"/>
      <c r="D21" s="176"/>
      <c r="E21" s="177"/>
      <c r="F21" s="178" t="s">
        <v>25</v>
      </c>
      <c r="G21" s="179" t="s">
        <v>282</v>
      </c>
      <c r="H21" s="2"/>
      <c r="I21" s="2"/>
      <c r="J21" s="2"/>
      <c r="K21" s="2"/>
      <c r="L21" s="2"/>
      <c r="M21" s="2"/>
    </row>
    <row r="22" s="158" customFormat="1" ht="33" customHeight="1" spans="1:13">
      <c r="A22" s="168"/>
      <c r="B22" s="175"/>
      <c r="C22" s="176"/>
      <c r="D22" s="176"/>
      <c r="E22" s="177"/>
      <c r="F22" s="178" t="s">
        <v>251</v>
      </c>
      <c r="G22" s="181" t="s">
        <v>283</v>
      </c>
      <c r="H22" s="2"/>
      <c r="I22" s="2"/>
      <c r="J22" s="2"/>
      <c r="K22" s="2"/>
      <c r="L22" s="2"/>
      <c r="M22" s="2"/>
    </row>
    <row r="23" s="158" customFormat="1" ht="23.1" customHeight="1" spans="1:13">
      <c r="A23" s="168"/>
      <c r="B23" s="175"/>
      <c r="C23" s="176"/>
      <c r="D23" s="176"/>
      <c r="E23" s="177"/>
      <c r="F23" s="178" t="s">
        <v>253</v>
      </c>
      <c r="G23" s="179" t="s">
        <v>254</v>
      </c>
      <c r="H23" s="2"/>
      <c r="I23" s="2"/>
      <c r="J23" s="2"/>
      <c r="K23" s="2"/>
      <c r="L23" s="2"/>
      <c r="M23" s="2"/>
    </row>
    <row r="24" s="158" customFormat="1" ht="39.95" customHeight="1" spans="1:13">
      <c r="A24" s="168"/>
      <c r="B24" s="175"/>
      <c r="C24" s="176"/>
      <c r="D24" s="176"/>
      <c r="E24" s="177" t="s">
        <v>255</v>
      </c>
      <c r="F24" s="178" t="s">
        <v>256</v>
      </c>
      <c r="G24" s="181" t="s">
        <v>284</v>
      </c>
      <c r="H24" s="2"/>
      <c r="I24" s="2"/>
      <c r="J24" s="2"/>
      <c r="K24" s="2"/>
      <c r="L24" s="2"/>
      <c r="M24" s="2"/>
    </row>
    <row r="25" s="158" customFormat="1" ht="16.5" spans="1:13">
      <c r="A25" s="168"/>
      <c r="B25" s="175"/>
      <c r="C25" s="176"/>
      <c r="D25" s="176"/>
      <c r="E25" s="177"/>
      <c r="F25" s="178" t="s">
        <v>258</v>
      </c>
      <c r="G25" s="179" t="s">
        <v>285</v>
      </c>
      <c r="H25" s="2"/>
      <c r="I25" s="2"/>
      <c r="J25" s="2"/>
      <c r="K25" s="2"/>
      <c r="L25" s="2"/>
      <c r="M25" s="2"/>
    </row>
    <row r="26" s="158" customFormat="1" ht="16.5" spans="1:13">
      <c r="A26" s="168"/>
      <c r="B26" s="175"/>
      <c r="C26" s="176"/>
      <c r="D26" s="176"/>
      <c r="E26" s="177"/>
      <c r="F26" s="178" t="s">
        <v>260</v>
      </c>
      <c r="G26" s="179" t="s">
        <v>286</v>
      </c>
      <c r="H26" s="2"/>
      <c r="I26" s="2"/>
      <c r="J26" s="2"/>
      <c r="K26" s="2"/>
      <c r="L26" s="2"/>
      <c r="M26" s="2"/>
    </row>
    <row r="27" s="158" customFormat="1" ht="16.5" spans="1:13">
      <c r="A27" s="168"/>
      <c r="B27" s="175"/>
      <c r="C27" s="176"/>
      <c r="D27" s="176"/>
      <c r="E27" s="177"/>
      <c r="F27" s="178" t="s">
        <v>262</v>
      </c>
      <c r="G27" s="179" t="s">
        <v>287</v>
      </c>
      <c r="H27" s="2"/>
      <c r="I27" s="2"/>
      <c r="J27" s="2"/>
      <c r="K27" s="2"/>
      <c r="L27" s="2"/>
      <c r="M27" s="2"/>
    </row>
    <row r="28" s="158" customFormat="1" ht="24" customHeight="1" spans="1:13">
      <c r="A28" s="168"/>
      <c r="B28" s="175"/>
      <c r="C28" s="176"/>
      <c r="D28" s="176"/>
      <c r="E28" s="177"/>
      <c r="F28" s="178" t="s">
        <v>264</v>
      </c>
      <c r="G28" s="179" t="s">
        <v>288</v>
      </c>
      <c r="H28" s="2"/>
      <c r="I28" s="2"/>
      <c r="J28" s="2"/>
      <c r="K28" s="2"/>
      <c r="L28" s="2"/>
      <c r="M28" s="2"/>
    </row>
    <row r="29" s="158" customFormat="1" ht="21.95" customHeight="1" spans="1:13">
      <c r="A29" s="168"/>
      <c r="B29" s="175"/>
      <c r="C29" s="176"/>
      <c r="D29" s="176"/>
      <c r="E29" s="177" t="s">
        <v>266</v>
      </c>
      <c r="F29" s="178" t="s">
        <v>267</v>
      </c>
      <c r="G29" s="181" t="s">
        <v>289</v>
      </c>
      <c r="H29" s="2"/>
      <c r="I29" s="2"/>
      <c r="J29" s="2"/>
      <c r="K29" s="2"/>
      <c r="L29" s="2"/>
      <c r="M29" s="2"/>
    </row>
    <row r="30" s="158" customFormat="1" ht="16.5" spans="1:13">
      <c r="A30" s="168"/>
      <c r="B30" s="175"/>
      <c r="C30" s="176"/>
      <c r="D30" s="176"/>
      <c r="E30" s="177"/>
      <c r="F30" s="178" t="s">
        <v>269</v>
      </c>
      <c r="G30" s="179" t="s">
        <v>290</v>
      </c>
      <c r="H30" s="2"/>
      <c r="I30" s="2"/>
      <c r="J30" s="2"/>
      <c r="K30" s="2"/>
      <c r="L30" s="2"/>
      <c r="M30" s="2"/>
    </row>
    <row r="31" s="158" customFormat="1" ht="16.5" spans="1:13">
      <c r="A31" s="168"/>
      <c r="B31" s="175"/>
      <c r="C31" s="176"/>
      <c r="D31" s="176"/>
      <c r="E31" s="177"/>
      <c r="F31" s="178" t="s">
        <v>271</v>
      </c>
      <c r="G31" s="179" t="s">
        <v>291</v>
      </c>
      <c r="H31" s="2"/>
      <c r="I31" s="2"/>
      <c r="J31" s="2"/>
      <c r="K31" s="2"/>
      <c r="L31" s="2"/>
      <c r="M31" s="2"/>
    </row>
    <row r="32" s="158" customFormat="1" ht="16.5" spans="1:13">
      <c r="A32" s="168"/>
      <c r="B32" s="175"/>
      <c r="C32" s="176"/>
      <c r="D32" s="176"/>
      <c r="E32" s="177"/>
      <c r="F32" s="178" t="s">
        <v>273</v>
      </c>
      <c r="G32" s="179" t="s">
        <v>292</v>
      </c>
      <c r="H32" s="2"/>
      <c r="I32" s="2"/>
      <c r="J32" s="2"/>
      <c r="K32" s="2"/>
      <c r="L32" s="2"/>
      <c r="M32" s="2"/>
    </row>
    <row r="33" s="158" customFormat="1" ht="33.95" customHeight="1" spans="1:13">
      <c r="A33" s="168"/>
      <c r="B33" s="175"/>
      <c r="C33" s="176"/>
      <c r="D33" s="176"/>
      <c r="E33" s="177"/>
      <c r="F33" s="178" t="s">
        <v>275</v>
      </c>
      <c r="G33" s="189" t="s">
        <v>293</v>
      </c>
      <c r="H33" s="2"/>
      <c r="I33" s="2"/>
      <c r="J33" s="2"/>
      <c r="K33" s="2"/>
      <c r="L33" s="2"/>
      <c r="M33" s="2"/>
    </row>
    <row r="34" s="158" customFormat="1" ht="39" customHeight="1" spans="1:13">
      <c r="A34" s="168"/>
      <c r="B34" s="166"/>
      <c r="C34" s="184"/>
      <c r="D34" s="184"/>
      <c r="E34" s="185"/>
      <c r="F34" s="186" t="s">
        <v>277</v>
      </c>
      <c r="G34" s="187" t="s">
        <v>294</v>
      </c>
      <c r="H34" s="2"/>
      <c r="I34" s="2"/>
      <c r="J34" s="2"/>
      <c r="K34" s="2"/>
      <c r="L34" s="2"/>
      <c r="M34" s="2"/>
    </row>
    <row r="35" s="158" customFormat="1" ht="16.5" spans="1:13">
      <c r="A35" s="168"/>
      <c r="B35" s="169" t="s">
        <v>295</v>
      </c>
      <c r="C35" s="170" t="s">
        <v>244</v>
      </c>
      <c r="D35" s="171">
        <v>0.0963</v>
      </c>
      <c r="E35" s="172" t="s">
        <v>245</v>
      </c>
      <c r="F35" s="173" t="s">
        <v>246</v>
      </c>
      <c r="G35" s="188" t="s">
        <v>296</v>
      </c>
      <c r="H35" s="2"/>
      <c r="I35" s="2"/>
      <c r="J35" s="2"/>
      <c r="K35" s="2"/>
      <c r="L35" s="2"/>
      <c r="M35" s="2"/>
    </row>
    <row r="36" s="158" customFormat="1" ht="16.5" spans="1:13">
      <c r="A36" s="168"/>
      <c r="B36" s="175"/>
      <c r="C36" s="176"/>
      <c r="D36" s="176"/>
      <c r="E36" s="177"/>
      <c r="F36" s="178" t="s">
        <v>248</v>
      </c>
      <c r="G36" s="179" t="s">
        <v>297</v>
      </c>
      <c r="H36" s="2"/>
      <c r="I36" s="2"/>
      <c r="J36" s="2"/>
      <c r="K36" s="2"/>
      <c r="L36" s="2"/>
      <c r="M36" s="2"/>
    </row>
    <row r="37" s="158" customFormat="1" ht="16.5" spans="1:13">
      <c r="A37" s="168"/>
      <c r="B37" s="175"/>
      <c r="C37" s="176"/>
      <c r="D37" s="176"/>
      <c r="E37" s="177"/>
      <c r="F37" s="178" t="s">
        <v>25</v>
      </c>
      <c r="G37" s="179" t="s">
        <v>298</v>
      </c>
      <c r="H37" s="2"/>
      <c r="I37" s="2"/>
      <c r="J37" s="2"/>
      <c r="K37" s="2"/>
      <c r="L37" s="2"/>
      <c r="M37" s="2"/>
    </row>
    <row r="38" s="158" customFormat="1" ht="16.5" spans="1:13">
      <c r="A38" s="168"/>
      <c r="B38" s="175"/>
      <c r="C38" s="176"/>
      <c r="D38" s="176"/>
      <c r="E38" s="177"/>
      <c r="F38" s="178" t="s">
        <v>251</v>
      </c>
      <c r="G38" s="179" t="s">
        <v>299</v>
      </c>
      <c r="H38" s="2"/>
      <c r="I38" s="2"/>
      <c r="J38" s="2"/>
      <c r="K38" s="2"/>
      <c r="L38" s="2"/>
      <c r="M38" s="2"/>
    </row>
    <row r="39" s="158" customFormat="1" ht="16.5" spans="1:13">
      <c r="A39" s="168"/>
      <c r="B39" s="175"/>
      <c r="C39" s="176"/>
      <c r="D39" s="176"/>
      <c r="E39" s="177"/>
      <c r="F39" s="178" t="s">
        <v>253</v>
      </c>
      <c r="G39" s="179" t="s">
        <v>300</v>
      </c>
      <c r="H39" s="2"/>
      <c r="I39" s="2"/>
      <c r="J39" s="2"/>
      <c r="K39" s="2"/>
      <c r="L39" s="2"/>
      <c r="M39" s="2"/>
    </row>
    <row r="40" s="158" customFormat="1" ht="43.5" spans="1:13">
      <c r="A40" s="168"/>
      <c r="B40" s="175"/>
      <c r="C40" s="176"/>
      <c r="D40" s="176"/>
      <c r="E40" s="177" t="s">
        <v>255</v>
      </c>
      <c r="F40" s="178" t="s">
        <v>256</v>
      </c>
      <c r="G40" s="179" t="s">
        <v>301</v>
      </c>
      <c r="H40" s="2"/>
      <c r="I40" s="2"/>
      <c r="J40" s="2"/>
      <c r="K40" s="2"/>
      <c r="L40" s="2"/>
      <c r="M40" s="2"/>
    </row>
    <row r="41" s="158" customFormat="1" ht="16.5" spans="1:13">
      <c r="A41" s="168"/>
      <c r="B41" s="175"/>
      <c r="C41" s="176"/>
      <c r="D41" s="176"/>
      <c r="E41" s="177"/>
      <c r="F41" s="178" t="s">
        <v>258</v>
      </c>
      <c r="G41" s="179" t="s">
        <v>302</v>
      </c>
      <c r="H41" s="2"/>
      <c r="I41" s="2"/>
      <c r="J41" s="2"/>
      <c r="K41" s="2"/>
      <c r="L41" s="2"/>
      <c r="M41" s="2"/>
    </row>
    <row r="42" s="158" customFormat="1" ht="16.5" spans="1:13">
      <c r="A42" s="168"/>
      <c r="B42" s="175"/>
      <c r="C42" s="176"/>
      <c r="D42" s="176"/>
      <c r="E42" s="177"/>
      <c r="F42" s="178" t="s">
        <v>262</v>
      </c>
      <c r="G42" s="179" t="s">
        <v>303</v>
      </c>
      <c r="H42" s="2"/>
      <c r="I42" s="2"/>
      <c r="J42" s="2"/>
      <c r="K42" s="2"/>
      <c r="L42" s="2"/>
      <c r="M42" s="2"/>
    </row>
    <row r="43" s="158" customFormat="1" ht="16.5" spans="1:13">
      <c r="A43" s="168"/>
      <c r="B43" s="175"/>
      <c r="C43" s="176"/>
      <c r="D43" s="176"/>
      <c r="E43" s="177"/>
      <c r="F43" s="178" t="s">
        <v>264</v>
      </c>
      <c r="G43" s="179" t="s">
        <v>304</v>
      </c>
      <c r="H43" s="2"/>
      <c r="I43" s="2"/>
      <c r="J43" s="2"/>
      <c r="K43" s="2"/>
      <c r="L43" s="2"/>
      <c r="M43" s="2"/>
    </row>
    <row r="44" s="158" customFormat="1" ht="29.1" customHeight="1" spans="1:13">
      <c r="A44" s="168"/>
      <c r="B44" s="175"/>
      <c r="C44" s="176"/>
      <c r="D44" s="176"/>
      <c r="E44" s="177" t="s">
        <v>266</v>
      </c>
      <c r="F44" s="178" t="s">
        <v>267</v>
      </c>
      <c r="G44" s="181" t="s">
        <v>305</v>
      </c>
      <c r="H44" s="2"/>
      <c r="I44" s="2"/>
      <c r="J44" s="2"/>
      <c r="K44" s="2"/>
      <c r="L44" s="2"/>
      <c r="M44" s="2"/>
    </row>
    <row r="45" s="158" customFormat="1" ht="26.1" customHeight="1" spans="1:13">
      <c r="A45" s="168"/>
      <c r="B45" s="175"/>
      <c r="C45" s="176"/>
      <c r="D45" s="176"/>
      <c r="E45" s="177"/>
      <c r="F45" s="178" t="s">
        <v>269</v>
      </c>
      <c r="G45" s="181" t="s">
        <v>306</v>
      </c>
      <c r="H45" s="2"/>
      <c r="I45" s="2"/>
      <c r="J45" s="2"/>
      <c r="K45" s="2"/>
      <c r="L45" s="2"/>
      <c r="M45" s="2"/>
    </row>
    <row r="46" s="158" customFormat="1" ht="16.5" spans="1:13">
      <c r="A46" s="168"/>
      <c r="B46" s="175"/>
      <c r="C46" s="176"/>
      <c r="D46" s="176"/>
      <c r="E46" s="177"/>
      <c r="F46" s="178" t="s">
        <v>271</v>
      </c>
      <c r="G46" s="179" t="s">
        <v>307</v>
      </c>
      <c r="H46" s="2"/>
      <c r="I46" s="2"/>
      <c r="J46" s="2"/>
      <c r="K46" s="2"/>
      <c r="L46" s="2"/>
      <c r="M46" s="2"/>
    </row>
    <row r="47" s="158" customFormat="1" ht="16.5" spans="1:13">
      <c r="A47" s="168"/>
      <c r="B47" s="175"/>
      <c r="C47" s="176"/>
      <c r="D47" s="176"/>
      <c r="E47" s="177"/>
      <c r="F47" s="178" t="s">
        <v>273</v>
      </c>
      <c r="G47" s="179" t="s">
        <v>308</v>
      </c>
      <c r="H47" s="2"/>
      <c r="I47" s="2"/>
      <c r="J47" s="2"/>
      <c r="K47" s="2"/>
      <c r="L47" s="2"/>
      <c r="M47" s="2"/>
    </row>
    <row r="48" s="158" customFormat="1" ht="16.5" spans="1:13">
      <c r="A48" s="168"/>
      <c r="B48" s="175"/>
      <c r="C48" s="176"/>
      <c r="D48" s="176"/>
      <c r="E48" s="177"/>
      <c r="F48" s="178" t="s">
        <v>275</v>
      </c>
      <c r="G48" s="179" t="s">
        <v>309</v>
      </c>
      <c r="H48" s="2"/>
      <c r="I48" s="2"/>
      <c r="J48" s="2"/>
      <c r="K48" s="2"/>
      <c r="L48" s="2"/>
      <c r="M48" s="2"/>
    </row>
    <row r="49" s="158" customFormat="1" ht="17.25" spans="1:13">
      <c r="A49" s="168"/>
      <c r="B49" s="166"/>
      <c r="C49" s="184"/>
      <c r="D49" s="184"/>
      <c r="E49" s="185"/>
      <c r="F49" s="186" t="s">
        <v>277</v>
      </c>
      <c r="G49" s="190" t="s">
        <v>310</v>
      </c>
      <c r="H49" s="2"/>
      <c r="I49" s="2"/>
      <c r="J49" s="2"/>
      <c r="K49" s="2"/>
      <c r="L49" s="2"/>
      <c r="M49" s="2"/>
    </row>
    <row r="50" s="158" customFormat="1" ht="16.5" spans="1:13">
      <c r="A50" s="168"/>
      <c r="B50" s="169" t="s">
        <v>311</v>
      </c>
      <c r="C50" s="170" t="s">
        <v>244</v>
      </c>
      <c r="D50" s="171">
        <v>0.015</v>
      </c>
      <c r="E50" s="172" t="s">
        <v>245</v>
      </c>
      <c r="F50" s="173" t="s">
        <v>246</v>
      </c>
      <c r="G50" s="188" t="s">
        <v>312</v>
      </c>
      <c r="H50" s="2"/>
      <c r="I50" s="2"/>
      <c r="J50" s="2"/>
      <c r="K50" s="2"/>
      <c r="L50" s="2"/>
      <c r="M50" s="2"/>
    </row>
    <row r="51" s="158" customFormat="1" ht="16.5" spans="1:13">
      <c r="A51" s="168"/>
      <c r="B51" s="175"/>
      <c r="C51" s="176"/>
      <c r="D51" s="176"/>
      <c r="E51" s="177"/>
      <c r="F51" s="178" t="s">
        <v>248</v>
      </c>
      <c r="G51" s="179" t="s">
        <v>313</v>
      </c>
      <c r="H51" s="2"/>
      <c r="I51" s="2"/>
      <c r="J51" s="2"/>
      <c r="K51" s="2"/>
      <c r="L51" s="2"/>
      <c r="M51" s="2"/>
    </row>
    <row r="52" s="158" customFormat="1" ht="16.5" spans="1:13">
      <c r="A52" s="168"/>
      <c r="B52" s="175"/>
      <c r="C52" s="176"/>
      <c r="D52" s="176"/>
      <c r="E52" s="177"/>
      <c r="F52" s="178" t="s">
        <v>25</v>
      </c>
      <c r="G52" s="179" t="s">
        <v>314</v>
      </c>
      <c r="H52" s="2"/>
      <c r="I52" s="2"/>
      <c r="J52" s="2"/>
      <c r="K52" s="2"/>
      <c r="L52" s="2"/>
      <c r="M52" s="2"/>
    </row>
    <row r="53" s="158" customFormat="1" ht="16.5" spans="1:13">
      <c r="A53" s="168"/>
      <c r="B53" s="175"/>
      <c r="C53" s="176"/>
      <c r="D53" s="176"/>
      <c r="E53" s="177"/>
      <c r="F53" s="178" t="s">
        <v>251</v>
      </c>
      <c r="G53" s="179" t="s">
        <v>315</v>
      </c>
      <c r="H53" s="2"/>
      <c r="I53" s="2"/>
      <c r="J53" s="2"/>
      <c r="K53" s="2"/>
      <c r="L53" s="2"/>
      <c r="M53" s="2"/>
    </row>
    <row r="54" s="158" customFormat="1" ht="16.5" spans="1:13">
      <c r="A54" s="168"/>
      <c r="B54" s="175"/>
      <c r="C54" s="176"/>
      <c r="D54" s="176"/>
      <c r="E54" s="177"/>
      <c r="F54" s="178" t="s">
        <v>253</v>
      </c>
      <c r="G54" s="179" t="s">
        <v>316</v>
      </c>
      <c r="H54" s="2"/>
      <c r="I54" s="2"/>
      <c r="J54" s="2"/>
      <c r="K54" s="2"/>
      <c r="L54" s="2"/>
      <c r="M54" s="2"/>
    </row>
    <row r="55" s="158" customFormat="1" ht="84.95" customHeight="1" spans="1:13">
      <c r="A55" s="168"/>
      <c r="B55" s="175"/>
      <c r="C55" s="176"/>
      <c r="D55" s="176"/>
      <c r="E55" s="177" t="s">
        <v>255</v>
      </c>
      <c r="F55" s="178" t="s">
        <v>256</v>
      </c>
      <c r="G55" s="180" t="s">
        <v>317</v>
      </c>
      <c r="H55" s="2"/>
      <c r="I55" s="2"/>
      <c r="J55" s="2"/>
      <c r="K55" s="2"/>
      <c r="L55" s="2"/>
      <c r="M55" s="2"/>
    </row>
    <row r="56" s="158" customFormat="1" ht="16.5" spans="1:13">
      <c r="A56" s="168"/>
      <c r="B56" s="175"/>
      <c r="C56" s="176"/>
      <c r="D56" s="176"/>
      <c r="E56" s="177"/>
      <c r="F56" s="178" t="s">
        <v>258</v>
      </c>
      <c r="G56" s="191" t="s">
        <v>318</v>
      </c>
      <c r="H56" s="2"/>
      <c r="I56" s="2"/>
      <c r="J56" s="2"/>
      <c r="K56" s="2"/>
      <c r="L56" s="2"/>
      <c r="M56" s="2"/>
    </row>
    <row r="57" s="158" customFormat="1" ht="16.5" spans="1:13">
      <c r="A57" s="168"/>
      <c r="B57" s="175"/>
      <c r="C57" s="176"/>
      <c r="D57" s="176"/>
      <c r="E57" s="177"/>
      <c r="F57" s="178" t="s">
        <v>262</v>
      </c>
      <c r="G57" s="191" t="s">
        <v>319</v>
      </c>
      <c r="H57" s="2"/>
      <c r="I57" s="2"/>
      <c r="J57" s="2"/>
      <c r="K57" s="2"/>
      <c r="L57" s="2"/>
      <c r="M57" s="2"/>
    </row>
    <row r="58" s="158" customFormat="1" ht="16.5" spans="1:13">
      <c r="A58" s="168"/>
      <c r="B58" s="175"/>
      <c r="C58" s="176"/>
      <c r="D58" s="176"/>
      <c r="E58" s="177"/>
      <c r="F58" s="178" t="s">
        <v>264</v>
      </c>
      <c r="G58" s="191" t="s">
        <v>320</v>
      </c>
      <c r="H58" s="2"/>
      <c r="I58" s="2"/>
      <c r="J58" s="2"/>
      <c r="K58" s="2"/>
      <c r="L58" s="2"/>
      <c r="M58" s="2"/>
    </row>
    <row r="59" s="158" customFormat="1" ht="16.5" spans="1:13">
      <c r="A59" s="168"/>
      <c r="B59" s="175"/>
      <c r="C59" s="176"/>
      <c r="D59" s="176"/>
      <c r="E59" s="177" t="s">
        <v>266</v>
      </c>
      <c r="F59" s="178" t="s">
        <v>267</v>
      </c>
      <c r="G59" s="191" t="s">
        <v>321</v>
      </c>
      <c r="H59" s="2"/>
      <c r="I59" s="2"/>
      <c r="J59" s="2"/>
      <c r="K59" s="2"/>
      <c r="L59" s="2"/>
      <c r="M59" s="2"/>
    </row>
    <row r="60" s="158" customFormat="1" ht="16.5" spans="1:13">
      <c r="A60" s="168"/>
      <c r="B60" s="175"/>
      <c r="C60" s="176"/>
      <c r="D60" s="176"/>
      <c r="E60" s="177"/>
      <c r="F60" s="178" t="s">
        <v>269</v>
      </c>
      <c r="G60" s="191" t="s">
        <v>322</v>
      </c>
      <c r="H60" s="2"/>
      <c r="I60" s="2"/>
      <c r="J60" s="2"/>
      <c r="K60" s="2"/>
      <c r="L60" s="2"/>
      <c r="M60" s="2"/>
    </row>
    <row r="61" s="158" customFormat="1" ht="16.5" spans="1:13">
      <c r="A61" s="168"/>
      <c r="B61" s="175"/>
      <c r="C61" s="176"/>
      <c r="D61" s="176"/>
      <c r="E61" s="177"/>
      <c r="F61" s="178" t="s">
        <v>271</v>
      </c>
      <c r="G61" s="191" t="s">
        <v>323</v>
      </c>
      <c r="H61" s="2"/>
      <c r="I61" s="2"/>
      <c r="J61" s="2"/>
      <c r="K61" s="2"/>
      <c r="L61" s="2"/>
      <c r="M61" s="2"/>
    </row>
    <row r="62" s="158" customFormat="1" ht="29" spans="1:13">
      <c r="A62" s="168"/>
      <c r="B62" s="175"/>
      <c r="C62" s="176"/>
      <c r="D62" s="176"/>
      <c r="E62" s="177"/>
      <c r="F62" s="178" t="s">
        <v>273</v>
      </c>
      <c r="G62" s="191" t="s">
        <v>324</v>
      </c>
      <c r="H62" s="2"/>
      <c r="I62" s="2"/>
      <c r="J62" s="2"/>
      <c r="K62" s="2"/>
      <c r="L62" s="2"/>
      <c r="M62" s="2"/>
    </row>
    <row r="63" s="158" customFormat="1" ht="16.5" spans="1:13">
      <c r="A63" s="168"/>
      <c r="B63" s="175"/>
      <c r="C63" s="176"/>
      <c r="D63" s="176"/>
      <c r="E63" s="177"/>
      <c r="F63" s="178" t="s">
        <v>275</v>
      </c>
      <c r="G63" s="191" t="s">
        <v>325</v>
      </c>
      <c r="H63" s="2"/>
      <c r="I63" s="2"/>
      <c r="J63" s="2"/>
      <c r="K63" s="2"/>
      <c r="L63" s="2"/>
      <c r="M63" s="2"/>
    </row>
    <row r="64" s="158" customFormat="1" ht="17.25" spans="1:13">
      <c r="A64" s="168"/>
      <c r="B64" s="166"/>
      <c r="C64" s="184"/>
      <c r="D64" s="184"/>
      <c r="E64" s="185"/>
      <c r="F64" s="186" t="s">
        <v>277</v>
      </c>
      <c r="G64" s="192" t="s">
        <v>326</v>
      </c>
      <c r="H64" s="2"/>
      <c r="I64" s="2"/>
      <c r="J64" s="2"/>
      <c r="K64" s="2"/>
      <c r="L64" s="2"/>
      <c r="M64" s="2"/>
    </row>
    <row r="65" s="158" customFormat="1" ht="17.25" customHeight="1" spans="1:13">
      <c r="A65" s="193" t="s">
        <v>327</v>
      </c>
      <c r="B65" s="169"/>
      <c r="C65" s="194" t="s">
        <v>244</v>
      </c>
      <c r="D65" s="195" t="s">
        <v>103</v>
      </c>
      <c r="E65" s="172" t="s">
        <v>245</v>
      </c>
      <c r="F65" s="173" t="s">
        <v>246</v>
      </c>
      <c r="G65" s="196" t="s">
        <v>328</v>
      </c>
      <c r="H65" s="2"/>
      <c r="I65" s="2"/>
      <c r="J65" s="2"/>
      <c r="K65" s="2"/>
      <c r="L65" s="2"/>
      <c r="M65" s="2"/>
    </row>
    <row r="66" s="158" customFormat="1" ht="17.25" customHeight="1" spans="1:13">
      <c r="A66" s="197"/>
      <c r="B66" s="175"/>
      <c r="C66" s="198"/>
      <c r="D66" s="198"/>
      <c r="E66" s="177"/>
      <c r="F66" s="178" t="s">
        <v>248</v>
      </c>
      <c r="G66" s="199"/>
      <c r="H66" s="2"/>
      <c r="I66" s="2"/>
      <c r="J66" s="2"/>
      <c r="K66" s="2"/>
      <c r="L66" s="2"/>
      <c r="M66" s="2"/>
    </row>
    <row r="67" s="158" customFormat="1" ht="16.5" spans="1:13">
      <c r="A67" s="197"/>
      <c r="B67" s="175"/>
      <c r="C67" s="198"/>
      <c r="D67" s="198"/>
      <c r="E67" s="177"/>
      <c r="F67" s="178" t="s">
        <v>25</v>
      </c>
      <c r="G67" s="179" t="s">
        <v>329</v>
      </c>
      <c r="H67" s="2"/>
      <c r="I67" s="2"/>
      <c r="J67" s="2"/>
      <c r="K67" s="2"/>
      <c r="L67" s="2"/>
      <c r="M67" s="2"/>
    </row>
    <row r="68" s="158" customFormat="1" ht="16.5" spans="1:13">
      <c r="A68" s="197"/>
      <c r="B68" s="175"/>
      <c r="C68" s="198"/>
      <c r="D68" s="198"/>
      <c r="E68" s="177"/>
      <c r="F68" s="178" t="s">
        <v>251</v>
      </c>
      <c r="G68" s="200" t="s">
        <v>330</v>
      </c>
      <c r="H68" s="2"/>
      <c r="I68" s="2"/>
      <c r="J68" s="2"/>
      <c r="K68" s="2"/>
      <c r="L68" s="2"/>
      <c r="M68" s="2"/>
    </row>
    <row r="69" s="158" customFormat="1" ht="16.5" spans="1:13">
      <c r="A69" s="197"/>
      <c r="B69" s="175"/>
      <c r="C69" s="198"/>
      <c r="D69" s="198"/>
      <c r="E69" s="177"/>
      <c r="F69" s="178" t="s">
        <v>253</v>
      </c>
      <c r="G69" s="199"/>
      <c r="H69" s="2"/>
      <c r="I69" s="2"/>
      <c r="J69" s="2"/>
      <c r="K69" s="2"/>
      <c r="L69" s="2"/>
      <c r="M69" s="2"/>
    </row>
    <row r="70" s="158" customFormat="1" ht="16.5" spans="1:13">
      <c r="A70" s="197"/>
      <c r="B70" s="175"/>
      <c r="C70" s="198"/>
      <c r="D70" s="198"/>
      <c r="E70" s="177" t="s">
        <v>255</v>
      </c>
      <c r="F70" s="178" t="s">
        <v>256</v>
      </c>
      <c r="G70" s="201" t="s">
        <v>331</v>
      </c>
      <c r="H70" s="2"/>
      <c r="I70" s="2"/>
      <c r="J70" s="2"/>
      <c r="K70" s="2"/>
      <c r="L70" s="2"/>
      <c r="M70" s="2"/>
    </row>
    <row r="71" s="158" customFormat="1" ht="16.5" spans="1:13">
      <c r="A71" s="197"/>
      <c r="B71" s="175"/>
      <c r="C71" s="198"/>
      <c r="D71" s="198"/>
      <c r="E71" s="177"/>
      <c r="F71" s="178" t="s">
        <v>258</v>
      </c>
      <c r="G71" s="202"/>
      <c r="H71" s="2"/>
      <c r="I71" s="2"/>
      <c r="J71" s="2"/>
      <c r="K71" s="2"/>
      <c r="L71" s="2"/>
      <c r="M71" s="2"/>
    </row>
    <row r="72" s="158" customFormat="1" ht="16.5" spans="1:13">
      <c r="A72" s="197"/>
      <c r="B72" s="175"/>
      <c r="C72" s="198"/>
      <c r="D72" s="198"/>
      <c r="E72" s="177"/>
      <c r="F72" s="178" t="s">
        <v>262</v>
      </c>
      <c r="G72" s="202"/>
      <c r="H72" s="2"/>
      <c r="I72" s="2"/>
      <c r="J72" s="2"/>
      <c r="K72" s="2"/>
      <c r="L72" s="2"/>
      <c r="M72" s="2"/>
    </row>
    <row r="73" s="158" customFormat="1" ht="16.5" spans="1:13">
      <c r="A73" s="197"/>
      <c r="B73" s="175"/>
      <c r="C73" s="198"/>
      <c r="D73" s="198"/>
      <c r="E73" s="177"/>
      <c r="F73" s="178" t="s">
        <v>264</v>
      </c>
      <c r="G73" s="203"/>
      <c r="H73" s="2"/>
      <c r="I73" s="2"/>
      <c r="J73" s="2"/>
      <c r="K73" s="2"/>
      <c r="L73" s="2"/>
      <c r="M73" s="2"/>
    </row>
    <row r="74" s="158" customFormat="1" ht="16.5" spans="1:13">
      <c r="A74" s="197"/>
      <c r="B74" s="175"/>
      <c r="C74" s="198"/>
      <c r="D74" s="198"/>
      <c r="E74" s="177" t="s">
        <v>266</v>
      </c>
      <c r="F74" s="178" t="s">
        <v>267</v>
      </c>
      <c r="G74" s="201" t="s">
        <v>332</v>
      </c>
      <c r="H74" s="2"/>
      <c r="I74" s="2"/>
      <c r="J74" s="2"/>
      <c r="K74" s="2"/>
      <c r="L74" s="2"/>
      <c r="M74" s="2"/>
    </row>
    <row r="75" s="158" customFormat="1" ht="16.5" spans="1:13">
      <c r="A75" s="197"/>
      <c r="B75" s="175"/>
      <c r="C75" s="198"/>
      <c r="D75" s="198"/>
      <c r="E75" s="177"/>
      <c r="F75" s="178" t="s">
        <v>269</v>
      </c>
      <c r="G75" s="196"/>
      <c r="H75" s="2"/>
      <c r="I75" s="2"/>
      <c r="J75" s="2"/>
      <c r="K75" s="2"/>
      <c r="L75" s="2"/>
      <c r="M75" s="2"/>
    </row>
    <row r="76" s="158" customFormat="1" ht="16.5" spans="1:13">
      <c r="A76" s="197"/>
      <c r="B76" s="175"/>
      <c r="C76" s="198"/>
      <c r="D76" s="198"/>
      <c r="E76" s="177"/>
      <c r="F76" s="178" t="s">
        <v>271</v>
      </c>
      <c r="G76" s="196"/>
      <c r="H76" s="2"/>
      <c r="I76" s="2"/>
      <c r="J76" s="2"/>
      <c r="K76" s="2"/>
      <c r="L76" s="2"/>
      <c r="M76" s="2"/>
    </row>
    <row r="77" s="158" customFormat="1" ht="16.5" spans="1:13">
      <c r="A77" s="197"/>
      <c r="B77" s="175"/>
      <c r="C77" s="198"/>
      <c r="D77" s="198"/>
      <c r="E77" s="177"/>
      <c r="F77" s="178" t="s">
        <v>273</v>
      </c>
      <c r="G77" s="196"/>
      <c r="H77" s="2"/>
      <c r="I77" s="2"/>
      <c r="J77" s="2"/>
      <c r="K77" s="2"/>
      <c r="L77" s="2"/>
      <c r="M77" s="2"/>
    </row>
    <row r="78" s="158" customFormat="1" ht="16.5" spans="1:13">
      <c r="A78" s="197"/>
      <c r="B78" s="175"/>
      <c r="C78" s="198"/>
      <c r="D78" s="198"/>
      <c r="E78" s="177"/>
      <c r="F78" s="178" t="s">
        <v>275</v>
      </c>
      <c r="G78" s="196"/>
      <c r="H78" s="2"/>
      <c r="I78" s="2"/>
      <c r="J78" s="2"/>
      <c r="K78" s="2"/>
      <c r="L78" s="2"/>
      <c r="M78" s="2"/>
    </row>
    <row r="79" s="158" customFormat="1" ht="17.25" spans="1:13">
      <c r="A79" s="204"/>
      <c r="B79" s="166"/>
      <c r="C79" s="205"/>
      <c r="D79" s="205"/>
      <c r="E79" s="185"/>
      <c r="F79" s="186" t="s">
        <v>277</v>
      </c>
      <c r="G79" s="206"/>
      <c r="H79" s="2"/>
      <c r="I79" s="2"/>
      <c r="J79" s="2"/>
      <c r="K79" s="2"/>
      <c r="L79" s="2"/>
      <c r="M79" s="2"/>
    </row>
  </sheetData>
  <mergeCells count="36">
    <mergeCell ref="A3:A64"/>
    <mergeCell ref="A65:A79"/>
    <mergeCell ref="B3:B18"/>
    <mergeCell ref="B19:B34"/>
    <mergeCell ref="B35:B49"/>
    <mergeCell ref="B50:B64"/>
    <mergeCell ref="B65:B79"/>
    <mergeCell ref="C3:C18"/>
    <mergeCell ref="C19:C34"/>
    <mergeCell ref="C35:C49"/>
    <mergeCell ref="C50:C64"/>
    <mergeCell ref="C65:C79"/>
    <mergeCell ref="D3:D18"/>
    <mergeCell ref="D19:D34"/>
    <mergeCell ref="D35:D49"/>
    <mergeCell ref="D50:D64"/>
    <mergeCell ref="D65:D79"/>
    <mergeCell ref="E3:E7"/>
    <mergeCell ref="E8:E12"/>
    <mergeCell ref="E13:E18"/>
    <mergeCell ref="E19:E23"/>
    <mergeCell ref="E24:E28"/>
    <mergeCell ref="E29:E34"/>
    <mergeCell ref="E35:E39"/>
    <mergeCell ref="E40:E43"/>
    <mergeCell ref="E44:E49"/>
    <mergeCell ref="E50:E54"/>
    <mergeCell ref="E55:E58"/>
    <mergeCell ref="E59:E64"/>
    <mergeCell ref="E65:E69"/>
    <mergeCell ref="E70:E73"/>
    <mergeCell ref="E74:E79"/>
    <mergeCell ref="G65:G66"/>
    <mergeCell ref="G68:G69"/>
    <mergeCell ref="G70:G73"/>
    <mergeCell ref="G74:G7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
  <sheetViews>
    <sheetView zoomScale="80" zoomScaleNormal="80" workbookViewId="0">
      <selection activeCell="M10" sqref="M10"/>
    </sheetView>
  </sheetViews>
  <sheetFormatPr defaultColWidth="9" defaultRowHeight="14"/>
  <cols>
    <col min="1" max="1" width="37.1272727272727" customWidth="1"/>
    <col min="2" max="2" width="10.2545454545455" customWidth="1"/>
    <col min="3" max="3" width="9.5" customWidth="1"/>
    <col min="4" max="4" width="24.5" style="143" customWidth="1"/>
    <col min="5" max="5" width="12" customWidth="1"/>
    <col min="6" max="6" width="16.5" customWidth="1"/>
    <col min="7" max="7" width="25.5" customWidth="1"/>
    <col min="8" max="8" width="15.6272727272727" customWidth="1"/>
    <col min="9" max="9" width="15.5" customWidth="1"/>
    <col min="10" max="10" width="34.6272727272727" customWidth="1"/>
    <col min="11" max="11" width="11.3727272727273" customWidth="1"/>
    <col min="12" max="12" width="12.3727272727273" customWidth="1"/>
  </cols>
  <sheetData>
    <row r="1" ht="16.5" spans="1:12">
      <c r="A1" s="144" t="s">
        <v>333</v>
      </c>
      <c r="B1" s="144" t="s">
        <v>334</v>
      </c>
      <c r="C1" s="144" t="s">
        <v>335</v>
      </c>
      <c r="D1" s="145" t="s">
        <v>336</v>
      </c>
      <c r="E1" s="145" t="s">
        <v>334</v>
      </c>
      <c r="F1" s="145" t="s">
        <v>335</v>
      </c>
      <c r="G1" s="146" t="s">
        <v>337</v>
      </c>
      <c r="H1" s="146" t="s">
        <v>334</v>
      </c>
      <c r="I1" s="146" t="s">
        <v>335</v>
      </c>
      <c r="J1" s="154" t="s">
        <v>338</v>
      </c>
      <c r="K1" s="154" t="s">
        <v>334</v>
      </c>
      <c r="L1" s="154" t="s">
        <v>335</v>
      </c>
    </row>
    <row r="2" ht="16.5" spans="1:12">
      <c r="A2" s="147" t="s">
        <v>339</v>
      </c>
      <c r="B2" s="147">
        <v>395</v>
      </c>
      <c r="C2" s="148">
        <f t="shared" ref="C2:C9" si="0">B2/SUM($B$2:$B$7)</f>
        <v>0.140419480981159</v>
      </c>
      <c r="D2" s="149" t="s">
        <v>340</v>
      </c>
      <c r="E2" s="149">
        <v>347</v>
      </c>
      <c r="F2" s="150">
        <f>E2/SUM($E$2:$E$4)</f>
        <v>0.722916666666667</v>
      </c>
      <c r="G2" s="151" t="s">
        <v>341</v>
      </c>
      <c r="H2" s="151">
        <v>447</v>
      </c>
      <c r="I2" s="155">
        <f t="shared" ref="I2:I7" si="1">H2/SUM($E$2:$E$4)</f>
        <v>0.93125</v>
      </c>
      <c r="J2" s="156" t="s">
        <v>342</v>
      </c>
      <c r="K2" s="156">
        <v>650</v>
      </c>
      <c r="L2" s="157">
        <f t="shared" ref="L2:L8" si="2">K2/SUM($K$2:$K$8)</f>
        <v>0.715859030837004</v>
      </c>
    </row>
    <row r="3" ht="16.5" spans="1:12">
      <c r="A3" s="147" t="s">
        <v>343</v>
      </c>
      <c r="B3" s="147">
        <v>1382</v>
      </c>
      <c r="C3" s="148">
        <f t="shared" si="0"/>
        <v>0.491290437255599</v>
      </c>
      <c r="D3" s="149" t="s">
        <v>344</v>
      </c>
      <c r="E3" s="149">
        <v>126</v>
      </c>
      <c r="F3" s="150">
        <f>E3/SUM($E$2:$E$4)</f>
        <v>0.2625</v>
      </c>
      <c r="G3" s="151" t="s">
        <v>345</v>
      </c>
      <c r="H3" s="151">
        <v>227</v>
      </c>
      <c r="I3" s="155">
        <f t="shared" si="1"/>
        <v>0.472916666666667</v>
      </c>
      <c r="J3" s="156" t="s">
        <v>346</v>
      </c>
      <c r="K3" s="156">
        <v>107</v>
      </c>
      <c r="L3" s="157">
        <f t="shared" si="2"/>
        <v>0.11784140969163</v>
      </c>
    </row>
    <row r="4" ht="16.5" spans="1:12">
      <c r="A4" s="147" t="s">
        <v>347</v>
      </c>
      <c r="B4" s="147">
        <v>448</v>
      </c>
      <c r="C4" s="148">
        <f t="shared" si="0"/>
        <v>0.159260575897618</v>
      </c>
      <c r="D4" s="149" t="s">
        <v>348</v>
      </c>
      <c r="E4" s="149">
        <v>7</v>
      </c>
      <c r="F4" s="150">
        <f>E4/SUM($E$2:$E$4)</f>
        <v>0.0145833333333333</v>
      </c>
      <c r="G4" s="151" t="s">
        <v>349</v>
      </c>
      <c r="H4" s="151">
        <v>248</v>
      </c>
      <c r="I4" s="155">
        <f t="shared" si="1"/>
        <v>0.516666666666667</v>
      </c>
      <c r="J4" s="156" t="s">
        <v>350</v>
      </c>
      <c r="K4" s="156">
        <v>38</v>
      </c>
      <c r="L4" s="157">
        <f t="shared" si="2"/>
        <v>0.0418502202643172</v>
      </c>
    </row>
    <row r="5" ht="16.5" spans="1:12">
      <c r="A5" s="147" t="s">
        <v>351</v>
      </c>
      <c r="B5" s="147">
        <v>92</v>
      </c>
      <c r="C5" s="148">
        <f t="shared" si="0"/>
        <v>0.032705296836118</v>
      </c>
      <c r="D5" s="149" t="s">
        <v>352</v>
      </c>
      <c r="E5" s="149">
        <v>21</v>
      </c>
      <c r="F5" s="150">
        <f>E5/SUM($E$2:$E$4)</f>
        <v>0.04375</v>
      </c>
      <c r="G5" s="151" t="s">
        <v>353</v>
      </c>
      <c r="H5" s="151">
        <v>13</v>
      </c>
      <c r="I5" s="155">
        <f t="shared" si="1"/>
        <v>0.0270833333333333</v>
      </c>
      <c r="J5" s="156" t="s">
        <v>354</v>
      </c>
      <c r="K5" s="156">
        <v>33</v>
      </c>
      <c r="L5" s="157">
        <f t="shared" si="2"/>
        <v>0.0363436123348018</v>
      </c>
    </row>
    <row r="6" ht="16.5" spans="1:12">
      <c r="A6" s="147" t="s">
        <v>355</v>
      </c>
      <c r="B6" s="147">
        <v>381</v>
      </c>
      <c r="C6" s="148">
        <f t="shared" si="0"/>
        <v>0.135442587984358</v>
      </c>
      <c r="D6" s="149"/>
      <c r="E6" s="149"/>
      <c r="F6" s="149"/>
      <c r="G6" s="151" t="s">
        <v>356</v>
      </c>
      <c r="H6" s="151">
        <v>11</v>
      </c>
      <c r="I6" s="155">
        <f t="shared" si="1"/>
        <v>0.0229166666666667</v>
      </c>
      <c r="J6" s="156" t="s">
        <v>357</v>
      </c>
      <c r="K6" s="156">
        <v>43</v>
      </c>
      <c r="L6" s="157">
        <f t="shared" si="2"/>
        <v>0.0473568281938326</v>
      </c>
    </row>
    <row r="7" ht="16.5" spans="1:12">
      <c r="A7" s="147" t="s">
        <v>358</v>
      </c>
      <c r="B7" s="147">
        <v>115</v>
      </c>
      <c r="C7" s="148">
        <f t="shared" si="0"/>
        <v>0.0408816210451475</v>
      </c>
      <c r="D7" s="149"/>
      <c r="E7" s="149"/>
      <c r="F7" s="149"/>
      <c r="G7" s="151" t="s">
        <v>359</v>
      </c>
      <c r="H7" s="151">
        <v>4</v>
      </c>
      <c r="I7" s="155">
        <f t="shared" si="1"/>
        <v>0.00833333333333333</v>
      </c>
      <c r="J7" s="156" t="s">
        <v>360</v>
      </c>
      <c r="K7" s="156">
        <v>17</v>
      </c>
      <c r="L7" s="157">
        <f t="shared" si="2"/>
        <v>0.0187224669603524</v>
      </c>
    </row>
    <row r="8" ht="16.5" spans="1:12">
      <c r="A8" s="147" t="s">
        <v>361</v>
      </c>
      <c r="B8" s="147">
        <v>93</v>
      </c>
      <c r="C8" s="148">
        <f t="shared" si="0"/>
        <v>0.0330607891930323</v>
      </c>
      <c r="D8" s="149"/>
      <c r="E8" s="149"/>
      <c r="F8" s="149"/>
      <c r="G8" s="151"/>
      <c r="H8" s="151"/>
      <c r="I8" s="151"/>
      <c r="J8" s="156" t="s">
        <v>362</v>
      </c>
      <c r="K8" s="156">
        <v>20</v>
      </c>
      <c r="L8" s="157">
        <f t="shared" si="2"/>
        <v>0.0220264317180617</v>
      </c>
    </row>
    <row r="9" ht="16.5" spans="1:12">
      <c r="A9" s="147" t="s">
        <v>363</v>
      </c>
      <c r="B9" s="147">
        <v>57</v>
      </c>
      <c r="C9" s="148">
        <f t="shared" si="0"/>
        <v>0.0202630643441166</v>
      </c>
      <c r="D9" s="149"/>
      <c r="E9" s="149"/>
      <c r="F9" s="149"/>
      <c r="G9" s="151"/>
      <c r="H9" s="151"/>
      <c r="I9" s="151"/>
      <c r="J9" s="156"/>
      <c r="K9" s="156"/>
      <c r="L9" s="157"/>
    </row>
    <row r="32" s="117" customFormat="1" ht="14.5" spans="1:8">
      <c r="A32" s="152" t="s">
        <v>364</v>
      </c>
      <c r="B32" s="152"/>
      <c r="C32" s="152"/>
      <c r="D32" s="152"/>
      <c r="E32" s="152"/>
      <c r="F32" s="152"/>
      <c r="G32" s="152"/>
      <c r="H32" s="152"/>
    </row>
    <row r="33" s="117" customFormat="1" ht="14.5" spans="1:12">
      <c r="A33" s="153" t="s">
        <v>365</v>
      </c>
      <c r="B33" s="153"/>
      <c r="C33" s="153"/>
      <c r="D33" s="153"/>
      <c r="E33" s="153"/>
      <c r="F33" s="153"/>
      <c r="G33" s="153"/>
      <c r="H33" s="153"/>
      <c r="I33" s="153"/>
      <c r="J33" s="153"/>
      <c r="K33" s="153"/>
      <c r="L33" s="153"/>
    </row>
    <row r="34" s="117" customFormat="1" ht="14.5" spans="1:12">
      <c r="A34" s="153"/>
      <c r="B34" s="153"/>
      <c r="C34" s="153"/>
      <c r="D34" s="153"/>
      <c r="E34" s="153"/>
      <c r="F34" s="153"/>
      <c r="G34" s="153"/>
      <c r="H34" s="153"/>
      <c r="I34" s="153"/>
      <c r="J34" s="153"/>
      <c r="K34" s="153"/>
      <c r="L34" s="153"/>
    </row>
    <row r="35" s="117" customFormat="1" ht="132" customHeight="1" spans="1:12">
      <c r="A35" s="153"/>
      <c r="B35" s="153"/>
      <c r="C35" s="153"/>
      <c r="D35" s="153"/>
      <c r="E35" s="153"/>
      <c r="F35" s="153"/>
      <c r="G35" s="153"/>
      <c r="H35" s="153"/>
      <c r="I35" s="153"/>
      <c r="J35" s="153"/>
      <c r="K35" s="153"/>
      <c r="L35" s="153"/>
    </row>
    <row r="39" ht="16.5" spans="1:2">
      <c r="A39" s="115"/>
      <c r="B39" s="5"/>
    </row>
    <row r="40" ht="16.5" spans="1:2">
      <c r="A40" s="5"/>
      <c r="B40" s="5"/>
    </row>
    <row r="41" ht="16.5" spans="1:2">
      <c r="A41" s="5"/>
      <c r="B41" s="5"/>
    </row>
    <row r="42" ht="16.5" spans="1:2">
      <c r="A42" s="5"/>
      <c r="B42" s="5"/>
    </row>
    <row r="43" ht="16.5" spans="1:2">
      <c r="A43" s="5"/>
      <c r="B43" s="5"/>
    </row>
    <row r="44" ht="16.5" spans="1:2">
      <c r="A44" s="5"/>
      <c r="B44" s="5"/>
    </row>
    <row r="45" ht="16.5" spans="1:2">
      <c r="A45" s="5"/>
      <c r="B45" s="5"/>
    </row>
    <row r="46" ht="16.5" spans="1:2">
      <c r="A46" s="43"/>
      <c r="B46" s="5"/>
    </row>
    <row r="47" ht="16.5" spans="1:2">
      <c r="A47" s="43"/>
      <c r="B47" s="5"/>
    </row>
    <row r="48" ht="16.5" spans="1:2">
      <c r="A48" s="5"/>
      <c r="B48" s="5"/>
    </row>
  </sheetData>
  <mergeCells count="2">
    <mergeCell ref="A32:H32"/>
    <mergeCell ref="A33:L35"/>
  </mergeCells>
  <conditionalFormatting sqref="C2">
    <cfRule type="dataBar" priority="6">
      <dataBar>
        <cfvo type="min"/>
        <cfvo type="max"/>
        <color rgb="FF63C384"/>
      </dataBar>
      <extLst>
        <ext xmlns:x14="http://schemas.microsoft.com/office/spreadsheetml/2009/9/main" uri="{B025F937-C7B1-47D3-B67F-A62EFF666E3E}">
          <x14:id>{b0d15d82-d06b-4602-a0a2-2af018329c5d}</x14:id>
        </ext>
      </extLst>
    </cfRule>
  </conditionalFormatting>
  <conditionalFormatting sqref="C3">
    <cfRule type="dataBar" priority="7">
      <dataBar>
        <cfvo type="min"/>
        <cfvo type="max"/>
        <color rgb="FF63C384"/>
      </dataBar>
      <extLst>
        <ext xmlns:x14="http://schemas.microsoft.com/office/spreadsheetml/2009/9/main" uri="{B025F937-C7B1-47D3-B67F-A62EFF666E3E}">
          <x14:id>{20b2a5ee-6ebe-41c0-8269-c0bc3fc9956a}</x14:id>
        </ext>
      </extLst>
    </cfRule>
  </conditionalFormatting>
  <conditionalFormatting sqref="C4:C5">
    <cfRule type="dataBar" priority="4">
      <dataBar>
        <cfvo type="min"/>
        <cfvo type="max"/>
        <color rgb="FF63C384"/>
      </dataBar>
      <extLst>
        <ext xmlns:x14="http://schemas.microsoft.com/office/spreadsheetml/2009/9/main" uri="{B025F937-C7B1-47D3-B67F-A62EFF666E3E}">
          <x14:id>{9cb2afdd-71e0-44f4-b7e6-e48ab1da5f64}</x14:id>
        </ext>
      </extLst>
    </cfRule>
  </conditionalFormatting>
  <conditionalFormatting sqref="C6:C9">
    <cfRule type="dataBar" priority="3">
      <dataBar>
        <cfvo type="min"/>
        <cfvo type="max"/>
        <color rgb="FF63C384"/>
      </dataBar>
      <extLst>
        <ext xmlns:x14="http://schemas.microsoft.com/office/spreadsheetml/2009/9/main" uri="{B025F937-C7B1-47D3-B67F-A62EFF666E3E}">
          <x14:id>{142efe02-e7b7-4fa6-9857-224b36b59bd3}</x14:id>
        </ext>
      </extLst>
    </cfRule>
  </conditionalFormatting>
  <conditionalFormatting sqref="F2:F5">
    <cfRule type="dataBar" priority="5">
      <dataBar>
        <cfvo type="min"/>
        <cfvo type="max"/>
        <color rgb="FF63C384"/>
      </dataBar>
      <extLst>
        <ext xmlns:x14="http://schemas.microsoft.com/office/spreadsheetml/2009/9/main" uri="{B025F937-C7B1-47D3-B67F-A62EFF666E3E}">
          <x14:id>{0bcc69ba-6a31-47cd-8009-2281428b67a9}</x14:id>
        </ext>
      </extLst>
    </cfRule>
  </conditionalFormatting>
  <conditionalFormatting sqref="I2:I7">
    <cfRule type="dataBar" priority="1">
      <dataBar>
        <cfvo type="min"/>
        <cfvo type="max"/>
        <color rgb="FF63C384"/>
      </dataBar>
      <extLst>
        <ext xmlns:x14="http://schemas.microsoft.com/office/spreadsheetml/2009/9/main" uri="{B025F937-C7B1-47D3-B67F-A62EFF666E3E}">
          <x14:id>{6d2476c3-fb84-4379-8316-1e33a02e0d4d}</x14:id>
        </ext>
      </extLst>
    </cfRule>
  </conditionalFormatting>
  <conditionalFormatting sqref="L2:L9">
    <cfRule type="dataBar" priority="2">
      <dataBar>
        <cfvo type="min"/>
        <cfvo type="max"/>
        <color rgb="FF63C384"/>
      </dataBar>
      <extLst>
        <ext xmlns:x14="http://schemas.microsoft.com/office/spreadsheetml/2009/9/main" uri="{B025F937-C7B1-47D3-B67F-A62EFF666E3E}">
          <x14:id>{1e848b0d-9ebb-48cb-a004-63107bc4c823}</x14:id>
        </ext>
      </extLst>
    </cfRule>
  </conditionalFormatting>
  <pageMargins left="0.75" right="0.75" top="1" bottom="1" header="0.5" footer="0.5"/>
  <headerFooter/>
  <drawing r:id="rId1"/>
  <extLst>
    <ext xmlns:x14="http://schemas.microsoft.com/office/spreadsheetml/2009/9/main" uri="{78C0D931-6437-407d-A8EE-F0AAD7539E65}">
      <x14:conditionalFormattings>
        <x14:conditionalFormatting xmlns:xm="http://schemas.microsoft.com/office/excel/2006/main">
          <x14:cfRule type="dataBar" id="{b0d15d82-d06b-4602-a0a2-2af018329c5d}">
            <x14:dataBar minLength="0" maxLength="100" border="1" negativeBarBorderColorSameAsPositive="0">
              <x14:cfvo type="autoMin"/>
              <x14:cfvo type="autoMax"/>
              <x14:borderColor rgb="FF63C384"/>
              <x14:negativeFillColor rgb="FFFF0000"/>
              <x14:negativeBorderColor rgb="FFFF0000"/>
              <x14:axisColor rgb="FF000000"/>
            </x14:dataBar>
          </x14:cfRule>
          <xm:sqref>C2</xm:sqref>
        </x14:conditionalFormatting>
        <x14:conditionalFormatting xmlns:xm="http://schemas.microsoft.com/office/excel/2006/main">
          <x14:cfRule type="dataBar" id="{20b2a5ee-6ebe-41c0-8269-c0bc3fc9956a}">
            <x14:dataBar minLength="0" maxLength="100" border="1" negativeBarBorderColorSameAsPositive="0">
              <x14:cfvo type="autoMin"/>
              <x14:cfvo type="autoMax"/>
              <x14:borderColor rgb="FF63C384"/>
              <x14:negativeFillColor rgb="FFFF0000"/>
              <x14:negativeBorderColor rgb="FFFF0000"/>
              <x14:axisColor rgb="FF000000"/>
            </x14:dataBar>
          </x14:cfRule>
          <xm:sqref>C3</xm:sqref>
        </x14:conditionalFormatting>
        <x14:conditionalFormatting xmlns:xm="http://schemas.microsoft.com/office/excel/2006/main">
          <x14:cfRule type="dataBar" id="{9cb2afdd-71e0-44f4-b7e6-e48ab1da5f64}">
            <x14:dataBar minLength="0" maxLength="100" border="1" negativeBarBorderColorSameAsPositive="0">
              <x14:cfvo type="autoMin"/>
              <x14:cfvo type="autoMax"/>
              <x14:borderColor rgb="FF63C384"/>
              <x14:negativeFillColor rgb="FFFF0000"/>
              <x14:negativeBorderColor rgb="FFFF0000"/>
              <x14:axisColor rgb="FF000000"/>
            </x14:dataBar>
          </x14:cfRule>
          <xm:sqref>C4:C5</xm:sqref>
        </x14:conditionalFormatting>
        <x14:conditionalFormatting xmlns:xm="http://schemas.microsoft.com/office/excel/2006/main">
          <x14:cfRule type="dataBar" id="{142efe02-e7b7-4fa6-9857-224b36b59bd3}">
            <x14:dataBar minLength="0" maxLength="100" border="1" negativeBarBorderColorSameAsPositive="0">
              <x14:cfvo type="autoMin"/>
              <x14:cfvo type="autoMax"/>
              <x14:borderColor rgb="FF63C384"/>
              <x14:negativeFillColor rgb="FFFF0000"/>
              <x14:negativeBorderColor rgb="FFFF0000"/>
              <x14:axisColor rgb="FF000000"/>
            </x14:dataBar>
          </x14:cfRule>
          <xm:sqref>C6:C9</xm:sqref>
        </x14:conditionalFormatting>
        <x14:conditionalFormatting xmlns:xm="http://schemas.microsoft.com/office/excel/2006/main">
          <x14:cfRule type="dataBar" id="{0bcc69ba-6a31-47cd-8009-2281428b67a9}">
            <x14:dataBar minLength="0" maxLength="100" border="1" negativeBarBorderColorSameAsPositive="0">
              <x14:cfvo type="autoMin"/>
              <x14:cfvo type="autoMax"/>
              <x14:borderColor rgb="FF63C384"/>
              <x14:negativeFillColor rgb="FFFF0000"/>
              <x14:negativeBorderColor rgb="FFFF0000"/>
              <x14:axisColor rgb="FF000000"/>
            </x14:dataBar>
          </x14:cfRule>
          <xm:sqref>F2:F5</xm:sqref>
        </x14:conditionalFormatting>
        <x14:conditionalFormatting xmlns:xm="http://schemas.microsoft.com/office/excel/2006/main">
          <x14:cfRule type="dataBar" id="{6d2476c3-fb84-4379-8316-1e33a02e0d4d}">
            <x14:dataBar minLength="0" maxLength="100" border="1" negativeBarBorderColorSameAsPositive="0">
              <x14:cfvo type="autoMin"/>
              <x14:cfvo type="autoMax"/>
              <x14:borderColor rgb="FF63C384"/>
              <x14:negativeFillColor rgb="FFFF0000"/>
              <x14:negativeBorderColor rgb="FFFF0000"/>
              <x14:axisColor rgb="FF000000"/>
            </x14:dataBar>
          </x14:cfRule>
          <xm:sqref>I2:I7</xm:sqref>
        </x14:conditionalFormatting>
        <x14:conditionalFormatting xmlns:xm="http://schemas.microsoft.com/office/excel/2006/main">
          <x14:cfRule type="dataBar" id="{1e848b0d-9ebb-48cb-a004-63107bc4c823}">
            <x14:dataBar minLength="0" maxLength="100" border="1" negativeBarBorderColorSameAsPositive="0">
              <x14:cfvo type="autoMin"/>
              <x14:cfvo type="autoMax"/>
              <x14:borderColor rgb="FF63C384"/>
              <x14:negativeFillColor rgb="FFFF0000"/>
              <x14:negativeBorderColor rgb="FFFF0000"/>
              <x14:axisColor rgb="FF000000"/>
            </x14:dataBar>
          </x14:cfRule>
          <xm:sqref>L2:L9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
  <sheetViews>
    <sheetView zoomScale="80" zoomScaleNormal="80" topLeftCell="A12" workbookViewId="0">
      <selection activeCell="E29" sqref="E29"/>
    </sheetView>
  </sheetViews>
  <sheetFormatPr defaultColWidth="9" defaultRowHeight="13"/>
  <cols>
    <col min="1" max="1" width="7" style="118" customWidth="1"/>
    <col min="2" max="2" width="28.7545454545455" style="118" customWidth="1"/>
    <col min="3" max="3" width="9.25454545454545" style="118" customWidth="1"/>
    <col min="4" max="4" width="9" style="119"/>
    <col min="5" max="5" width="17.8727272727273" style="118" customWidth="1"/>
    <col min="6" max="6" width="17.3727272727273" style="118" customWidth="1"/>
    <col min="7" max="7" width="16.5" style="118" customWidth="1"/>
    <col min="8" max="8" width="16.8727272727273" style="118" customWidth="1"/>
    <col min="9" max="9" width="15.1272727272727" style="118" customWidth="1"/>
    <col min="10" max="10" width="13.8727272727273" style="118" customWidth="1"/>
    <col min="11" max="11" width="16.6272727272727" style="118" customWidth="1"/>
    <col min="12" max="12" width="18.1272727272727" style="118" customWidth="1"/>
    <col min="13" max="16384" width="9" style="118"/>
  </cols>
  <sheetData>
    <row r="1" s="115" customFormat="1" ht="23.1" customHeight="1" spans="2:12">
      <c r="B1" s="120" t="s">
        <v>366</v>
      </c>
      <c r="C1" s="120"/>
      <c r="D1" s="121"/>
      <c r="E1" s="122" t="s">
        <v>14</v>
      </c>
      <c r="F1" s="121"/>
      <c r="G1" s="122" t="s">
        <v>11</v>
      </c>
      <c r="H1" s="121"/>
      <c r="I1" s="122" t="s">
        <v>178</v>
      </c>
      <c r="J1" s="121"/>
      <c r="K1" s="141" t="s">
        <v>20</v>
      </c>
      <c r="L1" s="141" t="s">
        <v>21</v>
      </c>
    </row>
    <row r="2" s="116" customFormat="1" ht="16.5" spans="2:12">
      <c r="B2" s="123" t="s">
        <v>367</v>
      </c>
      <c r="C2" s="123"/>
      <c r="D2" s="124"/>
      <c r="E2" s="125" t="s">
        <v>95</v>
      </c>
      <c r="F2" s="125" t="s">
        <v>116</v>
      </c>
      <c r="G2" s="125" t="s">
        <v>143</v>
      </c>
      <c r="H2" s="125" t="s">
        <v>169</v>
      </c>
      <c r="I2" s="125" t="s">
        <v>179</v>
      </c>
      <c r="J2" s="125" t="s">
        <v>187</v>
      </c>
      <c r="K2" s="125" t="s">
        <v>194</v>
      </c>
      <c r="L2" s="125" t="s">
        <v>211</v>
      </c>
    </row>
    <row r="3" s="117" customFormat="1" ht="84" customHeight="1" spans="2:12">
      <c r="B3" s="126" t="s">
        <v>368</v>
      </c>
      <c r="C3" s="127"/>
      <c r="D3" s="128"/>
      <c r="E3" s="128"/>
      <c r="F3" s="128"/>
      <c r="G3" s="128"/>
      <c r="H3" s="128"/>
      <c r="I3" s="128"/>
      <c r="J3" s="128"/>
      <c r="K3" s="142"/>
      <c r="L3" s="128"/>
    </row>
    <row r="4" s="117" customFormat="1" ht="14.5" spans="2:12">
      <c r="B4" s="129" t="s">
        <v>369</v>
      </c>
      <c r="C4" s="130" t="s">
        <v>335</v>
      </c>
      <c r="D4" s="131" t="s">
        <v>24</v>
      </c>
      <c r="E4" s="128">
        <f t="shared" ref="E4:L4" si="0">SUM(E5:E39)</f>
        <v>82</v>
      </c>
      <c r="F4" s="128">
        <f t="shared" si="0"/>
        <v>67</v>
      </c>
      <c r="G4" s="128">
        <f t="shared" si="0"/>
        <v>49</v>
      </c>
      <c r="H4" s="128">
        <f t="shared" si="0"/>
        <v>57</v>
      </c>
      <c r="I4" s="128">
        <f t="shared" si="0"/>
        <v>12</v>
      </c>
      <c r="J4" s="128">
        <f t="shared" si="0"/>
        <v>15</v>
      </c>
      <c r="K4" s="128">
        <f t="shared" si="0"/>
        <v>28</v>
      </c>
      <c r="L4" s="128">
        <f t="shared" si="0"/>
        <v>71</v>
      </c>
    </row>
    <row r="5" s="117" customFormat="1" ht="18.6" customHeight="1" spans="1:12">
      <c r="A5" s="132" t="s">
        <v>370</v>
      </c>
      <c r="B5" s="133" t="s">
        <v>371</v>
      </c>
      <c r="C5" s="134">
        <f t="shared" ref="C5:C24" si="1">D5/SUM($D$5:$D$39)</f>
        <v>0.0656167979002625</v>
      </c>
      <c r="D5" s="128">
        <f t="shared" ref="D5:D24" si="2">SUM(E5:L5)</f>
        <v>25</v>
      </c>
      <c r="E5" s="128">
        <v>5</v>
      </c>
      <c r="F5" s="128">
        <v>3</v>
      </c>
      <c r="G5" s="128">
        <v>3</v>
      </c>
      <c r="H5" s="128">
        <v>3</v>
      </c>
      <c r="I5" s="128">
        <v>1</v>
      </c>
      <c r="J5" s="128">
        <v>1</v>
      </c>
      <c r="K5" s="128">
        <v>6</v>
      </c>
      <c r="L5" s="128">
        <v>3</v>
      </c>
    </row>
    <row r="6" ht="18.6" customHeight="1" spans="1:12">
      <c r="A6" s="135"/>
      <c r="B6" s="133" t="s">
        <v>372</v>
      </c>
      <c r="C6" s="134">
        <f t="shared" si="1"/>
        <v>0.047244094488189</v>
      </c>
      <c r="D6" s="128">
        <f t="shared" si="2"/>
        <v>18</v>
      </c>
      <c r="E6" s="128">
        <v>2</v>
      </c>
      <c r="F6" s="128"/>
      <c r="G6" s="128">
        <v>1</v>
      </c>
      <c r="H6" s="128"/>
      <c r="I6" s="128">
        <v>1</v>
      </c>
      <c r="J6" s="128"/>
      <c r="K6" s="128">
        <v>4</v>
      </c>
      <c r="L6" s="128">
        <v>10</v>
      </c>
    </row>
    <row r="7" ht="18.6" customHeight="1" spans="1:12">
      <c r="A7" s="135"/>
      <c r="B7" s="133" t="s">
        <v>373</v>
      </c>
      <c r="C7" s="134">
        <f t="shared" si="1"/>
        <v>0.0971128608923884</v>
      </c>
      <c r="D7" s="128">
        <f t="shared" si="2"/>
        <v>37</v>
      </c>
      <c r="E7" s="128">
        <v>10</v>
      </c>
      <c r="F7" s="128">
        <v>12</v>
      </c>
      <c r="G7" s="128">
        <v>1</v>
      </c>
      <c r="H7" s="128"/>
      <c r="I7" s="128">
        <v>1</v>
      </c>
      <c r="J7" s="128">
        <v>1</v>
      </c>
      <c r="K7" s="128">
        <v>1</v>
      </c>
      <c r="L7" s="128">
        <v>11</v>
      </c>
    </row>
    <row r="8" ht="18.6" customHeight="1" spans="1:12">
      <c r="A8" s="135"/>
      <c r="B8" s="133" t="s">
        <v>374</v>
      </c>
      <c r="C8" s="134">
        <f t="shared" si="1"/>
        <v>0.191601049868766</v>
      </c>
      <c r="D8" s="128">
        <f t="shared" si="2"/>
        <v>73</v>
      </c>
      <c r="E8" s="128">
        <v>12</v>
      </c>
      <c r="F8" s="128">
        <v>10</v>
      </c>
      <c r="G8" s="128">
        <v>6</v>
      </c>
      <c r="H8" s="128">
        <v>27</v>
      </c>
      <c r="I8" s="128">
        <v>2</v>
      </c>
      <c r="J8" s="128">
        <v>5</v>
      </c>
      <c r="K8" s="128">
        <v>7</v>
      </c>
      <c r="L8" s="128">
        <v>4</v>
      </c>
    </row>
    <row r="9" ht="18.6" customHeight="1" spans="1:12">
      <c r="A9" s="135"/>
      <c r="B9" s="133" t="s">
        <v>375</v>
      </c>
      <c r="C9" s="134">
        <f t="shared" si="1"/>
        <v>0.010498687664042</v>
      </c>
      <c r="D9" s="128">
        <f t="shared" si="2"/>
        <v>4</v>
      </c>
      <c r="E9" s="128">
        <v>1</v>
      </c>
      <c r="F9" s="128"/>
      <c r="G9" s="128">
        <v>1</v>
      </c>
      <c r="H9" s="128"/>
      <c r="I9" s="128"/>
      <c r="J9" s="128"/>
      <c r="K9" s="128">
        <v>1</v>
      </c>
      <c r="L9" s="128">
        <v>1</v>
      </c>
    </row>
    <row r="10" ht="18.6" customHeight="1" spans="1:12">
      <c r="A10" s="135"/>
      <c r="B10" s="133" t="s">
        <v>376</v>
      </c>
      <c r="C10" s="134">
        <f t="shared" si="1"/>
        <v>0.062992125984252</v>
      </c>
      <c r="D10" s="128">
        <f t="shared" si="2"/>
        <v>24</v>
      </c>
      <c r="E10" s="128">
        <v>10</v>
      </c>
      <c r="F10" s="128">
        <v>6</v>
      </c>
      <c r="G10" s="128">
        <v>1</v>
      </c>
      <c r="H10" s="128">
        <v>2</v>
      </c>
      <c r="I10" s="128"/>
      <c r="J10" s="128"/>
      <c r="K10" s="128">
        <v>1</v>
      </c>
      <c r="L10" s="128">
        <v>4</v>
      </c>
    </row>
    <row r="11" ht="18.6" customHeight="1" spans="1:12">
      <c r="A11" s="135"/>
      <c r="B11" s="133" t="s">
        <v>377</v>
      </c>
      <c r="C11" s="134">
        <f t="shared" si="1"/>
        <v>0.015748031496063</v>
      </c>
      <c r="D11" s="128">
        <f t="shared" si="2"/>
        <v>6</v>
      </c>
      <c r="E11" s="128">
        <v>5</v>
      </c>
      <c r="F11" s="128"/>
      <c r="G11" s="128">
        <v>1</v>
      </c>
      <c r="H11" s="128"/>
      <c r="I11" s="128"/>
      <c r="J11" s="128"/>
      <c r="K11" s="128"/>
      <c r="L11" s="128"/>
    </row>
    <row r="12" ht="18.6" customHeight="1" spans="1:12">
      <c r="A12" s="136"/>
      <c r="B12" s="133" t="s">
        <v>378</v>
      </c>
      <c r="C12" s="134">
        <f t="shared" si="1"/>
        <v>0.0288713910761155</v>
      </c>
      <c r="D12" s="128">
        <f t="shared" si="2"/>
        <v>11</v>
      </c>
      <c r="E12" s="128"/>
      <c r="F12" s="128">
        <v>2</v>
      </c>
      <c r="G12" s="128"/>
      <c r="H12" s="128"/>
      <c r="I12" s="128"/>
      <c r="J12" s="128"/>
      <c r="K12" s="128">
        <v>1</v>
      </c>
      <c r="L12" s="128">
        <v>8</v>
      </c>
    </row>
    <row r="13" ht="18.6" customHeight="1" spans="1:12">
      <c r="A13" s="135" t="s">
        <v>379</v>
      </c>
      <c r="B13" s="133" t="s">
        <v>380</v>
      </c>
      <c r="C13" s="134">
        <f t="shared" si="1"/>
        <v>0.0708661417322835</v>
      </c>
      <c r="D13" s="128">
        <f t="shared" si="2"/>
        <v>27</v>
      </c>
      <c r="E13" s="128">
        <v>3</v>
      </c>
      <c r="F13" s="128">
        <v>4</v>
      </c>
      <c r="G13" s="128">
        <v>8</v>
      </c>
      <c r="H13" s="128">
        <v>5</v>
      </c>
      <c r="I13" s="128"/>
      <c r="J13" s="128">
        <v>1</v>
      </c>
      <c r="K13" s="128">
        <v>1</v>
      </c>
      <c r="L13" s="128">
        <v>5</v>
      </c>
    </row>
    <row r="14" ht="18.6" customHeight="1" spans="1:12">
      <c r="A14" s="135"/>
      <c r="B14" s="133" t="s">
        <v>381</v>
      </c>
      <c r="C14" s="134">
        <f t="shared" si="1"/>
        <v>0.0078740157480315</v>
      </c>
      <c r="D14" s="128">
        <f t="shared" si="2"/>
        <v>3</v>
      </c>
      <c r="E14" s="128"/>
      <c r="F14" s="128"/>
      <c r="G14" s="128"/>
      <c r="H14" s="128">
        <v>1</v>
      </c>
      <c r="I14" s="128"/>
      <c r="J14" s="128"/>
      <c r="K14" s="128"/>
      <c r="L14" s="128">
        <v>2</v>
      </c>
    </row>
    <row r="15" ht="18.6" customHeight="1" spans="1:12">
      <c r="A15" s="135"/>
      <c r="B15" s="133" t="s">
        <v>382</v>
      </c>
      <c r="C15" s="134">
        <f t="shared" si="1"/>
        <v>0.10498687664042</v>
      </c>
      <c r="D15" s="128">
        <f t="shared" si="2"/>
        <v>40</v>
      </c>
      <c r="E15" s="128">
        <v>15</v>
      </c>
      <c r="F15" s="128">
        <v>14</v>
      </c>
      <c r="G15" s="128">
        <v>5</v>
      </c>
      <c r="H15" s="128">
        <v>4</v>
      </c>
      <c r="I15" s="128"/>
      <c r="J15" s="128">
        <v>1</v>
      </c>
      <c r="K15" s="128"/>
      <c r="L15" s="128">
        <v>1</v>
      </c>
    </row>
    <row r="16" ht="18.6" customHeight="1" spans="1:12">
      <c r="A16" s="135"/>
      <c r="B16" s="133" t="s">
        <v>383</v>
      </c>
      <c r="C16" s="134">
        <f t="shared" si="1"/>
        <v>0.0498687664041995</v>
      </c>
      <c r="D16" s="128">
        <f t="shared" si="2"/>
        <v>19</v>
      </c>
      <c r="E16" s="128"/>
      <c r="F16" s="128"/>
      <c r="G16" s="128">
        <v>13</v>
      </c>
      <c r="H16" s="128">
        <v>3</v>
      </c>
      <c r="I16" s="128"/>
      <c r="J16" s="128">
        <v>3</v>
      </c>
      <c r="K16" s="128"/>
      <c r="L16" s="128"/>
    </row>
    <row r="17" ht="18.6" customHeight="1" spans="1:12">
      <c r="A17" s="135"/>
      <c r="B17" s="133" t="s">
        <v>384</v>
      </c>
      <c r="C17" s="134">
        <f t="shared" si="1"/>
        <v>0.0183727034120735</v>
      </c>
      <c r="D17" s="128">
        <f t="shared" si="2"/>
        <v>7</v>
      </c>
      <c r="E17" s="128">
        <v>1</v>
      </c>
      <c r="F17" s="128">
        <v>1</v>
      </c>
      <c r="G17" s="128">
        <v>2</v>
      </c>
      <c r="H17" s="128"/>
      <c r="I17" s="128"/>
      <c r="J17" s="128"/>
      <c r="K17" s="128"/>
      <c r="L17" s="128">
        <v>3</v>
      </c>
    </row>
    <row r="18" ht="18.6" customHeight="1" spans="1:12">
      <c r="A18" s="135"/>
      <c r="B18" s="133" t="s">
        <v>385</v>
      </c>
      <c r="C18" s="134">
        <f t="shared" si="1"/>
        <v>0.005249343832021</v>
      </c>
      <c r="D18" s="128">
        <f t="shared" si="2"/>
        <v>2</v>
      </c>
      <c r="E18" s="128">
        <v>1</v>
      </c>
      <c r="F18" s="128">
        <v>1</v>
      </c>
      <c r="G18" s="128"/>
      <c r="H18" s="128"/>
      <c r="I18" s="128"/>
      <c r="J18" s="128"/>
      <c r="K18" s="128"/>
      <c r="L18" s="128"/>
    </row>
    <row r="19" ht="18.6" customHeight="1" spans="1:12">
      <c r="A19" s="135"/>
      <c r="B19" s="133" t="s">
        <v>386</v>
      </c>
      <c r="C19" s="134">
        <f t="shared" si="1"/>
        <v>0.0078740157480315</v>
      </c>
      <c r="D19" s="128">
        <f t="shared" si="2"/>
        <v>3</v>
      </c>
      <c r="E19" s="128"/>
      <c r="F19" s="128"/>
      <c r="G19" s="128"/>
      <c r="H19" s="128"/>
      <c r="I19" s="128">
        <v>3</v>
      </c>
      <c r="J19" s="128"/>
      <c r="K19" s="128"/>
      <c r="L19" s="128"/>
    </row>
    <row r="20" ht="18.6" customHeight="1" spans="1:12">
      <c r="A20" s="136"/>
      <c r="B20" s="133" t="s">
        <v>387</v>
      </c>
      <c r="C20" s="134">
        <f t="shared" si="1"/>
        <v>0.0183727034120735</v>
      </c>
      <c r="D20" s="128">
        <f t="shared" si="2"/>
        <v>7</v>
      </c>
      <c r="E20" s="128">
        <v>2</v>
      </c>
      <c r="F20" s="128">
        <v>5</v>
      </c>
      <c r="G20" s="128"/>
      <c r="H20" s="128"/>
      <c r="I20" s="128"/>
      <c r="J20" s="128"/>
      <c r="K20" s="128"/>
      <c r="L20" s="128"/>
    </row>
    <row r="21" ht="18.6" customHeight="1" spans="1:12">
      <c r="A21" s="132" t="s">
        <v>388</v>
      </c>
      <c r="B21" s="137" t="s">
        <v>389</v>
      </c>
      <c r="C21" s="134">
        <f t="shared" si="1"/>
        <v>0.144356955380577</v>
      </c>
      <c r="D21" s="128">
        <f t="shared" si="2"/>
        <v>55</v>
      </c>
      <c r="E21" s="128">
        <v>14</v>
      </c>
      <c r="F21" s="128">
        <v>8</v>
      </c>
      <c r="G21" s="128">
        <v>3</v>
      </c>
      <c r="H21" s="128">
        <v>7</v>
      </c>
      <c r="I21" s="128">
        <v>2</v>
      </c>
      <c r="J21" s="128">
        <v>2</v>
      </c>
      <c r="K21" s="128">
        <v>3</v>
      </c>
      <c r="L21" s="128">
        <v>16</v>
      </c>
    </row>
    <row r="22" ht="18.6" customHeight="1" spans="1:12">
      <c r="A22" s="135"/>
      <c r="B22" s="137" t="s">
        <v>390</v>
      </c>
      <c r="C22" s="134">
        <f t="shared" si="1"/>
        <v>0.015748031496063</v>
      </c>
      <c r="D22" s="128">
        <f t="shared" si="2"/>
        <v>6</v>
      </c>
      <c r="E22" s="128"/>
      <c r="F22" s="128"/>
      <c r="G22" s="128">
        <v>2</v>
      </c>
      <c r="H22" s="128"/>
      <c r="I22" s="128"/>
      <c r="J22" s="128"/>
      <c r="K22" s="128">
        <v>3</v>
      </c>
      <c r="L22" s="128">
        <v>1</v>
      </c>
    </row>
    <row r="23" ht="18.6" customHeight="1" spans="1:12">
      <c r="A23" s="135"/>
      <c r="B23" s="137" t="s">
        <v>391</v>
      </c>
      <c r="C23" s="134">
        <f t="shared" si="1"/>
        <v>0.0236220472440945</v>
      </c>
      <c r="D23" s="128">
        <f t="shared" si="2"/>
        <v>9</v>
      </c>
      <c r="E23" s="128"/>
      <c r="F23" s="128">
        <v>1</v>
      </c>
      <c r="G23" s="128">
        <v>2</v>
      </c>
      <c r="H23" s="128">
        <v>2</v>
      </c>
      <c r="I23" s="128">
        <v>2</v>
      </c>
      <c r="J23" s="128">
        <v>1</v>
      </c>
      <c r="K23" s="128"/>
      <c r="L23" s="128">
        <v>1</v>
      </c>
    </row>
    <row r="24" ht="14.5" spans="1:12">
      <c r="A24" s="136"/>
      <c r="B24" s="137" t="s">
        <v>392</v>
      </c>
      <c r="C24" s="134">
        <f t="shared" si="1"/>
        <v>0.0131233595800525</v>
      </c>
      <c r="D24" s="128">
        <f t="shared" si="2"/>
        <v>5</v>
      </c>
      <c r="E24" s="128">
        <v>1</v>
      </c>
      <c r="F24" s="128"/>
      <c r="G24" s="128"/>
      <c r="H24" s="128">
        <v>3</v>
      </c>
      <c r="I24" s="128"/>
      <c r="J24" s="128"/>
      <c r="K24" s="128"/>
      <c r="L24" s="128">
        <v>1</v>
      </c>
    </row>
    <row r="26" s="5" customFormat="1" ht="16.5" spans="1:16">
      <c r="A26" s="138" t="s">
        <v>393</v>
      </c>
      <c r="B26" s="138"/>
      <c r="C26" s="138"/>
      <c r="D26" s="138"/>
      <c r="E26" s="138"/>
      <c r="F26" s="138"/>
      <c r="G26" s="138"/>
      <c r="H26" s="138"/>
      <c r="I26" s="138"/>
      <c r="J26" s="138"/>
      <c r="K26" s="138"/>
      <c r="L26" s="138"/>
      <c r="M26" s="6"/>
      <c r="N26" s="6"/>
      <c r="O26" s="6"/>
      <c r="P26" s="6"/>
    </row>
    <row r="27" s="5" customFormat="1" ht="273.95" customHeight="1" spans="1:16">
      <c r="A27" s="139" t="s">
        <v>394</v>
      </c>
      <c r="B27" s="140"/>
      <c r="C27" s="140"/>
      <c r="D27" s="140"/>
      <c r="E27" s="140"/>
      <c r="F27" s="140"/>
      <c r="G27" s="140"/>
      <c r="H27" s="140"/>
      <c r="I27" s="140"/>
      <c r="J27" s="140"/>
      <c r="K27" s="140"/>
      <c r="L27" s="140"/>
      <c r="M27" s="6"/>
      <c r="N27" s="6"/>
      <c r="O27" s="6"/>
      <c r="P27" s="6"/>
    </row>
    <row r="28" s="5" customFormat="1" ht="16.5" spans="5:16">
      <c r="E28" s="6"/>
      <c r="F28" s="6"/>
      <c r="G28" s="6"/>
      <c r="H28" s="6"/>
      <c r="I28" s="6"/>
      <c r="J28" s="6"/>
      <c r="K28" s="6"/>
      <c r="L28" s="6"/>
      <c r="M28" s="6"/>
      <c r="N28" s="6"/>
      <c r="O28" s="6"/>
      <c r="P28" s="6"/>
    </row>
    <row r="29" s="5" customFormat="1" ht="16.5" spans="5:16">
      <c r="E29" s="6"/>
      <c r="F29" s="6"/>
      <c r="G29" s="6"/>
      <c r="H29" s="6"/>
      <c r="I29" s="6"/>
      <c r="J29" s="6"/>
      <c r="K29" s="6"/>
      <c r="L29" s="6"/>
      <c r="M29" s="6"/>
      <c r="N29" s="6"/>
      <c r="O29" s="6"/>
      <c r="P29" s="6"/>
    </row>
    <row r="30" s="5" customFormat="1" ht="16.5" spans="5:16">
      <c r="E30" s="6"/>
      <c r="F30" s="6"/>
      <c r="G30" s="6"/>
      <c r="H30" s="6"/>
      <c r="I30" s="6"/>
      <c r="J30" s="6"/>
      <c r="K30" s="6"/>
      <c r="L30" s="6"/>
      <c r="M30" s="6"/>
      <c r="N30" s="6"/>
      <c r="O30" s="6"/>
      <c r="P30" s="6"/>
    </row>
    <row r="31" s="5" customFormat="1" ht="16.5" spans="5:16">
      <c r="E31" s="6"/>
      <c r="F31" s="6"/>
      <c r="G31" s="6"/>
      <c r="H31" s="6"/>
      <c r="I31" s="6"/>
      <c r="J31" s="6"/>
      <c r="K31" s="6"/>
      <c r="L31" s="6"/>
      <c r="M31" s="6"/>
      <c r="N31" s="6"/>
      <c r="O31" s="6"/>
      <c r="P31" s="6"/>
    </row>
    <row r="32" s="5" customFormat="1" ht="16.5" spans="5:16">
      <c r="E32" s="6"/>
      <c r="F32" s="6"/>
      <c r="G32" s="6"/>
      <c r="H32" s="6"/>
      <c r="I32" s="6"/>
      <c r="J32" s="6"/>
      <c r="K32" s="6"/>
      <c r="L32" s="6"/>
      <c r="M32" s="6"/>
      <c r="N32" s="6"/>
      <c r="O32" s="6"/>
      <c r="P32" s="6"/>
    </row>
    <row r="33" s="5" customFormat="1" ht="16.5" spans="5:16">
      <c r="E33" s="6"/>
      <c r="F33" s="6"/>
      <c r="G33" s="6"/>
      <c r="H33" s="6"/>
      <c r="I33" s="6"/>
      <c r="J33" s="6"/>
      <c r="K33" s="6"/>
      <c r="L33" s="6"/>
      <c r="M33" s="6"/>
      <c r="N33" s="6"/>
      <c r="O33" s="6"/>
      <c r="P33" s="6"/>
    </row>
    <row r="34" s="5" customFormat="1" ht="16.5" spans="5:16">
      <c r="E34" s="6"/>
      <c r="F34" s="6"/>
      <c r="G34" s="6"/>
      <c r="H34" s="6"/>
      <c r="I34" s="6"/>
      <c r="J34" s="6"/>
      <c r="K34" s="6"/>
      <c r="L34" s="6"/>
      <c r="M34" s="6"/>
      <c r="N34" s="6"/>
      <c r="O34" s="6"/>
      <c r="P34" s="6"/>
    </row>
    <row r="35" s="5" customFormat="1" ht="16.5" spans="5:16">
      <c r="E35" s="6"/>
      <c r="F35" s="6"/>
      <c r="G35" s="6"/>
      <c r="H35" s="6"/>
      <c r="I35" s="6"/>
      <c r="J35" s="6"/>
      <c r="K35" s="6"/>
      <c r="L35" s="6"/>
      <c r="M35" s="6"/>
      <c r="N35" s="6"/>
      <c r="O35" s="6"/>
      <c r="P35" s="6"/>
    </row>
    <row r="36" s="5" customFormat="1" ht="16.5" spans="5:16">
      <c r="E36" s="6"/>
      <c r="F36" s="6"/>
      <c r="G36" s="6"/>
      <c r="H36" s="6"/>
      <c r="I36" s="6"/>
      <c r="J36" s="6"/>
      <c r="K36" s="6"/>
      <c r="L36" s="6"/>
      <c r="M36" s="6"/>
      <c r="N36" s="6"/>
      <c r="O36" s="6"/>
      <c r="P36" s="6"/>
    </row>
    <row r="37" s="5" customFormat="1" ht="16.5" spans="1:16">
      <c r="A37" s="43"/>
      <c r="E37" s="6"/>
      <c r="F37" s="6"/>
      <c r="G37" s="6"/>
      <c r="H37" s="6"/>
      <c r="I37" s="6"/>
      <c r="J37" s="6"/>
      <c r="K37" s="6"/>
      <c r="L37" s="6"/>
      <c r="M37" s="6"/>
      <c r="N37" s="6"/>
      <c r="O37" s="6"/>
      <c r="P37" s="6"/>
    </row>
    <row r="38" s="5" customFormat="1" ht="16.5" spans="5:16">
      <c r="E38" s="6"/>
      <c r="F38" s="6"/>
      <c r="G38" s="6"/>
      <c r="H38" s="6"/>
      <c r="I38" s="6"/>
      <c r="J38" s="6"/>
      <c r="K38" s="6"/>
      <c r="L38" s="6"/>
      <c r="M38" s="6"/>
      <c r="N38" s="6"/>
      <c r="O38" s="6"/>
      <c r="P38" s="6"/>
    </row>
    <row r="39" s="5" customFormat="1" ht="16.5" spans="5:16">
      <c r="E39" s="6"/>
      <c r="F39" s="6"/>
      <c r="G39" s="6"/>
      <c r="H39" s="6"/>
      <c r="I39" s="6"/>
      <c r="J39" s="6"/>
      <c r="K39" s="6"/>
      <c r="L39" s="6"/>
      <c r="M39" s="6"/>
      <c r="N39" s="6"/>
      <c r="O39" s="6"/>
      <c r="P39" s="6"/>
    </row>
    <row r="40" s="5" customFormat="1" ht="16.5" spans="5:16">
      <c r="E40" s="6"/>
      <c r="F40" s="6"/>
      <c r="G40" s="6"/>
      <c r="H40" s="6"/>
      <c r="I40" s="6"/>
      <c r="J40" s="6"/>
      <c r="K40" s="6"/>
      <c r="L40" s="6"/>
      <c r="M40" s="6"/>
      <c r="N40" s="6"/>
      <c r="O40" s="6"/>
      <c r="P40" s="6"/>
    </row>
  </sheetData>
  <mergeCells count="8">
    <mergeCell ref="E1:F1"/>
    <mergeCell ref="G1:H1"/>
    <mergeCell ref="I1:J1"/>
    <mergeCell ref="A26:L26"/>
    <mergeCell ref="A27:L27"/>
    <mergeCell ref="A5:A12"/>
    <mergeCell ref="A13:A20"/>
    <mergeCell ref="A21:A24"/>
  </mergeCells>
  <conditionalFormatting sqref="C5:C24">
    <cfRule type="dataBar" priority="1">
      <dataBar>
        <cfvo type="min"/>
        <cfvo type="max"/>
        <color rgb="FFFF555A"/>
      </dataBar>
      <extLst>
        <ext xmlns:x14="http://schemas.microsoft.com/office/spreadsheetml/2009/9/main" uri="{B025F937-C7B1-47D3-B67F-A62EFF666E3E}">
          <x14:id>{44e73ca8-b4d6-444e-b82a-49375dc7e35f}</x14:id>
        </ext>
      </extLst>
    </cfRule>
  </conditionalFormatting>
  <pageMargins left="0.75" right="0.75" top="1" bottom="1" header="0.5" footer="0.5"/>
  <pageSetup paperSize="9" orientation="portrait"/>
  <headerFooter/>
  <drawing r:id="rId1"/>
  <extLst>
    <ext xmlns:x14="http://schemas.microsoft.com/office/spreadsheetml/2009/9/main" uri="{78C0D931-6437-407d-A8EE-F0AAD7539E65}">
      <x14:conditionalFormattings>
        <x14:conditionalFormatting xmlns:xm="http://schemas.microsoft.com/office/excel/2006/main">
          <x14:cfRule type="dataBar" id="{44e73ca8-b4d6-444e-b82a-49375dc7e35f}">
            <x14:dataBar minLength="0" maxLength="100" border="1" negativeBarBorderColorSameAsPositive="0">
              <x14:cfvo type="autoMin"/>
              <x14:cfvo type="autoMax"/>
              <x14:borderColor rgb="FFFF555A"/>
              <x14:negativeFillColor rgb="FFFF0000"/>
              <x14:negativeBorderColor rgb="FFFF0000"/>
              <x14:axisColor rgb="FF000000"/>
            </x14:dataBar>
          </x14:cfRule>
          <xm:sqref>C5:C24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topLeftCell="A10" workbookViewId="0">
      <selection activeCell="I9" sqref="I9"/>
    </sheetView>
  </sheetViews>
  <sheetFormatPr defaultColWidth="9" defaultRowHeight="16.5" outlineLevelCol="5"/>
  <cols>
    <col min="1" max="1" width="5.25454545454545" style="75" customWidth="1"/>
    <col min="2" max="2" width="27.7545454545455" style="75" customWidth="1"/>
    <col min="3" max="3" width="25.2545454545455" style="75" customWidth="1"/>
    <col min="4" max="4" width="34.2545454545455" style="75" customWidth="1"/>
    <col min="5" max="5" width="27.5" style="75" customWidth="1"/>
    <col min="6" max="6" width="18.7545454545455" style="75" customWidth="1"/>
    <col min="7" max="7" width="18.3727272727273" style="75" customWidth="1"/>
    <col min="8" max="16384" width="9" style="75"/>
  </cols>
  <sheetData>
    <row r="1" ht="29.25" customHeight="1" spans="1:5">
      <c r="A1" s="76" t="s">
        <v>395</v>
      </c>
      <c r="B1" s="76"/>
      <c r="C1" s="76"/>
      <c r="D1" s="76"/>
      <c r="E1" s="76"/>
    </row>
    <row r="2" s="74" customFormat="1" ht="22.5" customHeight="1" spans="1:6">
      <c r="A2" s="77" t="s">
        <v>396</v>
      </c>
      <c r="B2" s="78"/>
      <c r="C2" s="79" t="s">
        <v>397</v>
      </c>
      <c r="D2" s="80"/>
      <c r="E2" s="81"/>
      <c r="F2" s="82" t="s">
        <v>93</v>
      </c>
    </row>
    <row r="3" ht="195.95" customHeight="1" spans="2:6">
      <c r="B3" s="83"/>
      <c r="C3" s="84" t="s">
        <v>398</v>
      </c>
      <c r="D3" s="85"/>
      <c r="E3" s="86"/>
      <c r="F3" s="87" t="s">
        <v>399</v>
      </c>
    </row>
    <row r="4" ht="18.75" customHeight="1" spans="2:5">
      <c r="B4" s="88" t="s">
        <v>400</v>
      </c>
      <c r="C4" s="89"/>
      <c r="D4" s="90"/>
      <c r="E4" s="91"/>
    </row>
    <row r="5" ht="18.75" customHeight="1" spans="2:5">
      <c r="B5" s="92"/>
      <c r="C5" s="89"/>
      <c r="D5" s="90"/>
      <c r="E5" s="91"/>
    </row>
    <row r="6" ht="23.1" customHeight="1" spans="1:5">
      <c r="A6" s="93"/>
      <c r="B6" s="92"/>
      <c r="C6" s="89"/>
      <c r="D6" s="90"/>
      <c r="E6" s="91"/>
    </row>
    <row r="7" ht="39" customHeight="1" spans="1:5">
      <c r="A7" s="93"/>
      <c r="B7" s="92"/>
      <c r="C7" s="89"/>
      <c r="D7" s="90"/>
      <c r="E7" s="91"/>
    </row>
    <row r="8" ht="39" customHeight="1" spans="1:5">
      <c r="A8" s="93"/>
      <c r="B8" s="92"/>
      <c r="C8" s="94"/>
      <c r="D8" s="94"/>
      <c r="E8" s="95"/>
    </row>
    <row r="9" ht="22.5" customHeight="1" spans="1:5">
      <c r="A9" s="96"/>
      <c r="B9" s="97" t="s">
        <v>401</v>
      </c>
      <c r="C9" s="97"/>
      <c r="D9" s="97"/>
      <c r="E9" s="97"/>
    </row>
    <row r="10" ht="26.25" customHeight="1" spans="1:5">
      <c r="A10" s="96"/>
      <c r="B10" s="98" t="s">
        <v>402</v>
      </c>
      <c r="C10" s="98" t="s">
        <v>403</v>
      </c>
      <c r="D10" s="99" t="s">
        <v>404</v>
      </c>
      <c r="E10" s="100"/>
    </row>
    <row r="11" ht="18.75" customHeight="1" spans="1:5">
      <c r="A11" s="96"/>
      <c r="B11" s="98"/>
      <c r="C11" s="98" t="s">
        <v>405</v>
      </c>
      <c r="D11" s="101"/>
      <c r="E11" s="102"/>
    </row>
    <row r="12" ht="45" customHeight="1" spans="2:5">
      <c r="B12" s="103" t="s">
        <v>406</v>
      </c>
      <c r="C12" s="98" t="s">
        <v>407</v>
      </c>
      <c r="D12" s="104" t="s">
        <v>408</v>
      </c>
      <c r="E12" s="105"/>
    </row>
    <row r="13" ht="21.75" customHeight="1" spans="2:5">
      <c r="B13" s="98" t="s">
        <v>409</v>
      </c>
      <c r="C13" s="98" t="s">
        <v>410</v>
      </c>
      <c r="D13" s="99" t="s">
        <v>411</v>
      </c>
      <c r="E13" s="100"/>
    </row>
    <row r="14" ht="18.75" customHeight="1" spans="2:5">
      <c r="B14" s="98"/>
      <c r="C14" s="98" t="s">
        <v>412</v>
      </c>
      <c r="D14" s="101"/>
      <c r="E14" s="102"/>
    </row>
    <row r="15" ht="17.25" customHeight="1" spans="2:5">
      <c r="B15" s="98"/>
      <c r="C15" s="98" t="s">
        <v>413</v>
      </c>
      <c r="D15" s="101"/>
      <c r="E15" s="102"/>
    </row>
    <row r="16" ht="22.5" customHeight="1" spans="2:5">
      <c r="B16" s="98"/>
      <c r="C16" s="98" t="s">
        <v>414</v>
      </c>
      <c r="D16" s="106"/>
      <c r="E16" s="107"/>
    </row>
    <row r="17" ht="46.5" customHeight="1" spans="2:5">
      <c r="B17" s="98" t="s">
        <v>415</v>
      </c>
      <c r="C17" s="98" t="s">
        <v>416</v>
      </c>
      <c r="D17" s="104" t="s">
        <v>411</v>
      </c>
      <c r="E17" s="105"/>
    </row>
    <row r="18" ht="57.75" customHeight="1" spans="2:5">
      <c r="B18" s="98" t="s">
        <v>417</v>
      </c>
      <c r="C18" s="98"/>
      <c r="D18" s="108" t="s">
        <v>418</v>
      </c>
      <c r="E18" s="109"/>
    </row>
    <row r="19" ht="19.5" customHeight="1" spans="2:5">
      <c r="B19" s="110" t="s">
        <v>419</v>
      </c>
      <c r="C19" s="110"/>
      <c r="D19" s="110"/>
      <c r="E19" s="110"/>
    </row>
    <row r="20" ht="144" customHeight="1" spans="2:5">
      <c r="B20" s="111"/>
      <c r="C20" s="111"/>
      <c r="D20" s="111"/>
      <c r="E20" s="111"/>
    </row>
    <row r="21" ht="102" customHeight="1" spans="2:5">
      <c r="B21" s="112" t="s">
        <v>420</v>
      </c>
      <c r="C21" s="113"/>
      <c r="D21" s="113"/>
      <c r="E21" s="114"/>
    </row>
  </sheetData>
  <mergeCells count="18">
    <mergeCell ref="A1:E1"/>
    <mergeCell ref="A2:B2"/>
    <mergeCell ref="C2:E2"/>
    <mergeCell ref="B9:E9"/>
    <mergeCell ref="D12:E12"/>
    <mergeCell ref="D17:E17"/>
    <mergeCell ref="B18:C18"/>
    <mergeCell ref="D18:E18"/>
    <mergeCell ref="B19:E19"/>
    <mergeCell ref="B20:E20"/>
    <mergeCell ref="B21:E21"/>
    <mergeCell ref="A6:A11"/>
    <mergeCell ref="B4:B8"/>
    <mergeCell ref="B10:B11"/>
    <mergeCell ref="B13:B16"/>
    <mergeCell ref="C3:E8"/>
    <mergeCell ref="D10:E11"/>
    <mergeCell ref="D13:E16"/>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9"/>
  <sheetViews>
    <sheetView zoomScale="80" zoomScaleNormal="80" workbookViewId="0">
      <selection activeCell="F9" sqref="F9"/>
    </sheetView>
  </sheetViews>
  <sheetFormatPr defaultColWidth="9" defaultRowHeight="16.5"/>
  <cols>
    <col min="2" max="2" width="10.8727272727273" style="6" customWidth="1"/>
    <col min="3" max="3" width="13.2545454545455" style="6" customWidth="1"/>
    <col min="4" max="4" width="20.3727272727273" style="6" customWidth="1"/>
    <col min="5" max="5" width="9" style="6"/>
    <col min="6" max="6" width="15.2545454545455" style="6"/>
    <col min="7" max="13" width="9" style="6"/>
    <col min="14" max="14" width="14.1272727272727" style="6"/>
    <col min="15" max="18" width="9" style="6"/>
    <col min="19" max="19" width="27.1272727272727" style="6" customWidth="1"/>
    <col min="20" max="20" width="16.1272727272727" style="6" customWidth="1"/>
    <col min="21" max="16384" width="9" style="6"/>
  </cols>
  <sheetData>
    <row r="1" s="44" customFormat="1" ht="34" spans="1:19">
      <c r="A1" s="47" t="s">
        <v>421</v>
      </c>
      <c r="B1" s="47"/>
      <c r="C1" s="47"/>
      <c r="D1" s="47"/>
      <c r="E1" s="47"/>
      <c r="F1" s="47"/>
      <c r="G1" s="47"/>
      <c r="H1" s="47"/>
      <c r="I1" s="47"/>
      <c r="J1" s="47"/>
      <c r="K1" s="47"/>
      <c r="L1" s="47"/>
      <c r="M1" s="47"/>
      <c r="N1" s="47"/>
      <c r="O1" s="47"/>
      <c r="P1" s="47"/>
      <c r="Q1" s="47"/>
      <c r="R1" s="47"/>
      <c r="S1" s="47"/>
    </row>
    <row r="2" s="45" customFormat="1" ht="66" spans="2:20">
      <c r="B2" s="48" t="s">
        <v>422</v>
      </c>
      <c r="C2" s="48" t="s">
        <v>423</v>
      </c>
      <c r="D2" s="48" t="s">
        <v>424</v>
      </c>
      <c r="E2" s="48" t="s">
        <v>425</v>
      </c>
      <c r="F2" s="48" t="s">
        <v>426</v>
      </c>
      <c r="G2" s="49" t="s">
        <v>427</v>
      </c>
      <c r="H2" s="50" t="s">
        <v>428</v>
      </c>
      <c r="I2" s="59" t="s">
        <v>429</v>
      </c>
      <c r="J2" s="59" t="s">
        <v>430</v>
      </c>
      <c r="K2" s="60" t="s">
        <v>431</v>
      </c>
      <c r="L2" s="59" t="s">
        <v>432</v>
      </c>
      <c r="M2" s="59" t="s">
        <v>433</v>
      </c>
      <c r="N2" s="59" t="s">
        <v>434</v>
      </c>
      <c r="O2" s="59" t="s">
        <v>435</v>
      </c>
      <c r="P2" s="61" t="s">
        <v>436</v>
      </c>
      <c r="Q2" s="61" t="s">
        <v>437</v>
      </c>
      <c r="R2" s="61" t="s">
        <v>438</v>
      </c>
      <c r="S2" s="66" t="s">
        <v>439</v>
      </c>
      <c r="T2" s="45" t="s">
        <v>440</v>
      </c>
    </row>
    <row r="3" s="46" customFormat="1" spans="1:20">
      <c r="A3" s="51"/>
      <c r="B3" s="52" t="s">
        <v>441</v>
      </c>
      <c r="C3" s="52" t="s">
        <v>442</v>
      </c>
      <c r="D3" s="53" t="s">
        <v>443</v>
      </c>
      <c r="E3" s="54">
        <v>109.99</v>
      </c>
      <c r="F3" s="54">
        <v>1</v>
      </c>
      <c r="G3" s="54">
        <v>109.99</v>
      </c>
      <c r="H3" s="55">
        <v>45</v>
      </c>
      <c r="I3" s="62">
        <v>1.1</v>
      </c>
      <c r="J3" s="55">
        <v>5.8</v>
      </c>
      <c r="K3" s="63">
        <v>0</v>
      </c>
      <c r="L3" s="64">
        <v>0.15</v>
      </c>
      <c r="M3" s="55">
        <f>L3*G3</f>
        <v>16.4985</v>
      </c>
      <c r="N3" s="55">
        <f>SUM(J3,M3,I3,H3,K3)</f>
        <v>68.3985</v>
      </c>
      <c r="O3" s="55">
        <f>G3-N3</f>
        <v>41.5915</v>
      </c>
      <c r="P3" s="65">
        <f>O3/G3</f>
        <v>0.378138921720156</v>
      </c>
      <c r="Q3" s="67">
        <v>0.08</v>
      </c>
      <c r="R3" s="68">
        <v>0.08</v>
      </c>
      <c r="S3" s="69">
        <f>P3-Q3-R3-12%</f>
        <v>0.0981389217201563</v>
      </c>
      <c r="T3" s="70"/>
    </row>
    <row r="4" s="46" customFormat="1" spans="1:20">
      <c r="A4" s="51"/>
      <c r="B4" s="52" t="s">
        <v>444</v>
      </c>
      <c r="C4" s="52" t="s">
        <v>442</v>
      </c>
      <c r="D4" s="53" t="s">
        <v>443</v>
      </c>
      <c r="E4" s="54">
        <v>109.99</v>
      </c>
      <c r="F4" s="54">
        <v>1</v>
      </c>
      <c r="G4" s="54">
        <v>109.99</v>
      </c>
      <c r="H4" s="55">
        <v>45</v>
      </c>
      <c r="I4" s="62">
        <v>2.57</v>
      </c>
      <c r="J4" s="55">
        <v>5.8</v>
      </c>
      <c r="K4" s="63">
        <v>0</v>
      </c>
      <c r="L4" s="64">
        <v>0.15</v>
      </c>
      <c r="M4" s="55">
        <f>L4*G4</f>
        <v>16.4985</v>
      </c>
      <c r="N4" s="55">
        <f>SUM(J4,M4,I4,H4,K4)</f>
        <v>69.8685</v>
      </c>
      <c r="O4" s="55">
        <f>G4-N4</f>
        <v>40.1215</v>
      </c>
      <c r="P4" s="65">
        <f>O4/G4</f>
        <v>0.364774070370034</v>
      </c>
      <c r="Q4" s="67">
        <v>0.08</v>
      </c>
      <c r="R4" s="68">
        <v>0.08</v>
      </c>
      <c r="S4" s="69">
        <f>P4-Q4-R4-12%</f>
        <v>0.0847740703700336</v>
      </c>
      <c r="T4" s="70"/>
    </row>
    <row r="5" spans="1:1">
      <c r="A5" s="56"/>
    </row>
    <row r="6" spans="1:6">
      <c r="A6" s="56"/>
      <c r="B6" s="11" t="s">
        <v>431</v>
      </c>
      <c r="C6" s="42" t="s">
        <v>445</v>
      </c>
      <c r="D6" s="11"/>
      <c r="E6" s="11"/>
      <c r="F6" s="11"/>
    </row>
    <row r="7" spans="1:6">
      <c r="A7" s="56"/>
      <c r="B7" s="57"/>
      <c r="C7" s="11"/>
      <c r="D7" s="11"/>
      <c r="E7" s="11" t="s">
        <v>446</v>
      </c>
      <c r="F7" s="11" t="s">
        <v>447</v>
      </c>
    </row>
    <row r="8" spans="1:6">
      <c r="A8" s="56"/>
      <c r="B8" s="11" t="s">
        <v>448</v>
      </c>
      <c r="C8" s="11" t="s">
        <v>449</v>
      </c>
      <c r="D8" s="53" t="s">
        <v>443</v>
      </c>
      <c r="E8" s="58">
        <f>950*(0.56*0.34*0.34)/8</f>
        <v>7.6874</v>
      </c>
      <c r="F8" s="58">
        <f>E8/7</f>
        <v>1.0982</v>
      </c>
    </row>
    <row r="9" spans="1:6">
      <c r="A9" s="56"/>
      <c r="B9" s="11"/>
      <c r="C9" s="11"/>
      <c r="D9" s="53" t="s">
        <v>443</v>
      </c>
      <c r="E9" s="58">
        <f>9*16/8</f>
        <v>18</v>
      </c>
      <c r="F9" s="58">
        <f>E9/7</f>
        <v>2.57142857142857</v>
      </c>
    </row>
    <row r="10" spans="1:1">
      <c r="A10" s="6"/>
    </row>
    <row r="11" spans="1:1">
      <c r="A11" s="6"/>
    </row>
    <row r="12" spans="1:1">
      <c r="A12" s="6"/>
    </row>
    <row r="13" spans="1:1">
      <c r="A13" s="6"/>
    </row>
    <row r="14" spans="1:1">
      <c r="A14" s="6"/>
    </row>
    <row r="15" spans="1:1">
      <c r="A15" s="6"/>
    </row>
    <row r="16" spans="1:1">
      <c r="A16" s="6"/>
    </row>
    <row r="17" s="6" customFormat="1"/>
    <row r="18" s="6" customFormat="1"/>
    <row r="19" s="6" customFormat="1"/>
    <row r="20" s="6" customFormat="1"/>
    <row r="21" s="6" customFormat="1"/>
    <row r="22" s="6" customFormat="1"/>
    <row r="23" s="6" customFormat="1"/>
    <row r="24" s="6" customFormat="1"/>
    <row r="25" s="6" customFormat="1"/>
    <row r="26" s="6" customFormat="1"/>
    <row r="27" s="6" customFormat="1"/>
    <row r="28" s="6" customFormat="1"/>
    <row r="29" s="6" customFormat="1"/>
    <row r="30" s="6" customFormat="1"/>
    <row r="31" s="6" customFormat="1"/>
    <row r="32"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row r="55" s="6" customFormat="1"/>
    <row r="56" s="6" customFormat="1"/>
    <row r="57" s="6" customFormat="1"/>
    <row r="58" s="6" customFormat="1"/>
    <row r="59" s="6" customFormat="1"/>
    <row r="60" s="6" customFormat="1"/>
    <row r="61" s="6" customFormat="1"/>
    <row r="62" s="6" customFormat="1"/>
    <row r="63" s="6" customFormat="1"/>
    <row r="64" s="6" customFormat="1"/>
    <row r="65" s="6" customFormat="1"/>
    <row r="66" s="6" customFormat="1"/>
    <row r="67" s="6" customFormat="1"/>
    <row r="68" s="6" customFormat="1"/>
    <row r="69" s="6" customFormat="1"/>
    <row r="70" s="6" customFormat="1"/>
    <row r="71" s="6" customFormat="1"/>
    <row r="72" s="6" customFormat="1"/>
    <row r="73" s="6" customFormat="1"/>
    <row r="74" s="6" customFormat="1"/>
    <row r="75" s="6" customFormat="1"/>
    <row r="76" s="6" customFormat="1"/>
    <row r="77" s="6" customFormat="1" spans="2:4">
      <c r="B77" s="71" t="s">
        <v>450</v>
      </c>
      <c r="C77" s="6" t="s">
        <v>451</v>
      </c>
      <c r="D77" s="6" t="s">
        <v>452</v>
      </c>
    </row>
    <row r="78" s="6" customFormat="1" spans="2:4">
      <c r="B78" s="71"/>
      <c r="C78" s="6" t="s">
        <v>453</v>
      </c>
      <c r="D78" s="6" t="s">
        <v>454</v>
      </c>
    </row>
    <row r="79" s="6" customFormat="1" spans="2:4">
      <c r="B79" s="72" t="s">
        <v>455</v>
      </c>
      <c r="D79" s="73" t="s">
        <v>456</v>
      </c>
    </row>
  </sheetData>
  <mergeCells count="3">
    <mergeCell ref="A1:S1"/>
    <mergeCell ref="A3:A4"/>
    <mergeCell ref="B77:B78"/>
  </mergeCells>
  <pageMargins left="0.75" right="0.75" top="1" bottom="1" header="0.5" footer="0.5"/>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topLeftCell="A9" workbookViewId="0">
      <selection activeCell="I10" sqref="I10"/>
    </sheetView>
  </sheetViews>
  <sheetFormatPr defaultColWidth="9" defaultRowHeight="14" outlineLevelCol="5"/>
  <cols>
    <col min="2" max="2" width="16.2545454545455" customWidth="1"/>
    <col min="3" max="3" width="29.6272727272727" customWidth="1"/>
    <col min="4" max="4" width="33.5" customWidth="1"/>
    <col min="5" max="5" width="36.8727272727273" customWidth="1"/>
    <col min="6" max="6" width="38.5" customWidth="1"/>
  </cols>
  <sheetData>
    <row r="1" ht="16.5" spans="1:6">
      <c r="A1" s="22" t="s">
        <v>457</v>
      </c>
      <c r="B1" s="23"/>
      <c r="C1" s="23"/>
      <c r="D1" s="23"/>
      <c r="E1" s="23"/>
      <c r="F1" s="23"/>
    </row>
    <row r="2" ht="14.5" spans="1:6">
      <c r="A2" s="24" t="s">
        <v>458</v>
      </c>
      <c r="B2" s="25"/>
      <c r="C2" s="26" t="s">
        <v>459</v>
      </c>
      <c r="D2" s="27"/>
      <c r="E2" s="26" t="s">
        <v>460</v>
      </c>
      <c r="F2" s="28"/>
    </row>
    <row r="3" ht="14.5" spans="1:6">
      <c r="A3" s="29" t="s">
        <v>461</v>
      </c>
      <c r="B3" s="29" t="s">
        <v>462</v>
      </c>
      <c r="C3" s="30" t="s">
        <v>463</v>
      </c>
      <c r="D3" s="30" t="s">
        <v>464</v>
      </c>
      <c r="E3" s="31" t="s">
        <v>465</v>
      </c>
      <c r="F3" s="31" t="s">
        <v>466</v>
      </c>
    </row>
    <row r="4" ht="43.5" spans="1:6">
      <c r="A4" s="32"/>
      <c r="B4" s="29" t="s">
        <v>467</v>
      </c>
      <c r="C4" s="33" t="s">
        <v>468</v>
      </c>
      <c r="D4" s="33" t="s">
        <v>469</v>
      </c>
      <c r="E4" s="34" t="s">
        <v>470</v>
      </c>
      <c r="F4" s="34" t="s">
        <v>471</v>
      </c>
    </row>
    <row r="5" ht="14.5" spans="1:6">
      <c r="A5" s="29" t="s">
        <v>472</v>
      </c>
      <c r="B5" s="29" t="s">
        <v>472</v>
      </c>
      <c r="C5" s="33" t="s">
        <v>463</v>
      </c>
      <c r="D5" s="33" t="s">
        <v>464</v>
      </c>
      <c r="E5" s="34" t="s">
        <v>473</v>
      </c>
      <c r="F5" s="34" t="s">
        <v>474</v>
      </c>
    </row>
    <row r="6" ht="14.5" spans="1:6">
      <c r="A6" s="29"/>
      <c r="B6" s="29" t="s">
        <v>475</v>
      </c>
      <c r="C6" s="33" t="s">
        <v>476</v>
      </c>
      <c r="D6" s="33" t="s">
        <v>477</v>
      </c>
      <c r="E6" s="34" t="s">
        <v>478</v>
      </c>
      <c r="F6" s="31" t="s">
        <v>479</v>
      </c>
    </row>
    <row r="7" ht="43.5" spans="1:6">
      <c r="A7" s="29" t="s">
        <v>480</v>
      </c>
      <c r="B7" s="29" t="s">
        <v>481</v>
      </c>
      <c r="C7" s="35">
        <v>8800</v>
      </c>
      <c r="D7" s="35">
        <v>9000</v>
      </c>
      <c r="E7" s="34">
        <v>8000</v>
      </c>
      <c r="F7" s="34">
        <v>11500</v>
      </c>
    </row>
    <row r="8" ht="43.5" spans="1:6">
      <c r="A8" s="29"/>
      <c r="B8" s="29" t="s">
        <v>482</v>
      </c>
      <c r="C8" s="36" t="s">
        <v>483</v>
      </c>
      <c r="D8" s="36" t="s">
        <v>484</v>
      </c>
      <c r="E8" s="34" t="s">
        <v>485</v>
      </c>
      <c r="F8" s="34" t="s">
        <v>486</v>
      </c>
    </row>
    <row r="9" ht="14.5" spans="1:6">
      <c r="A9" s="29"/>
      <c r="B9" s="29" t="s">
        <v>487</v>
      </c>
      <c r="C9" s="37">
        <v>28800</v>
      </c>
      <c r="D9" s="37">
        <v>34000</v>
      </c>
      <c r="E9" s="38">
        <v>18500</v>
      </c>
      <c r="F9" s="31">
        <v>26500</v>
      </c>
    </row>
    <row r="10" ht="150.95" customHeight="1" spans="1:6">
      <c r="A10" s="29" t="s">
        <v>488</v>
      </c>
      <c r="B10" s="29" t="s">
        <v>488</v>
      </c>
      <c r="C10" s="36" t="s">
        <v>489</v>
      </c>
      <c r="D10" s="36" t="s">
        <v>490</v>
      </c>
      <c r="E10" s="31" t="s">
        <v>491</v>
      </c>
      <c r="F10" s="31" t="s">
        <v>492</v>
      </c>
    </row>
    <row r="11" ht="14.5" spans="1:6">
      <c r="A11" s="29" t="s">
        <v>493</v>
      </c>
      <c r="B11" s="29" t="s">
        <v>494</v>
      </c>
      <c r="C11" s="33" t="s">
        <v>495</v>
      </c>
      <c r="D11" s="33" t="s">
        <v>496</v>
      </c>
      <c r="E11" s="34" t="s">
        <v>497</v>
      </c>
      <c r="F11" s="34" t="s">
        <v>498</v>
      </c>
    </row>
    <row r="12" ht="14.5" spans="1:6">
      <c r="A12" s="29"/>
      <c r="B12" s="29" t="s">
        <v>499</v>
      </c>
      <c r="C12" s="33" t="s">
        <v>500</v>
      </c>
      <c r="D12" s="33" t="s">
        <v>501</v>
      </c>
      <c r="E12" s="34" t="s">
        <v>502</v>
      </c>
      <c r="F12" s="34" t="s">
        <v>503</v>
      </c>
    </row>
    <row r="13" ht="14.5" spans="1:6">
      <c r="A13" s="29"/>
      <c r="B13" s="29" t="s">
        <v>504</v>
      </c>
      <c r="C13" s="39" t="s">
        <v>505</v>
      </c>
      <c r="D13" s="39" t="s">
        <v>505</v>
      </c>
      <c r="E13" s="40" t="s">
        <v>505</v>
      </c>
      <c r="F13" s="40" t="s">
        <v>505</v>
      </c>
    </row>
    <row r="14" ht="14.5" spans="1:6">
      <c r="A14" s="29"/>
      <c r="B14" s="29" t="s">
        <v>506</v>
      </c>
      <c r="C14" s="33" t="s">
        <v>507</v>
      </c>
      <c r="D14" s="33" t="s">
        <v>508</v>
      </c>
      <c r="E14" s="34" t="s">
        <v>509</v>
      </c>
      <c r="F14" s="34" t="s">
        <v>510</v>
      </c>
    </row>
    <row r="15" ht="14.5" spans="1:6">
      <c r="A15" s="29"/>
      <c r="B15" s="29" t="s">
        <v>511</v>
      </c>
      <c r="C15" s="39" t="s">
        <v>512</v>
      </c>
      <c r="D15" s="39" t="s">
        <v>513</v>
      </c>
      <c r="E15" s="34" t="s">
        <v>514</v>
      </c>
      <c r="F15" s="34" t="s">
        <v>515</v>
      </c>
    </row>
    <row r="16" spans="1:6">
      <c r="A16" s="29"/>
      <c r="B16" s="29"/>
      <c r="C16" s="41" t="s">
        <v>516</v>
      </c>
      <c r="D16" s="42"/>
      <c r="E16" s="42"/>
      <c r="F16" s="42"/>
    </row>
    <row r="17" spans="1:6">
      <c r="A17" s="29"/>
      <c r="B17" s="29"/>
      <c r="C17" s="42"/>
      <c r="D17" s="42"/>
      <c r="E17" s="42"/>
      <c r="F17" s="42"/>
    </row>
    <row r="18" spans="1:6">
      <c r="A18" s="29"/>
      <c r="B18" s="29"/>
      <c r="C18" s="42"/>
      <c r="D18" s="42"/>
      <c r="E18" s="42"/>
      <c r="F18" s="42"/>
    </row>
    <row r="19" spans="1:6">
      <c r="A19" s="29"/>
      <c r="B19" s="29"/>
      <c r="C19" s="42"/>
      <c r="D19" s="42"/>
      <c r="E19" s="42"/>
      <c r="F19" s="42"/>
    </row>
    <row r="20" spans="1:6">
      <c r="A20" s="29"/>
      <c r="B20" s="29"/>
      <c r="C20" s="42"/>
      <c r="D20" s="42"/>
      <c r="E20" s="42"/>
      <c r="F20" s="42"/>
    </row>
    <row r="21" spans="1:6">
      <c r="A21" s="29"/>
      <c r="B21" s="29"/>
      <c r="C21" s="42"/>
      <c r="D21" s="42"/>
      <c r="E21" s="42"/>
      <c r="F21" s="42"/>
    </row>
    <row r="22" ht="26.1" customHeight="1" spans="1:6">
      <c r="A22" s="29"/>
      <c r="B22" s="29"/>
      <c r="C22" s="42"/>
      <c r="D22" s="42"/>
      <c r="E22" s="42"/>
      <c r="F22" s="42"/>
    </row>
    <row r="23" ht="27" customHeight="1" spans="1:1">
      <c r="A23" s="43" t="s">
        <v>517</v>
      </c>
    </row>
  </sheetData>
  <mergeCells count="10">
    <mergeCell ref="A1:F1"/>
    <mergeCell ref="A2:B2"/>
    <mergeCell ref="C2:D2"/>
    <mergeCell ref="E2:F2"/>
    <mergeCell ref="A3:A4"/>
    <mergeCell ref="A5:A6"/>
    <mergeCell ref="A7:A9"/>
    <mergeCell ref="A11:A15"/>
    <mergeCell ref="A16:B22"/>
    <mergeCell ref="C16:F22"/>
  </mergeCells>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0"/>
  <sheetViews>
    <sheetView zoomScale="80" zoomScaleNormal="80" topLeftCell="A3" workbookViewId="0">
      <selection activeCell="Q47" sqref="Q47"/>
    </sheetView>
  </sheetViews>
  <sheetFormatPr defaultColWidth="9" defaultRowHeight="16.5"/>
  <cols>
    <col min="1" max="2" width="9" style="5"/>
    <col min="3" max="3" width="14.1272727272727" style="5" customWidth="1"/>
    <col min="4" max="4" width="27.0272727272727" style="5" customWidth="1"/>
    <col min="5" max="5" width="19" style="5" customWidth="1"/>
    <col min="6" max="6" width="17.1272727272727" style="6" customWidth="1"/>
    <col min="7" max="7" width="9" style="6"/>
    <col min="8" max="8" width="9.25454545454545" style="5"/>
    <col min="9" max="9" width="9" style="5"/>
    <col min="10" max="10" width="12.7545454545455" style="7"/>
    <col min="11" max="13" width="9" style="6"/>
    <col min="14" max="16384" width="9" style="5"/>
  </cols>
  <sheetData>
    <row r="1" s="1" customFormat="1" ht="38.1" customHeight="1" spans="1:23">
      <c r="A1" s="8" t="s">
        <v>518</v>
      </c>
      <c r="F1" s="9"/>
      <c r="G1" s="9"/>
      <c r="J1" s="17"/>
      <c r="K1" s="9"/>
      <c r="L1" s="9"/>
      <c r="M1" s="9"/>
      <c r="O1" s="9"/>
      <c r="P1" s="9"/>
      <c r="Q1" s="9"/>
      <c r="R1" s="9"/>
      <c r="S1" s="9"/>
      <c r="T1" s="9"/>
      <c r="U1" s="9"/>
      <c r="V1" s="9"/>
      <c r="W1" s="9"/>
    </row>
    <row r="2" s="2" customFormat="1" spans="1:23">
      <c r="A2" s="10" t="s">
        <v>519</v>
      </c>
      <c r="B2" s="10" t="s">
        <v>74</v>
      </c>
      <c r="C2" s="10" t="s">
        <v>70</v>
      </c>
      <c r="D2" s="10" t="s">
        <v>520</v>
      </c>
      <c r="E2" s="10" t="s">
        <v>1</v>
      </c>
      <c r="F2" s="10" t="s">
        <v>521</v>
      </c>
      <c r="G2" s="10" t="s">
        <v>522</v>
      </c>
      <c r="H2" s="10" t="s">
        <v>523</v>
      </c>
      <c r="I2" s="10" t="s">
        <v>25</v>
      </c>
      <c r="J2" s="18" t="s">
        <v>81</v>
      </c>
      <c r="K2" s="10" t="s">
        <v>43</v>
      </c>
      <c r="L2" s="10" t="s">
        <v>37</v>
      </c>
      <c r="M2" s="10" t="s">
        <v>524</v>
      </c>
      <c r="N2" s="10" t="s">
        <v>525</v>
      </c>
      <c r="O2" s="9"/>
      <c r="P2" s="9"/>
      <c r="Q2" s="9"/>
      <c r="R2" s="9"/>
      <c r="S2" s="9"/>
      <c r="T2" s="9"/>
      <c r="U2" s="9"/>
      <c r="V2" s="9"/>
      <c r="W2" s="9"/>
    </row>
    <row r="3" spans="1:14">
      <c r="A3" s="11">
        <v>1</v>
      </c>
      <c r="B3" s="11" t="s">
        <v>98</v>
      </c>
      <c r="C3" s="12" t="s">
        <v>95</v>
      </c>
      <c r="D3" s="12" t="s">
        <v>526</v>
      </c>
      <c r="E3" s="11" t="s">
        <v>14</v>
      </c>
      <c r="F3" s="11" t="s">
        <v>244</v>
      </c>
      <c r="G3" s="11">
        <v>11580</v>
      </c>
      <c r="H3" s="11">
        <f>G3/30</f>
        <v>386</v>
      </c>
      <c r="I3" s="11">
        <v>79.99</v>
      </c>
      <c r="J3" s="19">
        <f>I3*G3</f>
        <v>926284.2</v>
      </c>
      <c r="K3" s="11">
        <v>3331</v>
      </c>
      <c r="L3" s="11">
        <v>4.5</v>
      </c>
      <c r="M3" s="11">
        <v>3469</v>
      </c>
      <c r="N3" s="11" t="s">
        <v>527</v>
      </c>
    </row>
    <row r="4" spans="1:14">
      <c r="A4" s="11">
        <v>2</v>
      </c>
      <c r="B4" s="11" t="s">
        <v>213</v>
      </c>
      <c r="C4" s="12" t="s">
        <v>211</v>
      </c>
      <c r="D4" s="12" t="s">
        <v>528</v>
      </c>
      <c r="E4" s="11" t="s">
        <v>21</v>
      </c>
      <c r="F4" s="11" t="s">
        <v>244</v>
      </c>
      <c r="G4" s="11">
        <v>10050</v>
      </c>
      <c r="H4" s="11">
        <f t="shared" ref="H4:H50" si="0">G4/30</f>
        <v>335</v>
      </c>
      <c r="I4" s="11">
        <v>199.99</v>
      </c>
      <c r="J4" s="19">
        <f t="shared" ref="J4:J50" si="1">I4*G4</f>
        <v>2009899.5</v>
      </c>
      <c r="K4" s="11">
        <v>4733</v>
      </c>
      <c r="L4" s="11">
        <v>4.7</v>
      </c>
      <c r="M4" s="11">
        <v>1440</v>
      </c>
      <c r="N4" s="11" t="s">
        <v>529</v>
      </c>
    </row>
    <row r="5" spans="1:14">
      <c r="A5" s="11">
        <v>3</v>
      </c>
      <c r="B5" s="11" t="s">
        <v>111</v>
      </c>
      <c r="C5" s="12" t="s">
        <v>109</v>
      </c>
      <c r="D5" s="12" t="s">
        <v>530</v>
      </c>
      <c r="E5" s="11" t="s">
        <v>14</v>
      </c>
      <c r="F5" s="11" t="s">
        <v>244</v>
      </c>
      <c r="G5" s="11">
        <v>4500</v>
      </c>
      <c r="H5" s="11">
        <f t="shared" si="0"/>
        <v>150</v>
      </c>
      <c r="I5" s="11">
        <v>208.97</v>
      </c>
      <c r="J5" s="19">
        <f t="shared" si="1"/>
        <v>940365</v>
      </c>
      <c r="K5" s="11">
        <v>3039</v>
      </c>
      <c r="L5" s="11">
        <v>4.4</v>
      </c>
      <c r="M5" s="11">
        <v>4050</v>
      </c>
      <c r="N5" s="11" t="s">
        <v>527</v>
      </c>
    </row>
    <row r="6" spans="1:14">
      <c r="A6" s="11">
        <v>4</v>
      </c>
      <c r="B6" s="11" t="s">
        <v>118</v>
      </c>
      <c r="C6" s="12" t="s">
        <v>116</v>
      </c>
      <c r="D6" s="12" t="s">
        <v>531</v>
      </c>
      <c r="E6" s="11" t="s">
        <v>14</v>
      </c>
      <c r="F6" s="11" t="s">
        <v>244</v>
      </c>
      <c r="G6" s="11">
        <v>1890</v>
      </c>
      <c r="H6" s="11">
        <f t="shared" si="0"/>
        <v>63</v>
      </c>
      <c r="I6" s="11">
        <v>139.99</v>
      </c>
      <c r="J6" s="19">
        <f t="shared" si="1"/>
        <v>264581.1</v>
      </c>
      <c r="K6" s="11">
        <v>1141</v>
      </c>
      <c r="L6" s="11">
        <v>4.3</v>
      </c>
      <c r="M6" s="11">
        <v>4072</v>
      </c>
      <c r="N6" s="11" t="s">
        <v>527</v>
      </c>
    </row>
    <row r="7" spans="1:14">
      <c r="A7" s="11">
        <v>5</v>
      </c>
      <c r="B7" s="11" t="s">
        <v>532</v>
      </c>
      <c r="C7" s="12" t="s">
        <v>533</v>
      </c>
      <c r="D7" s="12" t="s">
        <v>534</v>
      </c>
      <c r="E7" s="11" t="s">
        <v>11</v>
      </c>
      <c r="F7" s="11" t="s">
        <v>244</v>
      </c>
      <c r="G7" s="11">
        <v>1350</v>
      </c>
      <c r="H7" s="11">
        <f t="shared" si="0"/>
        <v>45</v>
      </c>
      <c r="I7" s="11">
        <v>488.39</v>
      </c>
      <c r="J7" s="19">
        <f t="shared" si="1"/>
        <v>659326.5</v>
      </c>
      <c r="K7" s="11">
        <v>363</v>
      </c>
      <c r="L7" s="11">
        <v>4.3</v>
      </c>
      <c r="M7" s="11">
        <v>3025</v>
      </c>
      <c r="N7" s="11" t="s">
        <v>535</v>
      </c>
    </row>
    <row r="8" spans="1:14">
      <c r="A8" s="11">
        <v>6</v>
      </c>
      <c r="B8" s="11" t="s">
        <v>536</v>
      </c>
      <c r="C8" s="12" t="s">
        <v>537</v>
      </c>
      <c r="D8" s="12" t="s">
        <v>538</v>
      </c>
      <c r="E8" s="11" t="s">
        <v>9</v>
      </c>
      <c r="F8" s="11" t="s">
        <v>244</v>
      </c>
      <c r="G8" s="11">
        <v>1320</v>
      </c>
      <c r="H8" s="11">
        <f t="shared" si="0"/>
        <v>44</v>
      </c>
      <c r="I8" s="11">
        <v>145.99</v>
      </c>
      <c r="J8" s="19">
        <f t="shared" si="1"/>
        <v>192706.8</v>
      </c>
      <c r="K8" s="11">
        <v>4</v>
      </c>
      <c r="L8" s="11">
        <v>5</v>
      </c>
      <c r="M8" s="11">
        <v>48</v>
      </c>
      <c r="N8" s="11" t="s">
        <v>529</v>
      </c>
    </row>
    <row r="9" s="3" customFormat="1" spans="1:14">
      <c r="A9" s="13">
        <v>7</v>
      </c>
      <c r="B9" s="13" t="s">
        <v>145</v>
      </c>
      <c r="C9" s="14" t="s">
        <v>143</v>
      </c>
      <c r="D9" s="14" t="s">
        <v>539</v>
      </c>
      <c r="E9" s="13" t="s">
        <v>11</v>
      </c>
      <c r="F9" s="13" t="s">
        <v>244</v>
      </c>
      <c r="G9" s="13">
        <v>1050</v>
      </c>
      <c r="H9" s="13">
        <f t="shared" si="0"/>
        <v>35</v>
      </c>
      <c r="I9" s="13">
        <v>129.99</v>
      </c>
      <c r="J9" s="20">
        <f t="shared" si="1"/>
        <v>136489.5</v>
      </c>
      <c r="K9" s="13">
        <v>317</v>
      </c>
      <c r="L9" s="13">
        <v>4.3</v>
      </c>
      <c r="M9" s="13">
        <v>1346</v>
      </c>
      <c r="N9" s="13" t="s">
        <v>527</v>
      </c>
    </row>
    <row r="10" spans="1:14">
      <c r="A10" s="11">
        <v>8</v>
      </c>
      <c r="B10" s="11" t="s">
        <v>154</v>
      </c>
      <c r="C10" s="12" t="s">
        <v>152</v>
      </c>
      <c r="D10" s="12" t="s">
        <v>540</v>
      </c>
      <c r="E10" s="11" t="s">
        <v>11</v>
      </c>
      <c r="F10" s="11" t="s">
        <v>244</v>
      </c>
      <c r="G10" s="11">
        <v>930</v>
      </c>
      <c r="H10" s="11">
        <f t="shared" si="0"/>
        <v>31</v>
      </c>
      <c r="I10" s="11">
        <v>79.99</v>
      </c>
      <c r="J10" s="19">
        <f t="shared" si="1"/>
        <v>74390.7</v>
      </c>
      <c r="K10" s="11">
        <v>749</v>
      </c>
      <c r="L10" s="11">
        <v>4.2</v>
      </c>
      <c r="M10" s="11">
        <v>1389</v>
      </c>
      <c r="N10" s="11" t="s">
        <v>527</v>
      </c>
    </row>
    <row r="11" spans="1:14">
      <c r="A11" s="11">
        <v>9</v>
      </c>
      <c r="B11" s="11" t="s">
        <v>161</v>
      </c>
      <c r="C11" s="12" t="s">
        <v>159</v>
      </c>
      <c r="D11" s="12" t="s">
        <v>541</v>
      </c>
      <c r="E11" s="11" t="s">
        <v>11</v>
      </c>
      <c r="F11" s="11" t="s">
        <v>244</v>
      </c>
      <c r="G11" s="11">
        <v>690</v>
      </c>
      <c r="H11" s="11">
        <f t="shared" si="0"/>
        <v>23</v>
      </c>
      <c r="I11" s="11">
        <v>179.99</v>
      </c>
      <c r="J11" s="19">
        <f t="shared" si="1"/>
        <v>124193.1</v>
      </c>
      <c r="K11" s="11">
        <v>190</v>
      </c>
      <c r="L11" s="11">
        <v>4.2</v>
      </c>
      <c r="M11" s="11">
        <v>4335</v>
      </c>
      <c r="N11" s="11" t="s">
        <v>527</v>
      </c>
    </row>
    <row r="12" spans="1:14">
      <c r="A12" s="11">
        <v>10</v>
      </c>
      <c r="B12" s="11" t="s">
        <v>196</v>
      </c>
      <c r="C12" s="12" t="s">
        <v>194</v>
      </c>
      <c r="D12" s="12" t="s">
        <v>542</v>
      </c>
      <c r="E12" s="11" t="s">
        <v>20</v>
      </c>
      <c r="F12" s="11" t="s">
        <v>244</v>
      </c>
      <c r="G12" s="11">
        <v>600</v>
      </c>
      <c r="H12" s="11">
        <f t="shared" si="0"/>
        <v>20</v>
      </c>
      <c r="I12" s="11">
        <v>149.99</v>
      </c>
      <c r="J12" s="19">
        <f t="shared" si="1"/>
        <v>89994</v>
      </c>
      <c r="K12" s="11">
        <v>210</v>
      </c>
      <c r="L12" s="11">
        <v>4</v>
      </c>
      <c r="M12" s="11">
        <v>442</v>
      </c>
      <c r="N12" s="11" t="s">
        <v>529</v>
      </c>
    </row>
    <row r="13" s="4" customFormat="1" spans="1:14">
      <c r="A13" s="15">
        <v>11</v>
      </c>
      <c r="B13" s="15" t="s">
        <v>127</v>
      </c>
      <c r="C13" s="16" t="s">
        <v>125</v>
      </c>
      <c r="D13" s="16" t="s">
        <v>543</v>
      </c>
      <c r="E13" s="15" t="s">
        <v>14</v>
      </c>
      <c r="F13" s="15" t="s">
        <v>244</v>
      </c>
      <c r="G13" s="15">
        <v>600</v>
      </c>
      <c r="H13" s="15">
        <f t="shared" si="0"/>
        <v>20</v>
      </c>
      <c r="I13" s="15">
        <v>89.99</v>
      </c>
      <c r="J13" s="21">
        <f t="shared" si="1"/>
        <v>53994</v>
      </c>
      <c r="K13" s="15">
        <v>705</v>
      </c>
      <c r="L13" s="15">
        <v>4.6</v>
      </c>
      <c r="M13" s="15">
        <v>3231</v>
      </c>
      <c r="N13" s="15" t="s">
        <v>527</v>
      </c>
    </row>
    <row r="14" spans="1:14">
      <c r="A14" s="11">
        <v>12</v>
      </c>
      <c r="B14" s="11" t="s">
        <v>181</v>
      </c>
      <c r="C14" s="12" t="s">
        <v>179</v>
      </c>
      <c r="D14" s="12" t="s">
        <v>544</v>
      </c>
      <c r="E14" s="11" t="s">
        <v>23</v>
      </c>
      <c r="F14" s="11" t="s">
        <v>244</v>
      </c>
      <c r="G14" s="11">
        <v>510</v>
      </c>
      <c r="H14" s="11">
        <f t="shared" si="0"/>
        <v>17</v>
      </c>
      <c r="I14" s="11">
        <v>289.99</v>
      </c>
      <c r="J14" s="19">
        <f t="shared" si="1"/>
        <v>147894.9</v>
      </c>
      <c r="K14" s="11">
        <v>54</v>
      </c>
      <c r="L14" s="11">
        <v>4</v>
      </c>
      <c r="M14" s="11">
        <v>727</v>
      </c>
      <c r="N14" s="11" t="s">
        <v>535</v>
      </c>
    </row>
    <row r="15" spans="1:14">
      <c r="A15" s="11">
        <v>13</v>
      </c>
      <c r="B15" s="11" t="s">
        <v>545</v>
      </c>
      <c r="C15" s="12" t="s">
        <v>546</v>
      </c>
      <c r="D15" s="12" t="s">
        <v>547</v>
      </c>
      <c r="E15" s="11" t="s">
        <v>8</v>
      </c>
      <c r="F15" s="11" t="s">
        <v>244</v>
      </c>
      <c r="G15" s="11">
        <v>510</v>
      </c>
      <c r="H15" s="11">
        <f t="shared" si="0"/>
        <v>17</v>
      </c>
      <c r="I15" s="11">
        <v>13.06</v>
      </c>
      <c r="J15" s="19">
        <f t="shared" si="1"/>
        <v>6660.6</v>
      </c>
      <c r="K15" s="11">
        <v>1085</v>
      </c>
      <c r="L15" s="11">
        <v>4.6</v>
      </c>
      <c r="M15" s="11">
        <v>3469</v>
      </c>
      <c r="N15" s="11" t="s">
        <v>527</v>
      </c>
    </row>
    <row r="16" spans="1:14">
      <c r="A16" s="11">
        <v>14</v>
      </c>
      <c r="B16" s="11" t="s">
        <v>548</v>
      </c>
      <c r="C16" s="12" t="s">
        <v>549</v>
      </c>
      <c r="D16" s="12" t="s">
        <v>550</v>
      </c>
      <c r="E16" s="11" t="s">
        <v>7</v>
      </c>
      <c r="F16" s="11" t="s">
        <v>244</v>
      </c>
      <c r="G16" s="11">
        <v>420</v>
      </c>
      <c r="H16" s="11">
        <f t="shared" si="0"/>
        <v>14</v>
      </c>
      <c r="I16" s="11">
        <v>150</v>
      </c>
      <c r="J16" s="19">
        <f t="shared" si="1"/>
        <v>63000</v>
      </c>
      <c r="K16" s="11">
        <v>34</v>
      </c>
      <c r="L16" s="11">
        <v>4.4</v>
      </c>
      <c r="M16" s="11">
        <v>351</v>
      </c>
      <c r="N16" s="11" t="s">
        <v>551</v>
      </c>
    </row>
    <row r="17" spans="1:14">
      <c r="A17" s="11">
        <v>15</v>
      </c>
      <c r="B17" s="11" t="s">
        <v>552</v>
      </c>
      <c r="C17" s="12" t="s">
        <v>553</v>
      </c>
      <c r="D17" s="12" t="s">
        <v>554</v>
      </c>
      <c r="E17" s="11" t="s">
        <v>15</v>
      </c>
      <c r="F17" s="11" t="s">
        <v>244</v>
      </c>
      <c r="G17" s="11">
        <v>420</v>
      </c>
      <c r="H17" s="11">
        <f t="shared" si="0"/>
        <v>14</v>
      </c>
      <c r="I17" s="11">
        <v>99.99</v>
      </c>
      <c r="J17" s="19">
        <f t="shared" si="1"/>
        <v>41995.8</v>
      </c>
      <c r="K17" s="11">
        <v>61</v>
      </c>
      <c r="L17" s="11">
        <v>4.1</v>
      </c>
      <c r="M17" s="11">
        <v>361</v>
      </c>
      <c r="N17" s="11" t="s">
        <v>529</v>
      </c>
    </row>
    <row r="18" spans="1:14">
      <c r="A18" s="11">
        <v>16</v>
      </c>
      <c r="B18" s="11" t="s">
        <v>189</v>
      </c>
      <c r="C18" s="12" t="s">
        <v>187</v>
      </c>
      <c r="D18" s="12" t="s">
        <v>555</v>
      </c>
      <c r="E18" s="11" t="s">
        <v>23</v>
      </c>
      <c r="F18" s="11" t="s">
        <v>244</v>
      </c>
      <c r="G18" s="11">
        <v>390</v>
      </c>
      <c r="H18" s="11">
        <f t="shared" si="0"/>
        <v>13</v>
      </c>
      <c r="I18" s="11">
        <v>339.99</v>
      </c>
      <c r="J18" s="19">
        <f t="shared" si="1"/>
        <v>132596.1</v>
      </c>
      <c r="K18" s="11">
        <v>140</v>
      </c>
      <c r="L18" s="11">
        <v>4.2</v>
      </c>
      <c r="M18" s="11">
        <v>679</v>
      </c>
      <c r="N18" s="11" t="s">
        <v>529</v>
      </c>
    </row>
    <row r="19" spans="1:14">
      <c r="A19" s="11">
        <v>17</v>
      </c>
      <c r="B19" s="11" t="s">
        <v>556</v>
      </c>
      <c r="C19" s="12" t="s">
        <v>557</v>
      </c>
      <c r="D19" s="12" t="s">
        <v>558</v>
      </c>
      <c r="E19" s="11" t="s">
        <v>17</v>
      </c>
      <c r="F19" s="11" t="s">
        <v>244</v>
      </c>
      <c r="G19" s="11">
        <v>330</v>
      </c>
      <c r="H19" s="11">
        <f t="shared" si="0"/>
        <v>11</v>
      </c>
      <c r="I19" s="11">
        <v>149.99</v>
      </c>
      <c r="J19" s="19">
        <f t="shared" si="1"/>
        <v>49496.7</v>
      </c>
      <c r="K19" s="11">
        <v>51</v>
      </c>
      <c r="L19" s="11">
        <v>4.1</v>
      </c>
      <c r="M19" s="11">
        <v>294</v>
      </c>
      <c r="N19" s="11" t="s">
        <v>529</v>
      </c>
    </row>
    <row r="20" spans="1:14">
      <c r="A20" s="11">
        <v>18</v>
      </c>
      <c r="B20" s="11" t="s">
        <v>132</v>
      </c>
      <c r="C20" s="12" t="s">
        <v>130</v>
      </c>
      <c r="D20" s="12" t="s">
        <v>559</v>
      </c>
      <c r="E20" s="11" t="s">
        <v>14</v>
      </c>
      <c r="F20" s="11" t="s">
        <v>244</v>
      </c>
      <c r="G20" s="11">
        <v>270</v>
      </c>
      <c r="H20" s="11">
        <f t="shared" si="0"/>
        <v>9</v>
      </c>
      <c r="I20" s="11">
        <v>312.11</v>
      </c>
      <c r="J20" s="19">
        <f t="shared" si="1"/>
        <v>84269.7</v>
      </c>
      <c r="K20" s="11">
        <v>15</v>
      </c>
      <c r="L20" s="11">
        <v>4.7</v>
      </c>
      <c r="M20" s="11">
        <v>3862</v>
      </c>
      <c r="N20" s="11" t="s">
        <v>527</v>
      </c>
    </row>
    <row r="21" spans="1:14">
      <c r="A21" s="11">
        <v>19</v>
      </c>
      <c r="B21" s="11" t="s">
        <v>560</v>
      </c>
      <c r="C21" s="12" t="s">
        <v>561</v>
      </c>
      <c r="D21" s="12" t="s">
        <v>562</v>
      </c>
      <c r="E21" s="11" t="s">
        <v>17</v>
      </c>
      <c r="F21" s="11" t="s">
        <v>244</v>
      </c>
      <c r="G21" s="11">
        <v>240</v>
      </c>
      <c r="H21" s="11">
        <f t="shared" si="0"/>
        <v>8</v>
      </c>
      <c r="I21" s="11">
        <v>159.99</v>
      </c>
      <c r="J21" s="19">
        <f t="shared" si="1"/>
        <v>38397.6</v>
      </c>
      <c r="K21" s="11">
        <v>129</v>
      </c>
      <c r="L21" s="11">
        <v>4.3</v>
      </c>
      <c r="M21" s="11">
        <v>173</v>
      </c>
      <c r="N21" s="11" t="s">
        <v>529</v>
      </c>
    </row>
    <row r="22" spans="1:14">
      <c r="A22" s="11">
        <v>20</v>
      </c>
      <c r="B22" s="11" t="s">
        <v>563</v>
      </c>
      <c r="C22" s="12" t="s">
        <v>564</v>
      </c>
      <c r="D22" s="12" t="s">
        <v>565</v>
      </c>
      <c r="E22" s="11" t="s">
        <v>23</v>
      </c>
      <c r="F22" s="11" t="s">
        <v>244</v>
      </c>
      <c r="G22" s="11">
        <v>180</v>
      </c>
      <c r="H22" s="11">
        <f t="shared" si="0"/>
        <v>6</v>
      </c>
      <c r="I22" s="11">
        <v>469.99</v>
      </c>
      <c r="J22" s="19">
        <f t="shared" si="1"/>
        <v>84598.2</v>
      </c>
      <c r="K22" s="11">
        <v>2</v>
      </c>
      <c r="L22" s="11">
        <v>4</v>
      </c>
      <c r="M22" s="11">
        <v>661</v>
      </c>
      <c r="N22" s="11" t="s">
        <v>535</v>
      </c>
    </row>
    <row r="23" spans="1:14">
      <c r="A23" s="11">
        <v>21</v>
      </c>
      <c r="B23" s="11" t="s">
        <v>566</v>
      </c>
      <c r="C23" s="12" t="s">
        <v>567</v>
      </c>
      <c r="D23" s="12" t="s">
        <v>568</v>
      </c>
      <c r="E23" s="11" t="s">
        <v>17</v>
      </c>
      <c r="F23" s="11" t="s">
        <v>244</v>
      </c>
      <c r="G23" s="11">
        <v>180</v>
      </c>
      <c r="H23" s="11">
        <f t="shared" si="0"/>
        <v>6</v>
      </c>
      <c r="I23" s="11">
        <v>159.99</v>
      </c>
      <c r="J23" s="19">
        <f t="shared" si="1"/>
        <v>28798.2</v>
      </c>
      <c r="K23" s="11">
        <v>241</v>
      </c>
      <c r="L23" s="11">
        <v>4.2</v>
      </c>
      <c r="M23" s="11">
        <v>466</v>
      </c>
      <c r="N23" s="11" t="s">
        <v>529</v>
      </c>
    </row>
    <row r="24" spans="1:14">
      <c r="A24" s="11">
        <v>22</v>
      </c>
      <c r="B24" s="11" t="s">
        <v>171</v>
      </c>
      <c r="C24" s="12" t="s">
        <v>169</v>
      </c>
      <c r="D24" s="12" t="s">
        <v>569</v>
      </c>
      <c r="E24" s="11" t="s">
        <v>11</v>
      </c>
      <c r="F24" s="11" t="s">
        <v>244</v>
      </c>
      <c r="G24" s="11">
        <v>150</v>
      </c>
      <c r="H24" s="11">
        <f t="shared" si="0"/>
        <v>5</v>
      </c>
      <c r="I24" s="11">
        <v>133.95</v>
      </c>
      <c r="J24" s="19">
        <f t="shared" si="1"/>
        <v>20092.5</v>
      </c>
      <c r="K24" s="11">
        <v>1182</v>
      </c>
      <c r="L24" s="11">
        <v>4.3</v>
      </c>
      <c r="M24" s="11">
        <v>1154</v>
      </c>
      <c r="N24" s="11" t="s">
        <v>535</v>
      </c>
    </row>
    <row r="25" spans="1:14">
      <c r="A25" s="11">
        <v>23</v>
      </c>
      <c r="B25" s="11" t="s">
        <v>570</v>
      </c>
      <c r="C25" s="12" t="s">
        <v>571</v>
      </c>
      <c r="D25" s="12" t="s">
        <v>572</v>
      </c>
      <c r="E25" s="11" t="s">
        <v>23</v>
      </c>
      <c r="F25" s="11" t="s">
        <v>244</v>
      </c>
      <c r="G25" s="11">
        <v>150</v>
      </c>
      <c r="H25" s="11">
        <f t="shared" si="0"/>
        <v>5</v>
      </c>
      <c r="I25" s="11">
        <v>198</v>
      </c>
      <c r="J25" s="19">
        <f t="shared" si="1"/>
        <v>29700</v>
      </c>
      <c r="K25" s="11">
        <v>66</v>
      </c>
      <c r="L25" s="11">
        <v>4</v>
      </c>
      <c r="M25" s="11">
        <v>1613</v>
      </c>
      <c r="N25" s="11" t="s">
        <v>551</v>
      </c>
    </row>
    <row r="26" spans="1:14">
      <c r="A26" s="11">
        <v>24</v>
      </c>
      <c r="B26" s="11" t="s">
        <v>573</v>
      </c>
      <c r="C26" s="12" t="s">
        <v>574</v>
      </c>
      <c r="D26" s="12" t="s">
        <v>575</v>
      </c>
      <c r="E26" s="11" t="s">
        <v>23</v>
      </c>
      <c r="F26" s="11" t="s">
        <v>244</v>
      </c>
      <c r="G26" s="11">
        <v>120</v>
      </c>
      <c r="H26" s="11">
        <f t="shared" si="0"/>
        <v>4</v>
      </c>
      <c r="I26" s="11">
        <v>420.84</v>
      </c>
      <c r="J26" s="19">
        <f t="shared" si="1"/>
        <v>50500.8</v>
      </c>
      <c r="K26" s="11">
        <v>6</v>
      </c>
      <c r="L26" s="11">
        <v>2.8</v>
      </c>
      <c r="M26" s="11">
        <v>1127</v>
      </c>
      <c r="N26" s="11" t="s">
        <v>529</v>
      </c>
    </row>
    <row r="27" spans="1:14">
      <c r="A27" s="11">
        <v>25</v>
      </c>
      <c r="B27" s="11" t="s">
        <v>576</v>
      </c>
      <c r="C27" s="12" t="s">
        <v>577</v>
      </c>
      <c r="D27" s="12" t="s">
        <v>578</v>
      </c>
      <c r="E27" s="11" t="s">
        <v>7</v>
      </c>
      <c r="F27" s="11" t="s">
        <v>244</v>
      </c>
      <c r="G27" s="11">
        <v>120</v>
      </c>
      <c r="H27" s="11">
        <f t="shared" si="0"/>
        <v>4</v>
      </c>
      <c r="I27" s="11">
        <v>209.99</v>
      </c>
      <c r="J27" s="19">
        <f t="shared" si="1"/>
        <v>25198.8</v>
      </c>
      <c r="K27" s="11">
        <v>46</v>
      </c>
      <c r="L27" s="11">
        <v>4.2</v>
      </c>
      <c r="M27" s="11">
        <v>530</v>
      </c>
      <c r="N27" s="11" t="s">
        <v>535</v>
      </c>
    </row>
    <row r="28" s="3" customFormat="1" spans="1:14">
      <c r="A28" s="13">
        <v>26</v>
      </c>
      <c r="B28" s="13" t="s">
        <v>204</v>
      </c>
      <c r="C28" s="14" t="s">
        <v>202</v>
      </c>
      <c r="D28" s="14" t="s">
        <v>579</v>
      </c>
      <c r="E28" s="13" t="s">
        <v>20</v>
      </c>
      <c r="F28" s="13" t="s">
        <v>244</v>
      </c>
      <c r="G28" s="13">
        <v>120</v>
      </c>
      <c r="H28" s="13">
        <f t="shared" si="0"/>
        <v>4</v>
      </c>
      <c r="I28" s="13">
        <v>86.99</v>
      </c>
      <c r="J28" s="20">
        <f t="shared" si="1"/>
        <v>10438.8</v>
      </c>
      <c r="K28" s="13">
        <v>191</v>
      </c>
      <c r="L28" s="13">
        <v>4.1</v>
      </c>
      <c r="M28" s="13">
        <v>324</v>
      </c>
      <c r="N28" s="13" t="s">
        <v>529</v>
      </c>
    </row>
    <row r="29" spans="1:14">
      <c r="A29" s="11">
        <v>27</v>
      </c>
      <c r="B29" s="11" t="s">
        <v>580</v>
      </c>
      <c r="C29" s="12" t="s">
        <v>581</v>
      </c>
      <c r="D29" s="12" t="s">
        <v>582</v>
      </c>
      <c r="E29" s="11" t="s">
        <v>7</v>
      </c>
      <c r="F29" s="11" t="s">
        <v>244</v>
      </c>
      <c r="G29" s="11">
        <v>120</v>
      </c>
      <c r="H29" s="11">
        <f t="shared" si="0"/>
        <v>4</v>
      </c>
      <c r="I29" s="11">
        <v>105.88</v>
      </c>
      <c r="J29" s="19">
        <f t="shared" si="1"/>
        <v>12705.6</v>
      </c>
      <c r="K29" s="11">
        <v>10</v>
      </c>
      <c r="L29" s="11">
        <v>4.2</v>
      </c>
      <c r="M29" s="11">
        <v>0</v>
      </c>
      <c r="N29" s="11" t="s">
        <v>535</v>
      </c>
    </row>
    <row r="30" spans="1:14">
      <c r="A30" s="11">
        <v>28</v>
      </c>
      <c r="B30" s="11" t="s">
        <v>583</v>
      </c>
      <c r="C30" s="12" t="s">
        <v>584</v>
      </c>
      <c r="D30" s="12" t="s">
        <v>585</v>
      </c>
      <c r="E30" s="11" t="s">
        <v>7</v>
      </c>
      <c r="F30" s="11" t="s">
        <v>244</v>
      </c>
      <c r="G30" s="11">
        <v>90</v>
      </c>
      <c r="H30" s="11">
        <f t="shared" si="0"/>
        <v>3</v>
      </c>
      <c r="I30" s="11">
        <v>150</v>
      </c>
      <c r="J30" s="19">
        <f t="shared" si="1"/>
        <v>13500</v>
      </c>
      <c r="K30" s="11">
        <v>108</v>
      </c>
      <c r="L30" s="11">
        <v>4</v>
      </c>
      <c r="M30" s="11">
        <v>563</v>
      </c>
      <c r="N30" s="11" t="s">
        <v>551</v>
      </c>
    </row>
    <row r="31" spans="1:14">
      <c r="A31" s="11">
        <v>29</v>
      </c>
      <c r="B31" s="11" t="s">
        <v>586</v>
      </c>
      <c r="C31" s="12" t="s">
        <v>587</v>
      </c>
      <c r="D31" s="12" t="s">
        <v>588</v>
      </c>
      <c r="E31" s="11" t="s">
        <v>23</v>
      </c>
      <c r="F31" s="11" t="s">
        <v>244</v>
      </c>
      <c r="G31" s="11">
        <v>90</v>
      </c>
      <c r="H31" s="11">
        <f t="shared" si="0"/>
        <v>3</v>
      </c>
      <c r="I31" s="11">
        <v>458</v>
      </c>
      <c r="J31" s="19">
        <f t="shared" si="1"/>
        <v>41220</v>
      </c>
      <c r="K31" s="11">
        <v>21</v>
      </c>
      <c r="L31" s="11">
        <v>4.5</v>
      </c>
      <c r="M31" s="11">
        <v>707</v>
      </c>
      <c r="N31" s="11" t="s">
        <v>535</v>
      </c>
    </row>
    <row r="32" spans="1:14">
      <c r="A32" s="11">
        <v>30</v>
      </c>
      <c r="B32" s="11" t="s">
        <v>589</v>
      </c>
      <c r="C32" s="12" t="s">
        <v>590</v>
      </c>
      <c r="D32" s="12" t="s">
        <v>591</v>
      </c>
      <c r="E32" s="11" t="s">
        <v>19</v>
      </c>
      <c r="F32" s="11" t="s">
        <v>244</v>
      </c>
      <c r="G32" s="11">
        <v>90</v>
      </c>
      <c r="H32" s="11">
        <f t="shared" si="0"/>
        <v>3</v>
      </c>
      <c r="I32" s="11">
        <v>159.99</v>
      </c>
      <c r="J32" s="19">
        <f t="shared" si="1"/>
        <v>14399.1</v>
      </c>
      <c r="K32" s="11">
        <v>232</v>
      </c>
      <c r="L32" s="11">
        <v>3.9</v>
      </c>
      <c r="M32" s="11">
        <v>315</v>
      </c>
      <c r="N32" s="11" t="s">
        <v>535</v>
      </c>
    </row>
    <row r="33" spans="1:14">
      <c r="A33" s="11">
        <v>31</v>
      </c>
      <c r="B33" s="11" t="s">
        <v>592</v>
      </c>
      <c r="C33" s="12" t="s">
        <v>593</v>
      </c>
      <c r="D33" s="12" t="s">
        <v>594</v>
      </c>
      <c r="E33" s="11" t="s">
        <v>7</v>
      </c>
      <c r="F33" s="11" t="s">
        <v>244</v>
      </c>
      <c r="G33" s="11">
        <v>90</v>
      </c>
      <c r="H33" s="11">
        <f t="shared" si="0"/>
        <v>3</v>
      </c>
      <c r="I33" s="11">
        <v>240.66</v>
      </c>
      <c r="J33" s="19">
        <f t="shared" si="1"/>
        <v>21659.4</v>
      </c>
      <c r="K33" s="11">
        <v>35</v>
      </c>
      <c r="L33" s="11">
        <v>3.3</v>
      </c>
      <c r="M33" s="11">
        <v>601</v>
      </c>
      <c r="N33" s="11" t="s">
        <v>551</v>
      </c>
    </row>
    <row r="34" spans="1:14">
      <c r="A34" s="11">
        <v>32</v>
      </c>
      <c r="B34" s="11" t="s">
        <v>595</v>
      </c>
      <c r="C34" s="12" t="s">
        <v>596</v>
      </c>
      <c r="D34" s="12" t="s">
        <v>597</v>
      </c>
      <c r="E34" s="11" t="s">
        <v>23</v>
      </c>
      <c r="F34" s="11" t="s">
        <v>244</v>
      </c>
      <c r="G34" s="11">
        <v>90</v>
      </c>
      <c r="H34" s="11">
        <f t="shared" si="0"/>
        <v>3</v>
      </c>
      <c r="I34" s="11">
        <v>400</v>
      </c>
      <c r="J34" s="19">
        <f t="shared" si="1"/>
        <v>36000</v>
      </c>
      <c r="K34" s="11">
        <v>40</v>
      </c>
      <c r="L34" s="11">
        <v>4</v>
      </c>
      <c r="M34" s="11">
        <v>683</v>
      </c>
      <c r="N34" s="11" t="s">
        <v>535</v>
      </c>
    </row>
    <row r="35" spans="1:14">
      <c r="A35" s="11">
        <v>33</v>
      </c>
      <c r="B35" s="11" t="s">
        <v>598</v>
      </c>
      <c r="C35" s="12" t="s">
        <v>599</v>
      </c>
      <c r="D35" s="12" t="s">
        <v>600</v>
      </c>
      <c r="E35" s="11" t="s">
        <v>23</v>
      </c>
      <c r="F35" s="11" t="s">
        <v>244</v>
      </c>
      <c r="G35" s="11">
        <v>90</v>
      </c>
      <c r="H35" s="11">
        <f t="shared" si="0"/>
        <v>3</v>
      </c>
      <c r="I35" s="11">
        <v>329.99</v>
      </c>
      <c r="J35" s="19">
        <f t="shared" si="1"/>
        <v>29699.1</v>
      </c>
      <c r="K35" s="11">
        <v>29</v>
      </c>
      <c r="L35" s="11">
        <v>4.3</v>
      </c>
      <c r="M35" s="11">
        <v>706</v>
      </c>
      <c r="N35" s="11" t="s">
        <v>529</v>
      </c>
    </row>
    <row r="36" spans="1:14">
      <c r="A36" s="11">
        <v>34</v>
      </c>
      <c r="B36" s="11" t="s">
        <v>601</v>
      </c>
      <c r="C36" s="12" t="s">
        <v>602</v>
      </c>
      <c r="D36" s="12" t="s">
        <v>603</v>
      </c>
      <c r="E36" s="11" t="s">
        <v>7</v>
      </c>
      <c r="F36" s="11" t="s">
        <v>244</v>
      </c>
      <c r="G36" s="11">
        <v>90</v>
      </c>
      <c r="H36" s="11">
        <f t="shared" si="0"/>
        <v>3</v>
      </c>
      <c r="I36" s="11">
        <v>169.99</v>
      </c>
      <c r="J36" s="19">
        <f t="shared" si="1"/>
        <v>15299.1</v>
      </c>
      <c r="K36" s="11">
        <v>13</v>
      </c>
      <c r="L36" s="11">
        <v>3.9</v>
      </c>
      <c r="M36" s="11">
        <v>454</v>
      </c>
      <c r="N36" s="11" t="s">
        <v>535</v>
      </c>
    </row>
    <row r="37" spans="1:14">
      <c r="A37" s="11">
        <v>35</v>
      </c>
      <c r="B37" s="11" t="s">
        <v>604</v>
      </c>
      <c r="C37" s="12" t="s">
        <v>605</v>
      </c>
      <c r="D37" s="12" t="s">
        <v>606</v>
      </c>
      <c r="E37" s="11" t="s">
        <v>13</v>
      </c>
      <c r="F37" s="11" t="s">
        <v>244</v>
      </c>
      <c r="G37" s="11">
        <v>60</v>
      </c>
      <c r="H37" s="11">
        <f t="shared" si="0"/>
        <v>2</v>
      </c>
      <c r="I37" s="11">
        <v>310</v>
      </c>
      <c r="J37" s="19">
        <f t="shared" si="1"/>
        <v>18600</v>
      </c>
      <c r="K37" s="11">
        <v>2</v>
      </c>
      <c r="L37" s="11">
        <v>5</v>
      </c>
      <c r="M37" s="11">
        <v>304</v>
      </c>
      <c r="N37" s="11" t="s">
        <v>529</v>
      </c>
    </row>
    <row r="38" spans="1:14">
      <c r="A38" s="11">
        <v>36</v>
      </c>
      <c r="B38" s="11" t="s">
        <v>607</v>
      </c>
      <c r="C38" s="12" t="s">
        <v>608</v>
      </c>
      <c r="D38" s="12" t="s">
        <v>609</v>
      </c>
      <c r="E38" s="11" t="s">
        <v>18</v>
      </c>
      <c r="F38" s="11" t="s">
        <v>244</v>
      </c>
      <c r="G38" s="11">
        <v>60</v>
      </c>
      <c r="H38" s="11">
        <f t="shared" si="0"/>
        <v>2</v>
      </c>
      <c r="I38" s="11">
        <v>38.99</v>
      </c>
      <c r="J38" s="19">
        <f t="shared" si="1"/>
        <v>2339.4</v>
      </c>
      <c r="K38" s="11">
        <v>27</v>
      </c>
      <c r="L38" s="11">
        <v>4</v>
      </c>
      <c r="M38" s="11">
        <v>154</v>
      </c>
      <c r="N38" s="11" t="s">
        <v>529</v>
      </c>
    </row>
    <row r="39" spans="1:14">
      <c r="A39" s="11">
        <v>37</v>
      </c>
      <c r="B39" s="11" t="s">
        <v>610</v>
      </c>
      <c r="C39" s="12" t="s">
        <v>611</v>
      </c>
      <c r="D39" s="12" t="s">
        <v>612</v>
      </c>
      <c r="E39" s="11" t="s">
        <v>11</v>
      </c>
      <c r="F39" s="11" t="s">
        <v>244</v>
      </c>
      <c r="G39" s="11">
        <v>60</v>
      </c>
      <c r="H39" s="11">
        <f t="shared" si="0"/>
        <v>2</v>
      </c>
      <c r="I39" s="11">
        <v>479.23</v>
      </c>
      <c r="J39" s="19">
        <f t="shared" si="1"/>
        <v>28753.8</v>
      </c>
      <c r="K39" s="11">
        <v>0</v>
      </c>
      <c r="L39" s="11">
        <v>0</v>
      </c>
      <c r="M39" s="11">
        <v>272</v>
      </c>
      <c r="N39" s="11" t="s">
        <v>551</v>
      </c>
    </row>
    <row r="40" spans="1:14">
      <c r="A40" s="11">
        <v>38</v>
      </c>
      <c r="B40" s="11" t="s">
        <v>613</v>
      </c>
      <c r="C40" s="12" t="s">
        <v>614</v>
      </c>
      <c r="D40" s="12" t="s">
        <v>615</v>
      </c>
      <c r="E40" s="11" t="s">
        <v>16</v>
      </c>
      <c r="F40" s="11" t="s">
        <v>244</v>
      </c>
      <c r="G40" s="11">
        <v>60</v>
      </c>
      <c r="H40" s="11">
        <f t="shared" si="0"/>
        <v>2</v>
      </c>
      <c r="I40" s="11">
        <v>139.94</v>
      </c>
      <c r="J40" s="19">
        <f t="shared" si="1"/>
        <v>8396.4</v>
      </c>
      <c r="K40" s="11">
        <v>26</v>
      </c>
      <c r="L40" s="11">
        <v>3.5</v>
      </c>
      <c r="M40" s="11">
        <v>367</v>
      </c>
      <c r="N40" s="11" t="s">
        <v>529</v>
      </c>
    </row>
    <row r="41" spans="1:14">
      <c r="A41" s="11">
        <v>39</v>
      </c>
      <c r="B41" s="11" t="s">
        <v>616</v>
      </c>
      <c r="C41" s="12" t="s">
        <v>617</v>
      </c>
      <c r="D41" s="12" t="s">
        <v>618</v>
      </c>
      <c r="E41" s="11" t="s">
        <v>23</v>
      </c>
      <c r="F41" s="11" t="s">
        <v>244</v>
      </c>
      <c r="G41" s="11">
        <v>60</v>
      </c>
      <c r="H41" s="11">
        <f t="shared" si="0"/>
        <v>2</v>
      </c>
      <c r="I41" s="11">
        <v>338</v>
      </c>
      <c r="J41" s="19">
        <f t="shared" si="1"/>
        <v>20280</v>
      </c>
      <c r="K41" s="11">
        <v>16</v>
      </c>
      <c r="L41" s="11">
        <v>4.3</v>
      </c>
      <c r="M41" s="11">
        <v>1074</v>
      </c>
      <c r="N41" s="11" t="s">
        <v>551</v>
      </c>
    </row>
    <row r="42" spans="1:14">
      <c r="A42" s="11">
        <v>40</v>
      </c>
      <c r="B42" s="11" t="s">
        <v>139</v>
      </c>
      <c r="C42" s="12" t="s">
        <v>137</v>
      </c>
      <c r="D42" s="12" t="s">
        <v>619</v>
      </c>
      <c r="E42" s="11" t="s">
        <v>14</v>
      </c>
      <c r="F42" s="11" t="s">
        <v>244</v>
      </c>
      <c r="G42" s="11">
        <v>60</v>
      </c>
      <c r="H42" s="11">
        <f t="shared" si="0"/>
        <v>2</v>
      </c>
      <c r="I42" s="11">
        <v>205.83</v>
      </c>
      <c r="J42" s="19">
        <f t="shared" si="1"/>
        <v>12349.8</v>
      </c>
      <c r="K42" s="11">
        <v>90</v>
      </c>
      <c r="L42" s="11">
        <v>3.8</v>
      </c>
      <c r="M42" s="11">
        <v>4190</v>
      </c>
      <c r="N42" s="11" t="s">
        <v>527</v>
      </c>
    </row>
    <row r="43" spans="1:14">
      <c r="A43" s="11">
        <v>41</v>
      </c>
      <c r="B43" s="11" t="s">
        <v>620</v>
      </c>
      <c r="C43" s="12" t="s">
        <v>621</v>
      </c>
      <c r="D43" s="12" t="s">
        <v>622</v>
      </c>
      <c r="E43" s="11" t="s">
        <v>22</v>
      </c>
      <c r="F43" s="11" t="s">
        <v>244</v>
      </c>
      <c r="G43" s="11">
        <v>60</v>
      </c>
      <c r="H43" s="11">
        <f t="shared" si="0"/>
        <v>2</v>
      </c>
      <c r="I43" s="11">
        <v>65.43</v>
      </c>
      <c r="J43" s="19">
        <f t="shared" si="1"/>
        <v>3925.8</v>
      </c>
      <c r="K43" s="11">
        <v>223</v>
      </c>
      <c r="L43" s="11">
        <v>4.1</v>
      </c>
      <c r="M43" s="11">
        <v>2631</v>
      </c>
      <c r="N43" s="11" t="s">
        <v>535</v>
      </c>
    </row>
    <row r="44" spans="1:14">
      <c r="A44" s="11">
        <v>42</v>
      </c>
      <c r="B44" s="11" t="s">
        <v>623</v>
      </c>
      <c r="C44" s="12" t="s">
        <v>624</v>
      </c>
      <c r="D44" s="12" t="s">
        <v>625</v>
      </c>
      <c r="E44" s="11" t="s">
        <v>12</v>
      </c>
      <c r="F44" s="11" t="s">
        <v>244</v>
      </c>
      <c r="G44" s="11">
        <v>60</v>
      </c>
      <c r="H44" s="11">
        <f t="shared" si="0"/>
        <v>2</v>
      </c>
      <c r="I44" s="11">
        <v>345.33</v>
      </c>
      <c r="J44" s="19">
        <f t="shared" si="1"/>
        <v>20719.8</v>
      </c>
      <c r="K44" s="11">
        <v>3</v>
      </c>
      <c r="L44" s="11">
        <v>2.7</v>
      </c>
      <c r="M44" s="11">
        <v>1582</v>
      </c>
      <c r="N44" s="11" t="s">
        <v>535</v>
      </c>
    </row>
    <row r="45" spans="1:14">
      <c r="A45" s="11">
        <v>43</v>
      </c>
      <c r="B45" s="11" t="s">
        <v>626</v>
      </c>
      <c r="C45" s="12" t="s">
        <v>627</v>
      </c>
      <c r="D45" s="12" t="s">
        <v>628</v>
      </c>
      <c r="E45" s="11" t="s">
        <v>23</v>
      </c>
      <c r="F45" s="11" t="s">
        <v>244</v>
      </c>
      <c r="G45" s="11">
        <v>60</v>
      </c>
      <c r="H45" s="11">
        <f t="shared" si="0"/>
        <v>2</v>
      </c>
      <c r="I45" s="11">
        <v>374.99</v>
      </c>
      <c r="J45" s="19">
        <f t="shared" si="1"/>
        <v>22499.4</v>
      </c>
      <c r="K45" s="11">
        <v>86</v>
      </c>
      <c r="L45" s="11">
        <v>3.7</v>
      </c>
      <c r="M45" s="11">
        <v>2431</v>
      </c>
      <c r="N45" s="11" t="s">
        <v>551</v>
      </c>
    </row>
    <row r="46" spans="1:14">
      <c r="A46" s="11">
        <v>44</v>
      </c>
      <c r="B46" s="11" t="s">
        <v>629</v>
      </c>
      <c r="C46" s="12" t="s">
        <v>630</v>
      </c>
      <c r="D46" s="12" t="s">
        <v>631</v>
      </c>
      <c r="E46" s="11" t="s">
        <v>23</v>
      </c>
      <c r="F46" s="11" t="s">
        <v>244</v>
      </c>
      <c r="G46" s="11">
        <v>30</v>
      </c>
      <c r="H46" s="11">
        <f t="shared" si="0"/>
        <v>1</v>
      </c>
      <c r="I46" s="11">
        <v>365</v>
      </c>
      <c r="J46" s="19">
        <f t="shared" si="1"/>
        <v>10950</v>
      </c>
      <c r="K46" s="11">
        <v>7</v>
      </c>
      <c r="L46" s="11">
        <v>3.4</v>
      </c>
      <c r="M46" s="11">
        <v>1280</v>
      </c>
      <c r="N46" s="11" t="s">
        <v>551</v>
      </c>
    </row>
    <row r="47" spans="1:14">
      <c r="A47" s="11">
        <v>45</v>
      </c>
      <c r="B47" s="11" t="s">
        <v>632</v>
      </c>
      <c r="C47" s="12" t="s">
        <v>633</v>
      </c>
      <c r="D47" s="12" t="s">
        <v>634</v>
      </c>
      <c r="E47" s="11" t="s">
        <v>23</v>
      </c>
      <c r="F47" s="11" t="s">
        <v>244</v>
      </c>
      <c r="G47" s="11">
        <v>30</v>
      </c>
      <c r="H47" s="11">
        <f t="shared" si="0"/>
        <v>1</v>
      </c>
      <c r="I47" s="11">
        <v>699</v>
      </c>
      <c r="J47" s="19">
        <f t="shared" si="1"/>
        <v>20970</v>
      </c>
      <c r="K47" s="11">
        <v>18</v>
      </c>
      <c r="L47" s="11">
        <v>3.3</v>
      </c>
      <c r="M47" s="11">
        <v>2695</v>
      </c>
      <c r="N47" s="11" t="s">
        <v>535</v>
      </c>
    </row>
    <row r="48" spans="1:14">
      <c r="A48" s="11">
        <v>46</v>
      </c>
      <c r="B48" s="11" t="s">
        <v>635</v>
      </c>
      <c r="C48" s="12" t="s">
        <v>636</v>
      </c>
      <c r="D48" s="12" t="s">
        <v>637</v>
      </c>
      <c r="E48" s="11" t="s">
        <v>10</v>
      </c>
      <c r="F48" s="11" t="s">
        <v>244</v>
      </c>
      <c r="G48" s="11">
        <v>30</v>
      </c>
      <c r="H48" s="11">
        <f t="shared" si="0"/>
        <v>1</v>
      </c>
      <c r="I48" s="11">
        <v>868.63</v>
      </c>
      <c r="J48" s="19">
        <f t="shared" si="1"/>
        <v>26058.9</v>
      </c>
      <c r="K48" s="11">
        <v>0</v>
      </c>
      <c r="L48" s="11">
        <v>0</v>
      </c>
      <c r="M48" s="11">
        <v>3410</v>
      </c>
      <c r="N48" s="11" t="s">
        <v>527</v>
      </c>
    </row>
    <row r="49" spans="1:14">
      <c r="A49" s="11">
        <v>47</v>
      </c>
      <c r="B49" s="11" t="s">
        <v>638</v>
      </c>
      <c r="C49" s="12" t="s">
        <v>639</v>
      </c>
      <c r="D49" s="12" t="s">
        <v>640</v>
      </c>
      <c r="E49" s="11" t="s">
        <v>23</v>
      </c>
      <c r="F49" s="11" t="s">
        <v>244</v>
      </c>
      <c r="G49" s="11">
        <v>30</v>
      </c>
      <c r="H49" s="11">
        <f t="shared" si="0"/>
        <v>1</v>
      </c>
      <c r="I49" s="11">
        <v>570</v>
      </c>
      <c r="J49" s="19">
        <f t="shared" si="1"/>
        <v>17100</v>
      </c>
      <c r="K49" s="11">
        <v>11</v>
      </c>
      <c r="L49" s="11">
        <v>3.7</v>
      </c>
      <c r="M49" s="11">
        <v>1560</v>
      </c>
      <c r="N49" s="11" t="s">
        <v>535</v>
      </c>
    </row>
    <row r="50" spans="1:14">
      <c r="A50" s="11">
        <v>48</v>
      </c>
      <c r="B50" s="11" t="s">
        <v>641</v>
      </c>
      <c r="C50" s="12" t="s">
        <v>642</v>
      </c>
      <c r="D50" s="12" t="s">
        <v>643</v>
      </c>
      <c r="E50" s="11" t="s">
        <v>19</v>
      </c>
      <c r="F50" s="11" t="s">
        <v>244</v>
      </c>
      <c r="G50" s="11">
        <v>30</v>
      </c>
      <c r="H50" s="11">
        <f t="shared" si="0"/>
        <v>1</v>
      </c>
      <c r="I50" s="11">
        <v>86.88</v>
      </c>
      <c r="J50" s="19">
        <f t="shared" si="1"/>
        <v>2606.4</v>
      </c>
      <c r="K50" s="11">
        <v>94</v>
      </c>
      <c r="L50" s="11">
        <v>3.7</v>
      </c>
      <c r="M50" s="11">
        <v>504</v>
      </c>
      <c r="N50" s="11" t="s">
        <v>529</v>
      </c>
    </row>
  </sheetData>
  <autoFilter ref="A2:N5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市场分析</vt:lpstr>
      <vt:lpstr>竞品分析</vt:lpstr>
      <vt:lpstr>竞品品牌分析</vt:lpstr>
      <vt:lpstr>用户场景分析</vt:lpstr>
      <vt:lpstr>用户需求分析</vt:lpstr>
      <vt:lpstr>产品测试报告</vt:lpstr>
      <vt:lpstr>利润分析</vt:lpstr>
      <vt:lpstr>投入产出表</vt:lpstr>
      <vt:lpstr>数据源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cassie</dc:creator>
  <cp:lastModifiedBy>Caden</cp:lastModifiedBy>
  <dcterms:created xsi:type="dcterms:W3CDTF">2020-09-22T10:52:00Z</dcterms:created>
  <dcterms:modified xsi:type="dcterms:W3CDTF">2024-03-11T06:37:40Z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189A6FC17E604033B867E5B4794767F5_13</vt:lpwstr>
  </property>
</Properties>
</file>