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nqingyi/Downloads/"/>
    </mc:Choice>
  </mc:AlternateContent>
  <xr:revisionPtr revIDLastSave="0" documentId="13_ncr:1_{102717D9-90E9-6C4F-9E8B-B89EFBE1555A}" xr6:coauthVersionLast="36" xr6:coauthVersionMax="36" xr10:uidLastSave="{00000000-0000-0000-0000-000000000000}"/>
  <bookViews>
    <workbookView xWindow="560" yWindow="460" windowWidth="25040" windowHeight="14000" activeTab="1" xr2:uid="{00000000-000D-0000-FFFF-FFFF00000000}"/>
  </bookViews>
  <sheets>
    <sheet name="Sheet1" sheetId="1" r:id="rId1"/>
    <sheet name="研发投入" sheetId="3" r:id="rId2"/>
    <sheet name="Sheet2" sheetId="2" r:id="rId3"/>
  </sheets>
  <definedNames>
    <definedName name="_xlnm._FilterDatabase" localSheetId="0" hidden="1">Sheet1!$A$3:$O$87</definedName>
    <definedName name="_xlnm._FilterDatabase" localSheetId="2" hidden="1">Sheet2!$A$10:$I$28</definedName>
    <definedName name="_xlnm._FilterDatabase" localSheetId="1" hidden="1">研发投入!$A$3:$Q$41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5" i="3" l="1"/>
  <c r="S5" i="3"/>
  <c r="T5" i="3"/>
  <c r="R6" i="3"/>
  <c r="S6" i="3"/>
  <c r="T6" i="3"/>
  <c r="R7" i="3"/>
  <c r="S7" i="3"/>
  <c r="T7" i="3"/>
  <c r="R8" i="3"/>
  <c r="S8" i="3"/>
  <c r="T8" i="3"/>
  <c r="R9" i="3"/>
  <c r="S9" i="3"/>
  <c r="T9" i="3"/>
  <c r="R10" i="3"/>
  <c r="S10" i="3"/>
  <c r="T10" i="3"/>
  <c r="R11" i="3"/>
  <c r="S11" i="3"/>
  <c r="T11" i="3"/>
  <c r="R12" i="3"/>
  <c r="S12" i="3"/>
  <c r="T12" i="3"/>
  <c r="R13" i="3"/>
  <c r="S13" i="3"/>
  <c r="T13" i="3"/>
  <c r="R14" i="3"/>
  <c r="S14" i="3"/>
  <c r="T14" i="3"/>
  <c r="R15" i="3"/>
  <c r="S15" i="3"/>
  <c r="T15" i="3"/>
  <c r="R16" i="3"/>
  <c r="S16" i="3"/>
  <c r="T16" i="3"/>
  <c r="R17" i="3"/>
  <c r="S17" i="3"/>
  <c r="T17" i="3"/>
  <c r="R18" i="3"/>
  <c r="S18" i="3"/>
  <c r="T18" i="3"/>
  <c r="R19" i="3"/>
  <c r="S19" i="3"/>
  <c r="T19" i="3"/>
  <c r="R20" i="3"/>
  <c r="S20" i="3"/>
  <c r="T20" i="3"/>
  <c r="R21" i="3"/>
  <c r="S21" i="3"/>
  <c r="T21" i="3"/>
  <c r="R22" i="3"/>
  <c r="S22" i="3"/>
  <c r="T22" i="3"/>
  <c r="R23" i="3"/>
  <c r="S23" i="3"/>
  <c r="T23" i="3"/>
  <c r="R24" i="3"/>
  <c r="S24" i="3"/>
  <c r="T24" i="3"/>
  <c r="R25" i="3"/>
  <c r="S25" i="3"/>
  <c r="T25" i="3"/>
  <c r="R26" i="3"/>
  <c r="S26" i="3"/>
  <c r="T26" i="3"/>
  <c r="R27" i="3"/>
  <c r="S27" i="3"/>
  <c r="T27" i="3"/>
  <c r="R28" i="3"/>
  <c r="S28" i="3"/>
  <c r="T28" i="3"/>
  <c r="R29" i="3"/>
  <c r="S29" i="3"/>
  <c r="T29" i="3"/>
  <c r="R30" i="3"/>
  <c r="S30" i="3"/>
  <c r="T30" i="3"/>
  <c r="R31" i="3"/>
  <c r="S31" i="3"/>
  <c r="T31" i="3"/>
  <c r="R32" i="3"/>
  <c r="S32" i="3"/>
  <c r="T32" i="3"/>
  <c r="R33" i="3"/>
  <c r="S33" i="3"/>
  <c r="T33" i="3"/>
  <c r="R34" i="3"/>
  <c r="S34" i="3"/>
  <c r="T34" i="3"/>
  <c r="R35" i="3"/>
  <c r="S35" i="3"/>
  <c r="T35" i="3"/>
  <c r="R36" i="3"/>
  <c r="S36" i="3"/>
  <c r="T36" i="3"/>
  <c r="R37" i="3"/>
  <c r="S37" i="3"/>
  <c r="T37" i="3"/>
  <c r="R38" i="3"/>
  <c r="S38" i="3"/>
  <c r="T38" i="3"/>
  <c r="R39" i="3"/>
  <c r="S39" i="3"/>
  <c r="T39" i="3"/>
  <c r="R40" i="3"/>
  <c r="S40" i="3"/>
  <c r="T40" i="3"/>
  <c r="R41" i="3"/>
  <c r="S41" i="3"/>
  <c r="T41" i="3"/>
  <c r="R42" i="3"/>
  <c r="S42" i="3"/>
  <c r="T42" i="3"/>
  <c r="R43" i="3"/>
  <c r="S43" i="3"/>
  <c r="T43" i="3"/>
  <c r="R44" i="3"/>
  <c r="S44" i="3"/>
  <c r="T44" i="3"/>
  <c r="R45" i="3"/>
  <c r="S45" i="3"/>
  <c r="T45" i="3"/>
  <c r="T4" i="3"/>
  <c r="S4" i="3"/>
  <c r="R4" i="3"/>
  <c r="N31" i="3" l="1"/>
  <c r="H25" i="3"/>
  <c r="H17" i="3"/>
  <c r="G31" i="3"/>
  <c r="V3" i="2" l="1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2" i="2"/>
  <c r="Q71" i="1"/>
  <c r="Q72" i="1"/>
  <c r="Q73" i="1"/>
  <c r="H7" i="1"/>
  <c r="G7" i="1"/>
  <c r="O31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0" i="3"/>
  <c r="H29" i="3"/>
  <c r="H28" i="3"/>
  <c r="H27" i="3"/>
  <c r="D26" i="3"/>
  <c r="H24" i="3"/>
  <c r="H23" i="3"/>
  <c r="H22" i="3"/>
  <c r="H21" i="3"/>
  <c r="I61" i="1"/>
  <c r="K61" i="1"/>
  <c r="K70" i="1"/>
  <c r="K71" i="1"/>
  <c r="K72" i="1"/>
  <c r="K73" i="1"/>
  <c r="I70" i="1"/>
  <c r="N70" i="1" s="1"/>
  <c r="I71" i="1"/>
  <c r="N71" i="1" s="1"/>
  <c r="P71" i="1" s="1"/>
  <c r="I72" i="1"/>
  <c r="N72" i="1" s="1"/>
  <c r="P72" i="1" s="1"/>
  <c r="I73" i="1"/>
  <c r="N73" i="1" s="1"/>
  <c r="P73" i="1" s="1"/>
  <c r="H26" i="3" l="1"/>
  <c r="J33" i="3" s="1"/>
  <c r="I8" i="3"/>
  <c r="I12" i="3"/>
  <c r="I16" i="3"/>
  <c r="I20" i="3"/>
  <c r="I24" i="3"/>
  <c r="I28" i="3"/>
  <c r="I32" i="3"/>
  <c r="I36" i="3"/>
  <c r="I40" i="3"/>
  <c r="I44" i="3"/>
  <c r="I5" i="3"/>
  <c r="I9" i="3"/>
  <c r="I13" i="3"/>
  <c r="I17" i="3"/>
  <c r="I21" i="3"/>
  <c r="I25" i="3"/>
  <c r="I29" i="3"/>
  <c r="I33" i="3"/>
  <c r="I37" i="3"/>
  <c r="I41" i="3"/>
  <c r="I45" i="3"/>
  <c r="I6" i="3"/>
  <c r="I10" i="3"/>
  <c r="I14" i="3"/>
  <c r="I18" i="3"/>
  <c r="I22" i="3"/>
  <c r="I26" i="3"/>
  <c r="I30" i="3"/>
  <c r="I34" i="3"/>
  <c r="I38" i="3"/>
  <c r="I42" i="3"/>
  <c r="I4" i="3"/>
  <c r="I7" i="3"/>
  <c r="I11" i="3"/>
  <c r="I15" i="3"/>
  <c r="I19" i="3"/>
  <c r="I23" i="3"/>
  <c r="I27" i="3"/>
  <c r="I31" i="3"/>
  <c r="I35" i="3"/>
  <c r="I39" i="3"/>
  <c r="I43" i="3"/>
  <c r="E10" i="3"/>
  <c r="E19" i="3"/>
  <c r="E12" i="3"/>
  <c r="E21" i="3"/>
  <c r="E5" i="3"/>
  <c r="E14" i="3"/>
  <c r="E7" i="3"/>
  <c r="E16" i="3"/>
  <c r="F22" i="3"/>
  <c r="F44" i="3"/>
  <c r="F5" i="3"/>
  <c r="F7" i="3"/>
  <c r="F10" i="3"/>
  <c r="F12" i="3"/>
  <c r="F14" i="3"/>
  <c r="F16" i="3"/>
  <c r="F19" i="3"/>
  <c r="F21" i="3"/>
  <c r="E24" i="3"/>
  <c r="F25" i="3"/>
  <c r="F17" i="3"/>
  <c r="E6" i="3"/>
  <c r="E15" i="3"/>
  <c r="F24" i="3"/>
  <c r="E4" i="3"/>
  <c r="E9" i="3"/>
  <c r="E11" i="3"/>
  <c r="E13" i="3"/>
  <c r="E18" i="3"/>
  <c r="E20" i="3"/>
  <c r="E23" i="3"/>
  <c r="F4" i="3"/>
  <c r="F6" i="3"/>
  <c r="F9" i="3"/>
  <c r="G9" i="3" s="1"/>
  <c r="F11" i="3"/>
  <c r="G11" i="3" s="1"/>
  <c r="F13" i="3"/>
  <c r="G13" i="3" s="1"/>
  <c r="F15" i="3"/>
  <c r="F18" i="3"/>
  <c r="F20" i="3"/>
  <c r="E22" i="3"/>
  <c r="F23" i="3"/>
  <c r="N61" i="1"/>
  <c r="E17" i="3"/>
  <c r="F8" i="3"/>
  <c r="E8" i="3"/>
  <c r="E25" i="3"/>
  <c r="F26" i="3"/>
  <c r="E29" i="3"/>
  <c r="F30" i="3"/>
  <c r="E34" i="3"/>
  <c r="F35" i="3"/>
  <c r="E38" i="3"/>
  <c r="F39" i="3"/>
  <c r="E42" i="3"/>
  <c r="F43" i="3"/>
  <c r="E28" i="3"/>
  <c r="F29" i="3"/>
  <c r="E33" i="3"/>
  <c r="F34" i="3"/>
  <c r="E37" i="3"/>
  <c r="F38" i="3"/>
  <c r="E41" i="3"/>
  <c r="F42" i="3"/>
  <c r="E45" i="3"/>
  <c r="E27" i="3"/>
  <c r="F28" i="3"/>
  <c r="E32" i="3"/>
  <c r="F33" i="3"/>
  <c r="E36" i="3"/>
  <c r="F37" i="3"/>
  <c r="E40" i="3"/>
  <c r="F41" i="3"/>
  <c r="E44" i="3"/>
  <c r="F45" i="3"/>
  <c r="E26" i="3"/>
  <c r="F27" i="3"/>
  <c r="E30" i="3"/>
  <c r="F32" i="3"/>
  <c r="E35" i="3"/>
  <c r="F36" i="3"/>
  <c r="E39" i="3"/>
  <c r="F40" i="3"/>
  <c r="E43" i="3"/>
  <c r="K55" i="1"/>
  <c r="I55" i="1"/>
  <c r="N30" i="1"/>
  <c r="K41" i="1"/>
  <c r="I41" i="1"/>
  <c r="J36" i="3" l="1"/>
  <c r="J34" i="3"/>
  <c r="J25" i="3"/>
  <c r="J20" i="3"/>
  <c r="J19" i="3"/>
  <c r="J18" i="3"/>
  <c r="J35" i="3"/>
  <c r="J21" i="3"/>
  <c r="J16" i="3"/>
  <c r="J11" i="3"/>
  <c r="J14" i="3"/>
  <c r="J5" i="3"/>
  <c r="J39" i="3"/>
  <c r="J38" i="3"/>
  <c r="J44" i="3"/>
  <c r="G12" i="3"/>
  <c r="J41" i="3"/>
  <c r="J13" i="3"/>
  <c r="J32" i="3"/>
  <c r="J12" i="3"/>
  <c r="J27" i="3"/>
  <c r="J7" i="3"/>
  <c r="J30" i="3"/>
  <c r="J6" i="3"/>
  <c r="J29" i="3"/>
  <c r="J9" i="3"/>
  <c r="J28" i="3"/>
  <c r="J43" i="3"/>
  <c r="J23" i="3"/>
  <c r="J4" i="3"/>
  <c r="J22" i="3"/>
  <c r="J45" i="3"/>
  <c r="G15" i="3"/>
  <c r="J37" i="3"/>
  <c r="J17" i="3"/>
  <c r="J40" i="3"/>
  <c r="J24" i="3"/>
  <c r="J8" i="3"/>
  <c r="N8" i="3" s="1"/>
  <c r="J31" i="3"/>
  <c r="J15" i="3"/>
  <c r="J42" i="3"/>
  <c r="J26" i="3"/>
  <c r="J10" i="3"/>
  <c r="G19" i="3"/>
  <c r="G38" i="3"/>
  <c r="G29" i="3"/>
  <c r="K8" i="3"/>
  <c r="G45" i="3"/>
  <c r="G37" i="3"/>
  <c r="G28" i="3"/>
  <c r="G23" i="3"/>
  <c r="G6" i="3"/>
  <c r="G14" i="3"/>
  <c r="G5" i="3"/>
  <c r="G40" i="3"/>
  <c r="G17" i="3"/>
  <c r="G32" i="3"/>
  <c r="G20" i="3"/>
  <c r="G10" i="3"/>
  <c r="G39" i="3"/>
  <c r="G21" i="3"/>
  <c r="G27" i="3"/>
  <c r="G33" i="3"/>
  <c r="G8" i="3"/>
  <c r="G44" i="3"/>
  <c r="G30" i="3"/>
  <c r="G4" i="3"/>
  <c r="G36" i="3"/>
  <c r="G41" i="3"/>
  <c r="G42" i="3"/>
  <c r="G34" i="3"/>
  <c r="G43" i="3"/>
  <c r="G35" i="3"/>
  <c r="G26" i="3"/>
  <c r="G18" i="3"/>
  <c r="G24" i="3"/>
  <c r="G16" i="3"/>
  <c r="G7" i="3"/>
  <c r="G22" i="3"/>
  <c r="G25" i="3"/>
  <c r="K30" i="3"/>
  <c r="K9" i="3"/>
  <c r="K17" i="3"/>
  <c r="K12" i="3"/>
  <c r="K18" i="3"/>
  <c r="K4" i="3"/>
  <c r="K35" i="3"/>
  <c r="K21" i="3"/>
  <c r="K39" i="3"/>
  <c r="L13" i="3"/>
  <c r="L16" i="3"/>
  <c r="K43" i="3"/>
  <c r="K26" i="3"/>
  <c r="L21" i="3"/>
  <c r="K5" i="3"/>
  <c r="L36" i="3"/>
  <c r="L32" i="3"/>
  <c r="L27" i="3"/>
  <c r="K25" i="3"/>
  <c r="K22" i="3"/>
  <c r="L22" i="3"/>
  <c r="K44" i="3"/>
  <c r="K40" i="3"/>
  <c r="K36" i="3"/>
  <c r="K32" i="3"/>
  <c r="K27" i="3"/>
  <c r="K45" i="3"/>
  <c r="K41" i="3"/>
  <c r="K37" i="3"/>
  <c r="K33" i="3"/>
  <c r="K28" i="3"/>
  <c r="L43" i="3"/>
  <c r="L39" i="3"/>
  <c r="L35" i="3"/>
  <c r="L30" i="3"/>
  <c r="L26" i="3"/>
  <c r="K24" i="3"/>
  <c r="L6" i="3"/>
  <c r="K15" i="3"/>
  <c r="L11" i="3"/>
  <c r="L20" i="3"/>
  <c r="K10" i="3"/>
  <c r="K19" i="3"/>
  <c r="L14" i="3"/>
  <c r="L45" i="3"/>
  <c r="L41" i="3"/>
  <c r="L37" i="3"/>
  <c r="L33" i="3"/>
  <c r="L28" i="3"/>
  <c r="L23" i="3"/>
  <c r="L42" i="3"/>
  <c r="L38" i="3"/>
  <c r="L34" i="3"/>
  <c r="L29" i="3"/>
  <c r="L24" i="3"/>
  <c r="K42" i="3"/>
  <c r="K38" i="3"/>
  <c r="K34" i="3"/>
  <c r="K29" i="3"/>
  <c r="L25" i="3"/>
  <c r="K20" i="3"/>
  <c r="K11" i="3"/>
  <c r="K7" i="3"/>
  <c r="L15" i="3"/>
  <c r="L5" i="3"/>
  <c r="K14" i="3"/>
  <c r="K6" i="3"/>
  <c r="L44" i="3"/>
  <c r="L40" i="3"/>
  <c r="K23" i="3"/>
  <c r="L4" i="3"/>
  <c r="K13" i="3"/>
  <c r="L9" i="3"/>
  <c r="L18" i="3"/>
  <c r="L7" i="3"/>
  <c r="K16" i="3"/>
  <c r="L12" i="3"/>
  <c r="L10" i="3"/>
  <c r="M10" i="3" s="1"/>
  <c r="N10" i="3" s="1"/>
  <c r="L19" i="3"/>
  <c r="L17" i="3"/>
  <c r="L8" i="3"/>
  <c r="N41" i="1"/>
  <c r="P41" i="1" s="1"/>
  <c r="N55" i="1"/>
  <c r="P55" i="1" s="1"/>
  <c r="P20" i="1"/>
  <c r="P30" i="1"/>
  <c r="P61" i="1"/>
  <c r="P70" i="1"/>
  <c r="R71" i="1" l="1"/>
  <c r="T71" i="1" s="1"/>
  <c r="U71" i="1" s="1"/>
  <c r="R72" i="1"/>
  <c r="T72" i="1" s="1"/>
  <c r="U72" i="1" s="1"/>
  <c r="R73" i="1"/>
  <c r="T73" i="1" s="1"/>
  <c r="U73" i="1" s="1"/>
  <c r="M18" i="3"/>
  <c r="N18" i="3" s="1"/>
  <c r="M33" i="3"/>
  <c r="N33" i="3" s="1"/>
  <c r="M6" i="3"/>
  <c r="N6" i="3" s="1"/>
  <c r="O6" i="3" s="1"/>
  <c r="M30" i="3"/>
  <c r="N30" i="3" s="1"/>
  <c r="O30" i="3" s="1"/>
  <c r="M35" i="3"/>
  <c r="M8" i="3"/>
  <c r="O8" i="3" s="1"/>
  <c r="M21" i="3"/>
  <c r="N21" i="3" s="1"/>
  <c r="O21" i="3" s="1"/>
  <c r="M12" i="3"/>
  <c r="O10" i="3"/>
  <c r="M9" i="3"/>
  <c r="N9" i="3" s="1"/>
  <c r="O18" i="3"/>
  <c r="M17" i="3"/>
  <c r="N17" i="3" s="1"/>
  <c r="M44" i="3"/>
  <c r="N44" i="3" s="1"/>
  <c r="M27" i="3"/>
  <c r="N27" i="3" s="1"/>
  <c r="O27" i="3" s="1"/>
  <c r="M14" i="3"/>
  <c r="N14" i="3" s="1"/>
  <c r="M5" i="3"/>
  <c r="M4" i="3"/>
  <c r="N4" i="3" s="1"/>
  <c r="M13" i="3"/>
  <c r="N13" i="3" s="1"/>
  <c r="M40" i="3"/>
  <c r="N40" i="3" s="1"/>
  <c r="M19" i="3"/>
  <c r="N19" i="3" s="1"/>
  <c r="M25" i="3"/>
  <c r="N25" i="3" s="1"/>
  <c r="M28" i="3"/>
  <c r="N28" i="3" s="1"/>
  <c r="M45" i="3"/>
  <c r="M39" i="3"/>
  <c r="N39" i="3" s="1"/>
  <c r="M15" i="3"/>
  <c r="N15" i="3" s="1"/>
  <c r="M11" i="3"/>
  <c r="N11" i="3" s="1"/>
  <c r="M26" i="3"/>
  <c r="N26" i="3" s="1"/>
  <c r="M41" i="3"/>
  <c r="N41" i="3" s="1"/>
  <c r="M36" i="3"/>
  <c r="N36" i="3" s="1"/>
  <c r="M16" i="3"/>
  <c r="N16" i="3" s="1"/>
  <c r="M22" i="3"/>
  <c r="N22" i="3" s="1"/>
  <c r="M24" i="3"/>
  <c r="N24" i="3" s="1"/>
  <c r="M37" i="3"/>
  <c r="N37" i="3" s="1"/>
  <c r="M43" i="3"/>
  <c r="N43" i="3" s="1"/>
  <c r="M7" i="3"/>
  <c r="N7" i="3" s="1"/>
  <c r="M20" i="3"/>
  <c r="N20" i="3" s="1"/>
  <c r="M32" i="3"/>
  <c r="N32" i="3" s="1"/>
  <c r="M42" i="3"/>
  <c r="N42" i="3" s="1"/>
  <c r="M29" i="3"/>
  <c r="N29" i="3" s="1"/>
  <c r="M23" i="3"/>
  <c r="N23" i="3" s="1"/>
  <c r="M34" i="3"/>
  <c r="N34" i="3" s="1"/>
  <c r="M38" i="3"/>
  <c r="N38" i="3" s="1"/>
  <c r="O33" i="3"/>
  <c r="N7" i="1"/>
  <c r="P7" i="1" s="1"/>
  <c r="N5" i="3" l="1"/>
  <c r="O5" i="3" s="1"/>
  <c r="N12" i="3"/>
  <c r="O12" i="3" s="1"/>
  <c r="N45" i="3"/>
  <c r="O45" i="3" s="1"/>
  <c r="N35" i="3"/>
  <c r="O35" i="3" s="1"/>
  <c r="O23" i="3"/>
  <c r="O43" i="3"/>
  <c r="O22" i="3"/>
  <c r="O26" i="3"/>
  <c r="O29" i="3"/>
  <c r="O32" i="3"/>
  <c r="O37" i="3"/>
  <c r="O16" i="3"/>
  <c r="O11" i="3"/>
  <c r="O28" i="3"/>
  <c r="O40" i="3"/>
  <c r="O14" i="3"/>
  <c r="O38" i="3"/>
  <c r="O20" i="3"/>
  <c r="O24" i="3"/>
  <c r="O36" i="3"/>
  <c r="O15" i="3"/>
  <c r="O25" i="3"/>
  <c r="O13" i="3"/>
  <c r="O9" i="3"/>
  <c r="O17" i="3"/>
  <c r="O34" i="3"/>
  <c r="O42" i="3"/>
  <c r="O7" i="3"/>
  <c r="O41" i="3"/>
  <c r="O39" i="3"/>
  <c r="O19" i="3"/>
  <c r="O4" i="3"/>
  <c r="O44" i="3"/>
  <c r="K38" i="1"/>
  <c r="K39" i="1"/>
  <c r="K40" i="1"/>
  <c r="I38" i="1"/>
  <c r="I39" i="1"/>
  <c r="I40" i="1"/>
  <c r="N15" i="1"/>
  <c r="P15" i="1" s="1"/>
  <c r="N11" i="1"/>
  <c r="P11" i="1" s="1"/>
  <c r="N12" i="1"/>
  <c r="P12" i="1" s="1"/>
  <c r="N13" i="1"/>
  <c r="P13" i="1" s="1"/>
  <c r="N14" i="1"/>
  <c r="P14" i="1" s="1"/>
  <c r="I77" i="1"/>
  <c r="I78" i="1"/>
  <c r="I79" i="1"/>
  <c r="I80" i="1"/>
  <c r="I81" i="1"/>
  <c r="K77" i="1"/>
  <c r="K78" i="1"/>
  <c r="K79" i="1"/>
  <c r="K80" i="1"/>
  <c r="K81" i="1"/>
  <c r="I87" i="1"/>
  <c r="I86" i="1"/>
  <c r="I85" i="1"/>
  <c r="I84" i="1"/>
  <c r="I83" i="1"/>
  <c r="I82" i="1"/>
  <c r="I76" i="1"/>
  <c r="I75" i="1"/>
  <c r="I74" i="1"/>
  <c r="I69" i="1"/>
  <c r="I68" i="1"/>
  <c r="I67" i="1"/>
  <c r="I66" i="1"/>
  <c r="I65" i="1"/>
  <c r="I64" i="1"/>
  <c r="I63" i="1"/>
  <c r="I62" i="1"/>
  <c r="I60" i="1"/>
  <c r="I59" i="1"/>
  <c r="I58" i="1"/>
  <c r="I57" i="1"/>
  <c r="I56" i="1"/>
  <c r="I54" i="1"/>
  <c r="I53" i="1"/>
  <c r="I52" i="1"/>
  <c r="I51" i="1"/>
  <c r="I50" i="1"/>
  <c r="I48" i="1"/>
  <c r="I47" i="1"/>
  <c r="I46" i="1"/>
  <c r="I45" i="1"/>
  <c r="I44" i="1"/>
  <c r="I43" i="1"/>
  <c r="I42" i="1"/>
  <c r="K37" i="1"/>
  <c r="K36" i="1"/>
  <c r="K35" i="1"/>
  <c r="K34" i="1"/>
  <c r="K33" i="1"/>
  <c r="K32" i="1"/>
  <c r="K45" i="1"/>
  <c r="K44" i="1"/>
  <c r="K43" i="1"/>
  <c r="K42" i="1"/>
  <c r="K87" i="1"/>
  <c r="K86" i="1"/>
  <c r="K85" i="1"/>
  <c r="K84" i="1"/>
  <c r="K83" i="1"/>
  <c r="K82" i="1"/>
  <c r="K76" i="1"/>
  <c r="K75" i="1"/>
  <c r="K74" i="1"/>
  <c r="K69" i="1"/>
  <c r="K68" i="1"/>
  <c r="K67" i="1"/>
  <c r="K66" i="1"/>
  <c r="K65" i="1"/>
  <c r="K64" i="1"/>
  <c r="K63" i="1"/>
  <c r="K62" i="1"/>
  <c r="K60" i="1"/>
  <c r="K59" i="1"/>
  <c r="K58" i="1"/>
  <c r="K57" i="1"/>
  <c r="K56" i="1"/>
  <c r="K54" i="1"/>
  <c r="K53" i="1"/>
  <c r="K52" i="1"/>
  <c r="K51" i="1"/>
  <c r="K50" i="1"/>
  <c r="I31" i="1"/>
  <c r="N31" i="1" s="1"/>
  <c r="P31" i="1" s="1"/>
  <c r="I29" i="1"/>
  <c r="N29" i="1" s="1"/>
  <c r="P29" i="1" s="1"/>
  <c r="I28" i="1"/>
  <c r="N28" i="1" s="1"/>
  <c r="P28" i="1" s="1"/>
  <c r="I27" i="1"/>
  <c r="N27" i="1" s="1"/>
  <c r="P27" i="1" s="1"/>
  <c r="I26" i="1"/>
  <c r="N26" i="1" s="1"/>
  <c r="P26" i="1" s="1"/>
  <c r="I25" i="1"/>
  <c r="N25" i="1" s="1"/>
  <c r="P25" i="1" s="1"/>
  <c r="I24" i="1"/>
  <c r="N24" i="1" s="1"/>
  <c r="P24" i="1" s="1"/>
  <c r="I23" i="1"/>
  <c r="N23" i="1" s="1"/>
  <c r="P23" i="1" s="1"/>
  <c r="I22" i="1"/>
  <c r="N22" i="1" s="1"/>
  <c r="P22" i="1" s="1"/>
  <c r="I21" i="1"/>
  <c r="N21" i="1" s="1"/>
  <c r="P21" i="1" s="1"/>
  <c r="I19" i="1"/>
  <c r="N19" i="1" s="1"/>
  <c r="P19" i="1" s="1"/>
  <c r="I18" i="1"/>
  <c r="N18" i="1" s="1"/>
  <c r="P18" i="1" s="1"/>
  <c r="I17" i="1"/>
  <c r="N17" i="1" s="1"/>
  <c r="P17" i="1" s="1"/>
  <c r="I16" i="1"/>
  <c r="N16" i="1" s="1"/>
  <c r="P16" i="1" s="1"/>
  <c r="I10" i="1"/>
  <c r="I9" i="1"/>
  <c r="N9" i="1" s="1"/>
  <c r="P9" i="1" s="1"/>
  <c r="I5" i="1"/>
  <c r="D93" i="1" s="1"/>
  <c r="N4" i="1"/>
  <c r="P4" i="1" s="1"/>
  <c r="N6" i="1"/>
  <c r="P6" i="1" s="1"/>
  <c r="K47" i="1"/>
  <c r="K48" i="1"/>
  <c r="K46" i="1"/>
  <c r="N47" i="1" l="1"/>
  <c r="P47" i="1" s="1"/>
  <c r="P10" i="1"/>
  <c r="N10" i="1"/>
  <c r="N45" i="1"/>
  <c r="P45" i="1" s="1"/>
  <c r="N80" i="1"/>
  <c r="P80" i="1" s="1"/>
  <c r="N78" i="1"/>
  <c r="P78" i="1" s="1"/>
  <c r="N79" i="1"/>
  <c r="P79" i="1" s="1"/>
  <c r="N39" i="1"/>
  <c r="P39" i="1" s="1"/>
  <c r="N81" i="1"/>
  <c r="P81" i="1" s="1"/>
  <c r="N77" i="1"/>
  <c r="P77" i="1" s="1"/>
  <c r="N40" i="1"/>
  <c r="P40" i="1" s="1"/>
  <c r="N38" i="1"/>
  <c r="P38" i="1" s="1"/>
  <c r="N43" i="1"/>
  <c r="P43" i="1" s="1"/>
  <c r="N53" i="1"/>
  <c r="P53" i="1" s="1"/>
  <c r="N58" i="1"/>
  <c r="P58" i="1" s="1"/>
  <c r="N63" i="1"/>
  <c r="P63" i="1" s="1"/>
  <c r="N67" i="1"/>
  <c r="P67" i="1" s="1"/>
  <c r="N75" i="1"/>
  <c r="P75" i="1" s="1"/>
  <c r="N84" i="1"/>
  <c r="P84" i="1" s="1"/>
  <c r="N83" i="1"/>
  <c r="P83" i="1" s="1"/>
  <c r="N87" i="1"/>
  <c r="P87" i="1" s="1"/>
  <c r="N46" i="1"/>
  <c r="P46" i="1" s="1"/>
  <c r="N50" i="1"/>
  <c r="P50" i="1" s="1"/>
  <c r="N85" i="1"/>
  <c r="P85" i="1" s="1"/>
  <c r="N44" i="1"/>
  <c r="P44" i="1" s="1"/>
  <c r="N48" i="1"/>
  <c r="P48" i="1" s="1"/>
  <c r="N52" i="1"/>
  <c r="P52" i="1" s="1"/>
  <c r="N57" i="1"/>
  <c r="P57" i="1" s="1"/>
  <c r="N62" i="1"/>
  <c r="P62" i="1" s="1"/>
  <c r="N66" i="1"/>
  <c r="P66" i="1" s="1"/>
  <c r="N74" i="1"/>
  <c r="P74" i="1" s="1"/>
  <c r="N51" i="1"/>
  <c r="P51" i="1" s="1"/>
  <c r="N56" i="1"/>
  <c r="P56" i="1" s="1"/>
  <c r="N60" i="1"/>
  <c r="P60" i="1" s="1"/>
  <c r="N65" i="1"/>
  <c r="P65" i="1" s="1"/>
  <c r="N69" i="1"/>
  <c r="P69" i="1" s="1"/>
  <c r="N82" i="1"/>
  <c r="P82" i="1" s="1"/>
  <c r="N86" i="1"/>
  <c r="P86" i="1" s="1"/>
  <c r="N42" i="1"/>
  <c r="P42" i="1" s="1"/>
  <c r="N54" i="1"/>
  <c r="P54" i="1" s="1"/>
  <c r="N59" i="1"/>
  <c r="P59" i="1" s="1"/>
  <c r="N64" i="1"/>
  <c r="P64" i="1" s="1"/>
  <c r="N68" i="1"/>
  <c r="P68" i="1" s="1"/>
  <c r="N76" i="1"/>
  <c r="P76" i="1" s="1"/>
  <c r="N5" i="1"/>
  <c r="P5" i="1" s="1"/>
  <c r="E33" i="1"/>
  <c r="E34" i="1"/>
  <c r="E35" i="1"/>
  <c r="E36" i="1"/>
  <c r="E37" i="1"/>
  <c r="E32" i="1"/>
  <c r="I8" i="1"/>
  <c r="E8" i="1"/>
  <c r="N8" i="1" l="1"/>
  <c r="P8" i="1" s="1"/>
  <c r="I35" i="1"/>
  <c r="N35" i="1" s="1"/>
  <c r="P35" i="1" s="1"/>
  <c r="I32" i="1"/>
  <c r="N32" i="1" s="1"/>
  <c r="P32" i="1" s="1"/>
  <c r="I34" i="1"/>
  <c r="N34" i="1" s="1"/>
  <c r="P34" i="1" s="1"/>
  <c r="I37" i="1"/>
  <c r="N37" i="1" s="1"/>
  <c r="P37" i="1" s="1"/>
  <c r="I33" i="1"/>
  <c r="N33" i="1" s="1"/>
  <c r="P33" i="1" s="1"/>
  <c r="I36" i="1"/>
  <c r="N36" i="1" s="1"/>
  <c r="P36" i="1" s="1"/>
  <c r="Q36" i="1" l="1"/>
  <c r="R36" i="1" s="1"/>
  <c r="T36" i="1" s="1"/>
  <c r="U36" i="1" s="1"/>
  <c r="Q34" i="1"/>
  <c r="R34" i="1" s="1"/>
  <c r="T34" i="1" s="1"/>
  <c r="U34" i="1" s="1"/>
  <c r="Q38" i="1"/>
  <c r="R38" i="1" s="1"/>
  <c r="Q26" i="1"/>
  <c r="R26" i="1" s="1"/>
  <c r="T26" i="1" s="1"/>
  <c r="U26" i="1" s="1"/>
  <c r="Q68" i="1"/>
  <c r="R68" i="1" s="1"/>
  <c r="T68" i="1" s="1"/>
  <c r="U68" i="1" s="1"/>
  <c r="Q59" i="1"/>
  <c r="R59" i="1" s="1"/>
  <c r="T59" i="1" s="1"/>
  <c r="U59" i="1" s="1"/>
  <c r="Q29" i="1"/>
  <c r="R29" i="1" s="1"/>
  <c r="T29" i="1" s="1"/>
  <c r="U29" i="1" s="1"/>
  <c r="Q11" i="1"/>
  <c r="R11" i="1" s="1"/>
  <c r="T11" i="1" s="1"/>
  <c r="U11" i="1" s="1"/>
  <c r="Q12" i="1"/>
  <c r="R12" i="1" s="1"/>
  <c r="T12" i="1" s="1"/>
  <c r="U12" i="1" s="1"/>
  <c r="Q87" i="1"/>
  <c r="R87" i="1" s="1"/>
  <c r="T87" i="1" s="1"/>
  <c r="U87" i="1" s="1"/>
  <c r="Q54" i="1"/>
  <c r="R54" i="1" s="1"/>
  <c r="T54" i="1" s="1"/>
  <c r="U54" i="1" s="1"/>
  <c r="Q81" i="1"/>
  <c r="Q56" i="1"/>
  <c r="R56" i="1" s="1"/>
  <c r="T56" i="1" s="1"/>
  <c r="U56" i="1" s="1"/>
  <c r="Q57" i="1"/>
  <c r="R57" i="1" s="1"/>
  <c r="T57" i="1" s="1"/>
  <c r="U57" i="1" s="1"/>
  <c r="Q15" i="1"/>
  <c r="R15" i="1" s="1"/>
  <c r="T15" i="1" s="1"/>
  <c r="U15" i="1" s="1"/>
  <c r="Q63" i="1"/>
  <c r="R63" i="1" s="1"/>
  <c r="T63" i="1" s="1"/>
  <c r="U63" i="1" s="1"/>
  <c r="Q21" i="1"/>
  <c r="R21" i="1" s="1"/>
  <c r="Q18" i="1"/>
  <c r="R18" i="1" s="1"/>
  <c r="T18" i="1" s="1"/>
  <c r="U18" i="1" s="1"/>
  <c r="Q80" i="1"/>
  <c r="Q24" i="1"/>
  <c r="R24" i="1" s="1"/>
  <c r="T24" i="1" s="1"/>
  <c r="U24" i="1" s="1"/>
  <c r="Q44" i="1"/>
  <c r="R44" i="1" s="1"/>
  <c r="T44" i="1" s="1"/>
  <c r="U44" i="1" s="1"/>
  <c r="Q58" i="1"/>
  <c r="R58" i="1" s="1"/>
  <c r="T58" i="1" s="1"/>
  <c r="U58" i="1" s="1"/>
  <c r="Q23" i="1"/>
  <c r="R23" i="1" s="1"/>
  <c r="T23" i="1" s="1"/>
  <c r="U23" i="1" s="1"/>
  <c r="Q55" i="1"/>
  <c r="R55" i="1" s="1"/>
  <c r="T55" i="1" s="1"/>
  <c r="U55" i="1" s="1"/>
  <c r="Q41" i="1"/>
  <c r="R41" i="1" s="1"/>
  <c r="T41" i="1" s="1"/>
  <c r="U41" i="1" s="1"/>
  <c r="Q5" i="1"/>
  <c r="R5" i="1" s="1"/>
  <c r="T5" i="1" s="1"/>
  <c r="U5" i="1" s="1"/>
  <c r="Q79" i="1"/>
  <c r="Q67" i="1"/>
  <c r="R67" i="1" s="1"/>
  <c r="T67" i="1" s="1"/>
  <c r="U67" i="1" s="1"/>
  <c r="Q28" i="1"/>
  <c r="R28" i="1" s="1"/>
  <c r="T28" i="1" s="1"/>
  <c r="U28" i="1" s="1"/>
  <c r="Q6" i="1"/>
  <c r="R6" i="1" s="1"/>
  <c r="T6" i="1" s="1"/>
  <c r="U6" i="1" s="1"/>
  <c r="Q16" i="1"/>
  <c r="R16" i="1" s="1"/>
  <c r="T16" i="1" s="1"/>
  <c r="U16" i="1" s="1"/>
  <c r="Q4" i="1"/>
  <c r="R4" i="1" s="1"/>
  <c r="Q14" i="1"/>
  <c r="R14" i="1" s="1"/>
  <c r="T14" i="1" s="1"/>
  <c r="U14" i="1" s="1"/>
  <c r="Q50" i="1"/>
  <c r="R50" i="1" s="1"/>
  <c r="T50" i="1" s="1"/>
  <c r="U50" i="1" s="1"/>
  <c r="Q19" i="1"/>
  <c r="R19" i="1" s="1"/>
  <c r="T19" i="1" s="1"/>
  <c r="U19" i="1" s="1"/>
  <c r="Q60" i="1"/>
  <c r="R60" i="1" s="1"/>
  <c r="T60" i="1" s="1"/>
  <c r="U60" i="1" s="1"/>
  <c r="Q52" i="1"/>
  <c r="R52" i="1" s="1"/>
  <c r="T52" i="1" s="1"/>
  <c r="U52" i="1" s="1"/>
  <c r="Q77" i="1"/>
  <c r="R77" i="1" s="1"/>
  <c r="T77" i="1" s="1"/>
  <c r="U77" i="1" s="1"/>
  <c r="Q9" i="1"/>
  <c r="R9" i="1" s="1"/>
  <c r="T9" i="1" s="1"/>
  <c r="U9" i="1" s="1"/>
  <c r="Q27" i="1"/>
  <c r="R27" i="1" s="1"/>
  <c r="T27" i="1" s="1"/>
  <c r="U27" i="1" s="1"/>
  <c r="Q46" i="1"/>
  <c r="R46" i="1" s="1"/>
  <c r="T46" i="1" s="1"/>
  <c r="U46" i="1" s="1"/>
  <c r="Q39" i="1"/>
  <c r="Q65" i="1"/>
  <c r="R65" i="1" s="1"/>
  <c r="T65" i="1" s="1"/>
  <c r="U65" i="1" s="1"/>
  <c r="Q64" i="1"/>
  <c r="R64" i="1" s="1"/>
  <c r="T64" i="1" s="1"/>
  <c r="U64" i="1" s="1"/>
  <c r="Q42" i="1"/>
  <c r="R42" i="1" s="1"/>
  <c r="T42" i="1" s="1"/>
  <c r="U42" i="1" s="1"/>
  <c r="Q62" i="1"/>
  <c r="R62" i="1" s="1"/>
  <c r="T62" i="1" s="1"/>
  <c r="U62" i="1" s="1"/>
  <c r="Q61" i="1"/>
  <c r="R61" i="1" s="1"/>
  <c r="T61" i="1" s="1"/>
  <c r="U61" i="1" s="1"/>
  <c r="Q25" i="1"/>
  <c r="R25" i="1" s="1"/>
  <c r="T25" i="1" s="1"/>
  <c r="U25" i="1" s="1"/>
  <c r="Q83" i="1"/>
  <c r="R83" i="1" s="1"/>
  <c r="T83" i="1" s="1"/>
  <c r="U83" i="1" s="1"/>
  <c r="Q85" i="1"/>
  <c r="R85" i="1" s="1"/>
  <c r="T85" i="1" s="1"/>
  <c r="U85" i="1" s="1"/>
  <c r="Q40" i="1"/>
  <c r="R40" i="1" s="1"/>
  <c r="T40" i="1" s="1"/>
  <c r="U40" i="1" s="1"/>
  <c r="Q13" i="1"/>
  <c r="R13" i="1" s="1"/>
  <c r="T13" i="1" s="1"/>
  <c r="U13" i="1" s="1"/>
  <c r="Q47" i="1"/>
  <c r="R47" i="1" s="1"/>
  <c r="T47" i="1" s="1"/>
  <c r="U47" i="1" s="1"/>
  <c r="T4" i="1" l="1"/>
  <c r="U4" i="1" s="1"/>
  <c r="T21" i="1"/>
  <c r="U21" i="1" s="1"/>
  <c r="R80" i="1"/>
  <c r="T80" i="1" s="1"/>
  <c r="U80" i="1" s="1"/>
  <c r="R81" i="1"/>
  <c r="T81" i="1" s="1"/>
  <c r="U81" i="1" s="1"/>
  <c r="R79" i="1"/>
  <c r="T79" i="1" s="1"/>
  <c r="U79" i="1" s="1"/>
  <c r="Q37" i="1"/>
  <c r="R37" i="1" s="1"/>
  <c r="T37" i="1" s="1"/>
  <c r="U37" i="1" s="1"/>
  <c r="Q86" i="1"/>
  <c r="R86" i="1" s="1"/>
  <c r="T86" i="1" s="1"/>
  <c r="U86" i="1" s="1"/>
  <c r="Q48" i="1"/>
  <c r="R48" i="1" s="1"/>
  <c r="T48" i="1" s="1"/>
  <c r="U48" i="1" s="1"/>
  <c r="Q84" i="1"/>
  <c r="R84" i="1" s="1"/>
  <c r="T84" i="1" s="1"/>
  <c r="U84" i="1" s="1"/>
  <c r="Q33" i="1"/>
  <c r="R33" i="1" s="1"/>
  <c r="T33" i="1" s="1"/>
  <c r="U33" i="1" s="1"/>
  <c r="Q70" i="1"/>
  <c r="R70" i="1" s="1"/>
  <c r="T70" i="1" s="1"/>
  <c r="U70" i="1" s="1"/>
  <c r="Q8" i="1"/>
  <c r="R8" i="1" s="1"/>
  <c r="T8" i="1" s="1"/>
  <c r="U8" i="1" s="1"/>
  <c r="Q35" i="1"/>
  <c r="R35" i="1" s="1"/>
  <c r="T35" i="1" s="1"/>
  <c r="U35" i="1" s="1"/>
  <c r="Q43" i="1"/>
  <c r="R43" i="1" s="1"/>
  <c r="T43" i="1" s="1"/>
  <c r="U43" i="1" s="1"/>
  <c r="Q82" i="1"/>
  <c r="R82" i="1" s="1"/>
  <c r="T82" i="1" s="1"/>
  <c r="U82" i="1" s="1"/>
  <c r="Q74" i="1"/>
  <c r="R74" i="1" s="1"/>
  <c r="T74" i="1" s="1"/>
  <c r="U74" i="1" s="1"/>
  <c r="Q53" i="1"/>
  <c r="R53" i="1" s="1"/>
  <c r="T53" i="1" s="1"/>
  <c r="U53" i="1" s="1"/>
  <c r="Q45" i="1"/>
  <c r="R45" i="1" s="1"/>
  <c r="T45" i="1" s="1"/>
  <c r="U45" i="1" s="1"/>
  <c r="Q20" i="1"/>
  <c r="R20" i="1" s="1"/>
  <c r="T20" i="1" s="1"/>
  <c r="U20" i="1" s="1"/>
  <c r="Q69" i="1"/>
  <c r="R69" i="1" s="1"/>
  <c r="T69" i="1" s="1"/>
  <c r="U69" i="1" s="1"/>
  <c r="Q17" i="1"/>
  <c r="R17" i="1" s="1"/>
  <c r="T17" i="1" s="1"/>
  <c r="U17" i="1" s="1"/>
  <c r="Q10" i="1"/>
  <c r="R10" i="1" s="1"/>
  <c r="T10" i="1" s="1"/>
  <c r="U10" i="1" s="1"/>
  <c r="Q78" i="1"/>
  <c r="R78" i="1" s="1"/>
  <c r="T78" i="1" s="1"/>
  <c r="U78" i="1" s="1"/>
  <c r="Q31" i="1"/>
  <c r="R31" i="1" s="1"/>
  <c r="T31" i="1" s="1"/>
  <c r="U31" i="1" s="1"/>
  <c r="Q66" i="1"/>
  <c r="R66" i="1" s="1"/>
  <c r="T66" i="1" s="1"/>
  <c r="U66" i="1" s="1"/>
  <c r="Q32" i="1"/>
  <c r="R32" i="1" s="1"/>
  <c r="T32" i="1" s="1"/>
  <c r="U32" i="1" s="1"/>
  <c r="Q51" i="1"/>
  <c r="R51" i="1" s="1"/>
  <c r="T51" i="1" s="1"/>
  <c r="U51" i="1" s="1"/>
  <c r="Q75" i="1"/>
  <c r="R75" i="1" s="1"/>
  <c r="T75" i="1" s="1"/>
  <c r="U75" i="1" s="1"/>
  <c r="Q22" i="1"/>
  <c r="R22" i="1" s="1"/>
  <c r="T22" i="1" s="1"/>
  <c r="U22" i="1" s="1"/>
  <c r="Q30" i="1"/>
  <c r="R30" i="1" s="1"/>
  <c r="T30" i="1" s="1"/>
  <c r="U30" i="1" s="1"/>
  <c r="Q7" i="1"/>
  <c r="R7" i="1" s="1"/>
  <c r="T7" i="1" s="1"/>
  <c r="U7" i="1" s="1"/>
  <c r="Q76" i="1"/>
  <c r="R76" i="1" s="1"/>
  <c r="T76" i="1" s="1"/>
  <c r="U76" i="1" s="1"/>
  <c r="R39" i="1"/>
  <c r="T39" i="1" s="1"/>
  <c r="U39" i="1" s="1"/>
  <c r="T38" i="1"/>
  <c r="U38" i="1" s="1"/>
</calcChain>
</file>

<file path=xl/sharedStrings.xml><?xml version="1.0" encoding="utf-8"?>
<sst xmlns="http://schemas.openxmlformats.org/spreadsheetml/2006/main" count="790" uniqueCount="185">
  <si>
    <t>000716</t>
  </si>
  <si>
    <t>002053</t>
  </si>
  <si>
    <t>002216</t>
  </si>
  <si>
    <t>002329</t>
  </si>
  <si>
    <t>002481</t>
  </si>
  <si>
    <t>002495</t>
  </si>
  <si>
    <t>002507</t>
  </si>
  <si>
    <t>002570</t>
  </si>
  <si>
    <t>002626</t>
  </si>
  <si>
    <t>002650</t>
  </si>
  <si>
    <t>002661</t>
  </si>
  <si>
    <t>002719</t>
  </si>
  <si>
    <t>002732</t>
  </si>
  <si>
    <t>002770</t>
  </si>
  <si>
    <t>002820</t>
  </si>
  <si>
    <t>002847</t>
  </si>
  <si>
    <t>002910</t>
  </si>
  <si>
    <t>300146</t>
  </si>
  <si>
    <t>300381</t>
  </si>
  <si>
    <t>300401</t>
  </si>
  <si>
    <t>600073</t>
  </si>
  <si>
    <t>600186</t>
  </si>
  <si>
    <t>600298</t>
  </si>
  <si>
    <t>600305</t>
  </si>
  <si>
    <t>600381</t>
  </si>
  <si>
    <t>600419</t>
  </si>
  <si>
    <t>600429</t>
  </si>
  <si>
    <t>600597</t>
  </si>
  <si>
    <t>600866</t>
  </si>
  <si>
    <t>600872</t>
  </si>
  <si>
    <t>600873</t>
  </si>
  <si>
    <t>600882</t>
  </si>
  <si>
    <t>600887</t>
  </si>
  <si>
    <t>600929</t>
  </si>
  <si>
    <t>603020</t>
  </si>
  <si>
    <t>603027</t>
  </si>
  <si>
    <t>603043</t>
  </si>
  <si>
    <t>603079</t>
  </si>
  <si>
    <t>603288</t>
  </si>
  <si>
    <t>603696</t>
  </si>
  <si>
    <t>603866</t>
  </si>
  <si>
    <t>元祖股份</t>
  </si>
  <si>
    <t>黑芝麻</t>
  </si>
  <si>
    <t>云南能投</t>
  </si>
  <si>
    <t>三全食品</t>
  </si>
  <si>
    <t>皇氏集团</t>
  </si>
  <si>
    <t>双塔食品</t>
  </si>
  <si>
    <t>佳隆股份</t>
  </si>
  <si>
    <t>涪陵榨菜</t>
  </si>
  <si>
    <t>*ST因美</t>
  </si>
  <si>
    <t>金达威</t>
  </si>
  <si>
    <t>加加食品</t>
  </si>
  <si>
    <t>克明面业</t>
  </si>
  <si>
    <t>麦趣尔</t>
  </si>
  <si>
    <t>燕塘乳业</t>
  </si>
  <si>
    <t>科迪乳业</t>
  </si>
  <si>
    <t>桂发祥</t>
  </si>
  <si>
    <t>盐津铺子</t>
  </si>
  <si>
    <t>庄园牧场</t>
  </si>
  <si>
    <t>汤臣倍健</t>
  </si>
  <si>
    <t>溢多利</t>
  </si>
  <si>
    <t>花园生物</t>
  </si>
  <si>
    <t>上海梅林</t>
  </si>
  <si>
    <t>莲花健康</t>
  </si>
  <si>
    <t>安琪酵母</t>
  </si>
  <si>
    <t>恒顺醋业</t>
  </si>
  <si>
    <t>青海春天</t>
  </si>
  <si>
    <t>天润乳业</t>
  </si>
  <si>
    <t>三元股份</t>
  </si>
  <si>
    <t>光明乳业</t>
  </si>
  <si>
    <t>星湖科技</t>
  </si>
  <si>
    <t>中炬高新</t>
  </si>
  <si>
    <t>梅花生物</t>
  </si>
  <si>
    <t>广泽股份</t>
  </si>
  <si>
    <t>伊利股份</t>
  </si>
  <si>
    <t>湖南盐业</t>
  </si>
  <si>
    <t>爱普股份</t>
  </si>
  <si>
    <t>千禾味业</t>
  </si>
  <si>
    <t>广州酒家</t>
  </si>
  <si>
    <t>圣达生物</t>
  </si>
  <si>
    <t>海天味业</t>
  </si>
  <si>
    <t>安记食品</t>
  </si>
  <si>
    <t>桃李面包</t>
  </si>
  <si>
    <t>研究费用</t>
  </si>
  <si>
    <t xml:space="preserve">研发投入占营业收入比例 </t>
  </si>
  <si>
    <t xml:space="preserve">营业成本比上 年同期增减 </t>
  </si>
  <si>
    <t>成本2018</t>
  </si>
  <si>
    <t>销售量</t>
  </si>
  <si>
    <t>类别一只有营业成本变化</t>
  </si>
  <si>
    <t>类别二有食品类成本，成本变动，销售量2018，2017</t>
  </si>
  <si>
    <t>2018成本单价／2017成本单价</t>
  </si>
  <si>
    <t>增长率</t>
  </si>
  <si>
    <t>食品原料</t>
  </si>
  <si>
    <t>生产量</t>
  </si>
  <si>
    <t>库存量</t>
  </si>
  <si>
    <t>维生素原料</t>
  </si>
  <si>
    <t>胶囊</t>
  </si>
  <si>
    <t>片剂</t>
  </si>
  <si>
    <t>粉剂</t>
  </si>
  <si>
    <t>调味品</t>
  </si>
  <si>
    <t>粮油</t>
  </si>
  <si>
    <t>奶粉类</t>
  </si>
  <si>
    <t>米粉类</t>
  </si>
  <si>
    <t>食品制造业-休闲豆制品</t>
  </si>
  <si>
    <t>吨</t>
  </si>
  <si>
    <t>食品制造业-凉果蜜饯</t>
  </si>
  <si>
    <t>食品制造业-烘焙制品</t>
  </si>
  <si>
    <t xml:space="preserve">牛羊肉 </t>
  </si>
  <si>
    <t xml:space="preserve">冷鲜猪肉 </t>
  </si>
  <si>
    <t xml:space="preserve">其他肉类食 品 </t>
  </si>
  <si>
    <t xml:space="preserve">罐头食品 </t>
  </si>
  <si>
    <t xml:space="preserve">休闲食品 </t>
  </si>
  <si>
    <t xml:space="preserve">饮用水 </t>
  </si>
  <si>
    <t>醋</t>
  </si>
  <si>
    <t>料酒</t>
  </si>
  <si>
    <t>净制冬虫夏草</t>
  </si>
  <si>
    <t>乳制品制造业</t>
  </si>
  <si>
    <t>液态奶</t>
  </si>
  <si>
    <t>固态奶</t>
  </si>
  <si>
    <t>冰淇淋</t>
  </si>
  <si>
    <t>乳制品制</t>
  </si>
  <si>
    <t>食品添加剂</t>
  </si>
  <si>
    <t>饲料添加剂</t>
  </si>
  <si>
    <t>核苷及核苷酸原料药及中间体</t>
  </si>
  <si>
    <t>氨基酸原料药及中间体</t>
  </si>
  <si>
    <t xml:space="preserve">调味品 </t>
  </si>
  <si>
    <t>奶酪</t>
  </si>
  <si>
    <t>各类盐</t>
  </si>
  <si>
    <t>香精</t>
  </si>
  <si>
    <t>香料</t>
  </si>
  <si>
    <t>食品配料</t>
  </si>
  <si>
    <t>月饼系列产品</t>
  </si>
  <si>
    <t>速冻食品</t>
  </si>
  <si>
    <t>酱油</t>
  </si>
  <si>
    <t>食醋</t>
  </si>
  <si>
    <t>焦糖色</t>
  </si>
  <si>
    <t>调味酱</t>
  </si>
  <si>
    <t>蚝油</t>
  </si>
  <si>
    <t>238328</t>
  </si>
  <si>
    <t>604320</t>
  </si>
  <si>
    <t>蛋糕</t>
  </si>
  <si>
    <t>月饼礼盒</t>
  </si>
  <si>
    <t>中西糕点</t>
  </si>
  <si>
    <t>面包及糕点</t>
  </si>
  <si>
    <t>月饼</t>
  </si>
  <si>
    <t>粽子</t>
  </si>
  <si>
    <t>268,801,935.71</t>
  </si>
  <si>
    <t>3,037,079.05</t>
  </si>
  <si>
    <t>263,941.20</t>
  </si>
  <si>
    <t>食品行业</t>
  </si>
  <si>
    <t>食品业</t>
  </si>
  <si>
    <t>零售市场销售，餐饮市场销售</t>
  </si>
  <si>
    <t>成本变化</t>
  </si>
  <si>
    <t>%</t>
  </si>
  <si>
    <t xml:space="preserve">冷饮产品 </t>
  </si>
  <si>
    <t>奶粉及奶制品</t>
  </si>
  <si>
    <t>液体乳</t>
  </si>
  <si>
    <t>复合调味粉</t>
  </si>
  <si>
    <t>香辛料</t>
  </si>
  <si>
    <t>风味清汤</t>
  </si>
  <si>
    <t>酱类调味品</t>
  </si>
  <si>
    <t>天然提取物调味料</t>
  </si>
  <si>
    <t>胶囊、片剂及粉剂</t>
  </si>
  <si>
    <t>味精</t>
  </si>
  <si>
    <t>鸡精</t>
  </si>
  <si>
    <t xml:space="preserve">面粉 </t>
  </si>
  <si>
    <t xml:space="preserve">Score </t>
  </si>
  <si>
    <t>酵母及深加工</t>
  </si>
  <si>
    <t xml:space="preserve">食品用酶制剂 </t>
  </si>
  <si>
    <t>食品味觉性状优化产品</t>
  </si>
  <si>
    <t>生物素</t>
  </si>
  <si>
    <t>叶酸</t>
  </si>
  <si>
    <t>乳酸链球菌素</t>
  </si>
  <si>
    <t>纳他霉素</t>
  </si>
  <si>
    <t>SCORE-1</t>
  </si>
  <si>
    <t>SCORE-2</t>
  </si>
  <si>
    <t>SCORE-研发能力</t>
  </si>
  <si>
    <t>SCORE-生产成本分析</t>
  </si>
  <si>
    <t>·average-score1</t>
  </si>
  <si>
    <t>average-score2</t>
  </si>
  <si>
    <t>SCORE-财务风险（zscore）</t>
  </si>
  <si>
    <t>财务打分</t>
  </si>
  <si>
    <t>研发维度</t>
  </si>
  <si>
    <t>生产成本维度</t>
  </si>
  <si>
    <t>财务风险维度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</si>
</sst>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0.000%"/>
    <numFmt numFmtId="165" formatCode="0.0%"/>
    <numFmt numFmtId="166" formatCode="0.0000000"/>
    <numFmt numFmtId="167" formatCode="0.000"/>
  </numFmts>
  <fonts count="17">
    <font>
      <sz val="12"/>
      <color theme="1"/>
      <name val="Calibri"/>
      <family val="2"/>
      <scheme val="minor"/>
    </font>
    <font>
      <sz val="12"/>
      <color theme="1"/>
      <name val="宋体"/>
      <charset val="134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Arial Unicode MS"/>
      <family val="2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484848"/>
      <name val="Calibri"/>
      <family val="2"/>
      <scheme val="minor"/>
    </font>
    <font>
      <sz val="9"/>
      <color rgb="FF000000"/>
      <name val="宋体"/>
      <charset val="134"/>
    </font>
    <font>
      <sz val="9"/>
      <color theme="1"/>
      <name val="宋体"/>
      <charset val="134"/>
    </font>
    <font>
      <sz val="11"/>
      <color rgb="FF000000"/>
      <name val="宋体"/>
      <charset val="134"/>
    </font>
    <font>
      <sz val="12"/>
      <color rgb="FF000000"/>
      <name val="宋体"/>
      <charset val="134"/>
    </font>
    <font>
      <sz val="12"/>
      <color rgb="FF484848"/>
      <name val="宋体"/>
      <charset val="134"/>
    </font>
    <font>
      <sz val="12"/>
      <color rgb="FF484848"/>
      <name val="Arial"/>
      <family val="2"/>
    </font>
    <font>
      <sz val="12"/>
      <color rgb="FF484848"/>
      <name val="Calibri"/>
      <family val="2"/>
    </font>
    <font>
      <sz val="12"/>
      <color theme="1"/>
      <name val="Calibri"/>
      <family val="2"/>
    </font>
    <font>
      <sz val="10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7F7F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8" tint="0.39997558519241921"/>
        <bgColor indexed="64"/>
      </patternFill>
    </fill>
  </fills>
  <borders count="4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/>
      <top style="medium">
        <color rgb="FFDDDDDD"/>
      </top>
      <bottom style="medium">
        <color rgb="FFDDDDDD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123">
    <xf numFmtId="0" fontId="0" fillId="0" borderId="0" xfId="0"/>
    <xf numFmtId="0" fontId="0" fillId="0" borderId="0" xfId="0"/>
    <xf numFmtId="0" fontId="0" fillId="0" borderId="0" xfId="0" applyFont="1"/>
    <xf numFmtId="0" fontId="1" fillId="0" borderId="0" xfId="0" applyFont="1"/>
    <xf numFmtId="4" fontId="1" fillId="0" borderId="0" xfId="0" applyNumberFormat="1" applyFont="1"/>
    <xf numFmtId="10" fontId="1" fillId="0" borderId="0" xfId="0" applyNumberFormat="1" applyFont="1"/>
    <xf numFmtId="3" fontId="1" fillId="0" borderId="0" xfId="0" applyNumberFormat="1" applyFont="1"/>
    <xf numFmtId="0" fontId="2" fillId="0" borderId="0" xfId="0" applyFont="1"/>
    <xf numFmtId="0" fontId="2" fillId="0" borderId="0" xfId="0" applyFont="1"/>
    <xf numFmtId="0" fontId="2" fillId="0" borderId="0" xfId="0" applyFont="1" applyAlignment="1"/>
    <xf numFmtId="4" fontId="2" fillId="0" borderId="0" xfId="0" applyNumberFormat="1" applyFont="1" applyAlignment="1"/>
    <xf numFmtId="0" fontId="3" fillId="0" borderId="0" xfId="0" applyFont="1"/>
    <xf numFmtId="4" fontId="3" fillId="0" borderId="0" xfId="0" applyNumberFormat="1" applyFont="1"/>
    <xf numFmtId="0" fontId="3" fillId="0" borderId="0" xfId="0" applyFont="1" applyAlignment="1"/>
    <xf numFmtId="4" fontId="3" fillId="0" borderId="0" xfId="0" applyNumberFormat="1" applyFont="1" applyAlignment="1"/>
    <xf numFmtId="4" fontId="4" fillId="0" borderId="0" xfId="0" applyNumberFormat="1" applyFont="1" applyAlignment="1"/>
    <xf numFmtId="0" fontId="0" fillId="0" borderId="0" xfId="0" applyAlignment="1"/>
    <xf numFmtId="0" fontId="0" fillId="2" borderId="0" xfId="0" applyFill="1"/>
    <xf numFmtId="4" fontId="8" fillId="2" borderId="1" xfId="0" applyNumberFormat="1" applyFont="1" applyFill="1" applyBorder="1" applyAlignment="1">
      <alignment horizontal="left" vertical="center" wrapText="1"/>
    </xf>
    <xf numFmtId="0" fontId="8" fillId="2" borderId="1" xfId="0" applyFont="1" applyFill="1" applyBorder="1" applyAlignment="1">
      <alignment horizontal="left" vertical="center" wrapText="1"/>
    </xf>
    <xf numFmtId="10" fontId="8" fillId="2" borderId="1" xfId="0" applyNumberFormat="1" applyFont="1" applyFill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4" fontId="9" fillId="0" borderId="1" xfId="0" applyNumberFormat="1" applyFont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4" fontId="8" fillId="0" borderId="1" xfId="0" applyNumberFormat="1" applyFont="1" applyBorder="1" applyAlignment="1">
      <alignment horizontal="left" vertical="center" wrapText="1"/>
    </xf>
    <xf numFmtId="3" fontId="8" fillId="2" borderId="1" xfId="0" applyNumberFormat="1" applyFont="1" applyFill="1" applyBorder="1" applyAlignment="1">
      <alignment horizontal="left" vertical="center" wrapText="1"/>
    </xf>
    <xf numFmtId="3" fontId="9" fillId="0" borderId="1" xfId="0" applyNumberFormat="1" applyFont="1" applyBorder="1" applyAlignment="1">
      <alignment horizontal="left" vertical="center" wrapText="1"/>
    </xf>
    <xf numFmtId="0" fontId="10" fillId="0" borderId="0" xfId="0" applyFont="1" applyAlignment="1">
      <alignment horizontal="justify" vertical="center" wrapText="1"/>
    </xf>
    <xf numFmtId="0" fontId="0" fillId="3" borderId="0" xfId="0" applyFont="1" applyFill="1"/>
    <xf numFmtId="0" fontId="8" fillId="2" borderId="2" xfId="0" applyFont="1" applyFill="1" applyBorder="1" applyAlignment="1">
      <alignment vertical="center" wrapText="1"/>
    </xf>
    <xf numFmtId="43" fontId="0" fillId="0" borderId="0" xfId="0" applyNumberFormat="1" applyFont="1"/>
    <xf numFmtId="2" fontId="0" fillId="0" borderId="0" xfId="0" applyNumberFormat="1" applyFont="1"/>
    <xf numFmtId="0" fontId="0" fillId="4" borderId="0" xfId="0" applyFont="1" applyFill="1"/>
    <xf numFmtId="0" fontId="0" fillId="0" borderId="0" xfId="0" applyFont="1" applyFill="1"/>
    <xf numFmtId="164" fontId="7" fillId="0" borderId="0" xfId="0" applyNumberFormat="1" applyFont="1" applyAlignment="1">
      <alignment horizontal="right"/>
    </xf>
    <xf numFmtId="164" fontId="0" fillId="0" borderId="0" xfId="0" applyNumberFormat="1" applyFont="1" applyAlignment="1">
      <alignment horizontal="right"/>
    </xf>
    <xf numFmtId="43" fontId="0" fillId="0" borderId="0" xfId="0" applyNumberFormat="1" applyFont="1" applyAlignment="1">
      <alignment horizontal="right"/>
    </xf>
    <xf numFmtId="2" fontId="0" fillId="0" borderId="0" xfId="0" applyNumberFormat="1" applyFont="1" applyAlignment="1">
      <alignment horizontal="right"/>
    </xf>
    <xf numFmtId="0" fontId="0" fillId="0" borderId="0" xfId="0" quotePrefix="1" applyFont="1" applyAlignment="1">
      <alignment horizontal="right"/>
    </xf>
    <xf numFmtId="4" fontId="0" fillId="0" borderId="0" xfId="0" applyNumberFormat="1" applyFont="1" applyAlignment="1">
      <alignment horizontal="right"/>
    </xf>
    <xf numFmtId="10" fontId="0" fillId="0" borderId="0" xfId="0" applyNumberFormat="1" applyFont="1" applyAlignment="1">
      <alignment horizontal="right"/>
    </xf>
    <xf numFmtId="0" fontId="11" fillId="0" borderId="0" xfId="0" applyFont="1" applyAlignment="1">
      <alignment horizontal="right"/>
    </xf>
    <xf numFmtId="9" fontId="0" fillId="0" borderId="0" xfId="1" applyFont="1" applyAlignment="1">
      <alignment horizontal="right"/>
    </xf>
    <xf numFmtId="4" fontId="6" fillId="0" borderId="0" xfId="0" applyNumberFormat="1" applyFont="1" applyAlignment="1">
      <alignment horizontal="right"/>
    </xf>
    <xf numFmtId="10" fontId="6" fillId="0" borderId="0" xfId="0" applyNumberFormat="1" applyFont="1" applyAlignment="1">
      <alignment horizontal="right"/>
    </xf>
    <xf numFmtId="166" fontId="0" fillId="0" borderId="0" xfId="0" applyNumberFormat="1" applyFont="1" applyAlignment="1">
      <alignment horizontal="right"/>
    </xf>
    <xf numFmtId="164" fontId="6" fillId="0" borderId="0" xfId="0" applyNumberFormat="1" applyFont="1" applyAlignment="1">
      <alignment horizontal="right"/>
    </xf>
    <xf numFmtId="0" fontId="0" fillId="4" borderId="0" xfId="0" applyFont="1" applyFill="1" applyAlignment="1">
      <alignment horizontal="right"/>
    </xf>
    <xf numFmtId="4" fontId="6" fillId="4" borderId="0" xfId="0" applyNumberFormat="1" applyFont="1" applyFill="1" applyAlignment="1">
      <alignment horizontal="right"/>
    </xf>
    <xf numFmtId="10" fontId="6" fillId="4" borderId="0" xfId="0" applyNumberFormat="1" applyFont="1" applyFill="1" applyAlignment="1">
      <alignment horizontal="right"/>
    </xf>
    <xf numFmtId="164" fontId="6" fillId="4" borderId="0" xfId="0" applyNumberFormat="1" applyFont="1" applyFill="1" applyAlignment="1">
      <alignment horizontal="right"/>
    </xf>
    <xf numFmtId="43" fontId="0" fillId="4" borderId="0" xfId="0" applyNumberFormat="1" applyFont="1" applyFill="1" applyAlignment="1">
      <alignment horizontal="right"/>
    </xf>
    <xf numFmtId="2" fontId="0" fillId="4" borderId="0" xfId="0" applyNumberFormat="1" applyFont="1" applyFill="1" applyAlignment="1">
      <alignment horizontal="right"/>
    </xf>
    <xf numFmtId="4" fontId="7" fillId="0" borderId="0" xfId="0" applyNumberFormat="1" applyFont="1" applyAlignment="1">
      <alignment horizontal="right"/>
    </xf>
    <xf numFmtId="10" fontId="7" fillId="0" borderId="0" xfId="0" applyNumberFormat="1" applyFont="1" applyAlignment="1">
      <alignment horizontal="right"/>
    </xf>
    <xf numFmtId="166" fontId="0" fillId="4" borderId="0" xfId="0" applyNumberFormat="1" applyFont="1" applyFill="1" applyAlignment="1">
      <alignment horizontal="right"/>
    </xf>
    <xf numFmtId="0" fontId="0" fillId="3" borderId="0" xfId="0" applyFont="1" applyFill="1" applyAlignment="1">
      <alignment horizontal="right"/>
    </xf>
    <xf numFmtId="10" fontId="12" fillId="0" borderId="0" xfId="0" applyNumberFormat="1" applyFont="1" applyAlignment="1">
      <alignment horizontal="right"/>
    </xf>
    <xf numFmtId="0" fontId="13" fillId="0" borderId="0" xfId="0" applyFont="1" applyAlignment="1">
      <alignment horizontal="right"/>
    </xf>
    <xf numFmtId="4" fontId="13" fillId="0" borderId="0" xfId="0" applyNumberFormat="1" applyFont="1" applyAlignment="1">
      <alignment horizontal="right"/>
    </xf>
    <xf numFmtId="4" fontId="11" fillId="4" borderId="0" xfId="0" applyNumberFormat="1" applyFont="1" applyFill="1" applyAlignment="1">
      <alignment horizontal="right"/>
    </xf>
    <xf numFmtId="10" fontId="11" fillId="4" borderId="1" xfId="0" applyNumberFormat="1" applyFont="1" applyFill="1" applyBorder="1" applyAlignment="1">
      <alignment horizontal="right" vertical="center" wrapText="1"/>
    </xf>
    <xf numFmtId="164" fontId="0" fillId="4" borderId="0" xfId="1" applyNumberFormat="1" applyFont="1" applyFill="1" applyAlignment="1">
      <alignment horizontal="right"/>
    </xf>
    <xf numFmtId="4" fontId="11" fillId="2" borderId="1" xfId="0" applyNumberFormat="1" applyFont="1" applyFill="1" applyBorder="1" applyAlignment="1">
      <alignment horizontal="right" vertical="center" wrapText="1"/>
    </xf>
    <xf numFmtId="10" fontId="11" fillId="0" borderId="0" xfId="0" applyNumberFormat="1" applyFont="1" applyAlignment="1">
      <alignment horizontal="right"/>
    </xf>
    <xf numFmtId="10" fontId="11" fillId="2" borderId="1" xfId="0" applyNumberFormat="1" applyFont="1" applyFill="1" applyBorder="1" applyAlignment="1">
      <alignment horizontal="right" vertical="center" wrapText="1"/>
    </xf>
    <xf numFmtId="3" fontId="11" fillId="2" borderId="1" xfId="0" applyNumberFormat="1" applyFont="1" applyFill="1" applyBorder="1" applyAlignment="1">
      <alignment horizontal="right" vertical="center" wrapText="1"/>
    </xf>
    <xf numFmtId="10" fontId="13" fillId="0" borderId="0" xfId="0" applyNumberFormat="1" applyFont="1" applyAlignment="1">
      <alignment horizontal="right"/>
    </xf>
    <xf numFmtId="4" fontId="0" fillId="4" borderId="0" xfId="0" applyNumberFormat="1" applyFont="1" applyFill="1" applyAlignment="1">
      <alignment horizontal="right"/>
    </xf>
    <xf numFmtId="10" fontId="0" fillId="4" borderId="0" xfId="0" applyNumberFormat="1" applyFont="1" applyFill="1" applyAlignment="1">
      <alignment horizontal="right"/>
    </xf>
    <xf numFmtId="164" fontId="0" fillId="4" borderId="0" xfId="0" applyNumberFormat="1" applyFont="1" applyFill="1" applyAlignment="1">
      <alignment horizontal="right"/>
    </xf>
    <xf numFmtId="0" fontId="13" fillId="4" borderId="0" xfId="0" applyFont="1" applyFill="1" applyAlignment="1">
      <alignment horizontal="right"/>
    </xf>
    <xf numFmtId="165" fontId="0" fillId="3" borderId="0" xfId="1" applyNumberFormat="1" applyFont="1" applyFill="1" applyAlignment="1">
      <alignment horizontal="right"/>
    </xf>
    <xf numFmtId="4" fontId="11" fillId="0" borderId="0" xfId="0" applyNumberFormat="1" applyFont="1" applyAlignment="1">
      <alignment horizontal="right"/>
    </xf>
    <xf numFmtId="164" fontId="0" fillId="0" borderId="0" xfId="1" applyNumberFormat="1" applyFont="1" applyAlignment="1">
      <alignment horizontal="right"/>
    </xf>
    <xf numFmtId="4" fontId="11" fillId="4" borderId="1" xfId="0" applyNumberFormat="1" applyFont="1" applyFill="1" applyBorder="1" applyAlignment="1">
      <alignment horizontal="right" vertical="center" wrapText="1"/>
    </xf>
    <xf numFmtId="0" fontId="0" fillId="0" borderId="0" xfId="0" applyFont="1" applyFill="1" applyAlignment="1">
      <alignment horizontal="right"/>
    </xf>
    <xf numFmtId="4" fontId="11" fillId="0" borderId="0" xfId="0" applyNumberFormat="1" applyFont="1" applyFill="1" applyAlignment="1">
      <alignment horizontal="right"/>
    </xf>
    <xf numFmtId="10" fontId="11" fillId="0" borderId="1" xfId="0" applyNumberFormat="1" applyFont="1" applyFill="1" applyBorder="1" applyAlignment="1">
      <alignment horizontal="right" vertical="center" wrapText="1"/>
    </xf>
    <xf numFmtId="0" fontId="11" fillId="0" borderId="1" xfId="0" applyFont="1" applyFill="1" applyBorder="1" applyAlignment="1">
      <alignment horizontal="right" vertical="center" wrapText="1"/>
    </xf>
    <xf numFmtId="4" fontId="11" fillId="0" borderId="1" xfId="0" applyNumberFormat="1" applyFont="1" applyFill="1" applyBorder="1" applyAlignment="1">
      <alignment horizontal="right" vertical="center" wrapText="1"/>
    </xf>
    <xf numFmtId="43" fontId="0" fillId="0" borderId="0" xfId="0" applyNumberFormat="1" applyFont="1" applyFill="1" applyAlignment="1">
      <alignment horizontal="right"/>
    </xf>
    <xf numFmtId="2" fontId="0" fillId="0" borderId="0" xfId="0" applyNumberFormat="1" applyFont="1" applyFill="1" applyAlignment="1">
      <alignment horizontal="right"/>
    </xf>
    <xf numFmtId="166" fontId="0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right"/>
    </xf>
    <xf numFmtId="0" fontId="0" fillId="0" borderId="0" xfId="0"/>
    <xf numFmtId="4" fontId="14" fillId="0" borderId="0" xfId="0" applyNumberFormat="1" applyFont="1"/>
    <xf numFmtId="43" fontId="15" fillId="0" borderId="0" xfId="0" applyNumberFormat="1" applyFont="1" applyAlignment="1">
      <alignment horizontal="right"/>
    </xf>
    <xf numFmtId="3" fontId="14" fillId="0" borderId="0" xfId="0" applyNumberFormat="1" applyFont="1"/>
    <xf numFmtId="2" fontId="15" fillId="0" borderId="0" xfId="0" applyNumberFormat="1" applyFont="1" applyAlignment="1">
      <alignment horizontal="right"/>
    </xf>
    <xf numFmtId="0" fontId="15" fillId="0" borderId="0" xfId="0" applyFont="1" applyAlignment="1">
      <alignment horizontal="right"/>
    </xf>
    <xf numFmtId="10" fontId="14" fillId="0" borderId="0" xfId="0" applyNumberFormat="1" applyFont="1"/>
    <xf numFmtId="0" fontId="11" fillId="0" borderId="0" xfId="0" applyFont="1"/>
    <xf numFmtId="4" fontId="11" fillId="0" borderId="0" xfId="0" applyNumberFormat="1" applyFont="1"/>
    <xf numFmtId="4" fontId="12" fillId="0" borderId="0" xfId="0" applyNumberFormat="1" applyFont="1"/>
    <xf numFmtId="10" fontId="12" fillId="0" borderId="0" xfId="0" applyNumberFormat="1" applyFont="1"/>
    <xf numFmtId="0" fontId="0" fillId="2" borderId="0" xfId="0" applyFont="1" applyFill="1"/>
    <xf numFmtId="0" fontId="12" fillId="0" borderId="0" xfId="0" applyFont="1" applyAlignment="1">
      <alignment horizontal="right"/>
    </xf>
    <xf numFmtId="10" fontId="11" fillId="0" borderId="0" xfId="0" applyNumberFormat="1" applyFont="1"/>
    <xf numFmtId="164" fontId="0" fillId="3" borderId="0" xfId="1" applyNumberFormat="1" applyFont="1" applyFill="1" applyAlignment="1">
      <alignment horizontal="right"/>
    </xf>
    <xf numFmtId="2" fontId="0" fillId="0" borderId="0" xfId="0" applyNumberFormat="1"/>
    <xf numFmtId="4" fontId="11" fillId="0" borderId="0" xfId="0" applyNumberFormat="1" applyFont="1" applyFill="1" applyBorder="1" applyAlignment="1">
      <alignment horizontal="right" vertical="center" wrapText="1"/>
    </xf>
    <xf numFmtId="0" fontId="11" fillId="0" borderId="0" xfId="0" applyFont="1" applyFill="1" applyBorder="1" applyAlignment="1">
      <alignment horizontal="right" vertical="center" wrapText="1"/>
    </xf>
    <xf numFmtId="0" fontId="0" fillId="0" borderId="0" xfId="0" applyFont="1" applyAlignment="1">
      <alignment horizontal="right"/>
    </xf>
    <xf numFmtId="0" fontId="0" fillId="0" borderId="0" xfId="0"/>
    <xf numFmtId="0" fontId="0" fillId="0" borderId="0" xfId="0" applyFont="1" applyAlignment="1"/>
    <xf numFmtId="164" fontId="0" fillId="5" borderId="0" xfId="0" applyNumberFormat="1" applyFont="1" applyFill="1" applyAlignment="1">
      <alignment horizontal="right"/>
    </xf>
    <xf numFmtId="0" fontId="0" fillId="5" borderId="0" xfId="0" applyFill="1"/>
    <xf numFmtId="164" fontId="0" fillId="0" borderId="0" xfId="1" applyNumberFormat="1" applyFont="1"/>
    <xf numFmtId="167" fontId="0" fillId="5" borderId="0" xfId="0" applyNumberFormat="1" applyFill="1"/>
    <xf numFmtId="167" fontId="0" fillId="5" borderId="0" xfId="0" applyNumberFormat="1" applyFont="1" applyFill="1" applyAlignment="1">
      <alignment horizontal="right"/>
    </xf>
    <xf numFmtId="43" fontId="16" fillId="6" borderId="3" xfId="0" applyNumberFormat="1" applyFont="1" applyFill="1" applyBorder="1" applyAlignment="1"/>
    <xf numFmtId="43" fontId="16" fillId="0" borderId="3" xfId="0" applyNumberFormat="1" applyFont="1" applyBorder="1" applyAlignment="1"/>
    <xf numFmtId="0" fontId="0" fillId="0" borderId="0" xfId="0" applyFont="1" applyAlignment="1">
      <alignment horizontal="right"/>
    </xf>
    <xf numFmtId="2" fontId="0" fillId="0" borderId="0" xfId="0" applyNumberFormat="1" applyAlignment="1">
      <alignment horizontal="center"/>
    </xf>
    <xf numFmtId="4" fontId="2" fillId="0" borderId="0" xfId="0" applyNumberFormat="1" applyFont="1"/>
    <xf numFmtId="0" fontId="2" fillId="0" borderId="0" xfId="0" applyFont="1"/>
    <xf numFmtId="0" fontId="3" fillId="0" borderId="0" xfId="0" applyFont="1"/>
    <xf numFmtId="4" fontId="4" fillId="0" borderId="0" xfId="0" applyNumberFormat="1" applyFont="1"/>
    <xf numFmtId="4" fontId="3" fillId="0" borderId="0" xfId="0" applyNumberFormat="1" applyFont="1"/>
    <xf numFmtId="0" fontId="0" fillId="0" borderId="0" xfId="0"/>
    <xf numFmtId="2" fontId="0" fillId="7" borderId="0" xfId="0" applyNumberFormat="1" applyFill="1"/>
    <xf numFmtId="2" fontId="0" fillId="7" borderId="0" xfId="0" applyNumberFormat="1" applyFont="1" applyFill="1" applyAlignment="1">
      <alignment horizontal="righ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经营风险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dPt>
            <c:idx val="33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737-9849-AEB4-00F8B31888E6}"/>
              </c:ext>
            </c:extLst>
          </c:dPt>
          <c:yVal>
            <c:numRef>
              <c:f>研发投入!$O$1:$O$178</c:f>
              <c:numCache>
                <c:formatCode>0.00</c:formatCode>
                <c:ptCount val="178"/>
                <c:pt idx="1">
                  <c:v>0</c:v>
                </c:pt>
                <c:pt idx="2" formatCode="0.000%">
                  <c:v>0</c:v>
                </c:pt>
                <c:pt idx="3">
                  <c:v>0.18521143397961026</c:v>
                </c:pt>
                <c:pt idx="4">
                  <c:v>0.25219227695389423</c:v>
                </c:pt>
                <c:pt idx="5">
                  <c:v>0.596834655180559</c:v>
                </c:pt>
                <c:pt idx="6">
                  <c:v>0.48144451193684218</c:v>
                </c:pt>
                <c:pt idx="7">
                  <c:v>0.14766885030373048</c:v>
                </c:pt>
                <c:pt idx="8">
                  <c:v>0.45148849047340328</c:v>
                </c:pt>
                <c:pt idx="9">
                  <c:v>0.31668459116042308</c:v>
                </c:pt>
                <c:pt idx="10">
                  <c:v>0.19440266213008989</c:v>
                </c:pt>
                <c:pt idx="11">
                  <c:v>0.4458613024223832</c:v>
                </c:pt>
                <c:pt idx="12">
                  <c:v>0.37055075469502174</c:v>
                </c:pt>
                <c:pt idx="13">
                  <c:v>0.29842008136931486</c:v>
                </c:pt>
                <c:pt idx="14">
                  <c:v>0.24355798731713221</c:v>
                </c:pt>
                <c:pt idx="15">
                  <c:v>0.48592960759600035</c:v>
                </c:pt>
                <c:pt idx="16">
                  <c:v>0.14752631604649341</c:v>
                </c:pt>
                <c:pt idx="17">
                  <c:v>0.33429612101336248</c:v>
                </c:pt>
                <c:pt idx="18">
                  <c:v>0.39357548466467907</c:v>
                </c:pt>
                <c:pt idx="19">
                  <c:v>0.365251069439396</c:v>
                </c:pt>
                <c:pt idx="20">
                  <c:v>0.39660721357335527</c:v>
                </c:pt>
                <c:pt idx="21">
                  <c:v>0.52720783122150383</c:v>
                </c:pt>
                <c:pt idx="22">
                  <c:v>0.53944180441592149</c:v>
                </c:pt>
                <c:pt idx="23">
                  <c:v>0.36301192926967468</c:v>
                </c:pt>
                <c:pt idx="24">
                  <c:v>0.20364939022680292</c:v>
                </c:pt>
                <c:pt idx="25">
                  <c:v>0.52069251260842098</c:v>
                </c:pt>
                <c:pt idx="26">
                  <c:v>0.72094552048255045</c:v>
                </c:pt>
                <c:pt idx="27">
                  <c:v>0.3868513091306876</c:v>
                </c:pt>
                <c:pt idx="28">
                  <c:v>0.2636795699983831</c:v>
                </c:pt>
                <c:pt idx="29">
                  <c:v>0.26287309281393456</c:v>
                </c:pt>
                <c:pt idx="30">
                  <c:v>0.1824745736540111</c:v>
                </c:pt>
                <c:pt idx="31">
                  <c:v>0.67704674739037363</c:v>
                </c:pt>
                <c:pt idx="32">
                  <c:v>0.46401194552677982</c:v>
                </c:pt>
                <c:pt idx="33">
                  <c:v>0.8291417165668663</c:v>
                </c:pt>
                <c:pt idx="34">
                  <c:v>0.4044102344293381</c:v>
                </c:pt>
                <c:pt idx="35">
                  <c:v>0.31515433148669031</c:v>
                </c:pt>
                <c:pt idx="36">
                  <c:v>0.75882034234725881</c:v>
                </c:pt>
                <c:pt idx="37">
                  <c:v>0.34877105742463815</c:v>
                </c:pt>
                <c:pt idx="38">
                  <c:v>0.34279540440418577</c:v>
                </c:pt>
                <c:pt idx="39">
                  <c:v>0.54223016795198631</c:v>
                </c:pt>
                <c:pt idx="40">
                  <c:v>0.56806342935750442</c:v>
                </c:pt>
                <c:pt idx="41">
                  <c:v>0.48348851306885887</c:v>
                </c:pt>
                <c:pt idx="42">
                  <c:v>0.46530304150497948</c:v>
                </c:pt>
                <c:pt idx="43">
                  <c:v>0.24746360139419751</c:v>
                </c:pt>
                <c:pt idx="44">
                  <c:v>0.298389650565555</c:v>
                </c:pt>
              </c:numCache>
            </c:numRef>
          </c:yVal>
          <c:bubbleSize>
            <c:numRef>
              <c:f>研发投入!$P$1:$P$178</c:f>
              <c:numCache>
                <c:formatCode>0.00</c:formatCode>
                <c:ptCount val="178"/>
                <c:pt idx="2">
                  <c:v>0</c:v>
                </c:pt>
                <c:pt idx="3">
                  <c:v>55.143599999999999</c:v>
                </c:pt>
                <c:pt idx="4">
                  <c:v>37.083359977659192</c:v>
                </c:pt>
                <c:pt idx="5">
                  <c:v>49.923000000000002</c:v>
                </c:pt>
                <c:pt idx="6">
                  <c:v>60.33704468425028</c:v>
                </c:pt>
                <c:pt idx="7">
                  <c:v>48.281212464724803</c:v>
                </c:pt>
                <c:pt idx="8">
                  <c:v>54.224399974483319</c:v>
                </c:pt>
                <c:pt idx="9">
                  <c:v>40.637401235179603</c:v>
                </c:pt>
                <c:pt idx="10">
                  <c:v>31.77413210815315</c:v>
                </c:pt>
                <c:pt idx="11">
                  <c:v>54.260606895622615</c:v>
                </c:pt>
                <c:pt idx="12">
                  <c:v>70.34431234369552</c:v>
                </c:pt>
                <c:pt idx="13">
                  <c:v>50.264678104835681</c:v>
                </c:pt>
                <c:pt idx="14">
                  <c:v>69.170471020145584</c:v>
                </c:pt>
                <c:pt idx="15">
                  <c:v>50</c:v>
                </c:pt>
                <c:pt idx="16">
                  <c:v>64.67692599966847</c:v>
                </c:pt>
                <c:pt idx="17">
                  <c:v>64.785791132287585</c:v>
                </c:pt>
                <c:pt idx="18">
                  <c:v>8.8475110837682891</c:v>
                </c:pt>
                <c:pt idx="19">
                  <c:v>27.982802966715255</c:v>
                </c:pt>
                <c:pt idx="20">
                  <c:v>81.503653580026338</c:v>
                </c:pt>
                <c:pt idx="21">
                  <c:v>99.625262720270911</c:v>
                </c:pt>
                <c:pt idx="22">
                  <c:v>78.754510791506931</c:v>
                </c:pt>
                <c:pt idx="23">
                  <c:v>29.628133850763827</c:v>
                </c:pt>
                <c:pt idx="24">
                  <c:v>69.864738134540346</c:v>
                </c:pt>
                <c:pt idx="25">
                  <c:v>81.157181088314047</c:v>
                </c:pt>
                <c:pt idx="26">
                  <c:v>55.29692899261719</c:v>
                </c:pt>
                <c:pt idx="27">
                  <c:v>52.790604026845514</c:v>
                </c:pt>
                <c:pt idx="28">
                  <c:v>36.403989209515245</c:v>
                </c:pt>
                <c:pt idx="29">
                  <c:v>56.943980462365545</c:v>
                </c:pt>
                <c:pt idx="30">
                  <c:v>47.125384318139616</c:v>
                </c:pt>
                <c:pt idx="31">
                  <c:v>36.233657496456651</c:v>
                </c:pt>
                <c:pt idx="32">
                  <c:v>18.210735586481064</c:v>
                </c:pt>
                <c:pt idx="33">
                  <c:v>67.413062242255663</c:v>
                </c:pt>
                <c:pt idx="34">
                  <c:v>81.862119909913332</c:v>
                </c:pt>
                <c:pt idx="35">
                  <c:v>60.757483325888423</c:v>
                </c:pt>
                <c:pt idx="36">
                  <c:v>28.628920344157621</c:v>
                </c:pt>
                <c:pt idx="37">
                  <c:v>38.382228024965343</c:v>
                </c:pt>
                <c:pt idx="38">
                  <c:v>44.829437382694081</c:v>
                </c:pt>
                <c:pt idx="39">
                  <c:v>52.157499369334843</c:v>
                </c:pt>
                <c:pt idx="40">
                  <c:v>57.318880091165099</c:v>
                </c:pt>
                <c:pt idx="41">
                  <c:v>40.11004279119441</c:v>
                </c:pt>
                <c:pt idx="42">
                  <c:v>27.452749036407944</c:v>
                </c:pt>
                <c:pt idx="43">
                  <c:v>46.669835320754423</c:v>
                </c:pt>
                <c:pt idx="44">
                  <c:v>95.759417211544132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D737-9849-AEB4-00F8B31888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sizeRepresents val="w"/>
        <c:axId val="1690685615"/>
        <c:axId val="1690687295"/>
      </c:bubbleChart>
      <c:valAx>
        <c:axId val="1690685615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crossAx val="1690687295"/>
        <c:crosses val="autoZero"/>
        <c:crossBetween val="midCat"/>
      </c:valAx>
      <c:valAx>
        <c:axId val="169068729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1690685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419100</xdr:colOff>
      <xdr:row>5</xdr:row>
      <xdr:rowOff>15875</xdr:rowOff>
    </xdr:from>
    <xdr:to>
      <xdr:col>30</xdr:col>
      <xdr:colOff>15875</xdr:colOff>
      <xdr:row>22</xdr:row>
      <xdr:rowOff>79375</xdr:rowOff>
    </xdr:to>
    <xdr:grpSp>
      <xdr:nvGrpSpPr>
        <xdr:cNvPr id="11" name="Group 10">
          <a:extLst>
            <a:ext uri="{FF2B5EF4-FFF2-40B4-BE49-F238E27FC236}">
              <a16:creationId xmlns:a16="http://schemas.microsoft.com/office/drawing/2014/main" id="{0345A434-5E86-6042-A0A5-4405DF7B1317}"/>
            </a:ext>
          </a:extLst>
        </xdr:cNvPr>
        <xdr:cNvGrpSpPr/>
      </xdr:nvGrpSpPr>
      <xdr:grpSpPr>
        <a:xfrm>
          <a:off x="18986500" y="1031875"/>
          <a:ext cx="4981575" cy="3517900"/>
          <a:chOff x="13773150" y="69850"/>
          <a:chExt cx="4984750" cy="3536950"/>
        </a:xfrm>
      </xdr:grpSpPr>
      <xdr:graphicFrame macro="">
        <xdr:nvGraphicFramePr>
          <xdr:cNvPr id="4" name="Chart 3">
            <a:extLst>
              <a:ext uri="{FF2B5EF4-FFF2-40B4-BE49-F238E27FC236}">
                <a16:creationId xmlns:a16="http://schemas.microsoft.com/office/drawing/2014/main" id="{66423C16-B8E0-504B-8015-1F6AFFADBD84}"/>
              </a:ext>
            </a:extLst>
          </xdr:cNvPr>
          <xdr:cNvGraphicFramePr/>
        </xdr:nvGraphicFramePr>
        <xdr:xfrm>
          <a:off x="13773150" y="69850"/>
          <a:ext cx="4984750" cy="353695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cxnSp macro="">
        <xdr:nvCxnSpPr>
          <xdr:cNvPr id="6" name="Straight Connector 5">
            <a:extLst>
              <a:ext uri="{FF2B5EF4-FFF2-40B4-BE49-F238E27FC236}">
                <a16:creationId xmlns:a16="http://schemas.microsoft.com/office/drawing/2014/main" id="{CC438789-6AEF-0C48-881C-A38A8EEA9B3B}"/>
              </a:ext>
            </a:extLst>
          </xdr:cNvPr>
          <xdr:cNvCxnSpPr/>
        </xdr:nvCxnSpPr>
        <xdr:spPr>
          <a:xfrm>
            <a:off x="14033500" y="2527300"/>
            <a:ext cx="3822700" cy="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" name="Straight Connector 7">
            <a:extLst>
              <a:ext uri="{FF2B5EF4-FFF2-40B4-BE49-F238E27FC236}">
                <a16:creationId xmlns:a16="http://schemas.microsoft.com/office/drawing/2014/main" id="{0206D4B6-B187-8741-BA3D-603416C01069}"/>
              </a:ext>
            </a:extLst>
          </xdr:cNvPr>
          <xdr:cNvCxnSpPr/>
        </xdr:nvCxnSpPr>
        <xdr:spPr>
          <a:xfrm>
            <a:off x="15151100" y="762000"/>
            <a:ext cx="0" cy="283210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31</xdr:row>
      <xdr:rowOff>0</xdr:rowOff>
    </xdr:from>
    <xdr:to>
      <xdr:col>3</xdr:col>
      <xdr:colOff>12700</xdr:colOff>
      <xdr:row>31</xdr:row>
      <xdr:rowOff>12700</xdr:rowOff>
    </xdr:to>
    <xdr:pic>
      <xdr:nvPicPr>
        <xdr:cNvPr id="4" name="Picture 3" descr="page9image174696">
          <a:extLst>
            <a:ext uri="{FF2B5EF4-FFF2-40B4-BE49-F238E27FC236}">
              <a16:creationId xmlns:a16="http://schemas.microsoft.com/office/drawing/2014/main" id="{897F4FBE-3F39-8840-AE2A-88ACBCAE9C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7600" y="38608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31</xdr:row>
      <xdr:rowOff>0</xdr:rowOff>
    </xdr:from>
    <xdr:to>
      <xdr:col>7</xdr:col>
      <xdr:colOff>12700</xdr:colOff>
      <xdr:row>31</xdr:row>
      <xdr:rowOff>12700</xdr:rowOff>
    </xdr:to>
    <xdr:pic>
      <xdr:nvPicPr>
        <xdr:cNvPr id="5" name="Picture 4" descr="page9image176920">
          <a:extLst>
            <a:ext uri="{FF2B5EF4-FFF2-40B4-BE49-F238E27FC236}">
              <a16:creationId xmlns:a16="http://schemas.microsoft.com/office/drawing/2014/main" id="{E3DC0EB8-F1F1-8346-BE70-354E8DFBA4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03800" y="38608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57</xdr:row>
      <xdr:rowOff>0</xdr:rowOff>
    </xdr:from>
    <xdr:to>
      <xdr:col>3</xdr:col>
      <xdr:colOff>101600</xdr:colOff>
      <xdr:row>57</xdr:row>
      <xdr:rowOff>0</xdr:rowOff>
    </xdr:to>
    <xdr:pic>
      <xdr:nvPicPr>
        <xdr:cNvPr id="6" name="Picture 5" descr="page9image77016">
          <a:extLst>
            <a:ext uri="{FF2B5EF4-FFF2-40B4-BE49-F238E27FC236}">
              <a16:creationId xmlns:a16="http://schemas.microsoft.com/office/drawing/2014/main" id="{7C08FE5F-36DD-FA41-8CC7-97B8A03B10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24200" y="9144000"/>
          <a:ext cx="927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57</xdr:row>
      <xdr:rowOff>0</xdr:rowOff>
    </xdr:from>
    <xdr:to>
      <xdr:col>3</xdr:col>
      <xdr:colOff>647700</xdr:colOff>
      <xdr:row>57</xdr:row>
      <xdr:rowOff>0</xdr:rowOff>
    </xdr:to>
    <xdr:pic>
      <xdr:nvPicPr>
        <xdr:cNvPr id="7" name="Picture 6" descr="page9image78616">
          <a:extLst>
            <a:ext uri="{FF2B5EF4-FFF2-40B4-BE49-F238E27FC236}">
              <a16:creationId xmlns:a16="http://schemas.microsoft.com/office/drawing/2014/main" id="{051BD124-6B88-5C48-B4F8-116CB9261C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49700" y="9144000"/>
          <a:ext cx="647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57</xdr:row>
      <xdr:rowOff>0</xdr:rowOff>
    </xdr:from>
    <xdr:to>
      <xdr:col>5</xdr:col>
      <xdr:colOff>12700</xdr:colOff>
      <xdr:row>57</xdr:row>
      <xdr:rowOff>12700</xdr:rowOff>
    </xdr:to>
    <xdr:pic>
      <xdr:nvPicPr>
        <xdr:cNvPr id="8" name="Picture 7" descr="page9image82424">
          <a:extLst>
            <a:ext uri="{FF2B5EF4-FFF2-40B4-BE49-F238E27FC236}">
              <a16:creationId xmlns:a16="http://schemas.microsoft.com/office/drawing/2014/main" id="{C00EF901-1881-7241-AF07-25886FB356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86500" y="9144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59</xdr:row>
      <xdr:rowOff>0</xdr:rowOff>
    </xdr:from>
    <xdr:to>
      <xdr:col>6</xdr:col>
      <xdr:colOff>12700</xdr:colOff>
      <xdr:row>59</xdr:row>
      <xdr:rowOff>12700</xdr:rowOff>
    </xdr:to>
    <xdr:pic>
      <xdr:nvPicPr>
        <xdr:cNvPr id="9" name="Picture 8" descr="page9image85040">
          <a:extLst>
            <a:ext uri="{FF2B5EF4-FFF2-40B4-BE49-F238E27FC236}">
              <a16:creationId xmlns:a16="http://schemas.microsoft.com/office/drawing/2014/main" id="{44955F3E-54D2-EA45-86B7-F7A5D1FB06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54900" y="95504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63</xdr:row>
      <xdr:rowOff>0</xdr:rowOff>
    </xdr:from>
    <xdr:to>
      <xdr:col>3</xdr:col>
      <xdr:colOff>101600</xdr:colOff>
      <xdr:row>63</xdr:row>
      <xdr:rowOff>0</xdr:rowOff>
    </xdr:to>
    <xdr:pic>
      <xdr:nvPicPr>
        <xdr:cNvPr id="10" name="Picture 9" descr="page9image93040">
          <a:extLst>
            <a:ext uri="{FF2B5EF4-FFF2-40B4-BE49-F238E27FC236}">
              <a16:creationId xmlns:a16="http://schemas.microsoft.com/office/drawing/2014/main" id="{D69FA44D-A86A-424D-AB89-55FE9B341E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24200" y="10363200"/>
          <a:ext cx="927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63</xdr:row>
      <xdr:rowOff>0</xdr:rowOff>
    </xdr:from>
    <xdr:to>
      <xdr:col>3</xdr:col>
      <xdr:colOff>647700</xdr:colOff>
      <xdr:row>63</xdr:row>
      <xdr:rowOff>0</xdr:rowOff>
    </xdr:to>
    <xdr:pic>
      <xdr:nvPicPr>
        <xdr:cNvPr id="11" name="Picture 10" descr="page9image94208">
          <a:extLst>
            <a:ext uri="{FF2B5EF4-FFF2-40B4-BE49-F238E27FC236}">
              <a16:creationId xmlns:a16="http://schemas.microsoft.com/office/drawing/2014/main" id="{BA6944D2-B99E-6A42-90AE-8660530265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49700" y="10363200"/>
          <a:ext cx="647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12700</xdr:colOff>
      <xdr:row>63</xdr:row>
      <xdr:rowOff>12700</xdr:rowOff>
    </xdr:to>
    <xdr:pic>
      <xdr:nvPicPr>
        <xdr:cNvPr id="12" name="Picture 11" descr="page9image96928">
          <a:extLst>
            <a:ext uri="{FF2B5EF4-FFF2-40B4-BE49-F238E27FC236}">
              <a16:creationId xmlns:a16="http://schemas.microsoft.com/office/drawing/2014/main" id="{AB7D594D-CACC-D846-9B92-58A3598F8B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86500" y="10363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67</xdr:row>
      <xdr:rowOff>0</xdr:rowOff>
    </xdr:from>
    <xdr:to>
      <xdr:col>3</xdr:col>
      <xdr:colOff>101600</xdr:colOff>
      <xdr:row>67</xdr:row>
      <xdr:rowOff>0</xdr:rowOff>
    </xdr:to>
    <xdr:pic>
      <xdr:nvPicPr>
        <xdr:cNvPr id="13" name="Picture 12" descr="page9image101480">
          <a:extLst>
            <a:ext uri="{FF2B5EF4-FFF2-40B4-BE49-F238E27FC236}">
              <a16:creationId xmlns:a16="http://schemas.microsoft.com/office/drawing/2014/main" id="{DF3487D5-1711-5641-A531-0DDA96F968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24200" y="11176000"/>
          <a:ext cx="927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67</xdr:row>
      <xdr:rowOff>0</xdr:rowOff>
    </xdr:from>
    <xdr:to>
      <xdr:col>3</xdr:col>
      <xdr:colOff>647700</xdr:colOff>
      <xdr:row>67</xdr:row>
      <xdr:rowOff>0</xdr:rowOff>
    </xdr:to>
    <xdr:pic>
      <xdr:nvPicPr>
        <xdr:cNvPr id="14" name="Picture 13" descr="page9image102648">
          <a:extLst>
            <a:ext uri="{FF2B5EF4-FFF2-40B4-BE49-F238E27FC236}">
              <a16:creationId xmlns:a16="http://schemas.microsoft.com/office/drawing/2014/main" id="{18CA895C-DF63-C546-A47B-10A71FEE51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49700" y="11176000"/>
          <a:ext cx="647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67</xdr:row>
      <xdr:rowOff>0</xdr:rowOff>
    </xdr:from>
    <xdr:to>
      <xdr:col>5</xdr:col>
      <xdr:colOff>12700</xdr:colOff>
      <xdr:row>67</xdr:row>
      <xdr:rowOff>12700</xdr:rowOff>
    </xdr:to>
    <xdr:pic>
      <xdr:nvPicPr>
        <xdr:cNvPr id="15" name="Picture 14" descr="page9image105368">
          <a:extLst>
            <a:ext uri="{FF2B5EF4-FFF2-40B4-BE49-F238E27FC236}">
              <a16:creationId xmlns:a16="http://schemas.microsoft.com/office/drawing/2014/main" id="{5A041B2B-4A0B-2B4A-B794-6D1968FA82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86500" y="11176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73</xdr:row>
      <xdr:rowOff>0</xdr:rowOff>
    </xdr:from>
    <xdr:to>
      <xdr:col>3</xdr:col>
      <xdr:colOff>101600</xdr:colOff>
      <xdr:row>73</xdr:row>
      <xdr:rowOff>0</xdr:rowOff>
    </xdr:to>
    <xdr:pic>
      <xdr:nvPicPr>
        <xdr:cNvPr id="16" name="Picture 15" descr="page9image111584">
          <a:extLst>
            <a:ext uri="{FF2B5EF4-FFF2-40B4-BE49-F238E27FC236}">
              <a16:creationId xmlns:a16="http://schemas.microsoft.com/office/drawing/2014/main" id="{5687C152-B74B-0646-8156-FE40840824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24200" y="12395200"/>
          <a:ext cx="927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73</xdr:row>
      <xdr:rowOff>0</xdr:rowOff>
    </xdr:from>
    <xdr:to>
      <xdr:col>3</xdr:col>
      <xdr:colOff>647700</xdr:colOff>
      <xdr:row>73</xdr:row>
      <xdr:rowOff>0</xdr:rowOff>
    </xdr:to>
    <xdr:pic>
      <xdr:nvPicPr>
        <xdr:cNvPr id="17" name="Picture 16" descr="page9image113512">
          <a:extLst>
            <a:ext uri="{FF2B5EF4-FFF2-40B4-BE49-F238E27FC236}">
              <a16:creationId xmlns:a16="http://schemas.microsoft.com/office/drawing/2014/main" id="{9C672B28-A42D-8048-A5EE-FE48A9C931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49700" y="12395200"/>
          <a:ext cx="647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71</xdr:row>
      <xdr:rowOff>0</xdr:rowOff>
    </xdr:from>
    <xdr:to>
      <xdr:col>4</xdr:col>
      <xdr:colOff>12700</xdr:colOff>
      <xdr:row>71</xdr:row>
      <xdr:rowOff>12700</xdr:rowOff>
    </xdr:to>
    <xdr:pic>
      <xdr:nvPicPr>
        <xdr:cNvPr id="18" name="Picture 17" descr="page9image114416">
          <a:extLst>
            <a:ext uri="{FF2B5EF4-FFF2-40B4-BE49-F238E27FC236}">
              <a16:creationId xmlns:a16="http://schemas.microsoft.com/office/drawing/2014/main" id="{57A1A4B9-D96F-BC47-B8E6-0DA7581307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18100" y="119888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73</xdr:row>
      <xdr:rowOff>0</xdr:rowOff>
    </xdr:from>
    <xdr:to>
      <xdr:col>5</xdr:col>
      <xdr:colOff>12700</xdr:colOff>
      <xdr:row>73</xdr:row>
      <xdr:rowOff>12700</xdr:rowOff>
    </xdr:to>
    <xdr:pic>
      <xdr:nvPicPr>
        <xdr:cNvPr id="19" name="Picture 18" descr="page9image116744">
          <a:extLst>
            <a:ext uri="{FF2B5EF4-FFF2-40B4-BE49-F238E27FC236}">
              <a16:creationId xmlns:a16="http://schemas.microsoft.com/office/drawing/2014/main" id="{392BEF52-4A40-5B47-8BCC-955BCA2BFC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86500" y="12395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77</xdr:row>
      <xdr:rowOff>0</xdr:rowOff>
    </xdr:from>
    <xdr:to>
      <xdr:col>3</xdr:col>
      <xdr:colOff>101600</xdr:colOff>
      <xdr:row>77</xdr:row>
      <xdr:rowOff>0</xdr:rowOff>
    </xdr:to>
    <xdr:pic>
      <xdr:nvPicPr>
        <xdr:cNvPr id="20" name="Picture 19" descr="page9image121488">
          <a:extLst>
            <a:ext uri="{FF2B5EF4-FFF2-40B4-BE49-F238E27FC236}">
              <a16:creationId xmlns:a16="http://schemas.microsoft.com/office/drawing/2014/main" id="{1B2E3F06-236A-D14A-905D-C7DE1CE4BF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24200" y="13208000"/>
          <a:ext cx="927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77</xdr:row>
      <xdr:rowOff>0</xdr:rowOff>
    </xdr:from>
    <xdr:to>
      <xdr:col>3</xdr:col>
      <xdr:colOff>647700</xdr:colOff>
      <xdr:row>77</xdr:row>
      <xdr:rowOff>0</xdr:rowOff>
    </xdr:to>
    <xdr:pic>
      <xdr:nvPicPr>
        <xdr:cNvPr id="21" name="Picture 20" descr="page9image122816">
          <a:extLst>
            <a:ext uri="{FF2B5EF4-FFF2-40B4-BE49-F238E27FC236}">
              <a16:creationId xmlns:a16="http://schemas.microsoft.com/office/drawing/2014/main" id="{ED9F07FE-9D20-A343-B5EE-01F655A3A9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49700" y="13208000"/>
          <a:ext cx="647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77</xdr:row>
      <xdr:rowOff>0</xdr:rowOff>
    </xdr:from>
    <xdr:to>
      <xdr:col>5</xdr:col>
      <xdr:colOff>12700</xdr:colOff>
      <xdr:row>77</xdr:row>
      <xdr:rowOff>12700</xdr:rowOff>
    </xdr:to>
    <xdr:pic>
      <xdr:nvPicPr>
        <xdr:cNvPr id="22" name="Picture 21" descr="page9image125376">
          <a:extLst>
            <a:ext uri="{FF2B5EF4-FFF2-40B4-BE49-F238E27FC236}">
              <a16:creationId xmlns:a16="http://schemas.microsoft.com/office/drawing/2014/main" id="{BB8E32C1-55C2-4344-86E3-BAAA6FA54F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86500" y="13208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80</xdr:row>
      <xdr:rowOff>0</xdr:rowOff>
    </xdr:from>
    <xdr:to>
      <xdr:col>3</xdr:col>
      <xdr:colOff>101600</xdr:colOff>
      <xdr:row>80</xdr:row>
      <xdr:rowOff>0</xdr:rowOff>
    </xdr:to>
    <xdr:pic>
      <xdr:nvPicPr>
        <xdr:cNvPr id="23" name="Picture 22" descr="page9image129784">
          <a:extLst>
            <a:ext uri="{FF2B5EF4-FFF2-40B4-BE49-F238E27FC236}">
              <a16:creationId xmlns:a16="http://schemas.microsoft.com/office/drawing/2014/main" id="{3112C8EE-2FBF-4B4C-84A5-C5D9000AB3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24200" y="13817600"/>
          <a:ext cx="927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80</xdr:row>
      <xdr:rowOff>0</xdr:rowOff>
    </xdr:from>
    <xdr:to>
      <xdr:col>3</xdr:col>
      <xdr:colOff>647700</xdr:colOff>
      <xdr:row>80</xdr:row>
      <xdr:rowOff>0</xdr:rowOff>
    </xdr:to>
    <xdr:pic>
      <xdr:nvPicPr>
        <xdr:cNvPr id="24" name="Picture 23" descr="page9image131112">
          <a:extLst>
            <a:ext uri="{FF2B5EF4-FFF2-40B4-BE49-F238E27FC236}">
              <a16:creationId xmlns:a16="http://schemas.microsoft.com/office/drawing/2014/main" id="{A2ADDDE9-F006-E742-B50D-081CE328ED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49700" y="13817600"/>
          <a:ext cx="647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80</xdr:row>
      <xdr:rowOff>0</xdr:rowOff>
    </xdr:from>
    <xdr:to>
      <xdr:col>5</xdr:col>
      <xdr:colOff>12700</xdr:colOff>
      <xdr:row>80</xdr:row>
      <xdr:rowOff>12700</xdr:rowOff>
    </xdr:to>
    <xdr:pic>
      <xdr:nvPicPr>
        <xdr:cNvPr id="25" name="Picture 24" descr="page9image133672">
          <a:extLst>
            <a:ext uri="{FF2B5EF4-FFF2-40B4-BE49-F238E27FC236}">
              <a16:creationId xmlns:a16="http://schemas.microsoft.com/office/drawing/2014/main" id="{F8A75664-A0D4-3540-A3F8-415CEF2845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86500" y="13817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83</xdr:row>
      <xdr:rowOff>0</xdr:rowOff>
    </xdr:from>
    <xdr:to>
      <xdr:col>3</xdr:col>
      <xdr:colOff>101600</xdr:colOff>
      <xdr:row>83</xdr:row>
      <xdr:rowOff>0</xdr:rowOff>
    </xdr:to>
    <xdr:pic>
      <xdr:nvPicPr>
        <xdr:cNvPr id="26" name="Picture 25" descr="page9image138080">
          <a:extLst>
            <a:ext uri="{FF2B5EF4-FFF2-40B4-BE49-F238E27FC236}">
              <a16:creationId xmlns:a16="http://schemas.microsoft.com/office/drawing/2014/main" id="{3BB1CAC3-D004-2943-86B0-9698B1588F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24200" y="14427200"/>
          <a:ext cx="927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81</xdr:row>
      <xdr:rowOff>0</xdr:rowOff>
    </xdr:from>
    <xdr:to>
      <xdr:col>3</xdr:col>
      <xdr:colOff>647700</xdr:colOff>
      <xdr:row>81</xdr:row>
      <xdr:rowOff>0</xdr:rowOff>
    </xdr:to>
    <xdr:pic>
      <xdr:nvPicPr>
        <xdr:cNvPr id="27" name="Picture 26" descr="page9image138952">
          <a:extLst>
            <a:ext uri="{FF2B5EF4-FFF2-40B4-BE49-F238E27FC236}">
              <a16:creationId xmlns:a16="http://schemas.microsoft.com/office/drawing/2014/main" id="{DA4478DC-F8A6-EC49-A088-A0467D871E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49700" y="14020800"/>
          <a:ext cx="647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81</xdr:row>
      <xdr:rowOff>0</xdr:rowOff>
    </xdr:from>
    <xdr:to>
      <xdr:col>5</xdr:col>
      <xdr:colOff>12700</xdr:colOff>
      <xdr:row>81</xdr:row>
      <xdr:rowOff>12700</xdr:rowOff>
    </xdr:to>
    <xdr:pic>
      <xdr:nvPicPr>
        <xdr:cNvPr id="28" name="Picture 27" descr="page9image140600">
          <a:extLst>
            <a:ext uri="{FF2B5EF4-FFF2-40B4-BE49-F238E27FC236}">
              <a16:creationId xmlns:a16="http://schemas.microsoft.com/office/drawing/2014/main" id="{6721EDBC-3C60-2940-861F-EB2C0AD2D1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86500" y="140208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vip.stock.finance.sina.com.cn/corp/view/vCB_AllBulletinDetail.php?stockid=603696&amp;id=5149042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93"/>
  <sheetViews>
    <sheetView workbookViewId="0">
      <pane xSplit="2" ySplit="3" topLeftCell="P4" activePane="bottomRight" state="frozen"/>
      <selection pane="topRight" activeCell="C1" sqref="C1"/>
      <selection pane="bottomLeft" activeCell="A4" sqref="A4"/>
      <selection pane="bottomRight" activeCell="T11" sqref="T11"/>
    </sheetView>
  </sheetViews>
  <sheetFormatPr baseColWidth="10" defaultColWidth="10.83203125" defaultRowHeight="16"/>
  <cols>
    <col min="1" max="1" width="11" style="2" bestFit="1" customWidth="1"/>
    <col min="2" max="2" width="10.83203125" style="2"/>
    <col min="3" max="3" width="11.33203125" style="2" bestFit="1" customWidth="1"/>
    <col min="4" max="4" width="18" style="84" customWidth="1"/>
    <col min="5" max="5" width="28.33203125" style="30" customWidth="1"/>
    <col min="6" max="8" width="17.1640625" style="31" customWidth="1"/>
    <col min="9" max="9" width="17.83203125" style="30" customWidth="1"/>
    <col min="10" max="10" width="17.1640625" style="31" customWidth="1"/>
    <col min="11" max="11" width="14.1640625" style="31" bestFit="1" customWidth="1"/>
    <col min="12" max="13" width="11.33203125" style="2" bestFit="1" customWidth="1"/>
    <col min="14" max="14" width="19.1640625" style="2" customWidth="1"/>
    <col min="15" max="20" width="10.83203125" style="2"/>
    <col min="21" max="21" width="10.83203125" style="31"/>
    <col min="22" max="22" width="10.83203125" style="2"/>
    <col min="23" max="23" width="11" style="2" bestFit="1" customWidth="1"/>
    <col min="24" max="16384" width="10.83203125" style="2"/>
  </cols>
  <sheetData>
    <row r="1" spans="1:23">
      <c r="A1" s="113" t="s">
        <v>88</v>
      </c>
      <c r="B1" s="113"/>
      <c r="C1" s="84"/>
      <c r="E1" s="36"/>
      <c r="F1" s="37"/>
      <c r="G1" s="37"/>
      <c r="H1" s="37"/>
      <c r="I1" s="36"/>
      <c r="J1" s="37"/>
      <c r="K1" s="37"/>
      <c r="L1" s="84"/>
      <c r="M1" s="84"/>
      <c r="N1" s="84"/>
      <c r="O1" s="84"/>
    </row>
    <row r="2" spans="1:23">
      <c r="A2" s="113" t="s">
        <v>89</v>
      </c>
      <c r="B2" s="113"/>
      <c r="C2" s="84"/>
      <c r="E2" s="36"/>
      <c r="F2" s="37"/>
      <c r="G2" s="37"/>
      <c r="H2" s="37"/>
      <c r="I2" s="36"/>
      <c r="J2" s="37"/>
      <c r="K2" s="37"/>
      <c r="L2" s="84"/>
      <c r="M2" s="84"/>
      <c r="N2" s="84"/>
      <c r="O2" s="84"/>
    </row>
    <row r="3" spans="1:23">
      <c r="A3" s="38"/>
      <c r="B3" s="84"/>
      <c r="C3" s="84" t="s">
        <v>85</v>
      </c>
      <c r="E3" s="36" t="s">
        <v>86</v>
      </c>
      <c r="F3" s="37" t="s">
        <v>87</v>
      </c>
      <c r="G3" s="37"/>
      <c r="H3" s="37"/>
      <c r="I3" s="36">
        <v>2017</v>
      </c>
      <c r="J3" s="37" t="s">
        <v>87</v>
      </c>
      <c r="K3" s="37">
        <v>2017</v>
      </c>
      <c r="L3" s="84"/>
      <c r="M3" s="84"/>
      <c r="N3" s="84" t="s">
        <v>152</v>
      </c>
      <c r="O3" s="84"/>
      <c r="U3" s="31" t="s">
        <v>166</v>
      </c>
      <c r="V3" s="2" t="s">
        <v>166</v>
      </c>
      <c r="W3" s="38"/>
    </row>
    <row r="4" spans="1:23">
      <c r="A4" s="84" t="s">
        <v>0</v>
      </c>
      <c r="B4" s="84" t="s">
        <v>42</v>
      </c>
      <c r="C4" s="84">
        <v>6.6799999999999998E-2</v>
      </c>
      <c r="D4" s="41" t="s">
        <v>150</v>
      </c>
      <c r="E4" s="36"/>
      <c r="F4" s="37"/>
      <c r="G4" s="37"/>
      <c r="H4" s="37"/>
      <c r="I4" s="36"/>
      <c r="J4" s="37"/>
      <c r="K4" s="37"/>
      <c r="L4" s="84">
        <v>1</v>
      </c>
      <c r="M4" s="84"/>
      <c r="N4" s="42">
        <f>C4</f>
        <v>6.6799999999999998E-2</v>
      </c>
      <c r="O4" s="84"/>
      <c r="P4" s="2">
        <f>IF(L4=1,IF(N4&gt;5%,2*N4,1*N4),IF(N4&lt;-0.15%,10*N4,IF(N4&lt;0.07%,3*N4,6*N4)))*25</f>
        <v>3.34</v>
      </c>
      <c r="Q4" s="2">
        <f t="shared" ref="Q4:Q48" si="0">COUNTIF(A:B,A4)</f>
        <v>1</v>
      </c>
      <c r="R4" s="2">
        <f t="shared" ref="R4:R48" ca="1" si="1">SUMIF(A:B,A4,P:P)/Q4</f>
        <v>3.34</v>
      </c>
      <c r="T4" s="2">
        <f ca="1">IF(R4&lt;-30,R4,IF(R4&lt;-15,R4*1.2,IF(R4&lt;15,R4*1.4,IF(R4&lt;37,R4*1.2,R4))))</f>
        <v>4.6759999999999993</v>
      </c>
      <c r="U4" s="31">
        <f ca="1">T4*1.1+50</f>
        <v>55.143599999999999</v>
      </c>
      <c r="V4" s="2">
        <v>55.143599999999999</v>
      </c>
      <c r="W4" s="84" t="s">
        <v>0</v>
      </c>
    </row>
    <row r="5" spans="1:23">
      <c r="A5" s="84" t="s">
        <v>1</v>
      </c>
      <c r="B5" s="84" t="s">
        <v>43</v>
      </c>
      <c r="C5" s="84">
        <v>-0.2999</v>
      </c>
      <c r="D5" s="41" t="s">
        <v>149</v>
      </c>
      <c r="E5" s="36">
        <v>182699184.52000001</v>
      </c>
      <c r="F5" s="37">
        <v>356971</v>
      </c>
      <c r="G5" s="37"/>
      <c r="H5" s="37"/>
      <c r="I5" s="36">
        <f>E5/(1+C5)</f>
        <v>260961554.80645627</v>
      </c>
      <c r="J5" s="37">
        <v>356971</v>
      </c>
      <c r="K5" s="37">
        <v>492779.21</v>
      </c>
      <c r="L5" s="84">
        <v>2</v>
      </c>
      <c r="M5" s="84"/>
      <c r="N5" s="45">
        <f>(E5/J5-I5/K5)/(I5/K5)</f>
        <v>-3.3549714343742348E-2</v>
      </c>
      <c r="O5" s="84" t="s">
        <v>90</v>
      </c>
      <c r="P5" s="2">
        <f t="shared" ref="P5:P64" si="2">IF(L5=1,IF(N5&gt;5%,2*N5,1*N5),IF(N5&lt;-0.15%,10*N5,IF(N5&lt;0.07%,3*N5,6*N5)))*25</f>
        <v>-8.3874285859355879</v>
      </c>
      <c r="Q5" s="2">
        <f t="shared" si="0"/>
        <v>1</v>
      </c>
      <c r="R5" s="2">
        <f t="shared" ca="1" si="1"/>
        <v>-8.3874285859355879</v>
      </c>
      <c r="T5" s="2">
        <f t="shared" ref="T5:T64" ca="1" si="3">IF(R5&lt;-30,R5,IF(R5&lt;-15,R5*1.2,IF(R5&lt;15,R5*1.4,IF(R5&lt;37,R5*1.2,R5))))</f>
        <v>-11.742400020309823</v>
      </c>
      <c r="U5" s="31">
        <f t="shared" ref="U5:U64" ca="1" si="4">T5*1.1+50</f>
        <v>37.083359977659192</v>
      </c>
      <c r="V5" s="2">
        <v>37.083359977659192</v>
      </c>
      <c r="W5" s="84" t="s">
        <v>1</v>
      </c>
    </row>
    <row r="6" spans="1:23">
      <c r="A6" s="84" t="s">
        <v>2</v>
      </c>
      <c r="B6" s="84" t="s">
        <v>44</v>
      </c>
      <c r="C6" s="84">
        <v>-2E-3</v>
      </c>
      <c r="D6" s="84" t="s">
        <v>151</v>
      </c>
      <c r="E6" s="36"/>
      <c r="F6" s="37"/>
      <c r="G6" s="37">
        <v>2018</v>
      </c>
      <c r="H6" s="37">
        <v>2017</v>
      </c>
      <c r="I6" s="36"/>
      <c r="J6" s="37"/>
      <c r="K6" s="37"/>
      <c r="L6" s="84">
        <v>1</v>
      </c>
      <c r="M6" s="84"/>
      <c r="N6" s="42">
        <f>C6</f>
        <v>-2E-3</v>
      </c>
      <c r="O6" s="84"/>
      <c r="P6" s="2">
        <f t="shared" si="2"/>
        <v>-0.05</v>
      </c>
      <c r="Q6" s="2">
        <f t="shared" si="0"/>
        <v>1</v>
      </c>
      <c r="R6" s="2">
        <f t="shared" ca="1" si="1"/>
        <v>-0.05</v>
      </c>
      <c r="T6" s="2">
        <f t="shared" ca="1" si="3"/>
        <v>-6.9999999999999993E-2</v>
      </c>
      <c r="U6" s="31">
        <f t="shared" ca="1" si="4"/>
        <v>49.923000000000002</v>
      </c>
      <c r="V6" s="2">
        <v>49.923000000000002</v>
      </c>
      <c r="W6" s="84" t="s">
        <v>2</v>
      </c>
    </row>
    <row r="7" spans="1:23">
      <c r="A7" s="84" t="s">
        <v>3</v>
      </c>
      <c r="B7" s="84" t="s">
        <v>45</v>
      </c>
      <c r="C7" s="84"/>
      <c r="E7" s="36">
        <v>948135781.10000002</v>
      </c>
      <c r="F7" s="37">
        <v>171773.71</v>
      </c>
      <c r="G7" s="37">
        <f>E7/F7</f>
        <v>5519.6792402050351</v>
      </c>
      <c r="H7" s="37">
        <f>I7/K7</f>
        <v>5283.2581345128774</v>
      </c>
      <c r="I7" s="36">
        <v>825151776.76999998</v>
      </c>
      <c r="J7" s="37">
        <v>171773.71</v>
      </c>
      <c r="K7" s="37">
        <v>156182.37</v>
      </c>
      <c r="L7" s="84">
        <v>3</v>
      </c>
      <c r="M7" s="84"/>
      <c r="N7" s="45">
        <f t="shared" ref="N7:N19" si="5">(E7/J7-I7/K7)/(I7/K7)</f>
        <v>4.474911118723067E-2</v>
      </c>
      <c r="O7" s="84"/>
      <c r="P7" s="2">
        <f t="shared" si="2"/>
        <v>6.7123666780845994</v>
      </c>
      <c r="Q7" s="2">
        <f t="shared" si="0"/>
        <v>1</v>
      </c>
      <c r="R7" s="2">
        <f t="shared" ca="1" si="1"/>
        <v>6.7123666780845994</v>
      </c>
      <c r="T7" s="2">
        <f t="shared" ca="1" si="3"/>
        <v>9.3973133493184378</v>
      </c>
      <c r="U7" s="31">
        <f t="shared" ca="1" si="4"/>
        <v>60.33704468425028</v>
      </c>
      <c r="V7" s="2">
        <v>60.33704468425028</v>
      </c>
      <c r="W7" s="84" t="s">
        <v>3</v>
      </c>
    </row>
    <row r="8" spans="1:23">
      <c r="A8" s="84" t="s">
        <v>4</v>
      </c>
      <c r="B8" s="84" t="s">
        <v>46</v>
      </c>
      <c r="C8" s="84"/>
      <c r="E8" s="36">
        <f>371087238.54+347450.7+227987194.61</f>
        <v>599421883.85000002</v>
      </c>
      <c r="F8" s="37">
        <v>80893.539999999994</v>
      </c>
      <c r="G8" s="37"/>
      <c r="H8" s="37"/>
      <c r="I8" s="36">
        <f>310351554.53+4436031.65+150620419.32</f>
        <v>465408005.49999994</v>
      </c>
      <c r="J8" s="37">
        <v>80893.539999999994</v>
      </c>
      <c r="K8" s="37">
        <v>62527.62</v>
      </c>
      <c r="L8" s="84">
        <v>3</v>
      </c>
      <c r="M8" s="84"/>
      <c r="N8" s="45">
        <f t="shared" si="5"/>
        <v>-4.4643832085070091E-3</v>
      </c>
      <c r="O8" s="84"/>
      <c r="P8" s="2">
        <f t="shared" si="2"/>
        <v>-1.1160958021267522</v>
      </c>
      <c r="Q8" s="2">
        <f t="shared" si="0"/>
        <v>1</v>
      </c>
      <c r="R8" s="2">
        <f t="shared" ca="1" si="1"/>
        <v>-1.1160958021267522</v>
      </c>
      <c r="T8" s="2">
        <f t="shared" ca="1" si="3"/>
        <v>-1.562534122977453</v>
      </c>
      <c r="U8" s="31">
        <f t="shared" ca="1" si="4"/>
        <v>48.281212464724803</v>
      </c>
      <c r="V8" s="2">
        <v>48.281212464724803</v>
      </c>
      <c r="W8" s="84" t="s">
        <v>4</v>
      </c>
    </row>
    <row r="9" spans="1:23">
      <c r="A9" s="84" t="s">
        <v>5</v>
      </c>
      <c r="B9" s="84" t="s">
        <v>47</v>
      </c>
      <c r="C9" s="84">
        <v>-4.1999999999999997E-3</v>
      </c>
      <c r="E9" s="36">
        <v>167439929.91</v>
      </c>
      <c r="F9" s="37">
        <v>23514</v>
      </c>
      <c r="G9" s="37"/>
      <c r="H9" s="37"/>
      <c r="I9" s="36">
        <f>E9/(1+C9)</f>
        <v>168146143.71359709</v>
      </c>
      <c r="J9" s="37">
        <v>23514</v>
      </c>
      <c r="K9" s="37">
        <v>24045</v>
      </c>
      <c r="L9" s="84">
        <v>2</v>
      </c>
      <c r="M9" s="84"/>
      <c r="N9" s="45">
        <f t="shared" si="5"/>
        <v>1.828744577698406E-2</v>
      </c>
      <c r="O9" s="84"/>
      <c r="P9" s="2">
        <f t="shared" si="2"/>
        <v>2.7431168665476089</v>
      </c>
      <c r="Q9" s="2">
        <f t="shared" si="0"/>
        <v>1</v>
      </c>
      <c r="R9" s="2">
        <f t="shared" ca="1" si="1"/>
        <v>2.7431168665476089</v>
      </c>
      <c r="T9" s="2">
        <f t="shared" ca="1" si="3"/>
        <v>3.8403636131666521</v>
      </c>
      <c r="U9" s="31">
        <f t="shared" ca="1" si="4"/>
        <v>54.224399974483319</v>
      </c>
      <c r="V9" s="2">
        <v>54.224399974483319</v>
      </c>
      <c r="W9" s="84" t="s">
        <v>5</v>
      </c>
    </row>
    <row r="10" spans="1:23">
      <c r="A10" s="84" t="s">
        <v>6</v>
      </c>
      <c r="B10" s="84" t="s">
        <v>48</v>
      </c>
      <c r="C10" s="84">
        <v>7.9600000000000004E-2</v>
      </c>
      <c r="E10" s="36">
        <v>846263093.29999995</v>
      </c>
      <c r="F10" s="37">
        <v>144421.10999999999</v>
      </c>
      <c r="G10" s="37"/>
      <c r="H10" s="37"/>
      <c r="I10" s="36">
        <f>E10/(1+C10)</f>
        <v>783867259.44794357</v>
      </c>
      <c r="J10" s="37">
        <v>144421.10999999999</v>
      </c>
      <c r="K10" s="37">
        <v>130519.65</v>
      </c>
      <c r="L10" s="84">
        <v>2</v>
      </c>
      <c r="M10" s="84"/>
      <c r="N10" s="45">
        <f t="shared" si="5"/>
        <v>-2.4318438350182853E-2</v>
      </c>
      <c r="O10" s="84"/>
      <c r="P10" s="2">
        <f t="shared" si="2"/>
        <v>-6.079609587545713</v>
      </c>
      <c r="Q10" s="2">
        <f t="shared" si="0"/>
        <v>1</v>
      </c>
      <c r="R10" s="2">
        <f t="shared" ca="1" si="1"/>
        <v>-6.079609587545713</v>
      </c>
      <c r="T10" s="2">
        <f t="shared" ca="1" si="3"/>
        <v>-8.5114534225639975</v>
      </c>
      <c r="U10" s="31">
        <f t="shared" ca="1" si="4"/>
        <v>40.637401235179603</v>
      </c>
      <c r="V10" s="2">
        <v>40.637401235179603</v>
      </c>
      <c r="W10" s="84" t="s">
        <v>6</v>
      </c>
    </row>
    <row r="11" spans="1:23" s="32" customFormat="1">
      <c r="A11" s="47" t="s">
        <v>7</v>
      </c>
      <c r="B11" s="47" t="s">
        <v>49</v>
      </c>
      <c r="C11" s="47">
        <v>0.13400000000000001</v>
      </c>
      <c r="D11" s="47" t="s">
        <v>101</v>
      </c>
      <c r="E11" s="51">
        <v>1092970947.8800001</v>
      </c>
      <c r="F11" s="52">
        <v>21044.58</v>
      </c>
      <c r="G11" s="52"/>
      <c r="H11" s="52"/>
      <c r="I11" s="51">
        <v>963783415.67999995</v>
      </c>
      <c r="J11" s="52">
        <v>21044.58</v>
      </c>
      <c r="K11" s="52">
        <v>20023.599999999999</v>
      </c>
      <c r="L11" s="47">
        <v>3</v>
      </c>
      <c r="M11" s="47"/>
      <c r="N11" s="45">
        <f t="shared" si="5"/>
        <v>7.9023908377989976E-2</v>
      </c>
      <c r="O11" s="47"/>
      <c r="P11" s="2">
        <f t="shared" si="2"/>
        <v>11.853586256698497</v>
      </c>
      <c r="Q11" s="2">
        <f t="shared" si="0"/>
        <v>2</v>
      </c>
      <c r="R11" s="2">
        <f t="shared" ca="1" si="1"/>
        <v>-11.834979150549902</v>
      </c>
      <c r="S11" s="2"/>
      <c r="T11" s="2">
        <f t="shared" ca="1" si="3"/>
        <v>-16.568970810769862</v>
      </c>
      <c r="U11" s="31">
        <f t="shared" ca="1" si="4"/>
        <v>31.77413210815315</v>
      </c>
      <c r="V11" s="2">
        <v>31.77413210815315</v>
      </c>
      <c r="W11" s="47" t="s">
        <v>7</v>
      </c>
    </row>
    <row r="12" spans="1:23">
      <c r="A12" s="84" t="s">
        <v>7</v>
      </c>
      <c r="B12" s="84"/>
      <c r="C12" s="84">
        <v>-0.26179999999999998</v>
      </c>
      <c r="D12" s="84" t="s">
        <v>102</v>
      </c>
      <c r="E12" s="36">
        <v>31312451.91</v>
      </c>
      <c r="F12" s="37">
        <v>1039.17</v>
      </c>
      <c r="G12" s="37"/>
      <c r="H12" s="37"/>
      <c r="I12" s="36">
        <v>42414462.240000002</v>
      </c>
      <c r="J12" s="37">
        <v>1039.17</v>
      </c>
      <c r="K12" s="37">
        <v>1207.5999999999999</v>
      </c>
      <c r="L12" s="84">
        <v>3</v>
      </c>
      <c r="M12" s="84"/>
      <c r="N12" s="45">
        <f t="shared" si="5"/>
        <v>-0.14209417823119322</v>
      </c>
      <c r="O12" s="84"/>
      <c r="P12" s="2">
        <f t="shared" si="2"/>
        <v>-35.523544557798303</v>
      </c>
      <c r="Q12" s="2">
        <f t="shared" si="0"/>
        <v>2</v>
      </c>
      <c r="R12" s="2">
        <f t="shared" ca="1" si="1"/>
        <v>-11.834979150549902</v>
      </c>
      <c r="T12" s="2">
        <f t="shared" ca="1" si="3"/>
        <v>-16.568970810769862</v>
      </c>
      <c r="U12" s="31">
        <f t="shared" ca="1" si="4"/>
        <v>31.77413210815315</v>
      </c>
      <c r="V12" s="2">
        <v>31.77413210815315</v>
      </c>
      <c r="W12" s="84" t="s">
        <v>7</v>
      </c>
    </row>
    <row r="13" spans="1:23">
      <c r="A13" s="84" t="s">
        <v>8</v>
      </c>
      <c r="B13" s="84" t="s">
        <v>50</v>
      </c>
      <c r="C13" s="84"/>
      <c r="D13" s="84" t="s">
        <v>92</v>
      </c>
      <c r="E13" s="84">
        <v>328186839.29000002</v>
      </c>
      <c r="F13" s="84">
        <v>563070.05000000005</v>
      </c>
      <c r="G13" s="84"/>
      <c r="H13" s="84"/>
      <c r="I13" s="84">
        <v>286872603.36000001</v>
      </c>
      <c r="J13" s="84">
        <v>563070.05000000005</v>
      </c>
      <c r="K13" s="84">
        <v>515271.46</v>
      </c>
      <c r="L13" s="84">
        <v>3</v>
      </c>
      <c r="M13" s="84"/>
      <c r="N13" s="45">
        <f t="shared" si="5"/>
        <v>4.6901319950569613E-2</v>
      </c>
      <c r="O13" s="84"/>
      <c r="P13" s="2">
        <f t="shared" si="2"/>
        <v>7.0351979925854415</v>
      </c>
      <c r="Q13" s="2">
        <f t="shared" si="0"/>
        <v>3</v>
      </c>
      <c r="R13" s="2">
        <f t="shared" ca="1" si="1"/>
        <v>2.7666278543004013</v>
      </c>
      <c r="T13" s="2">
        <f t="shared" ca="1" si="3"/>
        <v>3.8732789960205616</v>
      </c>
      <c r="U13" s="31">
        <f t="shared" ca="1" si="4"/>
        <v>54.260606895622615</v>
      </c>
      <c r="V13" s="2">
        <v>54.260606895622615</v>
      </c>
      <c r="W13" s="84" t="s">
        <v>8</v>
      </c>
    </row>
    <row r="14" spans="1:23">
      <c r="A14" s="84" t="s">
        <v>8</v>
      </c>
      <c r="B14" s="84"/>
      <c r="C14" s="84"/>
      <c r="D14" s="84" t="s">
        <v>95</v>
      </c>
      <c r="E14" s="84">
        <v>190077245.09</v>
      </c>
      <c r="F14" s="84">
        <v>3025511.03</v>
      </c>
      <c r="G14" s="84"/>
      <c r="H14" s="84"/>
      <c r="I14" s="84">
        <v>191106590.08999997</v>
      </c>
      <c r="J14" s="84">
        <v>3025511.03</v>
      </c>
      <c r="K14" s="84">
        <v>3106141.72</v>
      </c>
      <c r="L14" s="84">
        <v>3</v>
      </c>
      <c r="M14" s="84"/>
      <c r="N14" s="45">
        <f t="shared" si="5"/>
        <v>2.1120491774321723E-2</v>
      </c>
      <c r="O14" s="84"/>
      <c r="P14" s="2">
        <f t="shared" si="2"/>
        <v>3.1680737661482583</v>
      </c>
      <c r="Q14" s="2">
        <f t="shared" si="0"/>
        <v>3</v>
      </c>
      <c r="R14" s="2">
        <f t="shared" ca="1" si="1"/>
        <v>2.7666278543004013</v>
      </c>
      <c r="T14" s="2">
        <f t="shared" ca="1" si="3"/>
        <v>3.8732789960205616</v>
      </c>
      <c r="U14" s="31">
        <f t="shared" ca="1" si="4"/>
        <v>54.260606895622615</v>
      </c>
      <c r="V14" s="2">
        <v>54.260606895622615</v>
      </c>
      <c r="W14" s="84" t="s">
        <v>8</v>
      </c>
    </row>
    <row r="15" spans="1:23">
      <c r="A15" s="84" t="s">
        <v>8</v>
      </c>
      <c r="B15" s="84"/>
      <c r="C15" s="84"/>
      <c r="D15" s="84" t="s">
        <v>162</v>
      </c>
      <c r="E15" s="84">
        <v>659494983.32999992</v>
      </c>
      <c r="F15" s="84">
        <v>2206641087.8200002</v>
      </c>
      <c r="G15" s="84"/>
      <c r="H15" s="84"/>
      <c r="I15" s="84">
        <v>576260076.19000006</v>
      </c>
      <c r="J15" s="84">
        <v>2206641087.8200002</v>
      </c>
      <c r="K15" s="84">
        <v>1913460763.0899999</v>
      </c>
      <c r="L15" s="84">
        <v>3</v>
      </c>
      <c r="M15" s="84"/>
      <c r="N15" s="45">
        <f t="shared" si="5"/>
        <v>-7.6135527833299807E-3</v>
      </c>
      <c r="O15" s="84"/>
      <c r="P15" s="2">
        <f t="shared" si="2"/>
        <v>-1.9033881958324954</v>
      </c>
      <c r="Q15" s="2">
        <f t="shared" si="0"/>
        <v>3</v>
      </c>
      <c r="R15" s="2">
        <f t="shared" ca="1" si="1"/>
        <v>2.7666278543004013</v>
      </c>
      <c r="T15" s="2">
        <f t="shared" ca="1" si="3"/>
        <v>3.8732789960205616</v>
      </c>
      <c r="U15" s="31">
        <f t="shared" ca="1" si="4"/>
        <v>54.260606895622615</v>
      </c>
      <c r="V15" s="2">
        <v>54.260606895622615</v>
      </c>
      <c r="W15" s="84" t="s">
        <v>8</v>
      </c>
    </row>
    <row r="16" spans="1:23">
      <c r="A16" s="84" t="s">
        <v>9</v>
      </c>
      <c r="B16" s="84" t="s">
        <v>51</v>
      </c>
      <c r="C16" s="84">
        <v>4.4299999999999999E-2</v>
      </c>
      <c r="D16" s="84" t="s">
        <v>99</v>
      </c>
      <c r="E16" s="36">
        <v>834232820.29999995</v>
      </c>
      <c r="F16" s="37">
        <v>231235.12</v>
      </c>
      <c r="G16" s="37"/>
      <c r="H16" s="37"/>
      <c r="I16" s="36">
        <f>E16/(1+C16)</f>
        <v>798844029.78071427</v>
      </c>
      <c r="J16" s="37">
        <v>231235.12</v>
      </c>
      <c r="K16" s="37">
        <v>251554.97</v>
      </c>
      <c r="L16" s="84">
        <v>2</v>
      </c>
      <c r="M16" s="84"/>
      <c r="N16" s="45">
        <f t="shared" si="5"/>
        <v>0.13606815076792836</v>
      </c>
      <c r="O16" s="84"/>
      <c r="P16" s="2">
        <f t="shared" si="2"/>
        <v>20.410222615189255</v>
      </c>
      <c r="Q16" s="2">
        <f t="shared" si="0"/>
        <v>2</v>
      </c>
      <c r="R16" s="2">
        <f t="shared" ca="1" si="1"/>
        <v>13.210592430971115</v>
      </c>
      <c r="T16" s="2">
        <f t="shared" ca="1" si="3"/>
        <v>18.49482940335956</v>
      </c>
      <c r="U16" s="31">
        <f t="shared" ca="1" si="4"/>
        <v>70.34431234369552</v>
      </c>
      <c r="V16" s="2">
        <v>70.34431234369552</v>
      </c>
      <c r="W16" s="84" t="s">
        <v>9</v>
      </c>
    </row>
    <row r="17" spans="1:23">
      <c r="A17" s="84" t="s">
        <v>9</v>
      </c>
      <c r="B17" s="84"/>
      <c r="C17" s="84">
        <v>-0.1573</v>
      </c>
      <c r="D17" s="84" t="s">
        <v>100</v>
      </c>
      <c r="E17" s="36">
        <v>480463433</v>
      </c>
      <c r="F17" s="37">
        <v>64722.38</v>
      </c>
      <c r="G17" s="37"/>
      <c r="H17" s="37"/>
      <c r="I17" s="36">
        <f>E17/(1+C17)</f>
        <v>570147659.90269375</v>
      </c>
      <c r="J17" s="37">
        <v>64722.38</v>
      </c>
      <c r="K17" s="37">
        <v>79881.34</v>
      </c>
      <c r="L17" s="84">
        <v>2</v>
      </c>
      <c r="M17" s="84"/>
      <c r="N17" s="45">
        <f t="shared" si="5"/>
        <v>4.0073081645019826E-2</v>
      </c>
      <c r="O17" s="84"/>
      <c r="P17" s="2">
        <f t="shared" si="2"/>
        <v>6.0109622467529737</v>
      </c>
      <c r="Q17" s="2">
        <f t="shared" si="0"/>
        <v>2</v>
      </c>
      <c r="R17" s="2">
        <f t="shared" ca="1" si="1"/>
        <v>13.210592430971115</v>
      </c>
      <c r="T17" s="2">
        <f t="shared" ca="1" si="3"/>
        <v>18.49482940335956</v>
      </c>
      <c r="U17" s="31">
        <f t="shared" ca="1" si="4"/>
        <v>70.34431234369552</v>
      </c>
      <c r="V17" s="2">
        <v>70.34431234369552</v>
      </c>
      <c r="W17" s="84" t="s">
        <v>9</v>
      </c>
    </row>
    <row r="18" spans="1:23">
      <c r="A18" s="84" t="s">
        <v>10</v>
      </c>
      <c r="B18" s="84" t="s">
        <v>52</v>
      </c>
      <c r="C18" s="84">
        <v>0.22800000000000001</v>
      </c>
      <c r="E18" s="36">
        <v>2001286354.8800001</v>
      </c>
      <c r="F18" s="37">
        <v>514961.79</v>
      </c>
      <c r="G18" s="37"/>
      <c r="H18" s="37"/>
      <c r="I18" s="36">
        <f>E18/(1+C18)</f>
        <v>1629712015.374593</v>
      </c>
      <c r="J18" s="37">
        <v>514961.79</v>
      </c>
      <c r="K18" s="37">
        <v>419830.48</v>
      </c>
      <c r="L18" s="84">
        <v>2</v>
      </c>
      <c r="M18" s="84"/>
      <c r="N18" s="45">
        <f t="shared" si="5"/>
        <v>1.1457926616263189E-3</v>
      </c>
      <c r="O18" s="84"/>
      <c r="P18" s="2">
        <f t="shared" si="2"/>
        <v>0.17186889924394783</v>
      </c>
      <c r="Q18" s="2">
        <f t="shared" si="0"/>
        <v>1</v>
      </c>
      <c r="R18" s="2">
        <f t="shared" ca="1" si="1"/>
        <v>0.17186889924394783</v>
      </c>
      <c r="T18" s="2">
        <f t="shared" ca="1" si="3"/>
        <v>0.24061645894152695</v>
      </c>
      <c r="U18" s="31">
        <f t="shared" ca="1" si="4"/>
        <v>50.264678104835681</v>
      </c>
      <c r="V18" s="2">
        <v>50.264678104835681</v>
      </c>
      <c r="W18" s="84" t="s">
        <v>10</v>
      </c>
    </row>
    <row r="19" spans="1:23">
      <c r="A19" s="84" t="s">
        <v>11</v>
      </c>
      <c r="B19" s="84" t="s">
        <v>53</v>
      </c>
      <c r="C19" s="84">
        <v>0.156</v>
      </c>
      <c r="E19" s="36">
        <v>380212856.64999998</v>
      </c>
      <c r="F19" s="37">
        <v>33765.18</v>
      </c>
      <c r="G19" s="37"/>
      <c r="H19" s="37"/>
      <c r="I19" s="36">
        <f>E19/(1+C19)</f>
        <v>328903855.23356402</v>
      </c>
      <c r="J19" s="37">
        <v>33765.18</v>
      </c>
      <c r="K19" s="37">
        <v>31632.63</v>
      </c>
      <c r="L19" s="84">
        <v>2</v>
      </c>
      <c r="M19" s="84"/>
      <c r="N19" s="45">
        <f t="shared" si="5"/>
        <v>8.2989052035262259E-2</v>
      </c>
      <c r="O19" s="84"/>
      <c r="P19" s="2">
        <f t="shared" si="2"/>
        <v>12.448357805289339</v>
      </c>
      <c r="Q19" s="2">
        <f t="shared" si="0"/>
        <v>1</v>
      </c>
      <c r="R19" s="2">
        <f t="shared" ca="1" si="1"/>
        <v>12.448357805289339</v>
      </c>
      <c r="T19" s="2">
        <f t="shared" ca="1" si="3"/>
        <v>17.427700927405073</v>
      </c>
      <c r="U19" s="31">
        <f t="shared" ca="1" si="4"/>
        <v>69.170471020145584</v>
      </c>
      <c r="V19" s="2">
        <v>69.170471020145584</v>
      </c>
      <c r="W19" s="84" t="s">
        <v>11</v>
      </c>
    </row>
    <row r="20" spans="1:23">
      <c r="A20" s="84" t="s">
        <v>12</v>
      </c>
      <c r="B20" s="84" t="s">
        <v>54</v>
      </c>
      <c r="C20" s="84">
        <v>0.1108</v>
      </c>
      <c r="E20" s="36">
        <v>874023565.73000002</v>
      </c>
      <c r="F20" s="37">
        <v>143640.69</v>
      </c>
      <c r="G20" s="37"/>
      <c r="H20" s="37"/>
      <c r="I20" s="36">
        <v>786837572.37</v>
      </c>
      <c r="J20" s="37">
        <v>143640.69</v>
      </c>
      <c r="K20" s="37">
        <v>137471.63</v>
      </c>
      <c r="L20" s="84">
        <v>3</v>
      </c>
      <c r="M20" s="84"/>
      <c r="N20" s="84"/>
      <c r="O20" s="84"/>
      <c r="P20" s="2">
        <f t="shared" si="2"/>
        <v>0</v>
      </c>
      <c r="Q20" s="2">
        <f t="shared" si="0"/>
        <v>1</v>
      </c>
      <c r="R20" s="2">
        <f t="shared" ca="1" si="1"/>
        <v>0</v>
      </c>
      <c r="T20" s="2">
        <f t="shared" ca="1" si="3"/>
        <v>0</v>
      </c>
      <c r="U20" s="31">
        <f t="shared" ca="1" si="4"/>
        <v>50</v>
      </c>
      <c r="V20" s="2">
        <v>50</v>
      </c>
      <c r="W20" s="84" t="s">
        <v>12</v>
      </c>
    </row>
    <row r="21" spans="1:23">
      <c r="A21" s="84" t="s">
        <v>13</v>
      </c>
      <c r="B21" s="84" t="s">
        <v>55</v>
      </c>
      <c r="C21" s="84">
        <v>5.5500000000000001E-2</v>
      </c>
      <c r="E21" s="36">
        <v>965007624.28999996</v>
      </c>
      <c r="F21" s="37">
        <v>214336.81</v>
      </c>
      <c r="G21" s="37"/>
      <c r="H21" s="37"/>
      <c r="I21" s="36">
        <f t="shared" ref="I21:I29" si="6">E21/(1+C21)</f>
        <v>914265868.58360958</v>
      </c>
      <c r="J21" s="37">
        <v>214336.81</v>
      </c>
      <c r="K21" s="37">
        <v>215968.75</v>
      </c>
      <c r="L21" s="84">
        <v>2</v>
      </c>
      <c r="M21" s="84"/>
      <c r="N21" s="45">
        <f t="shared" ref="N21:N48" si="7">(E21/J21-I21/K21)/(I21/K21)</f>
        <v>6.3536476189041013E-2</v>
      </c>
      <c r="O21" s="84"/>
      <c r="P21" s="2">
        <f t="shared" si="2"/>
        <v>9.5304714283561527</v>
      </c>
      <c r="Q21" s="2">
        <f t="shared" si="0"/>
        <v>1</v>
      </c>
      <c r="R21" s="2">
        <f t="shared" ca="1" si="1"/>
        <v>9.5304714283561527</v>
      </c>
      <c r="T21" s="2">
        <f t="shared" ca="1" si="3"/>
        <v>13.342659999698613</v>
      </c>
      <c r="U21" s="31">
        <f t="shared" ca="1" si="4"/>
        <v>64.67692599966847</v>
      </c>
      <c r="V21" s="2">
        <v>64.67692599966847</v>
      </c>
      <c r="W21" s="84" t="s">
        <v>13</v>
      </c>
    </row>
    <row r="22" spans="1:23">
      <c r="A22" s="84" t="s">
        <v>14</v>
      </c>
      <c r="B22" s="84" t="s">
        <v>56</v>
      </c>
      <c r="C22" s="84">
        <v>1.4E-3</v>
      </c>
      <c r="E22" s="36">
        <v>245910935</v>
      </c>
      <c r="F22" s="37">
        <v>7045.56</v>
      </c>
      <c r="G22" s="37"/>
      <c r="H22" s="37"/>
      <c r="I22" s="36">
        <f t="shared" si="6"/>
        <v>245567141.00259635</v>
      </c>
      <c r="J22" s="37">
        <v>7045.56</v>
      </c>
      <c r="K22" s="37">
        <v>7486.05</v>
      </c>
      <c r="L22" s="84">
        <v>2</v>
      </c>
      <c r="M22" s="84"/>
      <c r="N22" s="45">
        <f t="shared" si="7"/>
        <v>6.4007753819426777E-2</v>
      </c>
      <c r="O22" s="84"/>
      <c r="P22" s="2">
        <f t="shared" si="2"/>
        <v>9.6011630729140158</v>
      </c>
      <c r="Q22" s="2">
        <f t="shared" si="0"/>
        <v>1</v>
      </c>
      <c r="R22" s="2">
        <f t="shared" ca="1" si="1"/>
        <v>9.6011630729140158</v>
      </c>
      <c r="T22" s="2">
        <f t="shared" ca="1" si="3"/>
        <v>13.441628302079621</v>
      </c>
      <c r="U22" s="31">
        <f t="shared" ca="1" si="4"/>
        <v>64.785791132287585</v>
      </c>
      <c r="V22" s="2">
        <v>64.785791132287585</v>
      </c>
      <c r="W22" s="84" t="s">
        <v>14</v>
      </c>
    </row>
    <row r="23" spans="1:23" s="32" customFormat="1">
      <c r="A23" s="47" t="s">
        <v>15</v>
      </c>
      <c r="B23" s="47" t="s">
        <v>57</v>
      </c>
      <c r="C23" s="47">
        <v>6.1199999999999997E-2</v>
      </c>
      <c r="D23" s="47" t="s">
        <v>103</v>
      </c>
      <c r="E23" s="51">
        <v>102007545.39</v>
      </c>
      <c r="F23" s="52">
        <v>13318.05</v>
      </c>
      <c r="G23" s="52"/>
      <c r="H23" s="52"/>
      <c r="I23" s="51">
        <f t="shared" si="6"/>
        <v>96124712.95702979</v>
      </c>
      <c r="J23" s="52">
        <v>13318.05</v>
      </c>
      <c r="K23" s="52">
        <v>12360.03</v>
      </c>
      <c r="L23" s="47">
        <v>2</v>
      </c>
      <c r="M23" s="47"/>
      <c r="N23" s="55">
        <f t="shared" si="7"/>
        <v>-1.513631229797158E-2</v>
      </c>
      <c r="O23" s="47"/>
      <c r="P23" s="2">
        <f t="shared" si="2"/>
        <v>-3.784078074492895</v>
      </c>
      <c r="Q23" s="2">
        <f t="shared" si="0"/>
        <v>3</v>
      </c>
      <c r="R23" s="2">
        <f t="shared" ca="1" si="1"/>
        <v>-37.411353560210642</v>
      </c>
      <c r="S23" s="2"/>
      <c r="T23" s="2">
        <f t="shared" ca="1" si="3"/>
        <v>-37.411353560210642</v>
      </c>
      <c r="U23" s="31">
        <f t="shared" ca="1" si="4"/>
        <v>8.8475110837682891</v>
      </c>
      <c r="V23" s="2">
        <v>8.8475110837682891</v>
      </c>
      <c r="W23" s="47" t="s">
        <v>15</v>
      </c>
    </row>
    <row r="24" spans="1:23">
      <c r="A24" s="84" t="s">
        <v>15</v>
      </c>
      <c r="B24" s="84"/>
      <c r="C24" s="84">
        <v>2.5700000000000001E-2</v>
      </c>
      <c r="D24" s="84" t="s">
        <v>105</v>
      </c>
      <c r="E24" s="36">
        <v>87903358.439999998</v>
      </c>
      <c r="F24" s="37">
        <v>3898.8</v>
      </c>
      <c r="G24" s="37"/>
      <c r="H24" s="37"/>
      <c r="I24" s="36">
        <f t="shared" si="6"/>
        <v>85700846.680315882</v>
      </c>
      <c r="J24" s="37">
        <v>3898.8</v>
      </c>
      <c r="K24" s="37">
        <v>2620.12</v>
      </c>
      <c r="L24" s="84">
        <v>2</v>
      </c>
      <c r="M24" s="84"/>
      <c r="N24" s="45">
        <f t="shared" si="7"/>
        <v>-0.31069634656817491</v>
      </c>
      <c r="O24" s="84"/>
      <c r="P24" s="2">
        <f t="shared" si="2"/>
        <v>-77.674086642043733</v>
      </c>
      <c r="Q24" s="2">
        <f t="shared" si="0"/>
        <v>3</v>
      </c>
      <c r="R24" s="2">
        <f t="shared" ca="1" si="1"/>
        <v>-37.411353560210642</v>
      </c>
      <c r="T24" s="2">
        <f t="shared" ca="1" si="3"/>
        <v>-37.411353560210642</v>
      </c>
      <c r="U24" s="31">
        <f t="shared" ca="1" si="4"/>
        <v>8.8475110837682891</v>
      </c>
      <c r="V24" s="2">
        <v>8.8475110837682891</v>
      </c>
      <c r="W24" s="84" t="s">
        <v>15</v>
      </c>
    </row>
    <row r="25" spans="1:23">
      <c r="A25" s="84" t="s">
        <v>15</v>
      </c>
      <c r="B25" s="84"/>
      <c r="C25" s="84">
        <v>1.9797</v>
      </c>
      <c r="D25" s="84" t="s">
        <v>106</v>
      </c>
      <c r="E25" s="36">
        <v>119902669.19</v>
      </c>
      <c r="F25" s="37">
        <v>7715.99</v>
      </c>
      <c r="G25" s="37"/>
      <c r="H25" s="37"/>
      <c r="I25" s="36">
        <f t="shared" si="6"/>
        <v>40239846.021411546</v>
      </c>
      <c r="J25" s="37">
        <v>7715.99</v>
      </c>
      <c r="K25" s="37">
        <v>2270.7399999999998</v>
      </c>
      <c r="L25" s="84">
        <v>2</v>
      </c>
      <c r="M25" s="84"/>
      <c r="N25" s="45">
        <f t="shared" si="7"/>
        <v>-0.12310358385638123</v>
      </c>
      <c r="O25" s="84"/>
      <c r="P25" s="2">
        <f t="shared" si="2"/>
        <v>-30.775895964095305</v>
      </c>
      <c r="Q25" s="2">
        <f t="shared" si="0"/>
        <v>3</v>
      </c>
      <c r="R25" s="2">
        <f t="shared" ca="1" si="1"/>
        <v>-37.411353560210642</v>
      </c>
      <c r="T25" s="2">
        <f t="shared" ca="1" si="3"/>
        <v>-37.411353560210642</v>
      </c>
      <c r="U25" s="31">
        <f t="shared" ca="1" si="4"/>
        <v>8.8475110837682891</v>
      </c>
      <c r="V25" s="2">
        <v>8.8475110837682891</v>
      </c>
      <c r="W25" s="84" t="s">
        <v>15</v>
      </c>
    </row>
    <row r="26" spans="1:23">
      <c r="A26" s="84" t="s">
        <v>16</v>
      </c>
      <c r="B26" s="84" t="s">
        <v>58</v>
      </c>
      <c r="C26" s="84">
        <v>0.05</v>
      </c>
      <c r="E26" s="36">
        <v>428573227.92000002</v>
      </c>
      <c r="F26" s="37">
        <v>73341.72</v>
      </c>
      <c r="G26" s="37"/>
      <c r="H26" s="37"/>
      <c r="I26" s="36">
        <f t="shared" si="6"/>
        <v>408164978.97142857</v>
      </c>
      <c r="J26" s="37">
        <v>73341.72</v>
      </c>
      <c r="K26" s="37">
        <v>65189</v>
      </c>
      <c r="L26" s="84">
        <v>2</v>
      </c>
      <c r="M26" s="84"/>
      <c r="N26" s="45">
        <f t="shared" si="7"/>
        <v>-6.6718778888741656E-2</v>
      </c>
      <c r="O26" s="84"/>
      <c r="P26" s="2">
        <f t="shared" si="2"/>
        <v>-16.679694722185413</v>
      </c>
      <c r="Q26" s="2">
        <f t="shared" si="0"/>
        <v>1</v>
      </c>
      <c r="R26" s="2">
        <f t="shared" ca="1" si="1"/>
        <v>-16.679694722185413</v>
      </c>
      <c r="T26" s="2">
        <f t="shared" ca="1" si="3"/>
        <v>-20.015633666622495</v>
      </c>
      <c r="U26" s="31">
        <f t="shared" ca="1" si="4"/>
        <v>27.982802966715255</v>
      </c>
      <c r="V26" s="2">
        <v>27.982802966715255</v>
      </c>
      <c r="W26" s="84" t="s">
        <v>16</v>
      </c>
    </row>
    <row r="27" spans="1:23">
      <c r="A27" s="84" t="s">
        <v>17</v>
      </c>
      <c r="B27" s="84" t="s">
        <v>59</v>
      </c>
      <c r="C27" s="84">
        <v>0.49469999999999997</v>
      </c>
      <c r="D27" s="84" t="s">
        <v>97</v>
      </c>
      <c r="E27" s="36">
        <v>449425682.55000001</v>
      </c>
      <c r="F27" s="37">
        <v>547327.59</v>
      </c>
      <c r="G27" s="37"/>
      <c r="H27" s="37"/>
      <c r="I27" s="36">
        <f t="shared" si="6"/>
        <v>300679522.6801365</v>
      </c>
      <c r="J27" s="37">
        <v>547327.59</v>
      </c>
      <c r="K27" s="37">
        <v>484751.16</v>
      </c>
      <c r="L27" s="84">
        <v>2</v>
      </c>
      <c r="M27" s="84"/>
      <c r="N27" s="45">
        <f t="shared" si="7"/>
        <v>0.32380967466302951</v>
      </c>
      <c r="O27" s="84"/>
      <c r="P27" s="2">
        <f t="shared" si="2"/>
        <v>48.57145119945443</v>
      </c>
      <c r="Q27" s="2">
        <f t="shared" si="0"/>
        <v>3</v>
      </c>
      <c r="R27" s="2">
        <f t="shared" ca="1" si="1"/>
        <v>23.866404227292673</v>
      </c>
      <c r="T27" s="2">
        <f t="shared" ca="1" si="3"/>
        <v>28.639685072751206</v>
      </c>
      <c r="U27" s="31">
        <f t="shared" ca="1" si="4"/>
        <v>81.503653580026338</v>
      </c>
      <c r="V27" s="2">
        <v>81.503653580026338</v>
      </c>
      <c r="W27" s="84" t="s">
        <v>17</v>
      </c>
    </row>
    <row r="28" spans="1:23">
      <c r="A28" s="84" t="s">
        <v>17</v>
      </c>
      <c r="B28" s="84"/>
      <c r="C28" s="84">
        <v>0.15820000000000001</v>
      </c>
      <c r="D28" s="84" t="s">
        <v>98</v>
      </c>
      <c r="E28" s="36">
        <v>352724204.81999999</v>
      </c>
      <c r="F28" s="37">
        <v>6656218.5800000001</v>
      </c>
      <c r="G28" s="37"/>
      <c r="H28" s="37"/>
      <c r="I28" s="36">
        <f t="shared" si="6"/>
        <v>304545160.43861169</v>
      </c>
      <c r="J28" s="37">
        <v>6656218.5800000001</v>
      </c>
      <c r="K28" s="37">
        <v>5031415.8600000003</v>
      </c>
      <c r="L28" s="84">
        <v>2</v>
      </c>
      <c r="M28" s="84"/>
      <c r="N28" s="45">
        <f t="shared" si="7"/>
        <v>-0.12452005909757863</v>
      </c>
      <c r="O28" s="84"/>
      <c r="P28" s="2">
        <f t="shared" si="2"/>
        <v>-31.130014774394652</v>
      </c>
      <c r="Q28" s="2">
        <f t="shared" si="0"/>
        <v>3</v>
      </c>
      <c r="R28" s="2">
        <f t="shared" ca="1" si="1"/>
        <v>23.866404227292673</v>
      </c>
      <c r="T28" s="2">
        <f t="shared" ca="1" si="3"/>
        <v>28.639685072751206</v>
      </c>
      <c r="U28" s="31">
        <f t="shared" ca="1" si="4"/>
        <v>81.503653580026338</v>
      </c>
      <c r="V28" s="2">
        <v>81.503653580026338</v>
      </c>
      <c r="W28" s="84" t="s">
        <v>17</v>
      </c>
    </row>
    <row r="29" spans="1:23">
      <c r="A29" s="84" t="s">
        <v>17</v>
      </c>
      <c r="B29" s="84"/>
      <c r="C29" s="84">
        <v>0.42930000000000001</v>
      </c>
      <c r="D29" s="84" t="s">
        <v>96</v>
      </c>
      <c r="E29" s="36">
        <v>343336815.79000002</v>
      </c>
      <c r="F29" s="37">
        <v>351192.78</v>
      </c>
      <c r="G29" s="37"/>
      <c r="H29" s="37"/>
      <c r="I29" s="36">
        <f t="shared" si="6"/>
        <v>240213262.28923249</v>
      </c>
      <c r="J29" s="37">
        <v>351192.78</v>
      </c>
      <c r="K29" s="37">
        <v>334423.55</v>
      </c>
      <c r="L29" s="84">
        <v>2</v>
      </c>
      <c r="M29" s="84"/>
      <c r="N29" s="45">
        <f t="shared" si="7"/>
        <v>0.36105184171212157</v>
      </c>
      <c r="O29" s="84"/>
      <c r="P29" s="2">
        <f t="shared" si="2"/>
        <v>54.157776256818238</v>
      </c>
      <c r="Q29" s="2">
        <f t="shared" si="0"/>
        <v>3</v>
      </c>
      <c r="R29" s="2">
        <f t="shared" ca="1" si="1"/>
        <v>23.866404227292673</v>
      </c>
      <c r="T29" s="2">
        <f t="shared" ca="1" si="3"/>
        <v>28.639685072751206</v>
      </c>
      <c r="U29" s="31">
        <f t="shared" ca="1" si="4"/>
        <v>81.503653580026338</v>
      </c>
      <c r="V29" s="2">
        <v>81.503653580026338</v>
      </c>
      <c r="W29" s="84" t="s">
        <v>17</v>
      </c>
    </row>
    <row r="30" spans="1:23">
      <c r="A30" s="84" t="s">
        <v>18</v>
      </c>
      <c r="B30" s="84" t="s">
        <v>60</v>
      </c>
      <c r="C30" s="84"/>
      <c r="D30" s="84" t="s">
        <v>168</v>
      </c>
      <c r="E30" s="36">
        <v>65270192.289999999</v>
      </c>
      <c r="F30" s="37">
        <v>338</v>
      </c>
      <c r="G30" s="37"/>
      <c r="H30" s="37"/>
      <c r="I30" s="36">
        <v>51960023.719999999</v>
      </c>
      <c r="J30" s="37">
        <v>338</v>
      </c>
      <c r="K30" s="37">
        <v>350</v>
      </c>
      <c r="L30" s="84">
        <v>2</v>
      </c>
      <c r="M30" s="84"/>
      <c r="N30" s="45">
        <f t="shared" si="7"/>
        <v>0.30075916800164187</v>
      </c>
      <c r="O30" s="84"/>
      <c r="P30" s="2">
        <f t="shared" si="2"/>
        <v>45.113875200246277</v>
      </c>
      <c r="Q30" s="2">
        <f t="shared" si="0"/>
        <v>1</v>
      </c>
      <c r="R30" s="2">
        <f t="shared" ca="1" si="1"/>
        <v>45.113875200246277</v>
      </c>
      <c r="T30" s="2">
        <f t="shared" ca="1" si="3"/>
        <v>45.113875200246277</v>
      </c>
      <c r="U30" s="31">
        <f t="shared" ca="1" si="4"/>
        <v>99.625262720270911</v>
      </c>
      <c r="V30" s="2">
        <v>99.625262720270911</v>
      </c>
      <c r="W30" s="84" t="s">
        <v>18</v>
      </c>
    </row>
    <row r="31" spans="1:23">
      <c r="A31" s="84" t="s">
        <v>19</v>
      </c>
      <c r="B31" s="84" t="s">
        <v>61</v>
      </c>
      <c r="C31" s="84">
        <v>0.1767</v>
      </c>
      <c r="E31" s="36">
        <v>209471974.22</v>
      </c>
      <c r="F31" s="37">
        <v>3596.81</v>
      </c>
      <c r="G31" s="37"/>
      <c r="H31" s="37"/>
      <c r="I31" s="36">
        <f t="shared" ref="I31:I48" si="8">E31/(1+C31)</f>
        <v>178016464.87634909</v>
      </c>
      <c r="J31" s="37">
        <v>3596.81</v>
      </c>
      <c r="K31" s="37">
        <v>3500.6</v>
      </c>
      <c r="L31" s="84">
        <v>2</v>
      </c>
      <c r="M31" s="84"/>
      <c r="N31" s="45">
        <f t="shared" si="7"/>
        <v>0.14522480197730772</v>
      </c>
      <c r="O31" s="84"/>
      <c r="P31" s="2">
        <f t="shared" si="2"/>
        <v>21.783720296596158</v>
      </c>
      <c r="Q31" s="2">
        <f t="shared" si="0"/>
        <v>1</v>
      </c>
      <c r="R31" s="2">
        <f t="shared" ca="1" si="1"/>
        <v>21.783720296596158</v>
      </c>
      <c r="T31" s="2">
        <f t="shared" ca="1" si="3"/>
        <v>26.140464355915388</v>
      </c>
      <c r="U31" s="31">
        <f t="shared" ca="1" si="4"/>
        <v>78.754510791506931</v>
      </c>
      <c r="V31" s="2">
        <v>78.754510791506931</v>
      </c>
      <c r="W31" s="84" t="s">
        <v>19</v>
      </c>
    </row>
    <row r="32" spans="1:23">
      <c r="A32" s="84" t="s">
        <v>20</v>
      </c>
      <c r="B32" s="84" t="s">
        <v>62</v>
      </c>
      <c r="C32" s="84">
        <v>-3.8900000000000004E-2</v>
      </c>
      <c r="D32" s="84" t="s">
        <v>112</v>
      </c>
      <c r="E32" s="36" t="e">
        <f>VLOOKUP(D32,Sheet2!A$62:B$68,2,0)</f>
        <v>#N/A</v>
      </c>
      <c r="F32" s="37">
        <v>193186</v>
      </c>
      <c r="G32" s="37"/>
      <c r="H32" s="37"/>
      <c r="I32" s="36" t="e">
        <f t="shared" si="8"/>
        <v>#N/A</v>
      </c>
      <c r="J32" s="37">
        <v>193186</v>
      </c>
      <c r="K32" s="37">
        <f t="shared" ref="K32:K48" si="9">J32/(1+M32)</f>
        <v>211757.09744601557</v>
      </c>
      <c r="L32" s="84">
        <v>4</v>
      </c>
      <c r="M32" s="84">
        <v>-8.77E-2</v>
      </c>
      <c r="N32" s="45" t="e">
        <f t="shared" si="7"/>
        <v>#N/A</v>
      </c>
      <c r="O32" s="84"/>
      <c r="P32" s="2" t="e">
        <f t="shared" si="2"/>
        <v>#N/A</v>
      </c>
      <c r="Q32" s="2">
        <f t="shared" si="0"/>
        <v>6</v>
      </c>
      <c r="R32" s="2" t="e">
        <f t="shared" ca="1" si="1"/>
        <v>#N/A</v>
      </c>
      <c r="T32" s="2" t="e">
        <f t="shared" ca="1" si="3"/>
        <v>#N/A</v>
      </c>
      <c r="U32" s="31" t="e">
        <f t="shared" ca="1" si="4"/>
        <v>#N/A</v>
      </c>
      <c r="V32" s="2">
        <v>29.628133850763827</v>
      </c>
      <c r="W32" s="84" t="s">
        <v>20</v>
      </c>
    </row>
    <row r="33" spans="1:23">
      <c r="A33" s="84" t="s">
        <v>20</v>
      </c>
      <c r="B33" s="84"/>
      <c r="C33" s="84">
        <v>8.0000000000000004E-4</v>
      </c>
      <c r="D33" s="84" t="s">
        <v>111</v>
      </c>
      <c r="E33" s="36" t="e">
        <f>VLOOKUP(D33,Sheet2!A$62:B$68,2,0)</f>
        <v>#N/A</v>
      </c>
      <c r="F33" s="37">
        <v>73330</v>
      </c>
      <c r="G33" s="37"/>
      <c r="H33" s="37"/>
      <c r="I33" s="36" t="e">
        <f t="shared" si="8"/>
        <v>#N/A</v>
      </c>
      <c r="J33" s="37">
        <v>73330</v>
      </c>
      <c r="K33" s="37">
        <f t="shared" si="9"/>
        <v>73264.062343890502</v>
      </c>
      <c r="L33" s="84">
        <v>4</v>
      </c>
      <c r="M33" s="84">
        <v>8.9999999999999998E-4</v>
      </c>
      <c r="N33" s="45" t="e">
        <f t="shared" si="7"/>
        <v>#N/A</v>
      </c>
      <c r="O33" s="84"/>
      <c r="P33" s="2" t="e">
        <f t="shared" si="2"/>
        <v>#N/A</v>
      </c>
      <c r="Q33" s="2">
        <f t="shared" si="0"/>
        <v>6</v>
      </c>
      <c r="R33" s="2" t="e">
        <f t="shared" ca="1" si="1"/>
        <v>#N/A</v>
      </c>
      <c r="T33" s="2" t="e">
        <f t="shared" ca="1" si="3"/>
        <v>#N/A</v>
      </c>
      <c r="U33" s="31" t="e">
        <f t="shared" ca="1" si="4"/>
        <v>#N/A</v>
      </c>
      <c r="V33" s="2">
        <v>29.628133850763827</v>
      </c>
      <c r="W33" s="84" t="s">
        <v>20</v>
      </c>
    </row>
    <row r="34" spans="1:23">
      <c r="A34" s="84" t="s">
        <v>20</v>
      </c>
      <c r="B34" s="84"/>
      <c r="C34" s="84">
        <v>2.69E-2</v>
      </c>
      <c r="D34" s="84" t="s">
        <v>109</v>
      </c>
      <c r="E34" s="36" t="e">
        <f>VLOOKUP(D34,Sheet2!A$62:B$68,2,0)</f>
        <v>#N/A</v>
      </c>
      <c r="F34" s="37">
        <v>42638.66</v>
      </c>
      <c r="G34" s="37"/>
      <c r="H34" s="37"/>
      <c r="I34" s="36" t="e">
        <f t="shared" si="8"/>
        <v>#N/A</v>
      </c>
      <c r="J34" s="37">
        <v>42638.66</v>
      </c>
      <c r="K34" s="37">
        <f t="shared" si="9"/>
        <v>42439.195779834787</v>
      </c>
      <c r="L34" s="84">
        <v>4</v>
      </c>
      <c r="M34" s="84">
        <v>4.6999999999999993E-3</v>
      </c>
      <c r="N34" s="45" t="e">
        <f t="shared" si="7"/>
        <v>#N/A</v>
      </c>
      <c r="O34" s="84"/>
      <c r="P34" s="2" t="e">
        <f t="shared" si="2"/>
        <v>#N/A</v>
      </c>
      <c r="Q34" s="2">
        <f t="shared" si="0"/>
        <v>6</v>
      </c>
      <c r="R34" s="2" t="e">
        <f t="shared" ca="1" si="1"/>
        <v>#N/A</v>
      </c>
      <c r="T34" s="2" t="e">
        <f t="shared" ca="1" si="3"/>
        <v>#N/A</v>
      </c>
      <c r="U34" s="31" t="e">
        <f t="shared" ca="1" si="4"/>
        <v>#N/A</v>
      </c>
      <c r="V34" s="2">
        <v>29.628133850763827</v>
      </c>
      <c r="W34" s="84" t="s">
        <v>20</v>
      </c>
    </row>
    <row r="35" spans="1:23">
      <c r="A35" s="84" t="s">
        <v>20</v>
      </c>
      <c r="B35" s="84"/>
      <c r="C35" s="84">
        <v>-4.4699999999999997E-2</v>
      </c>
      <c r="D35" s="84" t="s">
        <v>108</v>
      </c>
      <c r="E35" s="36" t="e">
        <f>VLOOKUP(D35,Sheet2!A$62:B$68,2,0)</f>
        <v>#N/A</v>
      </c>
      <c r="F35" s="37">
        <v>212984.55</v>
      </c>
      <c r="G35" s="37"/>
      <c r="H35" s="37"/>
      <c r="I35" s="36" t="e">
        <f t="shared" si="8"/>
        <v>#N/A</v>
      </c>
      <c r="J35" s="37">
        <v>212984.55</v>
      </c>
      <c r="K35" s="37">
        <f t="shared" si="9"/>
        <v>202707.29037784334</v>
      </c>
      <c r="L35" s="84">
        <v>4</v>
      </c>
      <c r="M35" s="84">
        <v>5.0700000000000002E-2</v>
      </c>
      <c r="N35" s="45" t="e">
        <f t="shared" si="7"/>
        <v>#N/A</v>
      </c>
      <c r="O35" s="84"/>
      <c r="P35" s="2" t="e">
        <f t="shared" si="2"/>
        <v>#N/A</v>
      </c>
      <c r="Q35" s="2">
        <f t="shared" si="0"/>
        <v>6</v>
      </c>
      <c r="R35" s="2" t="e">
        <f t="shared" ca="1" si="1"/>
        <v>#N/A</v>
      </c>
      <c r="T35" s="2" t="e">
        <f t="shared" ca="1" si="3"/>
        <v>#N/A</v>
      </c>
      <c r="U35" s="31" t="e">
        <f t="shared" ca="1" si="4"/>
        <v>#N/A</v>
      </c>
      <c r="V35" s="2">
        <v>29.628133850763827</v>
      </c>
      <c r="W35" s="84" t="s">
        <v>20</v>
      </c>
    </row>
    <row r="36" spans="1:23">
      <c r="A36" s="84" t="s">
        <v>20</v>
      </c>
      <c r="B36" s="84"/>
      <c r="C36" s="84">
        <v>-4.0000000000000002E-4</v>
      </c>
      <c r="D36" s="84" t="s">
        <v>110</v>
      </c>
      <c r="E36" s="36" t="e">
        <f>VLOOKUP(D36,Sheet2!A$62:B$68,2,0)</f>
        <v>#N/A</v>
      </c>
      <c r="F36" s="37">
        <v>50641.919999999998</v>
      </c>
      <c r="G36" s="37"/>
      <c r="H36" s="37"/>
      <c r="I36" s="36" t="e">
        <f t="shared" si="8"/>
        <v>#N/A</v>
      </c>
      <c r="J36" s="37">
        <v>50641.919999999998</v>
      </c>
      <c r="K36" s="37">
        <f t="shared" si="9"/>
        <v>42942.35563469855</v>
      </c>
      <c r="L36" s="84">
        <v>4</v>
      </c>
      <c r="M36" s="84">
        <v>0.17929999999999999</v>
      </c>
      <c r="N36" s="45" t="e">
        <f t="shared" si="7"/>
        <v>#N/A</v>
      </c>
      <c r="O36" s="84"/>
      <c r="P36" s="2" t="e">
        <f t="shared" si="2"/>
        <v>#N/A</v>
      </c>
      <c r="Q36" s="2">
        <f t="shared" si="0"/>
        <v>6</v>
      </c>
      <c r="R36" s="2" t="e">
        <f t="shared" ca="1" si="1"/>
        <v>#N/A</v>
      </c>
      <c r="T36" s="2" t="e">
        <f t="shared" ca="1" si="3"/>
        <v>#N/A</v>
      </c>
      <c r="U36" s="31" t="e">
        <f t="shared" ca="1" si="4"/>
        <v>#N/A</v>
      </c>
      <c r="V36" s="2">
        <v>29.628133850763827</v>
      </c>
      <c r="W36" s="84" t="s">
        <v>20</v>
      </c>
    </row>
    <row r="37" spans="1:23">
      <c r="A37" s="84" t="s">
        <v>20</v>
      </c>
      <c r="B37" s="84"/>
      <c r="C37" s="84">
        <v>8.8599999999999998E-2</v>
      </c>
      <c r="D37" s="84" t="s">
        <v>107</v>
      </c>
      <c r="E37" s="36" t="e">
        <f>VLOOKUP(D37,Sheet2!A$62:B$68,2,0)</f>
        <v>#N/A</v>
      </c>
      <c r="F37" s="37">
        <v>377869.81</v>
      </c>
      <c r="G37" s="37"/>
      <c r="H37" s="37"/>
      <c r="I37" s="36" t="e">
        <f t="shared" si="8"/>
        <v>#N/A</v>
      </c>
      <c r="J37" s="37">
        <v>377869.81</v>
      </c>
      <c r="K37" s="37">
        <f t="shared" si="9"/>
        <v>287222.41562785045</v>
      </c>
      <c r="L37" s="84">
        <v>4</v>
      </c>
      <c r="M37" s="84">
        <v>0.31559999999999999</v>
      </c>
      <c r="N37" s="45" t="e">
        <f t="shared" si="7"/>
        <v>#N/A</v>
      </c>
      <c r="O37" s="84"/>
      <c r="P37" s="2" t="e">
        <f t="shared" si="2"/>
        <v>#N/A</v>
      </c>
      <c r="Q37" s="2">
        <f t="shared" si="0"/>
        <v>6</v>
      </c>
      <c r="R37" s="2" t="e">
        <f t="shared" ca="1" si="1"/>
        <v>#N/A</v>
      </c>
      <c r="T37" s="2" t="e">
        <f t="shared" ca="1" si="3"/>
        <v>#N/A</v>
      </c>
      <c r="U37" s="31" t="e">
        <f t="shared" ca="1" si="4"/>
        <v>#N/A</v>
      </c>
      <c r="V37" s="2">
        <v>29.628133850763827</v>
      </c>
      <c r="W37" s="84" t="s">
        <v>20</v>
      </c>
    </row>
    <row r="38" spans="1:23">
      <c r="A38" s="84" t="s">
        <v>21</v>
      </c>
      <c r="B38" s="84" t="s">
        <v>63</v>
      </c>
      <c r="C38" s="58">
        <v>-0.16020000000000001</v>
      </c>
      <c r="D38" s="84" t="s">
        <v>163</v>
      </c>
      <c r="E38" s="59">
        <v>875888679</v>
      </c>
      <c r="F38" s="59">
        <v>121101.26</v>
      </c>
      <c r="G38" s="59"/>
      <c r="H38" s="59"/>
      <c r="I38" s="36">
        <f t="shared" si="8"/>
        <v>1042972944.7487497</v>
      </c>
      <c r="J38" s="59">
        <v>121101.26</v>
      </c>
      <c r="K38" s="37">
        <f t="shared" si="9"/>
        <v>172386.1352313167</v>
      </c>
      <c r="L38" s="84">
        <v>4</v>
      </c>
      <c r="M38" s="58">
        <v>-0.29749999999999999</v>
      </c>
      <c r="N38" s="45">
        <f t="shared" si="7"/>
        <v>0.19544483985765118</v>
      </c>
      <c r="O38" s="84"/>
      <c r="P38" s="2">
        <f t="shared" si="2"/>
        <v>29.316725978647678</v>
      </c>
      <c r="Q38" s="2">
        <f t="shared" si="0"/>
        <v>3</v>
      </c>
      <c r="R38" s="2">
        <f t="shared" ca="1" si="1"/>
        <v>15.049044041318439</v>
      </c>
      <c r="T38" s="2">
        <f t="shared" ca="1" si="3"/>
        <v>18.058852849582127</v>
      </c>
      <c r="U38" s="31">
        <f t="shared" ca="1" si="4"/>
        <v>69.864738134540346</v>
      </c>
      <c r="V38" s="2">
        <v>69.864738134540346</v>
      </c>
      <c r="W38" s="84" t="s">
        <v>21</v>
      </c>
    </row>
    <row r="39" spans="1:23">
      <c r="A39" s="84" t="s">
        <v>21</v>
      </c>
      <c r="B39" s="84"/>
      <c r="C39" s="58">
        <v>0.17249999999999999</v>
      </c>
      <c r="D39" s="58" t="s">
        <v>164</v>
      </c>
      <c r="E39" s="59">
        <v>188624241.65000001</v>
      </c>
      <c r="F39" s="59">
        <v>27754</v>
      </c>
      <c r="G39" s="59"/>
      <c r="H39" s="59"/>
      <c r="I39" s="36">
        <f t="shared" si="8"/>
        <v>160873553.64605546</v>
      </c>
      <c r="J39" s="59">
        <v>27754</v>
      </c>
      <c r="K39" s="37">
        <f t="shared" si="9"/>
        <v>24981.098109810981</v>
      </c>
      <c r="L39" s="84">
        <v>4</v>
      </c>
      <c r="M39" s="58">
        <v>0.111</v>
      </c>
      <c r="N39" s="45">
        <f t="shared" si="7"/>
        <v>5.535553555355531E-2</v>
      </c>
      <c r="O39" s="84"/>
      <c r="P39" s="2">
        <f t="shared" si="2"/>
        <v>8.3033303330332959</v>
      </c>
      <c r="Q39" s="2">
        <f t="shared" si="0"/>
        <v>3</v>
      </c>
      <c r="R39" s="2">
        <f t="shared" ca="1" si="1"/>
        <v>15.049044041318439</v>
      </c>
      <c r="T39" s="2">
        <f t="shared" ca="1" si="3"/>
        <v>18.058852849582127</v>
      </c>
      <c r="U39" s="31">
        <f t="shared" ca="1" si="4"/>
        <v>69.864738134540346</v>
      </c>
      <c r="V39" s="2">
        <v>69.864738134540346</v>
      </c>
      <c r="W39" s="84" t="s">
        <v>21</v>
      </c>
    </row>
    <row r="40" spans="1:23">
      <c r="A40" s="84" t="s">
        <v>21</v>
      </c>
      <c r="B40" s="84"/>
      <c r="C40" s="58">
        <v>0.1636</v>
      </c>
      <c r="D40" s="58" t="s">
        <v>165</v>
      </c>
      <c r="E40" s="59">
        <v>353551135.10000002</v>
      </c>
      <c r="F40" s="59">
        <v>126935</v>
      </c>
      <c r="G40" s="59"/>
      <c r="H40" s="59"/>
      <c r="I40" s="36">
        <f t="shared" si="8"/>
        <v>303842501.80474395</v>
      </c>
      <c r="J40" s="59">
        <v>126935</v>
      </c>
      <c r="K40" s="37">
        <f t="shared" si="9"/>
        <v>114562.27436823104</v>
      </c>
      <c r="L40" s="84">
        <v>4</v>
      </c>
      <c r="M40" s="58">
        <v>0.10800000000000001</v>
      </c>
      <c r="N40" s="45">
        <f t="shared" si="7"/>
        <v>5.0180505415162273E-2</v>
      </c>
      <c r="O40" s="84"/>
      <c r="P40" s="2">
        <f t="shared" si="2"/>
        <v>7.5270758122743402</v>
      </c>
      <c r="Q40" s="2">
        <f t="shared" si="0"/>
        <v>3</v>
      </c>
      <c r="R40" s="2">
        <f t="shared" ca="1" si="1"/>
        <v>15.049044041318439</v>
      </c>
      <c r="T40" s="2">
        <f t="shared" ca="1" si="3"/>
        <v>18.058852849582127</v>
      </c>
      <c r="U40" s="31">
        <f t="shared" ca="1" si="4"/>
        <v>69.864738134540346</v>
      </c>
      <c r="V40" s="2">
        <v>69.864738134540346</v>
      </c>
      <c r="W40" s="84" t="s">
        <v>21</v>
      </c>
    </row>
    <row r="41" spans="1:23">
      <c r="A41" s="84" t="s">
        <v>22</v>
      </c>
      <c r="B41" s="84" t="s">
        <v>64</v>
      </c>
      <c r="C41" s="95">
        <v>0.2974</v>
      </c>
      <c r="D41" s="97" t="s">
        <v>167</v>
      </c>
      <c r="E41" s="86">
        <v>3334470563.2199998</v>
      </c>
      <c r="F41" s="88">
        <v>251614</v>
      </c>
      <c r="G41" s="88"/>
      <c r="H41" s="88"/>
      <c r="I41" s="87">
        <f t="shared" si="8"/>
        <v>2570117591.5060887</v>
      </c>
      <c r="J41" s="88">
        <v>251614</v>
      </c>
      <c r="K41" s="89">
        <f t="shared" si="9"/>
        <v>224454.95093666369</v>
      </c>
      <c r="L41" s="90"/>
      <c r="M41" s="91">
        <v>0.121</v>
      </c>
      <c r="N41" s="45">
        <f t="shared" si="7"/>
        <v>0.15735950044603053</v>
      </c>
      <c r="O41" s="84"/>
      <c r="P41" s="2">
        <f t="shared" si="2"/>
        <v>23.60392506690458</v>
      </c>
      <c r="Q41" s="2">
        <f t="shared" si="0"/>
        <v>1</v>
      </c>
      <c r="R41" s="2">
        <f t="shared" ca="1" si="1"/>
        <v>23.60392506690458</v>
      </c>
      <c r="T41" s="2">
        <f t="shared" ca="1" si="3"/>
        <v>28.324710080285495</v>
      </c>
      <c r="U41" s="31">
        <f t="shared" ca="1" si="4"/>
        <v>81.157181088314047</v>
      </c>
      <c r="V41" s="2">
        <v>81.157181088314047</v>
      </c>
      <c r="W41" s="84" t="s">
        <v>22</v>
      </c>
    </row>
    <row r="42" spans="1:23" s="32" customFormat="1">
      <c r="A42" s="47" t="s">
        <v>23</v>
      </c>
      <c r="B42" s="47" t="s">
        <v>65</v>
      </c>
      <c r="C42" s="47">
        <v>8.5699999999999998E-2</v>
      </c>
      <c r="D42" s="47" t="s">
        <v>113</v>
      </c>
      <c r="E42" s="51">
        <v>650675060.41999996</v>
      </c>
      <c r="F42" s="52">
        <v>152814</v>
      </c>
      <c r="G42" s="52"/>
      <c r="H42" s="52"/>
      <c r="I42" s="51">
        <f t="shared" si="8"/>
        <v>599313862.41134739</v>
      </c>
      <c r="J42" s="52">
        <v>152814</v>
      </c>
      <c r="K42" s="52">
        <f t="shared" si="9"/>
        <v>140415.32665625287</v>
      </c>
      <c r="L42" s="47">
        <v>4</v>
      </c>
      <c r="M42" s="47">
        <v>8.8300000000000003E-2</v>
      </c>
      <c r="N42" s="55">
        <f t="shared" si="7"/>
        <v>-2.3890471377376581E-3</v>
      </c>
      <c r="O42" s="47"/>
      <c r="P42" s="2">
        <f t="shared" si="2"/>
        <v>-0.59726178443441458</v>
      </c>
      <c r="Q42" s="2">
        <f t="shared" si="0"/>
        <v>2</v>
      </c>
      <c r="R42" s="2">
        <f t="shared" ca="1" si="1"/>
        <v>3.4395642809202522</v>
      </c>
      <c r="S42" s="2"/>
      <c r="T42" s="2">
        <f t="shared" ca="1" si="3"/>
        <v>4.8153899932883526</v>
      </c>
      <c r="U42" s="31">
        <f t="shared" ca="1" si="4"/>
        <v>55.29692899261719</v>
      </c>
      <c r="V42" s="2">
        <v>55.29692899261719</v>
      </c>
      <c r="W42" s="47" t="s">
        <v>23</v>
      </c>
    </row>
    <row r="43" spans="1:23">
      <c r="A43" s="84" t="s">
        <v>23</v>
      </c>
      <c r="B43" s="84"/>
      <c r="C43" s="84">
        <v>0.4007</v>
      </c>
      <c r="D43" s="84" t="s">
        <v>114</v>
      </c>
      <c r="E43" s="36">
        <v>129321482.56999999</v>
      </c>
      <c r="F43" s="37">
        <v>43060.49</v>
      </c>
      <c r="G43" s="37"/>
      <c r="H43" s="37"/>
      <c r="I43" s="36">
        <f t="shared" si="8"/>
        <v>92326324.387806088</v>
      </c>
      <c r="J43" s="37">
        <v>43060.49</v>
      </c>
      <c r="K43" s="37">
        <f t="shared" si="9"/>
        <v>32274.389147054411</v>
      </c>
      <c r="L43" s="84">
        <v>4</v>
      </c>
      <c r="M43" s="84">
        <v>0.3342</v>
      </c>
      <c r="N43" s="45">
        <f t="shared" si="7"/>
        <v>4.9842602308499462E-2</v>
      </c>
      <c r="O43" s="84"/>
      <c r="P43" s="2">
        <f t="shared" si="2"/>
        <v>7.4763903462749193</v>
      </c>
      <c r="Q43" s="2">
        <f t="shared" si="0"/>
        <v>2</v>
      </c>
      <c r="R43" s="2">
        <f t="shared" ca="1" si="1"/>
        <v>3.4395642809202522</v>
      </c>
      <c r="T43" s="2">
        <f t="shared" ca="1" si="3"/>
        <v>4.8153899932883526</v>
      </c>
      <c r="U43" s="31">
        <f t="shared" ca="1" si="4"/>
        <v>55.29692899261719</v>
      </c>
      <c r="V43" s="2">
        <v>55.29692899261719</v>
      </c>
      <c r="W43" s="84" t="s">
        <v>23</v>
      </c>
    </row>
    <row r="44" spans="1:23">
      <c r="A44" s="84" t="s">
        <v>24</v>
      </c>
      <c r="B44" s="84" t="s">
        <v>66</v>
      </c>
      <c r="C44" s="84">
        <v>-0.84920000000000007</v>
      </c>
      <c r="D44" s="84" t="s">
        <v>115</v>
      </c>
      <c r="E44" s="36">
        <v>9460112.75</v>
      </c>
      <c r="F44" s="37">
        <v>57109.8</v>
      </c>
      <c r="G44" s="37"/>
      <c r="H44" s="37"/>
      <c r="I44" s="36">
        <f t="shared" si="8"/>
        <v>62732843.1697613</v>
      </c>
      <c r="J44" s="37">
        <v>57109.8</v>
      </c>
      <c r="K44" s="37">
        <f t="shared" si="9"/>
        <v>383287.24832214764</v>
      </c>
      <c r="L44" s="84">
        <v>4</v>
      </c>
      <c r="M44" s="84">
        <v>-0.85099999999999998</v>
      </c>
      <c r="N44" s="45">
        <f t="shared" si="7"/>
        <v>1.208053691275114E-2</v>
      </c>
      <c r="O44" s="84"/>
      <c r="P44" s="2">
        <f t="shared" si="2"/>
        <v>1.8120805369126709</v>
      </c>
      <c r="Q44" s="2">
        <f t="shared" si="0"/>
        <v>1</v>
      </c>
      <c r="R44" s="2">
        <f t="shared" ca="1" si="1"/>
        <v>1.8120805369126709</v>
      </c>
      <c r="T44" s="2">
        <f t="shared" ca="1" si="3"/>
        <v>2.5369127516777392</v>
      </c>
      <c r="U44" s="31">
        <f t="shared" ca="1" si="4"/>
        <v>52.790604026845514</v>
      </c>
      <c r="V44" s="2">
        <v>52.790604026845514</v>
      </c>
      <c r="W44" s="84" t="s">
        <v>24</v>
      </c>
    </row>
    <row r="45" spans="1:23">
      <c r="A45" s="84" t="s">
        <v>25</v>
      </c>
      <c r="B45" s="84" t="s">
        <v>67</v>
      </c>
      <c r="C45" s="84">
        <v>0.18010000000000001</v>
      </c>
      <c r="D45" s="84" t="s">
        <v>116</v>
      </c>
      <c r="E45" s="36">
        <v>1037879659.8</v>
      </c>
      <c r="F45" s="37">
        <v>168066.54</v>
      </c>
      <c r="G45" s="37"/>
      <c r="H45" s="37"/>
      <c r="I45" s="36">
        <f t="shared" si="8"/>
        <v>879484501.14397085</v>
      </c>
      <c r="J45" s="37">
        <v>168066.54</v>
      </c>
      <c r="K45" s="37">
        <f t="shared" si="9"/>
        <v>137387.83618082237</v>
      </c>
      <c r="L45" s="84">
        <v>4</v>
      </c>
      <c r="M45" s="84">
        <v>0.22329999999999997</v>
      </c>
      <c r="N45" s="45">
        <f t="shared" si="7"/>
        <v>-3.5314313741518853E-2</v>
      </c>
      <c r="O45" s="84"/>
      <c r="P45" s="2">
        <f t="shared" si="2"/>
        <v>-8.828578435379713</v>
      </c>
      <c r="Q45" s="2">
        <f t="shared" si="0"/>
        <v>1</v>
      </c>
      <c r="R45" s="2">
        <f t="shared" ca="1" si="1"/>
        <v>-8.828578435379713</v>
      </c>
      <c r="T45" s="2">
        <f t="shared" ca="1" si="3"/>
        <v>-12.360009809531597</v>
      </c>
      <c r="U45" s="31">
        <f t="shared" ca="1" si="4"/>
        <v>36.403989209515245</v>
      </c>
      <c r="V45" s="2">
        <v>36.403989209515245</v>
      </c>
      <c r="W45" s="84" t="s">
        <v>25</v>
      </c>
    </row>
    <row r="46" spans="1:23">
      <c r="A46" s="84" t="s">
        <v>26</v>
      </c>
      <c r="B46" s="84" t="s">
        <v>68</v>
      </c>
      <c r="C46" s="84">
        <v>9.5199999999999993E-2</v>
      </c>
      <c r="D46" s="84" t="s">
        <v>117</v>
      </c>
      <c r="E46" s="36">
        <v>2813595263.1399999</v>
      </c>
      <c r="F46" s="37">
        <v>491785.62</v>
      </c>
      <c r="G46" s="37"/>
      <c r="H46" s="37"/>
      <c r="I46" s="36">
        <f t="shared" si="8"/>
        <v>2569024162.8378377</v>
      </c>
      <c r="J46" s="37">
        <v>491785.62</v>
      </c>
      <c r="K46" s="37">
        <f t="shared" si="9"/>
        <v>462857.05411764706</v>
      </c>
      <c r="L46" s="84">
        <v>4</v>
      </c>
      <c r="M46" s="84">
        <v>6.25E-2</v>
      </c>
      <c r="N46" s="45">
        <f t="shared" si="7"/>
        <v>3.0776470588235291E-2</v>
      </c>
      <c r="O46" s="84"/>
      <c r="P46" s="2">
        <f t="shared" si="2"/>
        <v>4.616470588235293</v>
      </c>
      <c r="Q46" s="2">
        <f t="shared" si="0"/>
        <v>3</v>
      </c>
      <c r="R46" s="2">
        <f t="shared" ca="1" si="1"/>
        <v>4.5090782223152859</v>
      </c>
      <c r="T46" s="2">
        <f t="shared" ca="1" si="3"/>
        <v>6.3127095112414002</v>
      </c>
      <c r="U46" s="31">
        <f t="shared" ca="1" si="4"/>
        <v>56.943980462365545</v>
      </c>
      <c r="V46" s="2">
        <v>56.943980462365545</v>
      </c>
      <c r="W46" s="84" t="s">
        <v>26</v>
      </c>
    </row>
    <row r="47" spans="1:23">
      <c r="A47" s="84" t="s">
        <v>26</v>
      </c>
      <c r="B47" s="84"/>
      <c r="C47" s="84">
        <v>2.98E-2</v>
      </c>
      <c r="D47" s="84" t="s">
        <v>118</v>
      </c>
      <c r="E47" s="36">
        <v>849953338.85000002</v>
      </c>
      <c r="F47" s="37">
        <v>36678.79</v>
      </c>
      <c r="G47" s="37"/>
      <c r="H47" s="37"/>
      <c r="I47" s="36">
        <f t="shared" si="8"/>
        <v>825357679.98640513</v>
      </c>
      <c r="J47" s="37">
        <v>36678.79</v>
      </c>
      <c r="K47" s="37">
        <f t="shared" si="9"/>
        <v>36926.195509916441</v>
      </c>
      <c r="L47" s="84">
        <v>4</v>
      </c>
      <c r="M47" s="84">
        <v>-6.7000000000000002E-3</v>
      </c>
      <c r="N47" s="45">
        <f t="shared" si="7"/>
        <v>3.6746199536897291E-2</v>
      </c>
      <c r="O47" s="84"/>
      <c r="P47" s="2">
        <f t="shared" si="2"/>
        <v>5.5119299305345937</v>
      </c>
      <c r="Q47" s="2">
        <f t="shared" si="0"/>
        <v>3</v>
      </c>
      <c r="R47" s="2">
        <f t="shared" ca="1" si="1"/>
        <v>4.5090782223152859</v>
      </c>
      <c r="T47" s="2">
        <f t="shared" ca="1" si="3"/>
        <v>6.3127095112414002</v>
      </c>
      <c r="U47" s="31">
        <f t="shared" ca="1" si="4"/>
        <v>56.943980462365545</v>
      </c>
      <c r="V47" s="2">
        <v>56.943980462365545</v>
      </c>
      <c r="W47" s="84" t="s">
        <v>26</v>
      </c>
    </row>
    <row r="48" spans="1:23">
      <c r="A48" s="84" t="s">
        <v>26</v>
      </c>
      <c r="B48" s="84"/>
      <c r="C48" s="84">
        <v>8.77E-2</v>
      </c>
      <c r="D48" s="84" t="s">
        <v>119</v>
      </c>
      <c r="E48" s="36">
        <v>834714852.94000006</v>
      </c>
      <c r="F48" s="37">
        <v>113816.64</v>
      </c>
      <c r="G48" s="37"/>
      <c r="H48" s="37"/>
      <c r="I48" s="36">
        <f t="shared" si="8"/>
        <v>767412754.3808037</v>
      </c>
      <c r="J48" s="37">
        <v>113816.64</v>
      </c>
      <c r="K48" s="37">
        <f t="shared" si="9"/>
        <v>107010.75592327942</v>
      </c>
      <c r="L48" s="84">
        <v>4</v>
      </c>
      <c r="M48" s="84">
        <v>6.3600000000000004E-2</v>
      </c>
      <c r="N48" s="45">
        <f t="shared" si="7"/>
        <v>2.2658894321173146E-2</v>
      </c>
      <c r="O48" s="84"/>
      <c r="P48" s="2">
        <f t="shared" si="2"/>
        <v>3.3988341481759718</v>
      </c>
      <c r="Q48" s="2">
        <f t="shared" si="0"/>
        <v>3</v>
      </c>
      <c r="R48" s="2">
        <f t="shared" ca="1" si="1"/>
        <v>4.5090782223152859</v>
      </c>
      <c r="T48" s="2">
        <f t="shared" ca="1" si="3"/>
        <v>6.3127095112414002</v>
      </c>
      <c r="U48" s="31">
        <f t="shared" ca="1" si="4"/>
        <v>56.943980462365545</v>
      </c>
      <c r="V48" s="2">
        <v>56.943980462365545</v>
      </c>
      <c r="W48" s="84" t="s">
        <v>26</v>
      </c>
    </row>
    <row r="49" spans="1:23">
      <c r="A49" s="84" t="s">
        <v>27</v>
      </c>
      <c r="B49" s="84" t="s">
        <v>69</v>
      </c>
      <c r="C49" s="84">
        <v>-5.3600000000000002E-2</v>
      </c>
      <c r="D49" s="84" t="s">
        <v>120</v>
      </c>
      <c r="E49" s="36">
        <v>11318386998</v>
      </c>
      <c r="F49" s="37">
        <v>1556306</v>
      </c>
      <c r="G49" s="37"/>
      <c r="H49" s="37"/>
      <c r="I49" s="36">
        <v>11959411451.817413</v>
      </c>
      <c r="J49" s="37">
        <v>1556306</v>
      </c>
      <c r="K49" s="37">
        <v>1583056.7834174973</v>
      </c>
      <c r="L49" s="84">
        <v>3</v>
      </c>
      <c r="M49" s="84"/>
      <c r="N49" s="45">
        <v>-3.7332671192991974E-2</v>
      </c>
      <c r="O49" s="84"/>
      <c r="P49" s="2">
        <v>-9.3331677982479935</v>
      </c>
      <c r="Q49" s="2">
        <v>5</v>
      </c>
      <c r="R49" s="2">
        <v>-1.8666335596495987</v>
      </c>
      <c r="T49" s="2">
        <v>-2.6132869835094379</v>
      </c>
      <c r="U49" s="31">
        <v>47.125384318139616</v>
      </c>
      <c r="V49" s="2">
        <v>47.125384318139616</v>
      </c>
      <c r="W49" s="84" t="s">
        <v>27</v>
      </c>
    </row>
    <row r="50" spans="1:23">
      <c r="A50" s="84" t="s">
        <v>28</v>
      </c>
      <c r="B50" s="84" t="s">
        <v>70</v>
      </c>
      <c r="C50" s="84">
        <v>0.18239999999999998</v>
      </c>
      <c r="D50" s="84" t="s">
        <v>121</v>
      </c>
      <c r="E50" s="36">
        <v>451858661.77999997</v>
      </c>
      <c r="F50" s="37">
        <v>35642</v>
      </c>
      <c r="G50" s="37"/>
      <c r="H50" s="37"/>
      <c r="I50" s="36">
        <f t="shared" ref="I50:I87" si="10">E50/(1+C50)</f>
        <v>382153807.32408661</v>
      </c>
      <c r="J50" s="37">
        <v>35642</v>
      </c>
      <c r="K50" s="37">
        <f t="shared" ref="K50:K87" si="11">J50/(1+M50)</f>
        <v>40373.810602628</v>
      </c>
      <c r="L50" s="84">
        <v>4</v>
      </c>
      <c r="M50" s="84">
        <v>-0.11720000000000001</v>
      </c>
      <c r="N50" s="45">
        <f t="shared" ref="N50:N87" si="12">(E50/J50-I50/K50)/(I50/K50)</f>
        <v>0.33937471681014941</v>
      </c>
      <c r="O50" s="84"/>
      <c r="P50" s="2">
        <f t="shared" si="2"/>
        <v>50.906207521522418</v>
      </c>
      <c r="Q50" s="2">
        <f t="shared" ref="Q50:Q70" si="13">COUNTIF(A:B,A50)</f>
        <v>4</v>
      </c>
      <c r="R50" s="2">
        <f t="shared" ref="R50:R71" ca="1" si="14">SUMIF(A:B,A50,P:P)/Q50</f>
        <v>-8.9391834438593154</v>
      </c>
      <c r="T50" s="2">
        <f t="shared" ca="1" si="3"/>
        <v>-12.514856821403042</v>
      </c>
      <c r="U50" s="31">
        <f t="shared" ca="1" si="4"/>
        <v>36.233657496456651</v>
      </c>
      <c r="V50" s="2">
        <v>36.233657496456651</v>
      </c>
      <c r="W50" s="84" t="s">
        <v>28</v>
      </c>
    </row>
    <row r="51" spans="1:23">
      <c r="A51" s="84" t="s">
        <v>28</v>
      </c>
      <c r="B51" s="84"/>
      <c r="C51" s="84">
        <v>0.30269999999999997</v>
      </c>
      <c r="D51" s="84" t="s">
        <v>122</v>
      </c>
      <c r="E51" s="36">
        <v>12353408.039999999</v>
      </c>
      <c r="F51" s="37">
        <v>421</v>
      </c>
      <c r="G51" s="37"/>
      <c r="H51" s="37"/>
      <c r="I51" s="36">
        <f t="shared" si="10"/>
        <v>9482926.2608428635</v>
      </c>
      <c r="J51" s="37">
        <v>421</v>
      </c>
      <c r="K51" s="37">
        <f t="shared" si="11"/>
        <v>232.19899619436325</v>
      </c>
      <c r="L51" s="84">
        <v>4</v>
      </c>
      <c r="M51" s="84">
        <v>0.81310000000000004</v>
      </c>
      <c r="N51" s="45">
        <f t="shared" si="12"/>
        <v>-0.28150681153824936</v>
      </c>
      <c r="O51" s="84"/>
      <c r="P51" s="2">
        <f t="shared" si="2"/>
        <v>-70.376702884562334</v>
      </c>
      <c r="Q51" s="2">
        <f t="shared" si="13"/>
        <v>4</v>
      </c>
      <c r="R51" s="2">
        <f t="shared" ca="1" si="14"/>
        <v>-8.9391834438593154</v>
      </c>
      <c r="T51" s="2">
        <f t="shared" ca="1" si="3"/>
        <v>-12.514856821403042</v>
      </c>
      <c r="U51" s="31">
        <f t="shared" ca="1" si="4"/>
        <v>36.233657496456651</v>
      </c>
      <c r="V51" s="2">
        <v>36.233657496456651</v>
      </c>
      <c r="W51" s="84" t="s">
        <v>28</v>
      </c>
    </row>
    <row r="52" spans="1:23">
      <c r="A52" s="84" t="s">
        <v>28</v>
      </c>
      <c r="B52" s="84"/>
      <c r="C52" s="84">
        <v>-4.36E-2</v>
      </c>
      <c r="D52" s="84" t="s">
        <v>123</v>
      </c>
      <c r="E52" s="36">
        <v>120815696.18000001</v>
      </c>
      <c r="F52" s="37">
        <v>1513</v>
      </c>
      <c r="G52" s="37"/>
      <c r="H52" s="37"/>
      <c r="I52" s="36">
        <f t="shared" si="10"/>
        <v>126323396.25679633</v>
      </c>
      <c r="J52" s="37">
        <v>1513</v>
      </c>
      <c r="K52" s="37">
        <f t="shared" si="11"/>
        <v>1308.4839574504888</v>
      </c>
      <c r="L52" s="84">
        <v>4</v>
      </c>
      <c r="M52" s="84">
        <v>0.15629999999999999</v>
      </c>
      <c r="N52" s="45">
        <f t="shared" si="12"/>
        <v>-0.17287901063737768</v>
      </c>
      <c r="O52" s="84"/>
      <c r="P52" s="2">
        <f t="shared" si="2"/>
        <v>-43.219752659344415</v>
      </c>
      <c r="Q52" s="2">
        <f t="shared" si="13"/>
        <v>4</v>
      </c>
      <c r="R52" s="2">
        <f t="shared" ca="1" si="14"/>
        <v>-8.9391834438593154</v>
      </c>
      <c r="T52" s="2">
        <f t="shared" ca="1" si="3"/>
        <v>-12.514856821403042</v>
      </c>
      <c r="U52" s="31">
        <f t="shared" ca="1" si="4"/>
        <v>36.233657496456651</v>
      </c>
      <c r="V52" s="2">
        <v>36.233657496456651</v>
      </c>
      <c r="W52" s="84" t="s">
        <v>28</v>
      </c>
    </row>
    <row r="53" spans="1:23">
      <c r="A53" s="84" t="s">
        <v>28</v>
      </c>
      <c r="B53" s="84"/>
      <c r="C53" s="84">
        <v>4.3200000000000002E-2</v>
      </c>
      <c r="D53" s="84" t="s">
        <v>124</v>
      </c>
      <c r="E53" s="36">
        <v>48340590.399999999</v>
      </c>
      <c r="F53" s="37">
        <v>744</v>
      </c>
      <c r="G53" s="37"/>
      <c r="H53" s="37"/>
      <c r="I53" s="36">
        <f t="shared" si="10"/>
        <v>46338756.134969331</v>
      </c>
      <c r="J53" s="37">
        <v>744</v>
      </c>
      <c r="K53" s="37">
        <f t="shared" si="11"/>
        <v>841.24830393487116</v>
      </c>
      <c r="L53" s="84">
        <v>4</v>
      </c>
      <c r="M53" s="84">
        <v>-0.11560000000000001</v>
      </c>
      <c r="N53" s="45">
        <f t="shared" si="12"/>
        <v>0.17955676164631382</v>
      </c>
      <c r="O53" s="84"/>
      <c r="P53" s="2">
        <f t="shared" si="2"/>
        <v>26.93351424694707</v>
      </c>
      <c r="Q53" s="2">
        <f t="shared" si="13"/>
        <v>4</v>
      </c>
      <c r="R53" s="2">
        <f t="shared" ca="1" si="14"/>
        <v>-8.9391834438593154</v>
      </c>
      <c r="T53" s="2">
        <f t="shared" ca="1" si="3"/>
        <v>-12.514856821403042</v>
      </c>
      <c r="U53" s="31">
        <f t="shared" ca="1" si="4"/>
        <v>36.233657496456651</v>
      </c>
      <c r="V53" s="2">
        <v>36.233657496456651</v>
      </c>
      <c r="W53" s="84" t="s">
        <v>28</v>
      </c>
    </row>
    <row r="54" spans="1:23">
      <c r="A54" s="84" t="s">
        <v>29</v>
      </c>
      <c r="B54" s="84" t="s">
        <v>71</v>
      </c>
      <c r="C54" s="84"/>
      <c r="D54" s="84" t="s">
        <v>125</v>
      </c>
      <c r="E54" s="36">
        <v>2316908786.3299999</v>
      </c>
      <c r="F54" s="37">
        <v>530388</v>
      </c>
      <c r="G54" s="37"/>
      <c r="H54" s="37"/>
      <c r="I54" s="36">
        <f t="shared" si="10"/>
        <v>2316908786.3299999</v>
      </c>
      <c r="J54" s="37">
        <v>530388</v>
      </c>
      <c r="K54" s="37">
        <f t="shared" si="11"/>
        <v>479295.13826134102</v>
      </c>
      <c r="L54" s="84">
        <v>4</v>
      </c>
      <c r="M54" s="84">
        <v>0.1066</v>
      </c>
      <c r="N54" s="45">
        <f t="shared" si="12"/>
        <v>-9.6331104283390714E-2</v>
      </c>
      <c r="O54" s="84"/>
      <c r="P54" s="2">
        <f t="shared" si="2"/>
        <v>-24.082776070847679</v>
      </c>
      <c r="Q54" s="2">
        <f t="shared" si="13"/>
        <v>1</v>
      </c>
      <c r="R54" s="2">
        <f t="shared" ca="1" si="14"/>
        <v>-24.082776070847679</v>
      </c>
      <c r="T54" s="2">
        <f t="shared" ca="1" si="3"/>
        <v>-28.899331285017212</v>
      </c>
      <c r="U54" s="31">
        <f t="shared" ca="1" si="4"/>
        <v>18.210735586481064</v>
      </c>
      <c r="V54" s="2">
        <v>18.210735586481064</v>
      </c>
      <c r="W54" s="84" t="s">
        <v>29</v>
      </c>
    </row>
    <row r="55" spans="1:23">
      <c r="A55" s="84" t="s">
        <v>30</v>
      </c>
      <c r="B55" s="84" t="s">
        <v>72</v>
      </c>
      <c r="C55" s="84">
        <v>0.12130000000000001</v>
      </c>
      <c r="D55" s="84" t="s">
        <v>169</v>
      </c>
      <c r="E55" s="36">
        <v>3966212550.8400002</v>
      </c>
      <c r="F55" s="37">
        <v>703420</v>
      </c>
      <c r="G55" s="37"/>
      <c r="H55" s="37"/>
      <c r="I55" s="36">
        <f t="shared" si="10"/>
        <v>3537155579.0956926</v>
      </c>
      <c r="J55" s="37">
        <v>703420</v>
      </c>
      <c r="K55" s="37">
        <f t="shared" si="11"/>
        <v>674613.98292893451</v>
      </c>
      <c r="L55" s="84">
        <v>4</v>
      </c>
      <c r="M55" s="84">
        <v>4.2700000000000002E-2</v>
      </c>
      <c r="N55" s="45">
        <f t="shared" si="12"/>
        <v>7.5381221827946598E-2</v>
      </c>
      <c r="O55" s="84"/>
      <c r="P55" s="2">
        <f t="shared" si="2"/>
        <v>11.30718327419199</v>
      </c>
      <c r="Q55" s="2">
        <f t="shared" si="13"/>
        <v>1</v>
      </c>
      <c r="R55" s="2">
        <f t="shared" ca="1" si="14"/>
        <v>11.30718327419199</v>
      </c>
      <c r="T55" s="2">
        <f t="shared" ca="1" si="3"/>
        <v>15.830056583868785</v>
      </c>
      <c r="U55" s="31">
        <f t="shared" ca="1" si="4"/>
        <v>67.413062242255663</v>
      </c>
      <c r="V55" s="2">
        <v>67.413062242255663</v>
      </c>
      <c r="W55" s="84" t="s">
        <v>30</v>
      </c>
    </row>
    <row r="56" spans="1:23">
      <c r="A56" s="84" t="s">
        <v>31</v>
      </c>
      <c r="B56" s="84" t="s">
        <v>73</v>
      </c>
      <c r="C56" s="84">
        <v>0.1454</v>
      </c>
      <c r="D56" s="84" t="s">
        <v>117</v>
      </c>
      <c r="E56" s="36">
        <v>324520080.52999997</v>
      </c>
      <c r="F56" s="37">
        <v>68664.5</v>
      </c>
      <c r="G56" s="37"/>
      <c r="H56" s="37"/>
      <c r="I56" s="36">
        <f t="shared" si="10"/>
        <v>283324673.06617773</v>
      </c>
      <c r="J56" s="37">
        <v>68664.5</v>
      </c>
      <c r="K56" s="37">
        <f t="shared" si="11"/>
        <v>61654.395259046425</v>
      </c>
      <c r="L56" s="84">
        <v>4</v>
      </c>
      <c r="M56" s="84">
        <v>0.1137</v>
      </c>
      <c r="N56" s="45">
        <f t="shared" si="12"/>
        <v>2.846367962647034E-2</v>
      </c>
      <c r="O56" s="84"/>
      <c r="P56" s="2">
        <f t="shared" si="2"/>
        <v>4.2695519439705514</v>
      </c>
      <c r="Q56" s="2">
        <f t="shared" si="13"/>
        <v>2</v>
      </c>
      <c r="R56" s="2">
        <f t="shared" ca="1" si="14"/>
        <v>24.137969628722217</v>
      </c>
      <c r="T56" s="2">
        <f t="shared" ca="1" si="3"/>
        <v>28.965563554466659</v>
      </c>
      <c r="U56" s="31">
        <f t="shared" ca="1" si="4"/>
        <v>81.862119909913332</v>
      </c>
      <c r="V56" s="2">
        <v>81.862119909913332</v>
      </c>
      <c r="W56" s="84" t="s">
        <v>31</v>
      </c>
    </row>
    <row r="57" spans="1:23">
      <c r="A57" s="84" t="s">
        <v>31</v>
      </c>
      <c r="B57" s="84"/>
      <c r="C57" s="84">
        <v>1.3488999999999998</v>
      </c>
      <c r="D57" s="84" t="s">
        <v>126</v>
      </c>
      <c r="E57" s="36">
        <v>297509805.44999999</v>
      </c>
      <c r="F57" s="37">
        <v>10542.38</v>
      </c>
      <c r="G57" s="37"/>
      <c r="H57" s="37"/>
      <c r="I57" s="36">
        <f t="shared" si="10"/>
        <v>126659204.49997874</v>
      </c>
      <c r="J57" s="37">
        <v>10542.38</v>
      </c>
      <c r="K57" s="37">
        <f t="shared" si="11"/>
        <v>5804.9556742470122</v>
      </c>
      <c r="L57" s="84">
        <v>4</v>
      </c>
      <c r="M57" s="84">
        <v>0.81610000000000005</v>
      </c>
      <c r="N57" s="45">
        <f t="shared" si="12"/>
        <v>0.29337591542315922</v>
      </c>
      <c r="O57" s="84"/>
      <c r="P57" s="2">
        <f t="shared" si="2"/>
        <v>44.00638731347388</v>
      </c>
      <c r="Q57" s="2">
        <f t="shared" si="13"/>
        <v>2</v>
      </c>
      <c r="R57" s="2">
        <f t="shared" ca="1" si="14"/>
        <v>24.137969628722217</v>
      </c>
      <c r="T57" s="2">
        <f t="shared" ca="1" si="3"/>
        <v>28.965563554466659</v>
      </c>
      <c r="U57" s="31">
        <f t="shared" ca="1" si="4"/>
        <v>81.862119909913332</v>
      </c>
      <c r="V57" s="2">
        <v>81.862119909913332</v>
      </c>
      <c r="W57" s="84" t="s">
        <v>31</v>
      </c>
    </row>
    <row r="58" spans="1:23" s="32" customFormat="1">
      <c r="A58" s="47" t="s">
        <v>32</v>
      </c>
      <c r="B58" s="47" t="s">
        <v>74</v>
      </c>
      <c r="C58" s="47">
        <v>0.1769</v>
      </c>
      <c r="D58" s="71" t="s">
        <v>156</v>
      </c>
      <c r="E58" s="51">
        <v>42552518344.809998</v>
      </c>
      <c r="F58" s="52">
        <v>8081286</v>
      </c>
      <c r="G58" s="52"/>
      <c r="H58" s="52"/>
      <c r="I58" s="51">
        <f t="shared" si="10"/>
        <v>36156443491.214203</v>
      </c>
      <c r="J58" s="52">
        <v>8081286</v>
      </c>
      <c r="K58" s="52">
        <f t="shared" si="11"/>
        <v>7268650.8364813821</v>
      </c>
      <c r="L58" s="47">
        <v>4</v>
      </c>
      <c r="M58" s="47">
        <v>0.1118</v>
      </c>
      <c r="N58" s="55">
        <f t="shared" si="12"/>
        <v>5.8553696708041045E-2</v>
      </c>
      <c r="O58" s="47"/>
      <c r="P58" s="2">
        <f t="shared" si="2"/>
        <v>8.783054506206156</v>
      </c>
      <c r="Q58" s="2">
        <f t="shared" si="13"/>
        <v>3</v>
      </c>
      <c r="R58" s="2">
        <f t="shared" ca="1" si="14"/>
        <v>6.9853787830444292</v>
      </c>
      <c r="S58" s="2"/>
      <c r="T58" s="2">
        <f t="shared" ca="1" si="3"/>
        <v>9.7795302962621999</v>
      </c>
      <c r="U58" s="31">
        <f t="shared" ca="1" si="4"/>
        <v>60.757483325888423</v>
      </c>
      <c r="V58" s="2">
        <v>60.757483325888423</v>
      </c>
      <c r="W58" s="47" t="s">
        <v>32</v>
      </c>
    </row>
    <row r="59" spans="1:23">
      <c r="A59" s="84" t="s">
        <v>32</v>
      </c>
      <c r="B59" s="84"/>
      <c r="C59" s="84">
        <v>0.2291</v>
      </c>
      <c r="D59" s="58" t="s">
        <v>155</v>
      </c>
      <c r="E59" s="36">
        <v>3638129996.1700001</v>
      </c>
      <c r="F59" s="37">
        <v>109007</v>
      </c>
      <c r="G59" s="37"/>
      <c r="H59" s="37"/>
      <c r="I59" s="36">
        <f t="shared" si="10"/>
        <v>2959995115.2632008</v>
      </c>
      <c r="J59" s="37">
        <v>109007</v>
      </c>
      <c r="K59" s="37">
        <f t="shared" si="11"/>
        <v>94150.112281913985</v>
      </c>
      <c r="L59" s="84">
        <v>4</v>
      </c>
      <c r="M59" s="84">
        <v>0.1578</v>
      </c>
      <c r="N59" s="45">
        <f t="shared" si="12"/>
        <v>6.1582311280013992E-2</v>
      </c>
      <c r="O59" s="84"/>
      <c r="P59" s="2">
        <f t="shared" si="2"/>
        <v>9.2373466920020988</v>
      </c>
      <c r="Q59" s="2">
        <f t="shared" si="13"/>
        <v>3</v>
      </c>
      <c r="R59" s="2">
        <f t="shared" ca="1" si="14"/>
        <v>6.9853787830444292</v>
      </c>
      <c r="T59" s="2">
        <f t="shared" ca="1" si="3"/>
        <v>9.7795302962621999</v>
      </c>
      <c r="U59" s="31">
        <f t="shared" ca="1" si="4"/>
        <v>60.757483325888423</v>
      </c>
      <c r="V59" s="2">
        <v>60.757483325888423</v>
      </c>
      <c r="W59" s="84" t="s">
        <v>32</v>
      </c>
    </row>
    <row r="60" spans="1:23">
      <c r="A60" s="84" t="s">
        <v>32</v>
      </c>
      <c r="B60" s="84"/>
      <c r="C60" s="84">
        <v>4.7100000000000003E-2</v>
      </c>
      <c r="D60" s="58" t="s">
        <v>154</v>
      </c>
      <c r="E60" s="36">
        <v>2745225347.7199998</v>
      </c>
      <c r="F60" s="37">
        <v>393087</v>
      </c>
      <c r="G60" s="37"/>
      <c r="H60" s="37"/>
      <c r="I60" s="36">
        <f t="shared" si="10"/>
        <v>2621741331.0285549</v>
      </c>
      <c r="J60" s="37">
        <v>393087</v>
      </c>
      <c r="K60" s="37">
        <f t="shared" si="11"/>
        <v>382752.67770204484</v>
      </c>
      <c r="L60" s="84">
        <v>4</v>
      </c>
      <c r="M60" s="84">
        <v>2.7000000000000003E-2</v>
      </c>
      <c r="N60" s="45">
        <f t="shared" si="12"/>
        <v>1.9571567672833544E-2</v>
      </c>
      <c r="O60" s="84"/>
      <c r="P60" s="2">
        <f t="shared" si="2"/>
        <v>2.9357351509250318</v>
      </c>
      <c r="Q60" s="2">
        <f t="shared" si="13"/>
        <v>3</v>
      </c>
      <c r="R60" s="2">
        <f t="shared" ca="1" si="14"/>
        <v>6.9853787830444292</v>
      </c>
      <c r="T60" s="2">
        <f t="shared" ca="1" si="3"/>
        <v>9.7795302962621999</v>
      </c>
      <c r="U60" s="31">
        <f t="shared" ca="1" si="4"/>
        <v>60.757483325888423</v>
      </c>
      <c r="V60" s="2">
        <v>60.757483325888423</v>
      </c>
      <c r="W60" s="84" t="s">
        <v>32</v>
      </c>
    </row>
    <row r="61" spans="1:23" s="28" customFormat="1">
      <c r="A61" s="56" t="s">
        <v>33</v>
      </c>
      <c r="B61" s="56" t="s">
        <v>75</v>
      </c>
      <c r="C61" s="98">
        <v>1.09E-2</v>
      </c>
      <c r="D61" s="84" t="s">
        <v>127</v>
      </c>
      <c r="E61" s="93">
        <v>832260669.69000006</v>
      </c>
      <c r="F61" s="93">
        <v>3951922.46</v>
      </c>
      <c r="G61" s="93"/>
      <c r="H61" s="93"/>
      <c r="I61" s="36">
        <f t="shared" si="10"/>
        <v>823286843.10020792</v>
      </c>
      <c r="J61" s="93">
        <v>3951922.46</v>
      </c>
      <c r="K61" s="37">
        <f t="shared" si="11"/>
        <v>3656140.6790637434</v>
      </c>
      <c r="L61" s="84">
        <v>4</v>
      </c>
      <c r="M61" s="98">
        <v>8.09E-2</v>
      </c>
      <c r="N61" s="45">
        <f t="shared" si="12"/>
        <v>-6.4760847441946615E-2</v>
      </c>
      <c r="O61" s="56"/>
      <c r="P61" s="2">
        <f t="shared" si="2"/>
        <v>-16.190211860486652</v>
      </c>
      <c r="Q61" s="2">
        <f t="shared" si="13"/>
        <v>1</v>
      </c>
      <c r="R61" s="2">
        <f t="shared" ca="1" si="14"/>
        <v>-16.190211860486652</v>
      </c>
      <c r="S61" s="2"/>
      <c r="T61" s="2">
        <f t="shared" ca="1" si="3"/>
        <v>-19.428254232583981</v>
      </c>
      <c r="U61" s="31">
        <f t="shared" ca="1" si="4"/>
        <v>28.628920344157621</v>
      </c>
      <c r="V61" s="2">
        <v>28.628920344157621</v>
      </c>
      <c r="W61" s="56" t="s">
        <v>33</v>
      </c>
    </row>
    <row r="62" spans="1:23">
      <c r="A62" s="84" t="s">
        <v>34</v>
      </c>
      <c r="B62" s="84" t="s">
        <v>76</v>
      </c>
      <c r="C62" s="84">
        <v>7.4299999999999991E-2</v>
      </c>
      <c r="D62" s="84" t="s">
        <v>128</v>
      </c>
      <c r="E62" s="36">
        <v>309807122.37</v>
      </c>
      <c r="F62" s="37">
        <v>9525</v>
      </c>
      <c r="G62" s="37"/>
      <c r="H62" s="37"/>
      <c r="I62" s="36">
        <f t="shared" si="10"/>
        <v>288380454.59368891</v>
      </c>
      <c r="J62" s="37">
        <v>9525</v>
      </c>
      <c r="K62" s="37">
        <f t="shared" si="11"/>
        <v>9339.1508971467792</v>
      </c>
      <c r="L62" s="84">
        <v>4</v>
      </c>
      <c r="M62" s="84">
        <v>1.9900000000000001E-2</v>
      </c>
      <c r="N62" s="45">
        <f t="shared" si="12"/>
        <v>5.3338562604176874E-2</v>
      </c>
      <c r="O62" s="84"/>
      <c r="P62" s="2">
        <f t="shared" si="2"/>
        <v>8.0007843906265315</v>
      </c>
      <c r="Q62" s="2">
        <f t="shared" si="13"/>
        <v>3</v>
      </c>
      <c r="R62" s="2">
        <f t="shared" ca="1" si="14"/>
        <v>-7.5440077759965289</v>
      </c>
      <c r="T62" s="2">
        <f t="shared" ca="1" si="3"/>
        <v>-10.56161088639514</v>
      </c>
      <c r="U62" s="31">
        <f t="shared" ca="1" si="4"/>
        <v>38.382228024965343</v>
      </c>
      <c r="V62" s="2">
        <v>38.382228024965343</v>
      </c>
      <c r="W62" s="84" t="s">
        <v>34</v>
      </c>
    </row>
    <row r="63" spans="1:23">
      <c r="A63" s="84" t="s">
        <v>34</v>
      </c>
      <c r="B63" s="84"/>
      <c r="C63" s="84">
        <v>0.95030000000000003</v>
      </c>
      <c r="D63" s="84" t="s">
        <v>129</v>
      </c>
      <c r="E63" s="36">
        <v>149832993.97999999</v>
      </c>
      <c r="F63" s="37">
        <v>758</v>
      </c>
      <c r="G63" s="37"/>
      <c r="H63" s="37"/>
      <c r="I63" s="36">
        <f t="shared" si="10"/>
        <v>76825613.485104859</v>
      </c>
      <c r="J63" s="37">
        <v>758</v>
      </c>
      <c r="K63" s="37">
        <f t="shared" si="11"/>
        <v>543.0188408911813</v>
      </c>
      <c r="L63" s="84">
        <v>4</v>
      </c>
      <c r="M63" s="84">
        <v>0.39590000000000003</v>
      </c>
      <c r="N63" s="45">
        <f t="shared" si="12"/>
        <v>0.39716312056737574</v>
      </c>
      <c r="O63" s="84"/>
      <c r="P63" s="2">
        <f t="shared" si="2"/>
        <v>59.574468085106361</v>
      </c>
      <c r="Q63" s="2">
        <f t="shared" si="13"/>
        <v>3</v>
      </c>
      <c r="R63" s="2">
        <f t="shared" ca="1" si="14"/>
        <v>-7.5440077759965289</v>
      </c>
      <c r="T63" s="2">
        <f t="shared" ca="1" si="3"/>
        <v>-10.56161088639514</v>
      </c>
      <c r="U63" s="31">
        <f t="shared" ca="1" si="4"/>
        <v>38.382228024965343</v>
      </c>
      <c r="V63" s="2">
        <v>38.382228024965343</v>
      </c>
      <c r="W63" s="84" t="s">
        <v>34</v>
      </c>
    </row>
    <row r="64" spans="1:23">
      <c r="A64" s="84" t="s">
        <v>34</v>
      </c>
      <c r="B64" s="84"/>
      <c r="C64" s="84">
        <v>5.7699999999999994E-2</v>
      </c>
      <c r="D64" s="84" t="s">
        <v>130</v>
      </c>
      <c r="E64" s="36">
        <v>1590897082.8399999</v>
      </c>
      <c r="F64" s="37">
        <v>15800</v>
      </c>
      <c r="G64" s="37"/>
      <c r="H64" s="37"/>
      <c r="I64" s="36">
        <f t="shared" si="10"/>
        <v>1504109939.3400774</v>
      </c>
      <c r="J64" s="37">
        <v>15800</v>
      </c>
      <c r="K64" s="37">
        <f t="shared" si="11"/>
        <v>9547.9816291999032</v>
      </c>
      <c r="L64" s="84">
        <v>4</v>
      </c>
      <c r="M64" s="84">
        <v>0.65480000000000005</v>
      </c>
      <c r="N64" s="45">
        <f t="shared" si="12"/>
        <v>-0.36082910321488992</v>
      </c>
      <c r="O64" s="84"/>
      <c r="P64" s="2">
        <f t="shared" si="2"/>
        <v>-90.207275803722482</v>
      </c>
      <c r="Q64" s="2">
        <f t="shared" si="13"/>
        <v>3</v>
      </c>
      <c r="R64" s="2">
        <f t="shared" ca="1" si="14"/>
        <v>-7.5440077759965289</v>
      </c>
      <c r="T64" s="2">
        <f t="shared" ca="1" si="3"/>
        <v>-10.56161088639514</v>
      </c>
      <c r="U64" s="31">
        <f t="shared" ca="1" si="4"/>
        <v>38.382228024965343</v>
      </c>
      <c r="V64" s="2">
        <v>38.382228024965343</v>
      </c>
      <c r="W64" s="84" t="s">
        <v>34</v>
      </c>
    </row>
    <row r="65" spans="1:23">
      <c r="A65" s="84" t="s">
        <v>35</v>
      </c>
      <c r="B65" s="84" t="s">
        <v>77</v>
      </c>
      <c r="C65" s="84">
        <v>0.17249999999999999</v>
      </c>
      <c r="D65" s="84" t="s">
        <v>133</v>
      </c>
      <c r="E65" s="36">
        <v>303308325.76999998</v>
      </c>
      <c r="F65" s="37">
        <v>111023.73</v>
      </c>
      <c r="G65" s="37"/>
      <c r="H65" s="37"/>
      <c r="I65" s="36">
        <f t="shared" si="10"/>
        <v>258685139.24946696</v>
      </c>
      <c r="J65" s="37">
        <v>111023.73</v>
      </c>
      <c r="K65" s="37">
        <f t="shared" si="11"/>
        <v>94957.004789599727</v>
      </c>
      <c r="L65" s="84">
        <v>4</v>
      </c>
      <c r="M65" s="84">
        <v>0.16920000000000002</v>
      </c>
      <c r="N65" s="45">
        <f t="shared" si="12"/>
        <v>2.8224426958603352E-3</v>
      </c>
      <c r="O65" s="84"/>
      <c r="P65" s="2">
        <f t="shared" ref="P65:P87" si="15">IF(L65=1,IF(N65&gt;5%,2*N65,1*N65),IF(N65&lt;-0.15%,10*N65,IF(N65&lt;0.07%,3*N65,6*N65)))*25</f>
        <v>0.42336640437905021</v>
      </c>
      <c r="Q65" s="2">
        <f t="shared" si="13"/>
        <v>3</v>
      </c>
      <c r="R65" s="2">
        <f t="shared" ca="1" si="14"/>
        <v>-3.3575081930557915</v>
      </c>
      <c r="T65" s="2">
        <f t="shared" ref="T65:T87" ca="1" si="16">IF(R65&lt;-30,R65,IF(R65&lt;-15,R65*1.2,IF(R65&lt;15,R65*1.4,IF(R65&lt;37,R65*1.2,R65))))</f>
        <v>-4.7005114702781077</v>
      </c>
      <c r="U65" s="31">
        <f t="shared" ref="U65:U87" ca="1" si="17">T65*1.1+50</f>
        <v>44.829437382694081</v>
      </c>
      <c r="V65" s="2">
        <v>44.829437382694081</v>
      </c>
      <c r="W65" s="84" t="s">
        <v>35</v>
      </c>
    </row>
    <row r="66" spans="1:23">
      <c r="A66" s="84" t="s">
        <v>35</v>
      </c>
      <c r="B66" s="84"/>
      <c r="C66" s="84">
        <v>0.13730000000000001</v>
      </c>
      <c r="D66" s="84" t="s">
        <v>134</v>
      </c>
      <c r="E66" s="36">
        <v>84823440.459999993</v>
      </c>
      <c r="F66" s="37">
        <v>44760.29</v>
      </c>
      <c r="G66" s="37"/>
      <c r="H66" s="37"/>
      <c r="I66" s="36">
        <f t="shared" si="10"/>
        <v>74583171.071836799</v>
      </c>
      <c r="J66" s="37">
        <v>44760.29</v>
      </c>
      <c r="K66" s="37">
        <f t="shared" si="11"/>
        <v>41529.309704954532</v>
      </c>
      <c r="L66" s="84">
        <v>4</v>
      </c>
      <c r="M66" s="84">
        <v>7.7800000000000008E-2</v>
      </c>
      <c r="N66" s="45">
        <f t="shared" si="12"/>
        <v>5.5205047318611866E-2</v>
      </c>
      <c r="O66" s="84"/>
      <c r="P66" s="2">
        <f t="shared" si="15"/>
        <v>8.2807570977917795</v>
      </c>
      <c r="Q66" s="2">
        <f t="shared" si="13"/>
        <v>3</v>
      </c>
      <c r="R66" s="2">
        <f t="shared" ca="1" si="14"/>
        <v>-3.3575081930557915</v>
      </c>
      <c r="T66" s="2">
        <f t="shared" ca="1" si="16"/>
        <v>-4.7005114702781077</v>
      </c>
      <c r="U66" s="31">
        <f t="shared" ca="1" si="17"/>
        <v>44.829437382694081</v>
      </c>
      <c r="V66" s="2">
        <v>44.829437382694081</v>
      </c>
      <c r="W66" s="84" t="s">
        <v>35</v>
      </c>
    </row>
    <row r="67" spans="1:23">
      <c r="A67" s="84" t="s">
        <v>35</v>
      </c>
      <c r="B67" s="84"/>
      <c r="C67" s="84">
        <v>-0.154</v>
      </c>
      <c r="D67" s="84" t="s">
        <v>135</v>
      </c>
      <c r="E67" s="36">
        <v>138488903.19</v>
      </c>
      <c r="F67" s="37">
        <v>73932.91</v>
      </c>
      <c r="G67" s="37"/>
      <c r="H67" s="37"/>
      <c r="I67" s="36">
        <f t="shared" si="10"/>
        <v>163698467.12765959</v>
      </c>
      <c r="J67" s="37">
        <v>73932.91</v>
      </c>
      <c r="K67" s="37">
        <f t="shared" si="11"/>
        <v>80827.495353667866</v>
      </c>
      <c r="L67" s="84">
        <v>4</v>
      </c>
      <c r="M67" s="84">
        <v>-8.5299999999999987E-2</v>
      </c>
      <c r="N67" s="45">
        <f t="shared" si="12"/>
        <v>-7.5106592325352828E-2</v>
      </c>
      <c r="O67" s="84"/>
      <c r="P67" s="2">
        <f t="shared" si="15"/>
        <v>-18.776648081338205</v>
      </c>
      <c r="Q67" s="2">
        <f t="shared" si="13"/>
        <v>3</v>
      </c>
      <c r="R67" s="2">
        <f t="shared" ca="1" si="14"/>
        <v>-3.3575081930557915</v>
      </c>
      <c r="T67" s="2">
        <f t="shared" ca="1" si="16"/>
        <v>-4.7005114702781077</v>
      </c>
      <c r="U67" s="31">
        <f t="shared" ca="1" si="17"/>
        <v>44.829437382694081</v>
      </c>
      <c r="V67" s="2">
        <v>44.829437382694081</v>
      </c>
      <c r="W67" s="84" t="s">
        <v>35</v>
      </c>
    </row>
    <row r="68" spans="1:23">
      <c r="A68" s="84" t="s">
        <v>36</v>
      </c>
      <c r="B68" s="84" t="s">
        <v>78</v>
      </c>
      <c r="C68" s="84">
        <v>0.10550000000000001</v>
      </c>
      <c r="D68" s="84" t="s">
        <v>131</v>
      </c>
      <c r="E68" s="36">
        <v>38188.51</v>
      </c>
      <c r="F68" s="37">
        <v>11508.11</v>
      </c>
      <c r="G68" s="37"/>
      <c r="H68" s="37"/>
      <c r="I68" s="36">
        <f t="shared" si="10"/>
        <v>34544.106739032119</v>
      </c>
      <c r="J68" s="37">
        <v>11508.11</v>
      </c>
      <c r="K68" s="37">
        <f t="shared" si="11"/>
        <v>10469.532387190686</v>
      </c>
      <c r="L68" s="84">
        <v>4</v>
      </c>
      <c r="M68" s="84">
        <v>9.9199999999999997E-2</v>
      </c>
      <c r="N68" s="45">
        <f t="shared" si="12"/>
        <v>5.731441048034908E-3</v>
      </c>
      <c r="O68" s="84"/>
      <c r="P68" s="2">
        <f t="shared" si="15"/>
        <v>0.85971615720523631</v>
      </c>
      <c r="Q68" s="2">
        <f t="shared" si="13"/>
        <v>2</v>
      </c>
      <c r="R68" s="2">
        <f t="shared" ca="1" si="14"/>
        <v>1.4009736164511988</v>
      </c>
      <c r="T68" s="2">
        <f t="shared" ca="1" si="16"/>
        <v>1.9613630630316781</v>
      </c>
      <c r="U68" s="31">
        <f t="shared" ca="1" si="17"/>
        <v>52.157499369334843</v>
      </c>
      <c r="V68" s="2">
        <v>52.157499369334843</v>
      </c>
      <c r="W68" s="84" t="s">
        <v>36</v>
      </c>
    </row>
    <row r="69" spans="1:23">
      <c r="A69" s="84" t="s">
        <v>36</v>
      </c>
      <c r="B69" s="84"/>
      <c r="C69" s="84">
        <v>0.22039999999999998</v>
      </c>
      <c r="D69" s="84" t="s">
        <v>132</v>
      </c>
      <c r="E69" s="36">
        <v>25890.67</v>
      </c>
      <c r="F69" s="37">
        <v>20209.490000000002</v>
      </c>
      <c r="G69" s="37"/>
      <c r="H69" s="37"/>
      <c r="I69" s="36">
        <f t="shared" si="10"/>
        <v>21214.904949196985</v>
      </c>
      <c r="J69" s="37">
        <v>20209.490000000002</v>
      </c>
      <c r="K69" s="37">
        <f t="shared" si="11"/>
        <v>16774.145086321379</v>
      </c>
      <c r="L69" s="84">
        <v>4</v>
      </c>
      <c r="M69" s="84">
        <v>0.20480000000000001</v>
      </c>
      <c r="N69" s="45">
        <f t="shared" si="12"/>
        <v>1.2948207171314409E-2</v>
      </c>
      <c r="O69" s="84"/>
      <c r="P69" s="2">
        <f t="shared" si="15"/>
        <v>1.9422310756971612</v>
      </c>
      <c r="Q69" s="2">
        <f t="shared" si="13"/>
        <v>2</v>
      </c>
      <c r="R69" s="2">
        <f t="shared" ca="1" si="14"/>
        <v>1.4009736164511988</v>
      </c>
      <c r="T69" s="2">
        <f t="shared" ca="1" si="16"/>
        <v>1.9613630630316781</v>
      </c>
      <c r="U69" s="31">
        <f t="shared" ca="1" si="17"/>
        <v>52.157499369334843</v>
      </c>
      <c r="V69" s="2">
        <v>52.157499369334843</v>
      </c>
      <c r="W69" s="84" t="s">
        <v>36</v>
      </c>
    </row>
    <row r="70" spans="1:23" s="28" customFormat="1">
      <c r="A70" s="56" t="s">
        <v>37</v>
      </c>
      <c r="B70" s="56" t="s">
        <v>79</v>
      </c>
      <c r="C70" s="92">
        <v>-8.1099999999999992E-2</v>
      </c>
      <c r="D70" s="41" t="s">
        <v>170</v>
      </c>
      <c r="E70" s="93">
        <v>172255718.97</v>
      </c>
      <c r="F70" s="3">
        <v>97.17</v>
      </c>
      <c r="G70" s="3"/>
      <c r="H70" s="3"/>
      <c r="I70" s="36">
        <f t="shared" si="10"/>
        <v>187458612.43878549</v>
      </c>
      <c r="J70" s="3">
        <v>97.17</v>
      </c>
      <c r="K70" s="37">
        <f t="shared" si="11"/>
        <v>113.59597848959552</v>
      </c>
      <c r="L70" s="96"/>
      <c r="M70" s="3">
        <v>-0.14460000000000001</v>
      </c>
      <c r="N70" s="45">
        <f t="shared" si="12"/>
        <v>7.423427636193608E-2</v>
      </c>
      <c r="O70" s="56"/>
      <c r="P70" s="2">
        <f t="shared" si="15"/>
        <v>11.135141454290412</v>
      </c>
      <c r="Q70" s="2">
        <f t="shared" si="13"/>
        <v>4</v>
      </c>
      <c r="R70" s="2">
        <f t="shared" ca="1" si="14"/>
        <v>4.7525195397175963</v>
      </c>
      <c r="S70" s="2"/>
      <c r="T70" s="2">
        <f t="shared" ca="1" si="16"/>
        <v>6.6535273556046342</v>
      </c>
      <c r="U70" s="31">
        <f t="shared" ca="1" si="17"/>
        <v>57.318880091165099</v>
      </c>
      <c r="V70" s="2">
        <v>57.318880091165099</v>
      </c>
      <c r="W70" s="56" t="s">
        <v>37</v>
      </c>
    </row>
    <row r="71" spans="1:23" s="28" customFormat="1">
      <c r="A71" s="56" t="s">
        <v>37</v>
      </c>
      <c r="B71" s="56"/>
      <c r="C71" s="92">
        <v>-6.0400000000000002E-2</v>
      </c>
      <c r="D71" s="41" t="s">
        <v>171</v>
      </c>
      <c r="E71" s="93">
        <v>46725332.630000003</v>
      </c>
      <c r="F71" s="3">
        <v>320.41000000000003</v>
      </c>
      <c r="G71" s="3"/>
      <c r="H71" s="3"/>
      <c r="I71" s="36">
        <f t="shared" si="10"/>
        <v>49728961.930608772</v>
      </c>
      <c r="J71" s="3">
        <v>320.41000000000003</v>
      </c>
      <c r="K71" s="37">
        <f t="shared" si="11"/>
        <v>323.74456906133173</v>
      </c>
      <c r="L71" s="96"/>
      <c r="M71" s="3">
        <v>-1.03E-2</v>
      </c>
      <c r="N71" s="45">
        <f t="shared" si="12"/>
        <v>-5.0621400424371132E-2</v>
      </c>
      <c r="O71" s="56"/>
      <c r="P71" s="2">
        <f t="shared" si="15"/>
        <v>-12.655350106092783</v>
      </c>
      <c r="Q71" s="2">
        <f t="shared" ref="Q71:Q73" si="18">COUNTIF(A:B,A71)</f>
        <v>4</v>
      </c>
      <c r="R71" s="2">
        <f t="shared" ca="1" si="14"/>
        <v>4.7525195397175963</v>
      </c>
      <c r="S71" s="2"/>
      <c r="T71" s="2">
        <f t="shared" ref="T71:T73" ca="1" si="19">IF(R71&lt;-30,R71,IF(R71&lt;-15,R71*1.2,IF(R71&lt;15,R71*1.4,IF(R71&lt;37,R71*1.2,R71))))</f>
        <v>6.6535273556046342</v>
      </c>
      <c r="U71" s="31">
        <f t="shared" ref="U71:U73" ca="1" si="20">T71*1.1+50</f>
        <v>57.318880091165099</v>
      </c>
      <c r="V71" s="2">
        <v>57.318880091165099</v>
      </c>
      <c r="W71" s="56" t="s">
        <v>37</v>
      </c>
    </row>
    <row r="72" spans="1:23" s="28" customFormat="1">
      <c r="A72" s="56" t="s">
        <v>37</v>
      </c>
      <c r="B72" s="56"/>
      <c r="C72" s="92">
        <v>0.27989999999999998</v>
      </c>
      <c r="D72" s="41" t="s">
        <v>172</v>
      </c>
      <c r="E72" s="93">
        <v>73099288.75</v>
      </c>
      <c r="F72" s="3">
        <v>490.35</v>
      </c>
      <c r="G72" s="3"/>
      <c r="H72" s="3"/>
      <c r="I72" s="36">
        <f t="shared" si="10"/>
        <v>57113281.311039925</v>
      </c>
      <c r="J72" s="3">
        <v>490.35</v>
      </c>
      <c r="K72" s="37">
        <f t="shared" si="11"/>
        <v>373.23032425026639</v>
      </c>
      <c r="L72" s="96"/>
      <c r="M72" s="3">
        <v>0.31379999999999997</v>
      </c>
      <c r="N72" s="45">
        <f t="shared" si="12"/>
        <v>-2.5803014157406157E-2</v>
      </c>
      <c r="O72" s="56"/>
      <c r="P72" s="2">
        <f t="shared" si="15"/>
        <v>-6.4507535393515392</v>
      </c>
      <c r="Q72" s="2">
        <f t="shared" si="18"/>
        <v>4</v>
      </c>
      <c r="R72" s="2">
        <f t="shared" ref="R72:R73" ca="1" si="21">SUMIF(A:B,A72,P:P)/Q72</f>
        <v>4.7525195397175963</v>
      </c>
      <c r="S72" s="2"/>
      <c r="T72" s="2">
        <f t="shared" ca="1" si="19"/>
        <v>6.6535273556046342</v>
      </c>
      <c r="U72" s="31">
        <f t="shared" ca="1" si="20"/>
        <v>57.318880091165099</v>
      </c>
      <c r="V72" s="2">
        <v>57.318880091165099</v>
      </c>
      <c r="W72" s="56" t="s">
        <v>37</v>
      </c>
    </row>
    <row r="73" spans="1:23" s="28" customFormat="1">
      <c r="A73" s="56" t="s">
        <v>37</v>
      </c>
      <c r="B73" s="56"/>
      <c r="C73" s="92">
        <v>0.21350000000000002</v>
      </c>
      <c r="D73" s="41" t="s">
        <v>173</v>
      </c>
      <c r="E73" s="93">
        <v>24067043.190000001</v>
      </c>
      <c r="F73" s="3">
        <v>98.95</v>
      </c>
      <c r="G73" s="3"/>
      <c r="H73" s="3"/>
      <c r="I73" s="36">
        <f t="shared" si="10"/>
        <v>19832750.877626702</v>
      </c>
      <c r="J73" s="3">
        <v>98.95</v>
      </c>
      <c r="K73" s="37">
        <f t="shared" si="11"/>
        <v>96.208070004861455</v>
      </c>
      <c r="L73" s="96"/>
      <c r="M73" s="3">
        <v>2.8500000000000001E-2</v>
      </c>
      <c r="N73" s="45">
        <f t="shared" si="12"/>
        <v>0.17987360233349528</v>
      </c>
      <c r="O73" s="56"/>
      <c r="P73" s="2">
        <f t="shared" si="15"/>
        <v>26.981040350024294</v>
      </c>
      <c r="Q73" s="2">
        <f t="shared" si="18"/>
        <v>4</v>
      </c>
      <c r="R73" s="2">
        <f t="shared" ca="1" si="21"/>
        <v>4.7525195397175963</v>
      </c>
      <c r="S73" s="2"/>
      <c r="T73" s="2">
        <f t="shared" ca="1" si="19"/>
        <v>6.6535273556046342</v>
      </c>
      <c r="U73" s="31">
        <f t="shared" ca="1" si="20"/>
        <v>57.318880091165099</v>
      </c>
      <c r="V73" s="2">
        <v>57.318880091165099</v>
      </c>
      <c r="W73" s="56" t="s">
        <v>37</v>
      </c>
    </row>
    <row r="74" spans="1:23" s="32" customFormat="1">
      <c r="A74" s="47" t="s">
        <v>38</v>
      </c>
      <c r="B74" s="47" t="s">
        <v>80</v>
      </c>
      <c r="C74" s="47">
        <v>0.1351</v>
      </c>
      <c r="D74" s="47" t="s">
        <v>133</v>
      </c>
      <c r="E74" s="51">
        <v>5062172624.6000004</v>
      </c>
      <c r="F74" s="52">
        <v>187795</v>
      </c>
      <c r="G74" s="52"/>
      <c r="H74" s="52"/>
      <c r="I74" s="51">
        <f t="shared" si="10"/>
        <v>4459671063.8710251</v>
      </c>
      <c r="J74" s="52">
        <v>187795</v>
      </c>
      <c r="K74" s="52">
        <f t="shared" si="11"/>
        <v>163612.99878027532</v>
      </c>
      <c r="L74" s="47">
        <v>4</v>
      </c>
      <c r="M74" s="47">
        <v>0.14779999999999999</v>
      </c>
      <c r="N74" s="55">
        <f t="shared" si="12"/>
        <v>-1.1064645408607715E-2</v>
      </c>
      <c r="O74" s="47"/>
      <c r="P74" s="2">
        <f t="shared" si="15"/>
        <v>-2.7661613521519288</v>
      </c>
      <c r="Q74" s="2">
        <f t="shared" ref="Q74:Q87" si="22">COUNTIF(A:B,A74)</f>
        <v>3</v>
      </c>
      <c r="R74" s="2">
        <f t="shared" ref="R74:R87" ca="1" si="23">SUMIF(A:B,A74,P:P)/Q74</f>
        <v>-6.422050135588047</v>
      </c>
      <c r="S74" s="2"/>
      <c r="T74" s="2">
        <f t="shared" ca="1" si="16"/>
        <v>-8.9908701898232657</v>
      </c>
      <c r="U74" s="31">
        <f t="shared" ca="1" si="17"/>
        <v>40.11004279119441</v>
      </c>
      <c r="V74" s="2">
        <v>40.11004279119441</v>
      </c>
      <c r="W74" s="47" t="s">
        <v>38</v>
      </c>
    </row>
    <row r="75" spans="1:23">
      <c r="A75" s="84" t="s">
        <v>38</v>
      </c>
      <c r="B75" s="84"/>
      <c r="C75" s="84">
        <v>-1.9E-2</v>
      </c>
      <c r="D75" s="84" t="s">
        <v>136</v>
      </c>
      <c r="E75" s="36">
        <v>1093337468.4400001</v>
      </c>
      <c r="F75" s="37" t="s">
        <v>138</v>
      </c>
      <c r="G75" s="37"/>
      <c r="H75" s="37"/>
      <c r="I75" s="36">
        <f t="shared" si="10"/>
        <v>1114513219.6126401</v>
      </c>
      <c r="J75" s="37" t="s">
        <v>138</v>
      </c>
      <c r="K75" s="37">
        <f t="shared" si="11"/>
        <v>231431.34589240627</v>
      </c>
      <c r="L75" s="84">
        <v>4</v>
      </c>
      <c r="M75" s="84">
        <v>2.98E-2</v>
      </c>
      <c r="N75" s="45">
        <f t="shared" si="12"/>
        <v>-4.738784229947577E-2</v>
      </c>
      <c r="O75" s="84"/>
      <c r="P75" s="2">
        <f t="shared" si="15"/>
        <v>-11.846960574868943</v>
      </c>
      <c r="Q75" s="2">
        <f t="shared" si="22"/>
        <v>3</v>
      </c>
      <c r="R75" s="2">
        <f t="shared" ca="1" si="23"/>
        <v>-6.422050135588047</v>
      </c>
      <c r="T75" s="2">
        <f t="shared" ca="1" si="16"/>
        <v>-8.9908701898232657</v>
      </c>
      <c r="U75" s="31">
        <f t="shared" ca="1" si="17"/>
        <v>40.11004279119441</v>
      </c>
      <c r="V75" s="2">
        <v>40.11004279119441</v>
      </c>
      <c r="W75" s="84" t="s">
        <v>38</v>
      </c>
    </row>
    <row r="76" spans="1:23" ht="17" thickBot="1">
      <c r="A76" s="84" t="s">
        <v>38</v>
      </c>
      <c r="B76" s="84"/>
      <c r="C76" s="84">
        <v>0.22329999999999997</v>
      </c>
      <c r="D76" s="84" t="s">
        <v>137</v>
      </c>
      <c r="E76" s="36">
        <v>1687085668.3299999</v>
      </c>
      <c r="F76" s="37" t="s">
        <v>139</v>
      </c>
      <c r="G76" s="37"/>
      <c r="H76" s="37"/>
      <c r="I76" s="36">
        <f t="shared" si="10"/>
        <v>1379126680.5607781</v>
      </c>
      <c r="J76" s="37" t="s">
        <v>139</v>
      </c>
      <c r="K76" s="37">
        <f t="shared" si="11"/>
        <v>484813.47773766547</v>
      </c>
      <c r="L76" s="84">
        <v>4</v>
      </c>
      <c r="M76" s="84">
        <v>0.2465</v>
      </c>
      <c r="N76" s="45">
        <f t="shared" si="12"/>
        <v>-1.8612113918973071E-2</v>
      </c>
      <c r="O76" s="84"/>
      <c r="P76" s="2">
        <f t="shared" si="15"/>
        <v>-4.6530284797432682</v>
      </c>
      <c r="Q76" s="2">
        <f t="shared" si="22"/>
        <v>3</v>
      </c>
      <c r="R76" s="2">
        <f t="shared" ca="1" si="23"/>
        <v>-6.422050135588047</v>
      </c>
      <c r="T76" s="2">
        <f t="shared" ca="1" si="16"/>
        <v>-8.9908701898232657</v>
      </c>
      <c r="U76" s="31">
        <f t="shared" ca="1" si="17"/>
        <v>40.11004279119441</v>
      </c>
      <c r="V76" s="2">
        <v>40.11004279119441</v>
      </c>
      <c r="W76" s="84" t="s">
        <v>38</v>
      </c>
    </row>
    <row r="77" spans="1:23" s="33" customFormat="1" ht="17" thickBot="1">
      <c r="A77" s="76" t="s">
        <v>39</v>
      </c>
      <c r="B77" s="76" t="s">
        <v>81</v>
      </c>
      <c r="C77" s="79">
        <v>0.31170000000000003</v>
      </c>
      <c r="D77" s="79" t="s">
        <v>157</v>
      </c>
      <c r="E77" s="80">
        <v>143347298.36000001</v>
      </c>
      <c r="F77" s="80">
        <v>23175.81</v>
      </c>
      <c r="G77" s="101"/>
      <c r="H77" s="101"/>
      <c r="I77" s="81">
        <f t="shared" si="10"/>
        <v>109283600.18296868</v>
      </c>
      <c r="J77" s="80">
        <v>23175.81</v>
      </c>
      <c r="K77" s="82">
        <f t="shared" si="11"/>
        <v>18065.172655701928</v>
      </c>
      <c r="L77" s="79"/>
      <c r="M77" s="79">
        <v>0.28289999999999998</v>
      </c>
      <c r="N77" s="83">
        <f t="shared" si="12"/>
        <v>2.244913867020033E-2</v>
      </c>
      <c r="O77" s="76"/>
      <c r="P77" s="2">
        <f t="shared" si="15"/>
        <v>3.3673708005300491</v>
      </c>
      <c r="Q77" s="2">
        <f t="shared" si="22"/>
        <v>5</v>
      </c>
      <c r="R77" s="2">
        <f t="shared" ca="1" si="23"/>
        <v>-14.641072054280556</v>
      </c>
      <c r="S77" s="2"/>
      <c r="T77" s="2">
        <f t="shared" ca="1" si="16"/>
        <v>-20.497500875992777</v>
      </c>
      <c r="U77" s="31">
        <f t="shared" ca="1" si="17"/>
        <v>27.452749036407944</v>
      </c>
      <c r="V77" s="2">
        <v>27.452749036407944</v>
      </c>
      <c r="W77" s="76" t="s">
        <v>39</v>
      </c>
    </row>
    <row r="78" spans="1:23" s="33" customFormat="1" ht="17" thickBot="1">
      <c r="A78" s="76" t="s">
        <v>39</v>
      </c>
      <c r="B78" s="76"/>
      <c r="C78" s="79">
        <v>0.1459</v>
      </c>
      <c r="D78" s="79" t="s">
        <v>158</v>
      </c>
      <c r="E78" s="80">
        <v>16034111.67</v>
      </c>
      <c r="F78" s="79">
        <v>525.29</v>
      </c>
      <c r="G78" s="102"/>
      <c r="H78" s="102"/>
      <c r="I78" s="81">
        <f t="shared" si="10"/>
        <v>13992592.433894755</v>
      </c>
      <c r="J78" s="79">
        <v>525.29</v>
      </c>
      <c r="K78" s="82">
        <f t="shared" si="11"/>
        <v>417.79209417004688</v>
      </c>
      <c r="L78" s="79"/>
      <c r="M78" s="79">
        <v>0.25730000000000003</v>
      </c>
      <c r="N78" s="83">
        <f t="shared" si="12"/>
        <v>-8.8602561043505904E-2</v>
      </c>
      <c r="O78" s="76"/>
      <c r="P78" s="2">
        <f t="shared" si="15"/>
        <v>-22.150640260876475</v>
      </c>
      <c r="Q78" s="2">
        <f t="shared" si="22"/>
        <v>5</v>
      </c>
      <c r="R78" s="2">
        <f t="shared" ca="1" si="23"/>
        <v>-14.641072054280556</v>
      </c>
      <c r="S78" s="2"/>
      <c r="T78" s="2">
        <f t="shared" ca="1" si="16"/>
        <v>-20.497500875992777</v>
      </c>
      <c r="U78" s="31">
        <f ca="1">T78*1.1+50</f>
        <v>27.452749036407944</v>
      </c>
      <c r="V78" s="2">
        <v>27.452749036407944</v>
      </c>
      <c r="W78" s="76" t="s">
        <v>39</v>
      </c>
    </row>
    <row r="79" spans="1:23" s="33" customFormat="1" ht="17" thickBot="1">
      <c r="A79" s="76" t="s">
        <v>39</v>
      </c>
      <c r="B79" s="76"/>
      <c r="C79" s="79">
        <v>-0.31129999999999997</v>
      </c>
      <c r="D79" s="79" t="s">
        <v>159</v>
      </c>
      <c r="E79" s="80">
        <v>681911.52</v>
      </c>
      <c r="F79" s="79">
        <v>38.46</v>
      </c>
      <c r="G79" s="102"/>
      <c r="H79" s="102"/>
      <c r="I79" s="81">
        <f t="shared" si="10"/>
        <v>990143.0521271961</v>
      </c>
      <c r="J79" s="79">
        <v>38.46</v>
      </c>
      <c r="K79" s="82">
        <f t="shared" si="11"/>
        <v>46.404440154440159</v>
      </c>
      <c r="L79" s="79"/>
      <c r="M79" s="79">
        <v>-0.17120000000000002</v>
      </c>
      <c r="N79" s="83">
        <f t="shared" si="12"/>
        <v>-0.16903957528957511</v>
      </c>
      <c r="O79" s="76"/>
      <c r="P79" s="2">
        <f t="shared" si="15"/>
        <v>-42.259893822393778</v>
      </c>
      <c r="Q79" s="2">
        <f t="shared" si="22"/>
        <v>5</v>
      </c>
      <c r="R79" s="2">
        <f t="shared" ca="1" si="23"/>
        <v>-14.641072054280556</v>
      </c>
      <c r="S79" s="2"/>
      <c r="T79" s="2">
        <f t="shared" ca="1" si="16"/>
        <v>-20.497500875992777</v>
      </c>
      <c r="U79" s="31">
        <f t="shared" ca="1" si="17"/>
        <v>27.452749036407944</v>
      </c>
      <c r="V79" s="2">
        <v>27.452749036407944</v>
      </c>
      <c r="W79" s="76" t="s">
        <v>39</v>
      </c>
    </row>
    <row r="80" spans="1:23" s="33" customFormat="1" ht="17" thickBot="1">
      <c r="A80" s="76" t="s">
        <v>39</v>
      </c>
      <c r="B80" s="76"/>
      <c r="C80" s="79">
        <v>9.3000000000000013E-2</v>
      </c>
      <c r="D80" s="79" t="s">
        <v>160</v>
      </c>
      <c r="E80" s="80">
        <v>11930177.859999999</v>
      </c>
      <c r="F80" s="80">
        <v>1032.75</v>
      </c>
      <c r="G80" s="101"/>
      <c r="H80" s="101"/>
      <c r="I80" s="81">
        <f t="shared" si="10"/>
        <v>10915075.809698079</v>
      </c>
      <c r="J80" s="80">
        <v>1032.75</v>
      </c>
      <c r="K80" s="82">
        <f t="shared" si="11"/>
        <v>913.37224728044566</v>
      </c>
      <c r="L80" s="79"/>
      <c r="M80" s="79">
        <v>0.13070000000000001</v>
      </c>
      <c r="N80" s="83">
        <f t="shared" si="12"/>
        <v>-3.3342177412222687E-2</v>
      </c>
      <c r="O80" s="76"/>
      <c r="P80" s="2">
        <f t="shared" si="15"/>
        <v>-8.3355443530556705</v>
      </c>
      <c r="Q80" s="2">
        <f t="shared" si="22"/>
        <v>5</v>
      </c>
      <c r="R80" s="2">
        <f t="shared" ca="1" si="23"/>
        <v>-14.641072054280556</v>
      </c>
      <c r="S80" s="2"/>
      <c r="T80" s="2">
        <f t="shared" ca="1" si="16"/>
        <v>-20.497500875992777</v>
      </c>
      <c r="U80" s="31">
        <f t="shared" ca="1" si="17"/>
        <v>27.452749036407944</v>
      </c>
      <c r="V80" s="2">
        <v>27.452749036407944</v>
      </c>
      <c r="W80" s="76" t="s">
        <v>39</v>
      </c>
    </row>
    <row r="81" spans="1:23" s="33" customFormat="1" ht="17" thickBot="1">
      <c r="A81" s="76" t="s">
        <v>39</v>
      </c>
      <c r="B81" s="76"/>
      <c r="C81" s="79">
        <v>2.9300000000000003E-2</v>
      </c>
      <c r="D81" s="79" t="s">
        <v>161</v>
      </c>
      <c r="E81" s="80">
        <v>3082142.07</v>
      </c>
      <c r="F81" s="79">
        <v>44.52</v>
      </c>
      <c r="G81" s="102"/>
      <c r="H81" s="102"/>
      <c r="I81" s="81">
        <f t="shared" si="10"/>
        <v>2994405.974934421</v>
      </c>
      <c r="J81" s="79">
        <v>44.52</v>
      </c>
      <c r="K81" s="82">
        <f t="shared" si="11"/>
        <v>42.590643834305951</v>
      </c>
      <c r="L81" s="79"/>
      <c r="M81" s="79">
        <v>4.53E-2</v>
      </c>
      <c r="N81" s="83">
        <f t="shared" si="12"/>
        <v>-1.5306610542427594E-2</v>
      </c>
      <c r="O81" s="76"/>
      <c r="P81" s="2">
        <f t="shared" si="15"/>
        <v>-3.8266526356068988</v>
      </c>
      <c r="Q81" s="2">
        <f t="shared" si="22"/>
        <v>5</v>
      </c>
      <c r="R81" s="2">
        <f t="shared" ca="1" si="23"/>
        <v>-14.641072054280556</v>
      </c>
      <c r="S81" s="2"/>
      <c r="T81" s="2">
        <f t="shared" ca="1" si="16"/>
        <v>-20.497500875992777</v>
      </c>
      <c r="U81" s="31">
        <f t="shared" ca="1" si="17"/>
        <v>27.452749036407944</v>
      </c>
      <c r="V81" s="2">
        <v>27.452749036407944</v>
      </c>
      <c r="W81" s="76" t="s">
        <v>39</v>
      </c>
    </row>
    <row r="82" spans="1:23">
      <c r="A82" s="84" t="s">
        <v>40</v>
      </c>
      <c r="B82" s="84" t="s">
        <v>82</v>
      </c>
      <c r="C82" s="84">
        <v>0.1404</v>
      </c>
      <c r="D82" s="84" t="s">
        <v>143</v>
      </c>
      <c r="E82" s="36">
        <v>2845203342.48</v>
      </c>
      <c r="F82" s="37" t="s">
        <v>146</v>
      </c>
      <c r="G82" s="37"/>
      <c r="H82" s="37"/>
      <c r="I82" s="36">
        <f t="shared" si="10"/>
        <v>2494916996.2118554</v>
      </c>
      <c r="J82" s="37" t="s">
        <v>146</v>
      </c>
      <c r="K82" s="37">
        <f t="shared" si="11"/>
        <v>232749100.10390508</v>
      </c>
      <c r="L82" s="84">
        <v>4</v>
      </c>
      <c r="M82" s="84">
        <v>0.15490000000000001</v>
      </c>
      <c r="N82" s="45">
        <f t="shared" si="12"/>
        <v>-1.2555199584379534E-2</v>
      </c>
      <c r="O82" s="84"/>
      <c r="P82" s="2">
        <f t="shared" si="15"/>
        <v>-3.1387998960948833</v>
      </c>
      <c r="Q82" s="2">
        <f t="shared" si="22"/>
        <v>3</v>
      </c>
      <c r="R82" s="2">
        <f t="shared" ca="1" si="23"/>
        <v>-2.1624445969127142</v>
      </c>
      <c r="T82" s="2">
        <f t="shared" ca="1" si="16"/>
        <v>-3.0274224356777997</v>
      </c>
      <c r="U82" s="31">
        <f t="shared" ca="1" si="17"/>
        <v>46.669835320754423</v>
      </c>
      <c r="V82" s="2">
        <v>46.669835320754423</v>
      </c>
      <c r="W82" s="84" t="s">
        <v>40</v>
      </c>
    </row>
    <row r="83" spans="1:23">
      <c r="A83" s="84" t="s">
        <v>40</v>
      </c>
      <c r="B83" s="84"/>
      <c r="C83" s="84">
        <v>0.52410000000000001</v>
      </c>
      <c r="D83" s="84" t="s">
        <v>144</v>
      </c>
      <c r="E83" s="36">
        <v>65252134.130000003</v>
      </c>
      <c r="F83" s="37" t="s">
        <v>147</v>
      </c>
      <c r="G83" s="37"/>
      <c r="H83" s="37"/>
      <c r="I83" s="36">
        <f t="shared" si="10"/>
        <v>42813551.689521685</v>
      </c>
      <c r="J83" s="37" t="s">
        <v>147</v>
      </c>
      <c r="K83" s="37">
        <f t="shared" si="11"/>
        <v>2013310.6065628105</v>
      </c>
      <c r="L83" s="84">
        <v>4</v>
      </c>
      <c r="M83" s="84">
        <v>0.50850000000000006</v>
      </c>
      <c r="N83" s="45">
        <f t="shared" si="12"/>
        <v>1.0341398740470582E-2</v>
      </c>
      <c r="O83" s="84"/>
      <c r="P83" s="2">
        <f t="shared" si="15"/>
        <v>1.5512098110705874</v>
      </c>
      <c r="Q83" s="2">
        <f t="shared" si="22"/>
        <v>3</v>
      </c>
      <c r="R83" s="2">
        <f t="shared" ca="1" si="23"/>
        <v>-2.1624445969127142</v>
      </c>
      <c r="T83" s="2">
        <f t="shared" ca="1" si="16"/>
        <v>-3.0274224356777997</v>
      </c>
      <c r="U83" s="31">
        <f t="shared" ca="1" si="17"/>
        <v>46.669835320754423</v>
      </c>
      <c r="V83" s="2">
        <v>46.669835320754423</v>
      </c>
      <c r="W83" s="84" t="s">
        <v>40</v>
      </c>
    </row>
    <row r="84" spans="1:23">
      <c r="A84" s="84" t="s">
        <v>40</v>
      </c>
      <c r="B84" s="84"/>
      <c r="C84" s="84">
        <v>0.30059999999999998</v>
      </c>
      <c r="D84" s="84" t="s">
        <v>145</v>
      </c>
      <c r="E84" s="36">
        <v>5139753.24</v>
      </c>
      <c r="F84" s="37" t="s">
        <v>148</v>
      </c>
      <c r="G84" s="37"/>
      <c r="H84" s="37"/>
      <c r="I84" s="36">
        <f t="shared" si="10"/>
        <v>3951832.4158080886</v>
      </c>
      <c r="J84" s="37" t="s">
        <v>148</v>
      </c>
      <c r="K84" s="37">
        <f t="shared" si="11"/>
        <v>198960.65128900952</v>
      </c>
      <c r="L84" s="84">
        <v>4</v>
      </c>
      <c r="M84" s="84">
        <v>0.32659999999999995</v>
      </c>
      <c r="N84" s="45">
        <f t="shared" si="12"/>
        <v>-1.959897482285539E-2</v>
      </c>
      <c r="O84" s="84"/>
      <c r="P84" s="2">
        <f t="shared" si="15"/>
        <v>-4.8997437057138473</v>
      </c>
      <c r="Q84" s="2">
        <f t="shared" si="22"/>
        <v>3</v>
      </c>
      <c r="R84" s="2">
        <f t="shared" ca="1" si="23"/>
        <v>-2.1624445969127142</v>
      </c>
      <c r="T84" s="2">
        <f t="shared" ca="1" si="16"/>
        <v>-3.0274224356777997</v>
      </c>
      <c r="U84" s="31">
        <f t="shared" ca="1" si="17"/>
        <v>46.669835320754423</v>
      </c>
      <c r="V84" s="2">
        <v>46.669835320754423</v>
      </c>
      <c r="W84" s="84" t="s">
        <v>40</v>
      </c>
    </row>
    <row r="85" spans="1:23">
      <c r="A85" s="84">
        <v>603886</v>
      </c>
      <c r="B85" s="84" t="s">
        <v>41</v>
      </c>
      <c r="C85" s="84">
        <v>0.34340000000000004</v>
      </c>
      <c r="D85" s="84" t="s">
        <v>140</v>
      </c>
      <c r="E85" s="36">
        <v>81196683.120000005</v>
      </c>
      <c r="F85" s="37">
        <v>3845517</v>
      </c>
      <c r="G85" s="37"/>
      <c r="H85" s="37"/>
      <c r="I85" s="36">
        <f t="shared" si="10"/>
        <v>60441181.420276918</v>
      </c>
      <c r="J85" s="37">
        <v>3845517</v>
      </c>
      <c r="K85" s="37">
        <f t="shared" si="11"/>
        <v>3367352.8896672507</v>
      </c>
      <c r="L85" s="84">
        <v>4</v>
      </c>
      <c r="M85" s="84">
        <v>0.14199999999999999</v>
      </c>
      <c r="N85" s="45">
        <f t="shared" si="12"/>
        <v>0.1763572679509634</v>
      </c>
      <c r="O85" s="84"/>
      <c r="P85" s="2">
        <f t="shared" si="15"/>
        <v>26.453590192644512</v>
      </c>
      <c r="Q85" s="2">
        <f t="shared" si="22"/>
        <v>3</v>
      </c>
      <c r="R85" s="2">
        <f t="shared" ca="1" si="23"/>
        <v>41.599470192312843</v>
      </c>
      <c r="T85" s="2">
        <f t="shared" ca="1" si="16"/>
        <v>41.599470192312843</v>
      </c>
      <c r="U85" s="31">
        <f t="shared" ca="1" si="17"/>
        <v>95.759417211544132</v>
      </c>
      <c r="V85" s="2">
        <v>95.759417211544132</v>
      </c>
      <c r="W85" s="84">
        <v>603886</v>
      </c>
    </row>
    <row r="86" spans="1:23">
      <c r="A86" s="84">
        <v>603886</v>
      </c>
      <c r="B86" s="84"/>
      <c r="C86" s="84">
        <v>0.25900000000000001</v>
      </c>
      <c r="D86" s="84" t="s">
        <v>141</v>
      </c>
      <c r="E86" s="36">
        <v>250356439.62</v>
      </c>
      <c r="F86" s="37">
        <v>3288768</v>
      </c>
      <c r="G86" s="37"/>
      <c r="H86" s="37"/>
      <c r="I86" s="36">
        <f t="shared" si="10"/>
        <v>198853407.16441622</v>
      </c>
      <c r="J86" s="37">
        <v>3288768</v>
      </c>
      <c r="K86" s="37">
        <f t="shared" si="11"/>
        <v>4350222.222222222</v>
      </c>
      <c r="L86" s="84">
        <v>4</v>
      </c>
      <c r="M86" s="84">
        <v>-0.24399999999999999</v>
      </c>
      <c r="N86" s="45">
        <f t="shared" si="12"/>
        <v>0.66534391534391524</v>
      </c>
      <c r="O86" s="84"/>
      <c r="P86" s="2">
        <f t="shared" si="15"/>
        <v>99.801587301587276</v>
      </c>
      <c r="Q86" s="2">
        <f t="shared" si="22"/>
        <v>3</v>
      </c>
      <c r="R86" s="2">
        <f t="shared" ca="1" si="23"/>
        <v>41.599470192312843</v>
      </c>
      <c r="T86" s="2">
        <f t="shared" ca="1" si="16"/>
        <v>41.599470192312843</v>
      </c>
      <c r="U86" s="31">
        <f t="shared" ca="1" si="17"/>
        <v>95.759417211544132</v>
      </c>
      <c r="V86" s="2">
        <v>95.759417211544132</v>
      </c>
      <c r="W86" s="84">
        <v>603886</v>
      </c>
    </row>
    <row r="87" spans="1:23">
      <c r="A87" s="84">
        <v>603886</v>
      </c>
      <c r="B87" s="84"/>
      <c r="C87" s="84">
        <v>5.7800000000000004E-2</v>
      </c>
      <c r="D87" s="84" t="s">
        <v>142</v>
      </c>
      <c r="E87" s="36">
        <v>292938236.69</v>
      </c>
      <c r="F87" s="37">
        <v>32632174</v>
      </c>
      <c r="G87" s="37"/>
      <c r="H87" s="37"/>
      <c r="I87" s="36">
        <f t="shared" si="10"/>
        <v>276931590.74494231</v>
      </c>
      <c r="J87" s="37">
        <v>32632174</v>
      </c>
      <c r="K87" s="37">
        <f t="shared" si="11"/>
        <v>30669336.466165412</v>
      </c>
      <c r="L87" s="84">
        <v>4</v>
      </c>
      <c r="M87" s="84">
        <v>6.4000000000000001E-2</v>
      </c>
      <c r="N87" s="45">
        <f t="shared" si="12"/>
        <v>-5.8270676691730122E-3</v>
      </c>
      <c r="O87" s="84"/>
      <c r="P87" s="2">
        <f t="shared" si="15"/>
        <v>-1.4567669172932531</v>
      </c>
      <c r="Q87" s="2">
        <f t="shared" si="22"/>
        <v>3</v>
      </c>
      <c r="R87" s="2">
        <f t="shared" ca="1" si="23"/>
        <v>41.599470192312843</v>
      </c>
      <c r="T87" s="2">
        <f t="shared" ca="1" si="16"/>
        <v>41.599470192312843</v>
      </c>
      <c r="U87" s="31">
        <f t="shared" ca="1" si="17"/>
        <v>95.759417211544132</v>
      </c>
      <c r="V87" s="2">
        <v>95.759417211544132</v>
      </c>
      <c r="W87" s="84">
        <v>603886</v>
      </c>
    </row>
    <row r="92" spans="1:23">
      <c r="D92" s="84" t="s">
        <v>153</v>
      </c>
      <c r="E92" s="30">
        <v>2017</v>
      </c>
    </row>
    <row r="93" spans="1:23">
      <c r="D93" s="84">
        <f>E5/I5-1</f>
        <v>-0.29990000000000006</v>
      </c>
    </row>
  </sheetData>
  <autoFilter ref="A3:O87" xr:uid="{00000000-0009-0000-0000-000000000000}"/>
  <mergeCells count="2">
    <mergeCell ref="A2:B2"/>
    <mergeCell ref="A1:B1"/>
  </mergeCells>
  <conditionalFormatting sqref="U1:U1048576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{6896A307-6DDA-0B44-BF7C-A93AAA3FCDF7}</x14:id>
        </ext>
      </extLst>
    </cfRule>
  </conditionalFormatting>
  <hyperlinks>
    <hyperlink ref="D77" r:id="rId1" display="http://vip.stock.finance.sina.com.cn/corp/view/vCB_AllBulletinDetail.php?stockid=603696&amp;id=5149042" xr:uid="{00000000-0004-0000-0000-000000000000}"/>
  </hyperlinks>
  <pageMargins left="0.7" right="0.7" top="0.75" bottom="0.75" header="0.3" footer="0.3"/>
  <pageSetup paperSize="9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896A307-6DDA-0B44-BF7C-A93AAA3FCDF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U1:U1048576</xm:sqref>
        </x14:conditionalFormatting>
      </x14:conditionalFormattings>
    </ex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00000000-0003-0000-0000-000000000000}">
          <x14:colorSeries rgb="FF000000"/>
          <x14:colorNegative rgb="FF0070C0"/>
          <x14:colorAxis rgb="FF000000"/>
          <x14:colorMarkers rgb="FF0070C0"/>
          <x14:colorFirst rgb="FF0070C0"/>
          <x14:colorLast rgb="FF0070C0"/>
          <x14:colorHigh rgb="FF0070C0"/>
          <x14:colorLow rgb="FF0070C0"/>
          <x14:sparklines>
            <x14:sparkline>
              <xm:f>Sheet1!J66:J66</xm:f>
              <xm:sqref>K98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45"/>
  <sheetViews>
    <sheetView tabSelected="1" topLeftCell="F1" workbookViewId="0">
      <selection activeCell="U9" sqref="U9"/>
    </sheetView>
  </sheetViews>
  <sheetFormatPr baseColWidth="10" defaultColWidth="8.83203125" defaultRowHeight="16"/>
  <cols>
    <col min="3" max="3" width="15.5" bestFit="1" customWidth="1"/>
    <col min="7" max="7" width="8.83203125" style="107"/>
    <col min="9" max="9" width="8.83203125" style="104"/>
    <col min="10" max="10" width="12.33203125" style="108" customWidth="1"/>
    <col min="11" max="11" width="16.33203125" bestFit="1" customWidth="1"/>
    <col min="12" max="13" width="11.1640625" customWidth="1"/>
    <col min="14" max="14" width="11.1640625" style="109" customWidth="1"/>
    <col min="15" max="15" width="18" style="100" customWidth="1"/>
    <col min="16" max="16" width="17" style="100" customWidth="1"/>
    <col min="17" max="17" width="16.1640625" customWidth="1"/>
    <col min="18" max="20" width="8.83203125" style="121"/>
  </cols>
  <sheetData>
    <row r="1" spans="1:20">
      <c r="A1" s="105" t="s">
        <v>88</v>
      </c>
      <c r="B1" s="105"/>
      <c r="C1" s="105"/>
      <c r="D1" s="105"/>
      <c r="E1" s="35"/>
      <c r="F1" s="35"/>
      <c r="G1" s="106"/>
      <c r="H1" s="35"/>
      <c r="I1" s="35"/>
      <c r="J1" s="74"/>
      <c r="K1" s="35"/>
      <c r="L1" s="35"/>
      <c r="M1" s="35"/>
    </row>
    <row r="2" spans="1:20">
      <c r="A2" s="105" t="s">
        <v>89</v>
      </c>
      <c r="B2" s="105"/>
      <c r="C2" s="105"/>
      <c r="D2" s="105"/>
      <c r="E2" s="35"/>
      <c r="F2" s="35"/>
      <c r="G2" s="106"/>
      <c r="H2" s="35" t="s">
        <v>90</v>
      </c>
      <c r="I2" s="35"/>
      <c r="J2" s="74"/>
      <c r="K2" s="35"/>
      <c r="L2" s="35"/>
      <c r="M2" s="35"/>
      <c r="O2" s="114" t="s">
        <v>181</v>
      </c>
      <c r="P2" s="114"/>
      <c r="Q2" s="114"/>
    </row>
    <row r="3" spans="1:20">
      <c r="A3" s="38"/>
      <c r="B3" s="84"/>
      <c r="C3" s="84" t="s">
        <v>83</v>
      </c>
      <c r="D3" s="84" t="s">
        <v>84</v>
      </c>
      <c r="E3" s="35"/>
      <c r="F3" s="35"/>
      <c r="G3" s="106" t="s">
        <v>174</v>
      </c>
      <c r="H3" s="35" t="s">
        <v>91</v>
      </c>
      <c r="I3" s="35" t="s">
        <v>178</v>
      </c>
      <c r="J3" s="74" t="s">
        <v>179</v>
      </c>
      <c r="K3" s="35"/>
      <c r="L3" s="35"/>
      <c r="M3" s="35"/>
      <c r="N3" s="110" t="s">
        <v>175</v>
      </c>
      <c r="O3" s="35" t="s">
        <v>176</v>
      </c>
      <c r="P3" s="100" t="s">
        <v>177</v>
      </c>
      <c r="Q3" s="35" t="s">
        <v>180</v>
      </c>
      <c r="R3" s="122" t="s">
        <v>182</v>
      </c>
      <c r="S3" s="122" t="s">
        <v>183</v>
      </c>
      <c r="T3" s="122" t="s">
        <v>184</v>
      </c>
    </row>
    <row r="4" spans="1:20">
      <c r="A4" s="84" t="s">
        <v>0</v>
      </c>
      <c r="B4" s="84" t="s">
        <v>42</v>
      </c>
      <c r="C4" s="39">
        <v>6607236.3600000003</v>
      </c>
      <c r="D4" s="40">
        <v>1.6999999999999999E-3</v>
      </c>
      <c r="E4" s="35">
        <f t="shared" ref="E4:E30" si="0">MAX(D:D)</f>
        <v>5.1299999999999998E-2</v>
      </c>
      <c r="F4" s="35">
        <f t="shared" ref="F4:F30" si="1">MIN(D:D)</f>
        <v>1.1999999999999999E-3</v>
      </c>
      <c r="G4" s="106">
        <f>IF(D4=0,(I4-F4)/(E4-F4),(D4-F4)/(E4-F4))</f>
        <v>9.9800399201596807E-3</v>
      </c>
      <c r="H4" s="35">
        <v>-6.3E-3</v>
      </c>
      <c r="I4" s="35">
        <f>SUM(D:D)/COUNT(D:D)</f>
        <v>1.9677671084823298E-2</v>
      </c>
      <c r="J4" s="74">
        <f>SUM(H:H)/COUNT(H:H)</f>
        <v>2.6395232821677545E-4</v>
      </c>
      <c r="K4" s="35">
        <f t="shared" ref="K4:K30" si="2">MAX(H:H)</f>
        <v>2.7577563628225825E-2</v>
      </c>
      <c r="L4" s="35">
        <f t="shared" ref="L4:L30" si="3">MIN(H:H)</f>
        <v>-2.3411495639844279E-2</v>
      </c>
      <c r="M4" s="35">
        <f t="shared" ref="M4:M38" si="4">(H4-L4)/(K4-L4)</f>
        <v>0.33559151483619704</v>
      </c>
      <c r="N4" s="110">
        <f>IF(H4=0,J4*IF(J4&lt;0.3%,0.9,1),M4*IF(H4&lt;0.3%,0.9,1))</f>
        <v>0.30203236335257733</v>
      </c>
      <c r="O4" s="100">
        <f t="shared" ref="O4:O45" si="5">G4*0.4+N4*0.6</f>
        <v>0.18521143397961026</v>
      </c>
      <c r="P4" s="100">
        <v>55.143599999999999</v>
      </c>
      <c r="Q4" s="111">
        <v>2</v>
      </c>
      <c r="R4" s="121">
        <f>O4*100</f>
        <v>18.521143397961026</v>
      </c>
      <c r="S4" s="121">
        <f>P4</f>
        <v>55.143599999999999</v>
      </c>
      <c r="T4" s="121">
        <f>20*Q4</f>
        <v>40</v>
      </c>
    </row>
    <row r="5" spans="1:20">
      <c r="A5" s="84" t="s">
        <v>1</v>
      </c>
      <c r="B5" s="84" t="s">
        <v>43</v>
      </c>
      <c r="C5" s="43">
        <v>2308241.12</v>
      </c>
      <c r="D5" s="44">
        <v>1.6000000000000001E-3</v>
      </c>
      <c r="E5" s="35">
        <f t="shared" si="0"/>
        <v>5.1299999999999998E-2</v>
      </c>
      <c r="F5" s="35">
        <f t="shared" si="1"/>
        <v>1.1999999999999999E-3</v>
      </c>
      <c r="G5" s="106">
        <f t="shared" ref="G5:G45" si="6">IF(D5=0,(I5-F5)/(E5-F5),(D5-F5)/(E5-F5))</f>
        <v>7.984031936127749E-3</v>
      </c>
      <c r="H5" s="35">
        <v>1E-4</v>
      </c>
      <c r="I5" s="35">
        <f t="shared" ref="I5:I45" si="7">SUM(D:D)/COUNT(D:D)</f>
        <v>1.9677671084823298E-2</v>
      </c>
      <c r="J5" s="74">
        <f t="shared" ref="J5:J45" si="8">SUM(H:H)/COUNT(H:H)</f>
        <v>2.6395232821677545E-4</v>
      </c>
      <c r="K5" s="35">
        <f t="shared" si="2"/>
        <v>2.7577563628225825E-2</v>
      </c>
      <c r="L5" s="35">
        <f t="shared" si="3"/>
        <v>-2.3411495639844279E-2</v>
      </c>
      <c r="M5" s="35">
        <f t="shared" si="4"/>
        <v>0.46110863736933916</v>
      </c>
      <c r="N5" s="110">
        <f t="shared" ref="N5:N45" si="9">IF(H5=0,J5*IF(J5&lt;0.3%,0.9,1),M5*IF(H5&lt;0.3%,0.9,1))</f>
        <v>0.41499777363240525</v>
      </c>
      <c r="O5" s="100">
        <f t="shared" si="5"/>
        <v>0.25219227695389423</v>
      </c>
      <c r="P5" s="100">
        <v>37.083359977659192</v>
      </c>
      <c r="Q5" s="112">
        <v>3</v>
      </c>
      <c r="R5" s="121">
        <f t="shared" ref="R5:R45" si="10">O5*100</f>
        <v>25.219227695389424</v>
      </c>
      <c r="S5" s="121">
        <f t="shared" ref="S5:S45" si="11">P5</f>
        <v>37.083359977659192</v>
      </c>
      <c r="T5" s="121">
        <f t="shared" ref="T5:T45" si="12">20*Q5</f>
        <v>60</v>
      </c>
    </row>
    <row r="6" spans="1:20">
      <c r="A6" s="84" t="s">
        <v>2</v>
      </c>
      <c r="B6" s="84" t="s">
        <v>44</v>
      </c>
      <c r="C6" s="43">
        <v>166733413.38999999</v>
      </c>
      <c r="D6" s="44">
        <v>3.0099999999999998E-2</v>
      </c>
      <c r="E6" s="35">
        <f t="shared" si="0"/>
        <v>5.1299999999999998E-2</v>
      </c>
      <c r="F6" s="35">
        <f t="shared" si="1"/>
        <v>1.1999999999999999E-3</v>
      </c>
      <c r="G6" s="106">
        <f t="shared" si="6"/>
        <v>0.57684630738522957</v>
      </c>
      <c r="H6" s="46">
        <v>7.7000000000000002E-3</v>
      </c>
      <c r="I6" s="35">
        <f t="shared" si="7"/>
        <v>1.9677671084823298E-2</v>
      </c>
      <c r="J6" s="74">
        <f t="shared" si="8"/>
        <v>2.6395232821677545E-4</v>
      </c>
      <c r="K6" s="35">
        <f t="shared" si="2"/>
        <v>2.7577563628225825E-2</v>
      </c>
      <c r="L6" s="35">
        <f t="shared" si="3"/>
        <v>-2.3411495639844279E-2</v>
      </c>
      <c r="M6" s="35">
        <f t="shared" si="4"/>
        <v>0.61016022037744533</v>
      </c>
      <c r="N6" s="110">
        <f t="shared" si="9"/>
        <v>0.61016022037744533</v>
      </c>
      <c r="O6" s="100">
        <f t="shared" si="5"/>
        <v>0.596834655180559</v>
      </c>
      <c r="P6" s="100">
        <v>49.923000000000002</v>
      </c>
      <c r="Q6" s="111">
        <v>4</v>
      </c>
      <c r="R6" s="121">
        <f t="shared" si="10"/>
        <v>59.683465518055897</v>
      </c>
      <c r="S6" s="121">
        <f t="shared" si="11"/>
        <v>49.923000000000002</v>
      </c>
      <c r="T6" s="121">
        <f t="shared" si="12"/>
        <v>80</v>
      </c>
    </row>
    <row r="7" spans="1:20">
      <c r="A7" s="84" t="s">
        <v>3</v>
      </c>
      <c r="B7" s="84" t="s">
        <v>45</v>
      </c>
      <c r="C7" s="39">
        <v>36227669.729999997</v>
      </c>
      <c r="D7" s="40">
        <v>1.55E-2</v>
      </c>
      <c r="E7" s="35">
        <f t="shared" si="0"/>
        <v>5.1299999999999998E-2</v>
      </c>
      <c r="F7" s="35">
        <f t="shared" si="1"/>
        <v>1.1999999999999999E-3</v>
      </c>
      <c r="G7" s="106">
        <f t="shared" si="6"/>
        <v>0.28542914171656686</v>
      </c>
      <c r="H7" s="35">
        <v>7.7999999999999996E-3</v>
      </c>
      <c r="I7" s="35">
        <f t="shared" si="7"/>
        <v>1.9677671084823298E-2</v>
      </c>
      <c r="J7" s="74">
        <f t="shared" si="8"/>
        <v>2.6395232821677545E-4</v>
      </c>
      <c r="K7" s="35">
        <f t="shared" si="2"/>
        <v>2.7577563628225825E-2</v>
      </c>
      <c r="L7" s="35">
        <f t="shared" si="3"/>
        <v>-2.3411495639844279E-2</v>
      </c>
      <c r="M7" s="35">
        <f t="shared" si="4"/>
        <v>0.61212142541702574</v>
      </c>
      <c r="N7" s="110">
        <f t="shared" si="9"/>
        <v>0.61212142541702574</v>
      </c>
      <c r="O7" s="100">
        <f t="shared" si="5"/>
        <v>0.48144451193684218</v>
      </c>
      <c r="P7" s="100">
        <v>60.33704468425028</v>
      </c>
      <c r="Q7" s="112">
        <v>1</v>
      </c>
      <c r="R7" s="121">
        <f t="shared" si="10"/>
        <v>48.144451193684219</v>
      </c>
      <c r="S7" s="121">
        <f t="shared" si="11"/>
        <v>60.33704468425028</v>
      </c>
      <c r="T7" s="121">
        <f t="shared" si="12"/>
        <v>20</v>
      </c>
    </row>
    <row r="8" spans="1:20">
      <c r="A8" s="84" t="s">
        <v>4</v>
      </c>
      <c r="B8" s="84" t="s">
        <v>46</v>
      </c>
      <c r="C8" s="84"/>
      <c r="D8" s="40"/>
      <c r="E8" s="35">
        <f t="shared" si="0"/>
        <v>5.1299999999999998E-2</v>
      </c>
      <c r="F8" s="35">
        <f t="shared" si="1"/>
        <v>1.1999999999999999E-3</v>
      </c>
      <c r="G8" s="106">
        <f t="shared" si="6"/>
        <v>0.3688157901162335</v>
      </c>
      <c r="H8" s="35"/>
      <c r="I8" s="35">
        <f t="shared" si="7"/>
        <v>1.9677671084823298E-2</v>
      </c>
      <c r="J8" s="74">
        <f t="shared" si="8"/>
        <v>2.6395232821677545E-4</v>
      </c>
      <c r="K8" s="35">
        <f t="shared" si="2"/>
        <v>2.7577563628225825E-2</v>
      </c>
      <c r="L8" s="35">
        <f t="shared" si="3"/>
        <v>-2.3411495639844279E-2</v>
      </c>
      <c r="M8" s="35">
        <f t="shared" si="4"/>
        <v>0.4591474323297588</v>
      </c>
      <c r="N8" s="110">
        <f t="shared" si="9"/>
        <v>2.3755709539509791E-4</v>
      </c>
      <c r="O8" s="100">
        <f t="shared" si="5"/>
        <v>0.14766885030373048</v>
      </c>
      <c r="P8" s="100">
        <v>48.281212464724803</v>
      </c>
      <c r="Q8" s="111">
        <v>3</v>
      </c>
      <c r="R8" s="121">
        <f t="shared" si="10"/>
        <v>14.766885030373048</v>
      </c>
      <c r="S8" s="121">
        <f t="shared" si="11"/>
        <v>48.281212464724803</v>
      </c>
      <c r="T8" s="121">
        <f t="shared" si="12"/>
        <v>60</v>
      </c>
    </row>
    <row r="9" spans="1:20">
      <c r="A9" s="84" t="s">
        <v>5</v>
      </c>
      <c r="B9" s="84" t="s">
        <v>47</v>
      </c>
      <c r="C9" s="43">
        <v>12293508.220000001</v>
      </c>
      <c r="D9" s="44">
        <v>3.85E-2</v>
      </c>
      <c r="E9" s="35">
        <f t="shared" si="0"/>
        <v>5.1299999999999998E-2</v>
      </c>
      <c r="F9" s="35">
        <f t="shared" si="1"/>
        <v>1.1999999999999999E-3</v>
      </c>
      <c r="G9" s="106">
        <f t="shared" si="6"/>
        <v>0.7445109780439122</v>
      </c>
      <c r="H9" s="46">
        <v>-8.8999999999999999E-3</v>
      </c>
      <c r="I9" s="35">
        <f t="shared" si="7"/>
        <v>1.9677671084823298E-2</v>
      </c>
      <c r="J9" s="74">
        <f t="shared" si="8"/>
        <v>2.6395232821677545E-4</v>
      </c>
      <c r="K9" s="35">
        <f t="shared" si="2"/>
        <v>2.7577563628225825E-2</v>
      </c>
      <c r="L9" s="35">
        <f t="shared" si="3"/>
        <v>-2.3411495639844279E-2</v>
      </c>
      <c r="M9" s="35">
        <f t="shared" si="4"/>
        <v>0.28460018380710805</v>
      </c>
      <c r="N9" s="110">
        <f t="shared" si="9"/>
        <v>0.25614016542639728</v>
      </c>
      <c r="O9" s="100">
        <f t="shared" si="5"/>
        <v>0.45148849047340328</v>
      </c>
      <c r="P9" s="100">
        <v>54.224399974483319</v>
      </c>
      <c r="Q9" s="112">
        <v>5</v>
      </c>
      <c r="R9" s="121">
        <f t="shared" si="10"/>
        <v>45.148849047340327</v>
      </c>
      <c r="S9" s="121">
        <f t="shared" si="11"/>
        <v>54.224399974483319</v>
      </c>
      <c r="T9" s="121">
        <f t="shared" si="12"/>
        <v>100</v>
      </c>
    </row>
    <row r="10" spans="1:20">
      <c r="A10" s="84" t="s">
        <v>6</v>
      </c>
      <c r="B10" s="84" t="s">
        <v>48</v>
      </c>
      <c r="C10" s="43">
        <v>22536294.609999999</v>
      </c>
      <c r="D10" s="44">
        <v>1.18E-2</v>
      </c>
      <c r="E10" s="35">
        <f t="shared" si="0"/>
        <v>5.1299999999999998E-2</v>
      </c>
      <c r="F10" s="35">
        <f t="shared" si="1"/>
        <v>1.1999999999999999E-3</v>
      </c>
      <c r="G10" s="106">
        <f t="shared" si="6"/>
        <v>0.21157684630738524</v>
      </c>
      <c r="H10" s="46">
        <v>-1.5E-3</v>
      </c>
      <c r="I10" s="35">
        <f t="shared" si="7"/>
        <v>1.9677671084823298E-2</v>
      </c>
      <c r="J10" s="74">
        <f t="shared" si="8"/>
        <v>2.6395232821677545E-4</v>
      </c>
      <c r="K10" s="35">
        <f t="shared" si="2"/>
        <v>2.7577563628225825E-2</v>
      </c>
      <c r="L10" s="35">
        <f t="shared" si="3"/>
        <v>-2.3411495639844279E-2</v>
      </c>
      <c r="M10" s="35">
        <f t="shared" si="4"/>
        <v>0.42972935673605361</v>
      </c>
      <c r="N10" s="110">
        <f t="shared" si="9"/>
        <v>0.38675642106244829</v>
      </c>
      <c r="O10" s="100">
        <f t="shared" si="5"/>
        <v>0.31668459116042308</v>
      </c>
      <c r="P10" s="100">
        <v>40.637401235179603</v>
      </c>
      <c r="Q10" s="111">
        <v>5</v>
      </c>
      <c r="R10" s="121">
        <f t="shared" si="10"/>
        <v>31.668459116042307</v>
      </c>
      <c r="S10" s="121">
        <f t="shared" si="11"/>
        <v>40.637401235179603</v>
      </c>
      <c r="T10" s="121">
        <f t="shared" si="12"/>
        <v>100</v>
      </c>
    </row>
    <row r="11" spans="1:20">
      <c r="A11" s="47" t="s">
        <v>7</v>
      </c>
      <c r="B11" s="47" t="s">
        <v>49</v>
      </c>
      <c r="C11" s="48">
        <v>15598115.890000001</v>
      </c>
      <c r="D11" s="49">
        <v>6.3E-3</v>
      </c>
      <c r="E11" s="35">
        <f t="shared" si="0"/>
        <v>5.1299999999999998E-2</v>
      </c>
      <c r="F11" s="35">
        <f t="shared" si="1"/>
        <v>1.1999999999999999E-3</v>
      </c>
      <c r="G11" s="106">
        <f t="shared" si="6"/>
        <v>0.10179640718562875</v>
      </c>
      <c r="H11" s="50">
        <v>-8.8999999999999999E-3</v>
      </c>
      <c r="I11" s="35">
        <f t="shared" si="7"/>
        <v>1.9677671084823298E-2</v>
      </c>
      <c r="J11" s="74">
        <f t="shared" si="8"/>
        <v>2.6395232821677545E-4</v>
      </c>
      <c r="K11" s="35">
        <f t="shared" si="2"/>
        <v>2.7577563628225825E-2</v>
      </c>
      <c r="L11" s="35">
        <f t="shared" si="3"/>
        <v>-2.3411495639844279E-2</v>
      </c>
      <c r="M11" s="35">
        <f t="shared" si="4"/>
        <v>0.28460018380710805</v>
      </c>
      <c r="N11" s="110">
        <f t="shared" si="9"/>
        <v>0.25614016542639728</v>
      </c>
      <c r="O11" s="100">
        <f t="shared" si="5"/>
        <v>0.19440266213008989</v>
      </c>
      <c r="P11" s="100">
        <v>31.77413210815315</v>
      </c>
      <c r="Q11" s="112">
        <v>2</v>
      </c>
      <c r="R11" s="121">
        <f t="shared" si="10"/>
        <v>19.440266213008989</v>
      </c>
      <c r="S11" s="121">
        <f t="shared" si="11"/>
        <v>31.77413210815315</v>
      </c>
      <c r="T11" s="121">
        <f t="shared" si="12"/>
        <v>40</v>
      </c>
    </row>
    <row r="12" spans="1:20">
      <c r="A12" s="84" t="s">
        <v>8</v>
      </c>
      <c r="B12" s="84" t="s">
        <v>50</v>
      </c>
      <c r="C12" s="43">
        <v>69075843.930000007</v>
      </c>
      <c r="D12" s="44">
        <v>2.4E-2</v>
      </c>
      <c r="E12" s="35">
        <f t="shared" si="0"/>
        <v>5.1299999999999998E-2</v>
      </c>
      <c r="F12" s="35">
        <f t="shared" si="1"/>
        <v>1.1999999999999999E-3</v>
      </c>
      <c r="G12" s="106">
        <f t="shared" si="6"/>
        <v>0.45508982035928147</v>
      </c>
      <c r="H12" s="46">
        <v>1.5E-3</v>
      </c>
      <c r="I12" s="35">
        <f t="shared" si="7"/>
        <v>1.9677671084823298E-2</v>
      </c>
      <c r="J12" s="74">
        <f t="shared" si="8"/>
        <v>2.6395232821677545E-4</v>
      </c>
      <c r="K12" s="35">
        <f t="shared" si="2"/>
        <v>2.7577563628225825E-2</v>
      </c>
      <c r="L12" s="35">
        <f t="shared" si="3"/>
        <v>-2.3411495639844279E-2</v>
      </c>
      <c r="M12" s="35">
        <f t="shared" si="4"/>
        <v>0.48856550792346404</v>
      </c>
      <c r="N12" s="110">
        <f t="shared" si="9"/>
        <v>0.43970895713111763</v>
      </c>
      <c r="O12" s="100">
        <f t="shared" si="5"/>
        <v>0.4458613024223832</v>
      </c>
      <c r="P12" s="100">
        <v>54.260606895622615</v>
      </c>
      <c r="Q12" s="111">
        <v>5</v>
      </c>
      <c r="R12" s="121">
        <f t="shared" si="10"/>
        <v>44.586130242238319</v>
      </c>
      <c r="S12" s="121">
        <f t="shared" si="11"/>
        <v>54.260606895622615</v>
      </c>
      <c r="T12" s="121">
        <f t="shared" si="12"/>
        <v>100</v>
      </c>
    </row>
    <row r="13" spans="1:20">
      <c r="A13" s="84" t="s">
        <v>9</v>
      </c>
      <c r="B13" s="84" t="s">
        <v>51</v>
      </c>
      <c r="C13" s="43">
        <v>26202167.600000001</v>
      </c>
      <c r="D13" s="44">
        <v>1.47E-2</v>
      </c>
      <c r="E13" s="35">
        <f t="shared" si="0"/>
        <v>5.1299999999999998E-2</v>
      </c>
      <c r="F13" s="35">
        <f t="shared" si="1"/>
        <v>1.1999999999999999E-3</v>
      </c>
      <c r="G13" s="106">
        <f t="shared" si="6"/>
        <v>0.26946107784431139</v>
      </c>
      <c r="H13" s="46">
        <v>1.4E-3</v>
      </c>
      <c r="I13" s="35">
        <f t="shared" si="7"/>
        <v>1.9677671084823298E-2</v>
      </c>
      <c r="J13" s="74">
        <f t="shared" si="8"/>
        <v>2.6395232821677545E-4</v>
      </c>
      <c r="K13" s="35">
        <f t="shared" si="2"/>
        <v>2.7577563628225825E-2</v>
      </c>
      <c r="L13" s="35">
        <f t="shared" si="3"/>
        <v>-2.3411495639844279E-2</v>
      </c>
      <c r="M13" s="35">
        <f t="shared" si="4"/>
        <v>0.48660430288388362</v>
      </c>
      <c r="N13" s="110">
        <f t="shared" si="9"/>
        <v>0.43794387259549528</v>
      </c>
      <c r="O13" s="100">
        <f t="shared" si="5"/>
        <v>0.37055075469502174</v>
      </c>
      <c r="P13" s="100">
        <v>70.34431234369552</v>
      </c>
      <c r="Q13" s="112">
        <v>5</v>
      </c>
      <c r="R13" s="121">
        <f t="shared" si="10"/>
        <v>37.055075469502171</v>
      </c>
      <c r="S13" s="121">
        <f t="shared" si="11"/>
        <v>70.34431234369552</v>
      </c>
      <c r="T13" s="121">
        <f t="shared" si="12"/>
        <v>100</v>
      </c>
    </row>
    <row r="14" spans="1:20">
      <c r="A14" s="84" t="s">
        <v>10</v>
      </c>
      <c r="B14" s="84" t="s">
        <v>52</v>
      </c>
      <c r="C14" s="43">
        <v>33954148.740000002</v>
      </c>
      <c r="D14" s="44">
        <v>1.1900000000000001E-2</v>
      </c>
      <c r="E14" s="35">
        <f t="shared" si="0"/>
        <v>5.1299999999999998E-2</v>
      </c>
      <c r="F14" s="35">
        <f t="shared" si="1"/>
        <v>1.1999999999999999E-3</v>
      </c>
      <c r="G14" s="106">
        <f t="shared" si="6"/>
        <v>0.2135728542914172</v>
      </c>
      <c r="H14" s="46">
        <v>-3.3E-3</v>
      </c>
      <c r="I14" s="35">
        <f t="shared" si="7"/>
        <v>1.9677671084823298E-2</v>
      </c>
      <c r="J14" s="74">
        <f t="shared" si="8"/>
        <v>2.6395232821677545E-4</v>
      </c>
      <c r="K14" s="35">
        <f t="shared" si="2"/>
        <v>2.7577563628225825E-2</v>
      </c>
      <c r="L14" s="35">
        <f t="shared" si="3"/>
        <v>-2.3411495639844279E-2</v>
      </c>
      <c r="M14" s="35">
        <f t="shared" si="4"/>
        <v>0.3944276660236074</v>
      </c>
      <c r="N14" s="110">
        <f t="shared" si="9"/>
        <v>0.35498489942124667</v>
      </c>
      <c r="O14" s="100">
        <f t="shared" si="5"/>
        <v>0.29842008136931486</v>
      </c>
      <c r="P14" s="100">
        <v>50.264678104835681</v>
      </c>
      <c r="Q14" s="111">
        <v>4</v>
      </c>
      <c r="R14" s="121">
        <f t="shared" si="10"/>
        <v>29.842008136931486</v>
      </c>
      <c r="S14" s="121">
        <f t="shared" si="11"/>
        <v>50.264678104835681</v>
      </c>
      <c r="T14" s="121">
        <f t="shared" si="12"/>
        <v>80</v>
      </c>
    </row>
    <row r="15" spans="1:20">
      <c r="A15" s="84" t="s">
        <v>11</v>
      </c>
      <c r="B15" s="84" t="s">
        <v>53</v>
      </c>
      <c r="C15" s="53">
        <v>2470957.37</v>
      </c>
      <c r="D15" s="54">
        <v>4.1000000000000003E-3</v>
      </c>
      <c r="E15" s="35">
        <f t="shared" si="0"/>
        <v>5.1299999999999998E-2</v>
      </c>
      <c r="F15" s="35">
        <f t="shared" si="1"/>
        <v>1.1999999999999999E-3</v>
      </c>
      <c r="G15" s="106">
        <f t="shared" si="6"/>
        <v>5.7884231536926165E-2</v>
      </c>
      <c r="H15" s="34">
        <v>-2.5999999999999999E-3</v>
      </c>
      <c r="I15" s="35">
        <f t="shared" si="7"/>
        <v>1.9677671084823298E-2</v>
      </c>
      <c r="J15" s="74">
        <f t="shared" si="8"/>
        <v>2.6395232821677545E-4</v>
      </c>
      <c r="K15" s="35">
        <f t="shared" si="2"/>
        <v>2.7577563628225825E-2</v>
      </c>
      <c r="L15" s="35">
        <f t="shared" si="3"/>
        <v>-2.3411495639844279E-2</v>
      </c>
      <c r="M15" s="35">
        <f t="shared" si="4"/>
        <v>0.40815610130066987</v>
      </c>
      <c r="N15" s="110">
        <f t="shared" si="9"/>
        <v>0.36734049117060291</v>
      </c>
      <c r="O15" s="100">
        <f t="shared" si="5"/>
        <v>0.24355798731713221</v>
      </c>
      <c r="P15" s="100">
        <v>69.170471020145584</v>
      </c>
      <c r="Q15" s="112">
        <v>4</v>
      </c>
      <c r="R15" s="121">
        <f t="shared" si="10"/>
        <v>24.355798731713222</v>
      </c>
      <c r="S15" s="121">
        <f t="shared" si="11"/>
        <v>69.170471020145584</v>
      </c>
      <c r="T15" s="121">
        <f t="shared" si="12"/>
        <v>80</v>
      </c>
    </row>
    <row r="16" spans="1:20">
      <c r="A16" s="84" t="s">
        <v>12</v>
      </c>
      <c r="B16" s="84" t="s">
        <v>54</v>
      </c>
      <c r="C16" s="53">
        <v>42349769.950000003</v>
      </c>
      <c r="D16" s="54">
        <v>3.2599999999999997E-2</v>
      </c>
      <c r="E16" s="35">
        <f t="shared" si="0"/>
        <v>5.1299999999999998E-2</v>
      </c>
      <c r="F16" s="35">
        <f t="shared" si="1"/>
        <v>1.1999999999999999E-3</v>
      </c>
      <c r="G16" s="106">
        <f t="shared" si="6"/>
        <v>0.62674650698602796</v>
      </c>
      <c r="H16" s="34">
        <v>-1.1999999999999999E-3</v>
      </c>
      <c r="I16" s="35">
        <f t="shared" si="7"/>
        <v>1.9677671084823298E-2</v>
      </c>
      <c r="J16" s="74">
        <f t="shared" si="8"/>
        <v>2.6395232821677545E-4</v>
      </c>
      <c r="K16" s="35">
        <f t="shared" si="2"/>
        <v>2.7577563628225825E-2</v>
      </c>
      <c r="L16" s="35">
        <f t="shared" si="3"/>
        <v>-2.3411495639844279E-2</v>
      </c>
      <c r="M16" s="35">
        <f t="shared" si="4"/>
        <v>0.43561297185479469</v>
      </c>
      <c r="N16" s="110">
        <f t="shared" si="9"/>
        <v>0.39205167466931523</v>
      </c>
      <c r="O16" s="100">
        <f t="shared" si="5"/>
        <v>0.48592960759600035</v>
      </c>
      <c r="P16" s="100">
        <v>50</v>
      </c>
      <c r="Q16" s="111">
        <v>5</v>
      </c>
      <c r="R16" s="121">
        <f t="shared" si="10"/>
        <v>48.592960759600032</v>
      </c>
      <c r="S16" s="121">
        <f t="shared" si="11"/>
        <v>50</v>
      </c>
      <c r="T16" s="121">
        <f t="shared" si="12"/>
        <v>100</v>
      </c>
    </row>
    <row r="17" spans="1:20" s="1" customFormat="1">
      <c r="A17" s="84" t="s">
        <v>13</v>
      </c>
      <c r="B17" s="84" t="s">
        <v>55</v>
      </c>
      <c r="C17" s="84"/>
      <c r="D17" s="84"/>
      <c r="E17" s="35">
        <f t="shared" si="0"/>
        <v>5.1299999999999998E-2</v>
      </c>
      <c r="F17" s="35">
        <f t="shared" si="1"/>
        <v>1.1999999999999999E-3</v>
      </c>
      <c r="G17" s="106">
        <f t="shared" si="6"/>
        <v>0.3688157901162335</v>
      </c>
      <c r="H17" s="35">
        <f>D17-29000000/1238707703.52</f>
        <v>-2.3411495639844279E-2</v>
      </c>
      <c r="I17" s="35">
        <f t="shared" si="7"/>
        <v>1.9677671084823298E-2</v>
      </c>
      <c r="J17" s="74">
        <f t="shared" si="8"/>
        <v>2.6395232821677545E-4</v>
      </c>
      <c r="K17" s="35">
        <f t="shared" si="2"/>
        <v>2.7577563628225825E-2</v>
      </c>
      <c r="L17" s="35">
        <f t="shared" si="3"/>
        <v>-2.3411495639844279E-2</v>
      </c>
      <c r="M17" s="35">
        <f t="shared" ref="M17" si="13">(H17-L17)/(K17-L17)</f>
        <v>0</v>
      </c>
      <c r="N17" s="110">
        <f t="shared" si="9"/>
        <v>0</v>
      </c>
      <c r="O17" s="100">
        <f t="shared" si="5"/>
        <v>0.14752631604649341</v>
      </c>
      <c r="P17" s="100">
        <v>64.67692599966847</v>
      </c>
      <c r="Q17" s="112">
        <v>2</v>
      </c>
      <c r="R17" s="121">
        <f t="shared" si="10"/>
        <v>14.752631604649341</v>
      </c>
      <c r="S17" s="121">
        <f t="shared" si="11"/>
        <v>64.67692599966847</v>
      </c>
      <c r="T17" s="121">
        <f t="shared" si="12"/>
        <v>40</v>
      </c>
    </row>
    <row r="18" spans="1:20">
      <c r="A18" s="84" t="s">
        <v>14</v>
      </c>
      <c r="B18" s="84" t="s">
        <v>56</v>
      </c>
      <c r="C18" s="53">
        <v>4169084.11</v>
      </c>
      <c r="D18" s="54">
        <v>8.6999999999999994E-3</v>
      </c>
      <c r="E18" s="35">
        <f t="shared" si="0"/>
        <v>5.1299999999999998E-2</v>
      </c>
      <c r="F18" s="35">
        <f t="shared" si="1"/>
        <v>1.1999999999999999E-3</v>
      </c>
      <c r="G18" s="106">
        <f t="shared" si="6"/>
        <v>0.1497005988023952</v>
      </c>
      <c r="H18" s="34">
        <v>2.5000000000000001E-3</v>
      </c>
      <c r="I18" s="35">
        <f t="shared" si="7"/>
        <v>1.9677671084823298E-2</v>
      </c>
      <c r="J18" s="74">
        <f t="shared" si="8"/>
        <v>2.6395232821677545E-4</v>
      </c>
      <c r="K18" s="35">
        <f t="shared" si="2"/>
        <v>2.7577563628225825E-2</v>
      </c>
      <c r="L18" s="35">
        <f t="shared" si="3"/>
        <v>-2.3411495639844279E-2</v>
      </c>
      <c r="M18" s="35">
        <f t="shared" si="4"/>
        <v>0.50817755831926736</v>
      </c>
      <c r="N18" s="110">
        <f t="shared" si="9"/>
        <v>0.45735980248734065</v>
      </c>
      <c r="O18" s="100">
        <f t="shared" si="5"/>
        <v>0.33429612101336248</v>
      </c>
      <c r="P18" s="100">
        <v>64.785791132287585</v>
      </c>
      <c r="Q18" s="111">
        <v>5</v>
      </c>
      <c r="R18" s="121">
        <f t="shared" si="10"/>
        <v>33.429612101336247</v>
      </c>
      <c r="S18" s="121">
        <f t="shared" si="11"/>
        <v>64.785791132287585</v>
      </c>
      <c r="T18" s="121">
        <f t="shared" si="12"/>
        <v>100</v>
      </c>
    </row>
    <row r="19" spans="1:20">
      <c r="A19" s="47" t="s">
        <v>15</v>
      </c>
      <c r="B19" s="47" t="s">
        <v>57</v>
      </c>
      <c r="C19" s="48">
        <v>23175422.41</v>
      </c>
      <c r="D19" s="49">
        <v>2.0899999999999998E-2</v>
      </c>
      <c r="E19" s="35">
        <f t="shared" si="0"/>
        <v>5.1299999999999998E-2</v>
      </c>
      <c r="F19" s="35">
        <f t="shared" si="1"/>
        <v>1.1999999999999999E-3</v>
      </c>
      <c r="G19" s="106">
        <f t="shared" si="6"/>
        <v>0.39321357285429143</v>
      </c>
      <c r="H19" s="50">
        <v>-1.1000000000000001E-3</v>
      </c>
      <c r="I19" s="35">
        <f t="shared" si="7"/>
        <v>1.9677671084823298E-2</v>
      </c>
      <c r="J19" s="74">
        <f t="shared" si="8"/>
        <v>2.6395232821677545E-4</v>
      </c>
      <c r="K19" s="35">
        <f t="shared" si="2"/>
        <v>2.7577563628225825E-2</v>
      </c>
      <c r="L19" s="35">
        <f t="shared" si="3"/>
        <v>-2.3411495639844279E-2</v>
      </c>
      <c r="M19" s="35">
        <f t="shared" si="4"/>
        <v>0.437574176894375</v>
      </c>
      <c r="N19" s="110">
        <f t="shared" si="9"/>
        <v>0.39381675920493753</v>
      </c>
      <c r="O19" s="100">
        <f t="shared" si="5"/>
        <v>0.39357548466467907</v>
      </c>
      <c r="P19" s="100">
        <v>8.8475110837682891</v>
      </c>
      <c r="Q19" s="112">
        <v>3</v>
      </c>
      <c r="R19" s="121">
        <f t="shared" si="10"/>
        <v>39.357548466467904</v>
      </c>
      <c r="S19" s="121">
        <f t="shared" si="11"/>
        <v>8.8475110837682891</v>
      </c>
      <c r="T19" s="121">
        <f t="shared" si="12"/>
        <v>60</v>
      </c>
    </row>
    <row r="20" spans="1:20">
      <c r="A20" s="84" t="s">
        <v>16</v>
      </c>
      <c r="B20" s="84" t="s">
        <v>58</v>
      </c>
      <c r="C20" s="43">
        <v>4371584.5199999996</v>
      </c>
      <c r="D20" s="44">
        <v>6.4000000000000003E-3</v>
      </c>
      <c r="E20" s="35">
        <f t="shared" si="0"/>
        <v>5.1299999999999998E-2</v>
      </c>
      <c r="F20" s="35">
        <f t="shared" si="1"/>
        <v>1.1999999999999999E-3</v>
      </c>
      <c r="G20" s="106">
        <f t="shared" si="6"/>
        <v>0.10379241516966069</v>
      </c>
      <c r="H20" s="46">
        <v>4.1000000000000003E-3</v>
      </c>
      <c r="I20" s="35">
        <f t="shared" si="7"/>
        <v>1.9677671084823298E-2</v>
      </c>
      <c r="J20" s="74">
        <f t="shared" si="8"/>
        <v>2.6395232821677545E-4</v>
      </c>
      <c r="K20" s="35">
        <f t="shared" si="2"/>
        <v>2.7577563628225825E-2</v>
      </c>
      <c r="L20" s="35">
        <f t="shared" si="3"/>
        <v>-2.3411495639844279E-2</v>
      </c>
      <c r="M20" s="35">
        <f t="shared" si="4"/>
        <v>0.53955683895255291</v>
      </c>
      <c r="N20" s="110">
        <f t="shared" si="9"/>
        <v>0.53955683895255291</v>
      </c>
      <c r="O20" s="100">
        <f t="shared" si="5"/>
        <v>0.365251069439396</v>
      </c>
      <c r="P20" s="100">
        <v>27.982802966715255</v>
      </c>
      <c r="Q20" s="111">
        <v>2</v>
      </c>
      <c r="R20" s="121">
        <f t="shared" si="10"/>
        <v>36.525106943939598</v>
      </c>
      <c r="S20" s="121">
        <f t="shared" si="11"/>
        <v>27.982802966715255</v>
      </c>
      <c r="T20" s="121">
        <f t="shared" si="12"/>
        <v>40</v>
      </c>
    </row>
    <row r="21" spans="1:20" s="1" customFormat="1">
      <c r="A21" s="84" t="s">
        <v>17</v>
      </c>
      <c r="B21" s="84" t="s">
        <v>59</v>
      </c>
      <c r="C21" s="53">
        <v>103489887.45999999</v>
      </c>
      <c r="D21" s="54">
        <v>2.3800000000000002E-2</v>
      </c>
      <c r="E21" s="35">
        <f t="shared" si="0"/>
        <v>5.1299999999999998E-2</v>
      </c>
      <c r="F21" s="35">
        <f t="shared" si="1"/>
        <v>1.1999999999999999E-3</v>
      </c>
      <c r="G21" s="106">
        <f t="shared" si="6"/>
        <v>0.4510978043912176</v>
      </c>
      <c r="H21" s="34">
        <f>D21- 2.68%</f>
        <v>-2.9999999999999992E-3</v>
      </c>
      <c r="I21" s="35">
        <f t="shared" si="7"/>
        <v>1.9677671084823298E-2</v>
      </c>
      <c r="J21" s="74">
        <f t="shared" si="8"/>
        <v>2.6395232821677545E-4</v>
      </c>
      <c r="K21" s="35">
        <f t="shared" si="2"/>
        <v>2.7577563628225825E-2</v>
      </c>
      <c r="L21" s="35">
        <f t="shared" si="3"/>
        <v>-2.3411495639844279E-2</v>
      </c>
      <c r="M21" s="35">
        <f t="shared" si="4"/>
        <v>0.40031128114234849</v>
      </c>
      <c r="N21" s="110">
        <f t="shared" si="9"/>
        <v>0.36028015302811367</v>
      </c>
      <c r="O21" s="100">
        <f t="shared" si="5"/>
        <v>0.39660721357335527</v>
      </c>
      <c r="P21" s="100">
        <v>81.503653580026338</v>
      </c>
      <c r="Q21" s="112">
        <v>5</v>
      </c>
      <c r="R21" s="121">
        <f t="shared" si="10"/>
        <v>39.660721357335525</v>
      </c>
      <c r="S21" s="121">
        <f t="shared" si="11"/>
        <v>81.503653580026338</v>
      </c>
      <c r="T21" s="121">
        <f t="shared" si="12"/>
        <v>100</v>
      </c>
    </row>
    <row r="22" spans="1:20">
      <c r="A22" s="84" t="s">
        <v>18</v>
      </c>
      <c r="B22" s="84" t="s">
        <v>60</v>
      </c>
      <c r="C22" s="84">
        <v>90749245.650000006</v>
      </c>
      <c r="D22" s="84">
        <v>5.1299999999999998E-2</v>
      </c>
      <c r="E22" s="35">
        <f t="shared" si="0"/>
        <v>5.1299999999999998E-2</v>
      </c>
      <c r="F22" s="35">
        <f t="shared" si="1"/>
        <v>1.1999999999999999E-3</v>
      </c>
      <c r="G22" s="106">
        <f t="shared" si="6"/>
        <v>1</v>
      </c>
      <c r="H22" s="35">
        <f>5.13%-6.27%</f>
        <v>-1.1399999999999993E-2</v>
      </c>
      <c r="I22" s="35">
        <f t="shared" si="7"/>
        <v>1.9677671084823298E-2</v>
      </c>
      <c r="J22" s="74">
        <f t="shared" si="8"/>
        <v>2.6395232821677545E-4</v>
      </c>
      <c r="K22" s="35">
        <f t="shared" si="2"/>
        <v>2.7577563628225825E-2</v>
      </c>
      <c r="L22" s="35">
        <f t="shared" si="3"/>
        <v>-2.3411495639844279E-2</v>
      </c>
      <c r="M22" s="35">
        <f>(H22-L22)/(K22-L22)</f>
        <v>0.23557005781759957</v>
      </c>
      <c r="N22" s="110">
        <f t="shared" si="9"/>
        <v>0.21201305203583962</v>
      </c>
      <c r="O22" s="100">
        <f t="shared" si="5"/>
        <v>0.52720783122150383</v>
      </c>
      <c r="P22" s="100">
        <v>99.625262720270911</v>
      </c>
      <c r="Q22" s="111">
        <v>3</v>
      </c>
      <c r="R22" s="121">
        <f t="shared" si="10"/>
        <v>52.72078312215038</v>
      </c>
      <c r="S22" s="121">
        <f t="shared" si="11"/>
        <v>99.625262720270911</v>
      </c>
      <c r="T22" s="121">
        <f t="shared" si="12"/>
        <v>60</v>
      </c>
    </row>
    <row r="23" spans="1:20">
      <c r="A23" s="84" t="s">
        <v>19</v>
      </c>
      <c r="B23" s="84" t="s">
        <v>61</v>
      </c>
      <c r="C23" s="53">
        <v>30511965.760000002</v>
      </c>
      <c r="D23" s="54">
        <v>4.6199999999999998E-2</v>
      </c>
      <c r="E23" s="35">
        <f t="shared" si="0"/>
        <v>5.1299999999999998E-2</v>
      </c>
      <c r="F23" s="35">
        <f t="shared" si="1"/>
        <v>1.1999999999999999E-3</v>
      </c>
      <c r="G23" s="106">
        <f t="shared" si="6"/>
        <v>0.89820359281437123</v>
      </c>
      <c r="H23" s="34">
        <f>D23-5.26%</f>
        <v>-6.4000000000000029E-3</v>
      </c>
      <c r="I23" s="35">
        <f t="shared" si="7"/>
        <v>1.9677671084823298E-2</v>
      </c>
      <c r="J23" s="74">
        <f t="shared" si="8"/>
        <v>2.6395232821677545E-4</v>
      </c>
      <c r="K23" s="35">
        <f t="shared" si="2"/>
        <v>2.7577563628225825E-2</v>
      </c>
      <c r="L23" s="35">
        <f t="shared" si="3"/>
        <v>-2.3411495639844279E-2</v>
      </c>
      <c r="M23" s="35">
        <f t="shared" si="4"/>
        <v>0.33363030979661668</v>
      </c>
      <c r="N23" s="110">
        <f t="shared" si="9"/>
        <v>0.30026727881695503</v>
      </c>
      <c r="O23" s="100">
        <f t="shared" si="5"/>
        <v>0.53944180441592149</v>
      </c>
      <c r="P23" s="100">
        <v>78.754510791506931</v>
      </c>
      <c r="Q23" s="112">
        <v>5</v>
      </c>
      <c r="R23" s="121">
        <f t="shared" si="10"/>
        <v>53.944180441592152</v>
      </c>
      <c r="S23" s="121">
        <f t="shared" si="11"/>
        <v>78.754510791506931</v>
      </c>
      <c r="T23" s="121">
        <f t="shared" si="12"/>
        <v>100</v>
      </c>
    </row>
    <row r="24" spans="1:20">
      <c r="A24" s="84" t="s">
        <v>20</v>
      </c>
      <c r="B24" s="84" t="s">
        <v>62</v>
      </c>
      <c r="C24" s="39">
        <v>139371245.87</v>
      </c>
      <c r="D24" s="57">
        <v>6.3E-3</v>
      </c>
      <c r="E24" s="35">
        <f t="shared" si="0"/>
        <v>5.1299999999999998E-2</v>
      </c>
      <c r="F24" s="35">
        <f t="shared" si="1"/>
        <v>1.1999999999999999E-3</v>
      </c>
      <c r="G24" s="106">
        <f t="shared" si="6"/>
        <v>0.10179640718562875</v>
      </c>
      <c r="H24" s="34">
        <f>D24-51607727.45/22221374104.03</f>
        <v>3.9775636282258272E-3</v>
      </c>
      <c r="I24" s="35">
        <f t="shared" si="7"/>
        <v>1.9677671084823298E-2</v>
      </c>
      <c r="J24" s="74">
        <f t="shared" si="8"/>
        <v>2.6395232821677545E-4</v>
      </c>
      <c r="K24" s="35">
        <f t="shared" si="2"/>
        <v>2.7577563628225825E-2</v>
      </c>
      <c r="L24" s="35">
        <f t="shared" si="3"/>
        <v>-2.3411495639844279E-2</v>
      </c>
      <c r="M24" s="35">
        <f t="shared" si="4"/>
        <v>0.53715561065903861</v>
      </c>
      <c r="N24" s="110">
        <f t="shared" si="9"/>
        <v>0.53715561065903861</v>
      </c>
      <c r="O24" s="100">
        <f t="shared" si="5"/>
        <v>0.36301192926967468</v>
      </c>
      <c r="P24" s="100">
        <v>29.628133850763827</v>
      </c>
      <c r="Q24" s="111">
        <v>4</v>
      </c>
      <c r="R24" s="121">
        <f t="shared" si="10"/>
        <v>36.301192926967467</v>
      </c>
      <c r="S24" s="121">
        <f t="shared" si="11"/>
        <v>29.628133850763827</v>
      </c>
      <c r="T24" s="121">
        <f t="shared" si="12"/>
        <v>80</v>
      </c>
    </row>
    <row r="25" spans="1:20">
      <c r="A25" s="84" t="s">
        <v>21</v>
      </c>
      <c r="B25" s="84" t="s">
        <v>63</v>
      </c>
      <c r="C25" s="84"/>
      <c r="D25" s="84"/>
      <c r="E25" s="35">
        <f t="shared" si="0"/>
        <v>5.1299999999999998E-2</v>
      </c>
      <c r="F25" s="35">
        <f t="shared" si="1"/>
        <v>1.1999999999999999E-3</v>
      </c>
      <c r="G25" s="106">
        <f t="shared" si="6"/>
        <v>0.3688157901162335</v>
      </c>
      <c r="H25" s="35">
        <f>D25-32000000/1766772730.42</f>
        <v>-1.8112120166351508E-2</v>
      </c>
      <c r="I25" s="35">
        <f t="shared" si="7"/>
        <v>1.9677671084823298E-2</v>
      </c>
      <c r="J25" s="74">
        <f t="shared" si="8"/>
        <v>2.6395232821677545E-4</v>
      </c>
      <c r="K25" s="35">
        <f t="shared" si="2"/>
        <v>2.7577563628225825E-2</v>
      </c>
      <c r="L25" s="35">
        <f t="shared" si="3"/>
        <v>-2.3411495639844279E-2</v>
      </c>
      <c r="M25" s="35">
        <f t="shared" si="4"/>
        <v>0.10393161885242501</v>
      </c>
      <c r="N25" s="110">
        <f t="shared" si="9"/>
        <v>9.3538456967182507E-2</v>
      </c>
      <c r="O25" s="100">
        <f t="shared" si="5"/>
        <v>0.20364939022680292</v>
      </c>
      <c r="P25" s="100">
        <v>69.864738134540346</v>
      </c>
      <c r="Q25" s="112">
        <v>1</v>
      </c>
      <c r="R25" s="121">
        <f t="shared" si="10"/>
        <v>20.364939022680293</v>
      </c>
      <c r="S25" s="121">
        <f t="shared" si="11"/>
        <v>69.864738134540346</v>
      </c>
      <c r="T25" s="121">
        <f t="shared" si="12"/>
        <v>20</v>
      </c>
    </row>
    <row r="26" spans="1:20" ht="17" thickBot="1">
      <c r="A26" s="84" t="s">
        <v>22</v>
      </c>
      <c r="B26" s="84" t="s">
        <v>64</v>
      </c>
      <c r="C26" s="94">
        <v>279653141.57999998</v>
      </c>
      <c r="D26" s="84">
        <f>279653141.58/6685600650.19</f>
        <v>4.1829172308108543E-2</v>
      </c>
      <c r="E26" s="35">
        <f t="shared" si="0"/>
        <v>5.1299999999999998E-2</v>
      </c>
      <c r="F26" s="35">
        <f t="shared" si="1"/>
        <v>1.1999999999999999E-3</v>
      </c>
      <c r="G26" s="106">
        <f t="shared" si="6"/>
        <v>0.81096152311593905</v>
      </c>
      <c r="H26" s="35">
        <f>D26-269752232.48/5775728160.88</f>
        <v>-4.8752820855518589E-3</v>
      </c>
      <c r="I26" s="35">
        <f t="shared" si="7"/>
        <v>1.9677671084823298E-2</v>
      </c>
      <c r="J26" s="74">
        <f t="shared" si="8"/>
        <v>2.6395232821677545E-4</v>
      </c>
      <c r="K26" s="35">
        <f t="shared" si="2"/>
        <v>2.7577563628225825E-2</v>
      </c>
      <c r="L26" s="35">
        <f t="shared" si="3"/>
        <v>-2.3411495639844279E-2</v>
      </c>
      <c r="M26" s="35">
        <f t="shared" si="4"/>
        <v>0.36353315437415801</v>
      </c>
      <c r="N26" s="110">
        <f t="shared" si="9"/>
        <v>0.32717983893674224</v>
      </c>
      <c r="O26" s="100">
        <f t="shared" si="5"/>
        <v>0.52069251260842098</v>
      </c>
      <c r="P26" s="100">
        <v>81.157181088314047</v>
      </c>
      <c r="Q26" s="111">
        <v>5</v>
      </c>
      <c r="R26" s="121">
        <f t="shared" si="10"/>
        <v>52.069251260842094</v>
      </c>
      <c r="S26" s="121">
        <f t="shared" si="11"/>
        <v>81.157181088314047</v>
      </c>
      <c r="T26" s="121">
        <f t="shared" si="12"/>
        <v>100</v>
      </c>
    </row>
    <row r="27" spans="1:20" ht="17" thickBot="1">
      <c r="A27" s="47" t="s">
        <v>23</v>
      </c>
      <c r="B27" s="47" t="s">
        <v>65</v>
      </c>
      <c r="C27" s="60">
        <v>47729156.950000003</v>
      </c>
      <c r="D27" s="61">
        <v>2.8199999999999999E-2</v>
      </c>
      <c r="E27" s="35">
        <f t="shared" si="0"/>
        <v>5.1299999999999998E-2</v>
      </c>
      <c r="F27" s="35">
        <f t="shared" si="1"/>
        <v>1.1999999999999999E-3</v>
      </c>
      <c r="G27" s="106">
        <f t="shared" si="6"/>
        <v>0.53892215568862278</v>
      </c>
      <c r="H27" s="62">
        <f>D27-(13355802.67/1541582737.49)</f>
        <v>1.9536304990190878E-2</v>
      </c>
      <c r="I27" s="35">
        <f t="shared" si="7"/>
        <v>1.9677671084823298E-2</v>
      </c>
      <c r="J27" s="74">
        <f t="shared" si="8"/>
        <v>2.6395232821677545E-4</v>
      </c>
      <c r="K27" s="35">
        <f t="shared" si="2"/>
        <v>2.7577563628225825E-2</v>
      </c>
      <c r="L27" s="35">
        <f t="shared" si="3"/>
        <v>-2.3411495639844279E-2</v>
      </c>
      <c r="M27" s="35">
        <f t="shared" si="4"/>
        <v>0.84229443034516882</v>
      </c>
      <c r="N27" s="110">
        <f t="shared" si="9"/>
        <v>0.84229443034516882</v>
      </c>
      <c r="O27" s="100">
        <f t="shared" si="5"/>
        <v>0.72094552048255045</v>
      </c>
      <c r="P27" s="100">
        <v>55.29692899261719</v>
      </c>
      <c r="Q27" s="112">
        <v>5</v>
      </c>
      <c r="R27" s="121">
        <f t="shared" si="10"/>
        <v>72.094552048255039</v>
      </c>
      <c r="S27" s="121">
        <f t="shared" si="11"/>
        <v>55.29692899261719</v>
      </c>
      <c r="T27" s="121">
        <f t="shared" si="12"/>
        <v>100</v>
      </c>
    </row>
    <row r="28" spans="1:20" ht="17" thickBot="1">
      <c r="A28" s="84" t="s">
        <v>24</v>
      </c>
      <c r="B28" s="84" t="s">
        <v>66</v>
      </c>
      <c r="C28" s="63">
        <v>3036810.13</v>
      </c>
      <c r="D28" s="64">
        <v>9.1000000000000004E-3</v>
      </c>
      <c r="E28" s="35">
        <f t="shared" si="0"/>
        <v>5.1299999999999998E-2</v>
      </c>
      <c r="F28" s="35">
        <f t="shared" si="1"/>
        <v>1.1999999999999999E-3</v>
      </c>
      <c r="G28" s="106">
        <f t="shared" si="6"/>
        <v>0.15768463073852299</v>
      </c>
      <c r="H28" s="35">
        <f>D28-2353850.25/471117193.07</f>
        <v>4.103684253887423E-3</v>
      </c>
      <c r="I28" s="35">
        <f t="shared" si="7"/>
        <v>1.9677671084823298E-2</v>
      </c>
      <c r="J28" s="74">
        <f t="shared" si="8"/>
        <v>2.6395232821677545E-4</v>
      </c>
      <c r="K28" s="35">
        <f t="shared" si="2"/>
        <v>2.7577563628225825E-2</v>
      </c>
      <c r="L28" s="35">
        <f t="shared" si="3"/>
        <v>-2.3411495639844279E-2</v>
      </c>
      <c r="M28" s="35">
        <f t="shared" si="4"/>
        <v>0.53962909472546405</v>
      </c>
      <c r="N28" s="110">
        <f t="shared" si="9"/>
        <v>0.53962909472546405</v>
      </c>
      <c r="O28" s="100">
        <f t="shared" si="5"/>
        <v>0.3868513091306876</v>
      </c>
      <c r="P28" s="100">
        <v>52.790604026845514</v>
      </c>
      <c r="Q28" s="111">
        <v>5</v>
      </c>
      <c r="R28" s="121">
        <f t="shared" si="10"/>
        <v>38.685130913068761</v>
      </c>
      <c r="S28" s="121">
        <f t="shared" si="11"/>
        <v>52.790604026845514</v>
      </c>
      <c r="T28" s="121">
        <f t="shared" si="12"/>
        <v>100</v>
      </c>
    </row>
    <row r="29" spans="1:20" ht="17" thickBot="1">
      <c r="A29" s="84" t="s">
        <v>25</v>
      </c>
      <c r="B29" s="84" t="s">
        <v>67</v>
      </c>
      <c r="C29" s="63">
        <v>3910545.74</v>
      </c>
      <c r="D29" s="65">
        <v>2.7000000000000001E-3</v>
      </c>
      <c r="E29" s="35">
        <f t="shared" si="0"/>
        <v>5.1299999999999998E-2</v>
      </c>
      <c r="F29" s="35">
        <f t="shared" si="1"/>
        <v>1.1999999999999999E-3</v>
      </c>
      <c r="G29" s="106">
        <f t="shared" si="6"/>
        <v>2.9940119760479049E-2</v>
      </c>
      <c r="H29" s="35">
        <f>D29-2907761.49/1240197241.32</f>
        <v>3.5540400097557609E-4</v>
      </c>
      <c r="I29" s="35">
        <f t="shared" si="7"/>
        <v>1.9677671084823298E-2</v>
      </c>
      <c r="J29" s="74">
        <f t="shared" si="8"/>
        <v>2.6395232821677545E-4</v>
      </c>
      <c r="K29" s="35">
        <f t="shared" si="2"/>
        <v>2.7577563628225825E-2</v>
      </c>
      <c r="L29" s="35">
        <f t="shared" si="3"/>
        <v>-2.3411495639844279E-2</v>
      </c>
      <c r="M29" s="35">
        <f t="shared" si="4"/>
        <v>0.46611763350776203</v>
      </c>
      <c r="N29" s="110">
        <f t="shared" si="9"/>
        <v>0.41950587015698582</v>
      </c>
      <c r="O29" s="100">
        <f t="shared" si="5"/>
        <v>0.2636795699983831</v>
      </c>
      <c r="P29" s="100">
        <v>36.403989209515245</v>
      </c>
      <c r="Q29" s="112">
        <v>4</v>
      </c>
      <c r="R29" s="121">
        <f t="shared" si="10"/>
        <v>26.367956999838309</v>
      </c>
      <c r="S29" s="121">
        <f t="shared" si="11"/>
        <v>36.403989209515245</v>
      </c>
      <c r="T29" s="121">
        <f t="shared" si="12"/>
        <v>80</v>
      </c>
    </row>
    <row r="30" spans="1:20" ht="17" thickBot="1">
      <c r="A30" s="84" t="s">
        <v>26</v>
      </c>
      <c r="B30" s="84" t="s">
        <v>68</v>
      </c>
      <c r="C30" s="63">
        <v>28731854</v>
      </c>
      <c r="D30" s="65">
        <v>3.8999999999999998E-3</v>
      </c>
      <c r="E30" s="35">
        <f t="shared" si="0"/>
        <v>5.1299999999999998E-2</v>
      </c>
      <c r="F30" s="35">
        <f t="shared" si="1"/>
        <v>1.1999999999999999E-3</v>
      </c>
      <c r="G30" s="106">
        <f t="shared" si="6"/>
        <v>5.3892215568862277E-2</v>
      </c>
      <c r="H30" s="35">
        <f>D30-27700855.25/6121181627.19</f>
        <v>-6.2540978803081286E-4</v>
      </c>
      <c r="I30" s="35">
        <f t="shared" si="7"/>
        <v>1.9677671084823298E-2</v>
      </c>
      <c r="J30" s="74">
        <f t="shared" si="8"/>
        <v>2.6395232821677545E-4</v>
      </c>
      <c r="K30" s="35">
        <f t="shared" si="2"/>
        <v>2.7577563628225825E-2</v>
      </c>
      <c r="L30" s="35">
        <f t="shared" si="3"/>
        <v>-2.3411495639844279E-2</v>
      </c>
      <c r="M30" s="35">
        <f t="shared" si="4"/>
        <v>0.4468818640488697</v>
      </c>
      <c r="N30" s="110">
        <f t="shared" si="9"/>
        <v>0.40219367764398273</v>
      </c>
      <c r="O30" s="100">
        <f t="shared" si="5"/>
        <v>0.26287309281393456</v>
      </c>
      <c r="P30" s="100">
        <v>56.943980462365545</v>
      </c>
      <c r="Q30" s="111">
        <v>1</v>
      </c>
      <c r="R30" s="121">
        <f t="shared" si="10"/>
        <v>26.287309281393455</v>
      </c>
      <c r="S30" s="121">
        <f t="shared" si="11"/>
        <v>56.943980462365545</v>
      </c>
      <c r="T30" s="121">
        <f t="shared" si="12"/>
        <v>20</v>
      </c>
    </row>
    <row r="31" spans="1:20" ht="17" thickBot="1">
      <c r="A31" s="84" t="s">
        <v>27</v>
      </c>
      <c r="B31" s="84" t="s">
        <v>69</v>
      </c>
      <c r="C31" s="66">
        <v>58513339</v>
      </c>
      <c r="D31" s="65">
        <v>2.8E-3</v>
      </c>
      <c r="E31" s="35">
        <v>5.1299999999999998E-2</v>
      </c>
      <c r="F31" s="35">
        <v>0</v>
      </c>
      <c r="G31" s="106">
        <f t="shared" si="6"/>
        <v>5.4580896686159848E-2</v>
      </c>
      <c r="H31" s="35">
        <v>5.5182121659658797E-4</v>
      </c>
      <c r="I31" s="35">
        <f t="shared" si="7"/>
        <v>1.9677671084823298E-2</v>
      </c>
      <c r="J31" s="74">
        <f t="shared" si="8"/>
        <v>2.6395232821677545E-4</v>
      </c>
      <c r="K31" s="35">
        <v>2.8776135879251107E-2</v>
      </c>
      <c r="L31" s="35">
        <v>-1.1399999999999993E-2</v>
      </c>
      <c r="M31" s="35">
        <v>0.29748558329545771</v>
      </c>
      <c r="N31" s="110">
        <f t="shared" si="9"/>
        <v>0.26773702496591195</v>
      </c>
      <c r="O31" s="100">
        <f t="shared" si="5"/>
        <v>0.1824745736540111</v>
      </c>
      <c r="P31" s="100">
        <v>47.125384318139616</v>
      </c>
      <c r="Q31" s="112">
        <v>3</v>
      </c>
      <c r="R31" s="121">
        <f t="shared" si="10"/>
        <v>18.247457365401111</v>
      </c>
      <c r="S31" s="121">
        <f t="shared" si="11"/>
        <v>47.125384318139616</v>
      </c>
      <c r="T31" s="121">
        <f t="shared" si="12"/>
        <v>60</v>
      </c>
    </row>
    <row r="32" spans="1:20" ht="17" thickBot="1">
      <c r="A32" s="84" t="s">
        <v>28</v>
      </c>
      <c r="B32" s="84" t="s">
        <v>70</v>
      </c>
      <c r="C32" s="63">
        <v>36467029.859999999</v>
      </c>
      <c r="D32" s="65">
        <v>4.24E-2</v>
      </c>
      <c r="E32" s="35">
        <f t="shared" ref="E32:E45" si="14">MAX(D:D)</f>
        <v>5.1299999999999998E-2</v>
      </c>
      <c r="F32" s="35">
        <f t="shared" ref="F32:F45" si="15">MIN(D:D)</f>
        <v>1.1999999999999999E-3</v>
      </c>
      <c r="G32" s="106">
        <f t="shared" si="6"/>
        <v>0.82235528942115776</v>
      </c>
      <c r="H32" s="35">
        <f>D32-24888180.7/686969427.88</f>
        <v>6.1710505155879031E-3</v>
      </c>
      <c r="I32" s="35">
        <f t="shared" si="7"/>
        <v>1.9677671084823298E-2</v>
      </c>
      <c r="J32" s="74">
        <f t="shared" si="8"/>
        <v>2.6395232821677545E-4</v>
      </c>
      <c r="K32" s="35">
        <f t="shared" ref="K32:K45" si="16">MAX(H:H)</f>
        <v>2.7577563628225825E-2</v>
      </c>
      <c r="L32" s="35">
        <f t="shared" ref="L32:L45" si="17">MIN(H:H)</f>
        <v>-2.3411495639844279E-2</v>
      </c>
      <c r="M32" s="35">
        <f t="shared" si="4"/>
        <v>0.58017438603651761</v>
      </c>
      <c r="N32" s="110">
        <f t="shared" si="9"/>
        <v>0.58017438603651761</v>
      </c>
      <c r="O32" s="100">
        <f t="shared" si="5"/>
        <v>0.67704674739037363</v>
      </c>
      <c r="P32" s="100">
        <v>36.233657496456651</v>
      </c>
      <c r="Q32" s="111">
        <v>4</v>
      </c>
      <c r="R32" s="121">
        <f t="shared" si="10"/>
        <v>67.704674739037358</v>
      </c>
      <c r="S32" s="121">
        <f t="shared" si="11"/>
        <v>36.233657496456651</v>
      </c>
      <c r="T32" s="121">
        <f t="shared" si="12"/>
        <v>80</v>
      </c>
    </row>
    <row r="33" spans="1:20">
      <c r="A33" s="84" t="s">
        <v>29</v>
      </c>
      <c r="B33" s="84" t="s">
        <v>71</v>
      </c>
      <c r="C33" s="59">
        <v>121868260.76000001</v>
      </c>
      <c r="D33" s="67">
        <v>2.9000000000000001E-2</v>
      </c>
      <c r="E33" s="35">
        <f t="shared" si="14"/>
        <v>5.1299999999999998E-2</v>
      </c>
      <c r="F33" s="35">
        <f t="shared" si="15"/>
        <v>1.1999999999999999E-3</v>
      </c>
      <c r="G33" s="106">
        <f t="shared" si="6"/>
        <v>0.55489021956087825</v>
      </c>
      <c r="H33" s="35">
        <f>D33-106677033.76/3609371700.99</f>
        <v>-5.5556883508007734E-4</v>
      </c>
      <c r="I33" s="35">
        <f t="shared" si="7"/>
        <v>1.9677671084823298E-2</v>
      </c>
      <c r="J33" s="74">
        <f t="shared" si="8"/>
        <v>2.6395232821677545E-4</v>
      </c>
      <c r="K33" s="35">
        <f t="shared" si="16"/>
        <v>2.7577563628225825E-2</v>
      </c>
      <c r="L33" s="35">
        <f t="shared" si="17"/>
        <v>-2.3411495639844279E-2</v>
      </c>
      <c r="M33" s="35">
        <f t="shared" si="4"/>
        <v>0.44825158833783052</v>
      </c>
      <c r="N33" s="110">
        <f t="shared" si="9"/>
        <v>0.4034264295040475</v>
      </c>
      <c r="O33" s="100">
        <f t="shared" si="5"/>
        <v>0.46401194552677982</v>
      </c>
      <c r="P33" s="100">
        <v>18.210735586481064</v>
      </c>
      <c r="Q33" s="112">
        <v>5</v>
      </c>
      <c r="R33" s="121">
        <f t="shared" si="10"/>
        <v>46.401194552677985</v>
      </c>
      <c r="S33" s="121">
        <f t="shared" si="11"/>
        <v>18.210735586481064</v>
      </c>
      <c r="T33" s="121">
        <f t="shared" si="12"/>
        <v>100</v>
      </c>
    </row>
    <row r="34" spans="1:20" ht="17" thickBot="1">
      <c r="A34" s="84" t="s">
        <v>30</v>
      </c>
      <c r="B34" s="84" t="s">
        <v>72</v>
      </c>
      <c r="C34" s="59">
        <v>378264317.5</v>
      </c>
      <c r="D34" s="67">
        <v>2.9899999999999999E-2</v>
      </c>
      <c r="E34" s="35">
        <f t="shared" si="14"/>
        <v>5.1299999999999998E-2</v>
      </c>
      <c r="F34" s="35">
        <f t="shared" si="15"/>
        <v>1.1999999999999999E-3</v>
      </c>
      <c r="G34" s="106">
        <f t="shared" si="6"/>
        <v>0.57285429141716571</v>
      </c>
      <c r="H34" s="35">
        <f>D34-51607727.45/22221374104.03</f>
        <v>2.7577563628225825E-2</v>
      </c>
      <c r="I34" s="35">
        <f t="shared" si="7"/>
        <v>1.9677671084823298E-2</v>
      </c>
      <c r="J34" s="74">
        <f t="shared" si="8"/>
        <v>2.6395232821677545E-4</v>
      </c>
      <c r="K34" s="35">
        <f t="shared" si="16"/>
        <v>2.7577563628225825E-2</v>
      </c>
      <c r="L34" s="35">
        <f t="shared" si="17"/>
        <v>-2.3411495639844279E-2</v>
      </c>
      <c r="M34" s="35">
        <f t="shared" si="4"/>
        <v>1</v>
      </c>
      <c r="N34" s="110">
        <f t="shared" si="9"/>
        <v>1</v>
      </c>
      <c r="O34" s="100">
        <f t="shared" si="5"/>
        <v>0.8291417165668663</v>
      </c>
      <c r="P34" s="100">
        <v>67.413062242255663</v>
      </c>
      <c r="Q34" s="111">
        <v>3</v>
      </c>
      <c r="R34" s="121">
        <f t="shared" si="10"/>
        <v>82.914171656686634</v>
      </c>
      <c r="S34" s="121">
        <f t="shared" si="11"/>
        <v>67.413062242255663</v>
      </c>
      <c r="T34" s="121">
        <f t="shared" si="12"/>
        <v>60</v>
      </c>
    </row>
    <row r="35" spans="1:20" ht="17" thickBot="1">
      <c r="A35" s="84" t="s">
        <v>31</v>
      </c>
      <c r="B35" s="84" t="s">
        <v>73</v>
      </c>
      <c r="C35" s="63">
        <v>13976667.359999999</v>
      </c>
      <c r="D35" s="65">
        <v>1.14E-2</v>
      </c>
      <c r="E35" s="35">
        <f t="shared" si="14"/>
        <v>5.1299999999999998E-2</v>
      </c>
      <c r="F35" s="35">
        <f t="shared" si="15"/>
        <v>1.1999999999999999E-3</v>
      </c>
      <c r="G35" s="106">
        <f t="shared" si="6"/>
        <v>0.20359281437125751</v>
      </c>
      <c r="H35" s="35">
        <f>D35-7232092.48/981998082.71</f>
        <v>4.0353293276889687E-3</v>
      </c>
      <c r="I35" s="35">
        <f t="shared" si="7"/>
        <v>1.9677671084823298E-2</v>
      </c>
      <c r="J35" s="74">
        <f t="shared" si="8"/>
        <v>2.6395232821677545E-4</v>
      </c>
      <c r="K35" s="35">
        <f t="shared" si="16"/>
        <v>2.7577563628225825E-2</v>
      </c>
      <c r="L35" s="35">
        <f t="shared" si="17"/>
        <v>-2.3411495639844279E-2</v>
      </c>
      <c r="M35" s="35">
        <f t="shared" si="4"/>
        <v>0.53828851446805859</v>
      </c>
      <c r="N35" s="110">
        <f t="shared" si="9"/>
        <v>0.53828851446805859</v>
      </c>
      <c r="O35" s="100">
        <f t="shared" si="5"/>
        <v>0.4044102344293381</v>
      </c>
      <c r="P35" s="100">
        <v>81.862119909913332</v>
      </c>
      <c r="Q35" s="112">
        <v>2</v>
      </c>
      <c r="R35" s="121">
        <f t="shared" si="10"/>
        <v>40.441023442933812</v>
      </c>
      <c r="S35" s="121">
        <f t="shared" si="11"/>
        <v>81.862119909913332</v>
      </c>
      <c r="T35" s="121">
        <f t="shared" si="12"/>
        <v>40</v>
      </c>
    </row>
    <row r="36" spans="1:20">
      <c r="A36" s="47" t="s">
        <v>32</v>
      </c>
      <c r="B36" s="47" t="s">
        <v>74</v>
      </c>
      <c r="C36" s="68">
        <v>463144335.64999998</v>
      </c>
      <c r="D36" s="69">
        <v>5.8999999999999999E-3</v>
      </c>
      <c r="E36" s="35">
        <f t="shared" si="14"/>
        <v>5.1299999999999998E-2</v>
      </c>
      <c r="F36" s="35">
        <f t="shared" si="15"/>
        <v>1.1999999999999999E-3</v>
      </c>
      <c r="G36" s="106">
        <f t="shared" si="6"/>
        <v>9.3812375249501007E-2</v>
      </c>
      <c r="H36" s="70">
        <f>D36-209165263.62/67547449530.32</f>
        <v>2.803432104773814E-3</v>
      </c>
      <c r="I36" s="35">
        <f t="shared" si="7"/>
        <v>1.9677671084823298E-2</v>
      </c>
      <c r="J36" s="74">
        <f t="shared" si="8"/>
        <v>2.6395232821677545E-4</v>
      </c>
      <c r="K36" s="35">
        <f t="shared" si="16"/>
        <v>2.7577563628225825E-2</v>
      </c>
      <c r="L36" s="35">
        <f t="shared" si="17"/>
        <v>-2.3411495639844279E-2</v>
      </c>
      <c r="M36" s="35">
        <f t="shared" si="4"/>
        <v>0.51412848404979616</v>
      </c>
      <c r="N36" s="110">
        <f t="shared" si="9"/>
        <v>0.46271563564481655</v>
      </c>
      <c r="O36" s="100">
        <f t="shared" si="5"/>
        <v>0.31515433148669031</v>
      </c>
      <c r="P36" s="100">
        <v>60.757483325888423</v>
      </c>
      <c r="Q36" s="111">
        <v>5</v>
      </c>
      <c r="R36" s="121">
        <f t="shared" si="10"/>
        <v>31.515433148669032</v>
      </c>
      <c r="S36" s="121">
        <f t="shared" si="11"/>
        <v>60.757483325888423</v>
      </c>
      <c r="T36" s="121">
        <f t="shared" si="12"/>
        <v>100</v>
      </c>
    </row>
    <row r="37" spans="1:20" ht="17" thickBot="1">
      <c r="A37" s="56" t="s">
        <v>33</v>
      </c>
      <c r="B37" s="56" t="s">
        <v>75</v>
      </c>
      <c r="C37" s="93">
        <v>91296321.180000007</v>
      </c>
      <c r="D37" s="98">
        <v>4.2099999999999999E-2</v>
      </c>
      <c r="E37" s="35">
        <f t="shared" si="14"/>
        <v>5.1299999999999998E-2</v>
      </c>
      <c r="F37" s="35">
        <f t="shared" si="15"/>
        <v>1.1999999999999999E-3</v>
      </c>
      <c r="G37" s="106">
        <f t="shared" si="6"/>
        <v>0.81636726546906191</v>
      </c>
      <c r="H37" s="72">
        <f>D37-63420673.12/2203932918.1</f>
        <v>1.3323864120748891E-2</v>
      </c>
      <c r="I37" s="35">
        <f t="shared" si="7"/>
        <v>1.9677671084823298E-2</v>
      </c>
      <c r="J37" s="74">
        <f t="shared" si="8"/>
        <v>2.6395232821677545E-4</v>
      </c>
      <c r="K37" s="35">
        <f t="shared" si="16"/>
        <v>2.7577563628225825E-2</v>
      </c>
      <c r="L37" s="35">
        <f t="shared" si="17"/>
        <v>-2.3411495639844279E-2</v>
      </c>
      <c r="M37" s="35">
        <f t="shared" si="4"/>
        <v>0.72045572693272342</v>
      </c>
      <c r="N37" s="110">
        <f t="shared" si="9"/>
        <v>0.72045572693272342</v>
      </c>
      <c r="O37" s="100">
        <f t="shared" si="5"/>
        <v>0.75882034234725881</v>
      </c>
      <c r="P37" s="100">
        <v>28.628920344157621</v>
      </c>
      <c r="Q37" s="112">
        <v>3</v>
      </c>
      <c r="R37" s="121">
        <f t="shared" si="10"/>
        <v>75.882034234725879</v>
      </c>
      <c r="S37" s="121">
        <f t="shared" si="11"/>
        <v>28.628920344157621</v>
      </c>
      <c r="T37" s="121">
        <f t="shared" si="12"/>
        <v>60</v>
      </c>
    </row>
    <row r="38" spans="1:20" ht="17" thickBot="1">
      <c r="A38" s="84" t="s">
        <v>34</v>
      </c>
      <c r="B38" s="84" t="s">
        <v>76</v>
      </c>
      <c r="C38" s="73">
        <v>29629313.940000001</v>
      </c>
      <c r="D38" s="65">
        <v>1.1900000000000001E-2</v>
      </c>
      <c r="E38" s="35">
        <f t="shared" si="14"/>
        <v>5.1299999999999998E-2</v>
      </c>
      <c r="F38" s="35">
        <f t="shared" si="15"/>
        <v>1.1999999999999999E-3</v>
      </c>
      <c r="G38" s="106">
        <f t="shared" si="6"/>
        <v>0.2135728542914172</v>
      </c>
      <c r="H38" s="74">
        <f>D38-24285306.9/2324920563.04</f>
        <v>1.454349819055659E-3</v>
      </c>
      <c r="I38" s="35">
        <f t="shared" si="7"/>
        <v>1.9677671084823298E-2</v>
      </c>
      <c r="J38" s="74">
        <f t="shared" si="8"/>
        <v>2.6395232821677545E-4</v>
      </c>
      <c r="K38" s="35">
        <f t="shared" si="16"/>
        <v>2.7577563628225825E-2</v>
      </c>
      <c r="L38" s="35">
        <f t="shared" si="17"/>
        <v>-2.3411495639844279E-2</v>
      </c>
      <c r="M38" s="35">
        <f t="shared" si="4"/>
        <v>0.48767021427420598</v>
      </c>
      <c r="N38" s="110">
        <f t="shared" si="9"/>
        <v>0.43890319284678542</v>
      </c>
      <c r="O38" s="100">
        <f t="shared" si="5"/>
        <v>0.34877105742463815</v>
      </c>
      <c r="P38" s="100">
        <v>38.382228024965343</v>
      </c>
      <c r="Q38" s="111">
        <v>5</v>
      </c>
      <c r="R38" s="121">
        <f t="shared" si="10"/>
        <v>34.877105742463819</v>
      </c>
      <c r="S38" s="121">
        <f t="shared" si="11"/>
        <v>38.382228024965343</v>
      </c>
      <c r="T38" s="121">
        <f t="shared" si="12"/>
        <v>100</v>
      </c>
    </row>
    <row r="39" spans="1:20" ht="17" thickBot="1">
      <c r="A39" s="84" t="s">
        <v>35</v>
      </c>
      <c r="B39" s="84" t="s">
        <v>77</v>
      </c>
      <c r="C39" s="63">
        <v>20360287.940000001</v>
      </c>
      <c r="D39" s="65">
        <v>1.9099999999999999E-2</v>
      </c>
      <c r="E39" s="35">
        <f t="shared" si="14"/>
        <v>5.1299999999999998E-2</v>
      </c>
      <c r="F39" s="35">
        <f t="shared" si="15"/>
        <v>1.1999999999999999E-3</v>
      </c>
      <c r="G39" s="106">
        <f t="shared" si="6"/>
        <v>0.35728542914171657</v>
      </c>
      <c r="H39" s="74">
        <f>D39-22412654.12/948167111.51</f>
        <v>-4.5378733747754793E-3</v>
      </c>
      <c r="I39" s="35">
        <f t="shared" si="7"/>
        <v>1.9677671084823298E-2</v>
      </c>
      <c r="J39" s="74">
        <f t="shared" si="8"/>
        <v>2.6395232821677545E-4</v>
      </c>
      <c r="K39" s="35">
        <f t="shared" si="16"/>
        <v>2.7577563628225825E-2</v>
      </c>
      <c r="L39" s="35">
        <f t="shared" si="17"/>
        <v>-2.3411495639844279E-2</v>
      </c>
      <c r="M39" s="35">
        <f t="shared" ref="M39:M45" si="18">(H39-L39)/(K39-L39)</f>
        <v>0.37015043101388739</v>
      </c>
      <c r="N39" s="110">
        <f t="shared" si="9"/>
        <v>0.33313538791249864</v>
      </c>
      <c r="O39" s="100">
        <f t="shared" si="5"/>
        <v>0.34279540440418577</v>
      </c>
      <c r="P39" s="100">
        <v>44.829437382694081</v>
      </c>
      <c r="Q39" s="112">
        <v>5</v>
      </c>
      <c r="R39" s="121">
        <f t="shared" si="10"/>
        <v>34.279540440418579</v>
      </c>
      <c r="S39" s="121">
        <f t="shared" si="11"/>
        <v>44.829437382694081</v>
      </c>
      <c r="T39" s="121">
        <f t="shared" si="12"/>
        <v>100</v>
      </c>
    </row>
    <row r="40" spans="1:20" ht="17" thickBot="1">
      <c r="A40" s="84" t="s">
        <v>36</v>
      </c>
      <c r="B40" s="84" t="s">
        <v>78</v>
      </c>
      <c r="C40" s="63">
        <v>48472394.93</v>
      </c>
      <c r="D40" s="65">
        <v>1.9099999999999999E-2</v>
      </c>
      <c r="E40" s="35">
        <f t="shared" si="14"/>
        <v>5.1299999999999998E-2</v>
      </c>
      <c r="F40" s="35">
        <f t="shared" si="15"/>
        <v>1.1999999999999999E-3</v>
      </c>
      <c r="G40" s="106">
        <f t="shared" si="6"/>
        <v>0.35728542914171657</v>
      </c>
      <c r="H40" s="74">
        <f>D40-18776682.55/2189211098.29</f>
        <v>1.0523082696471559E-2</v>
      </c>
      <c r="I40" s="35">
        <f t="shared" si="7"/>
        <v>1.9677671084823298E-2</v>
      </c>
      <c r="J40" s="74">
        <f t="shared" si="8"/>
        <v>2.6395232821677545E-4</v>
      </c>
      <c r="K40" s="35">
        <f t="shared" si="16"/>
        <v>2.7577563628225825E-2</v>
      </c>
      <c r="L40" s="35">
        <f t="shared" si="17"/>
        <v>-2.3411495639844279E-2</v>
      </c>
      <c r="M40" s="35">
        <f t="shared" si="18"/>
        <v>0.66552666049216624</v>
      </c>
      <c r="N40" s="110">
        <f t="shared" si="9"/>
        <v>0.66552666049216624</v>
      </c>
      <c r="O40" s="100">
        <f t="shared" si="5"/>
        <v>0.54223016795198631</v>
      </c>
      <c r="P40" s="100">
        <v>52.157499369334843</v>
      </c>
      <c r="Q40" s="111">
        <v>5</v>
      </c>
      <c r="R40" s="121">
        <f t="shared" si="10"/>
        <v>54.223016795198632</v>
      </c>
      <c r="S40" s="121">
        <f t="shared" si="11"/>
        <v>52.157499369334843</v>
      </c>
      <c r="T40" s="121">
        <f t="shared" si="12"/>
        <v>100</v>
      </c>
    </row>
    <row r="41" spans="1:20" ht="17" thickBot="1">
      <c r="A41" s="56" t="s">
        <v>37</v>
      </c>
      <c r="B41" s="56" t="s">
        <v>79</v>
      </c>
      <c r="C41" s="93">
        <v>21385948.18</v>
      </c>
      <c r="D41" s="98">
        <v>4.3400000000000001E-2</v>
      </c>
      <c r="E41" s="35">
        <f t="shared" si="14"/>
        <v>5.1299999999999998E-2</v>
      </c>
      <c r="F41" s="35">
        <f t="shared" si="15"/>
        <v>1.1999999999999999E-3</v>
      </c>
      <c r="G41" s="106">
        <f t="shared" si="6"/>
        <v>0.8423153692614771</v>
      </c>
      <c r="H41" s="99">
        <f>D41-22878408.49/508561120.75</f>
        <v>-1.5865464671386761E-3</v>
      </c>
      <c r="I41" s="35">
        <f t="shared" si="7"/>
        <v>1.9677671084823298E-2</v>
      </c>
      <c r="J41" s="74">
        <f t="shared" si="8"/>
        <v>2.6395232821677545E-4</v>
      </c>
      <c r="K41" s="35">
        <f t="shared" si="16"/>
        <v>2.7577563628225825E-2</v>
      </c>
      <c r="L41" s="35">
        <f t="shared" si="17"/>
        <v>-2.3411495639844279E-2</v>
      </c>
      <c r="M41" s="35">
        <f t="shared" si="18"/>
        <v>0.42803200306095118</v>
      </c>
      <c r="N41" s="110">
        <f t="shared" si="9"/>
        <v>0.38522880275485605</v>
      </c>
      <c r="O41" s="100">
        <f t="shared" si="5"/>
        <v>0.56806342935750442</v>
      </c>
      <c r="P41" s="100">
        <v>57.318880091165099</v>
      </c>
      <c r="Q41" s="112">
        <v>3</v>
      </c>
      <c r="R41" s="121">
        <f t="shared" si="10"/>
        <v>56.806342935750443</v>
      </c>
      <c r="S41" s="121">
        <f t="shared" si="11"/>
        <v>57.318880091165099</v>
      </c>
      <c r="T41" s="121">
        <f t="shared" si="12"/>
        <v>60</v>
      </c>
    </row>
    <row r="42" spans="1:20" ht="17" thickBot="1">
      <c r="A42" s="47" t="s">
        <v>38</v>
      </c>
      <c r="B42" s="47" t="s">
        <v>80</v>
      </c>
      <c r="C42" s="75">
        <v>493014354.69999999</v>
      </c>
      <c r="D42" s="61">
        <v>2.8899999999999999E-2</v>
      </c>
      <c r="E42" s="35">
        <f t="shared" si="14"/>
        <v>5.1299999999999998E-2</v>
      </c>
      <c r="F42" s="35">
        <f t="shared" si="15"/>
        <v>1.1999999999999999E-3</v>
      </c>
      <c r="G42" s="106">
        <f t="shared" si="6"/>
        <v>0.55289421157684626</v>
      </c>
      <c r="H42" s="62">
        <f>D42-401668275.06/14584310896.6</f>
        <v>1.3588787288098883E-3</v>
      </c>
      <c r="I42" s="35">
        <f t="shared" si="7"/>
        <v>1.9677671084823298E-2</v>
      </c>
      <c r="J42" s="74">
        <f t="shared" si="8"/>
        <v>2.6395232821677545E-4</v>
      </c>
      <c r="K42" s="35">
        <f t="shared" si="16"/>
        <v>2.7577563628225825E-2</v>
      </c>
      <c r="L42" s="35">
        <f t="shared" si="17"/>
        <v>-2.3411495639844279E-2</v>
      </c>
      <c r="M42" s="35">
        <f t="shared" si="18"/>
        <v>0.4857978304409637</v>
      </c>
      <c r="N42" s="110">
        <f t="shared" si="9"/>
        <v>0.43721804739686732</v>
      </c>
      <c r="O42" s="100">
        <f t="shared" si="5"/>
        <v>0.48348851306885887</v>
      </c>
      <c r="P42" s="100">
        <v>40.11004279119441</v>
      </c>
      <c r="Q42" s="111">
        <v>5</v>
      </c>
      <c r="R42" s="121">
        <f t="shared" si="10"/>
        <v>48.348851306885891</v>
      </c>
      <c r="S42" s="121">
        <f t="shared" si="11"/>
        <v>40.11004279119441</v>
      </c>
      <c r="T42" s="121">
        <f t="shared" si="12"/>
        <v>100</v>
      </c>
    </row>
    <row r="43" spans="1:20" ht="17" thickBot="1">
      <c r="A43" s="76" t="s">
        <v>39</v>
      </c>
      <c r="B43" s="76" t="s">
        <v>81</v>
      </c>
      <c r="C43" s="77">
        <v>10605433.060000001</v>
      </c>
      <c r="D43" s="78">
        <v>3.1300000000000001E-2</v>
      </c>
      <c r="E43" s="35">
        <f t="shared" si="14"/>
        <v>5.1299999999999998E-2</v>
      </c>
      <c r="F43" s="35">
        <f t="shared" si="15"/>
        <v>1.1999999999999999E-3</v>
      </c>
      <c r="G43" s="106">
        <f t="shared" si="6"/>
        <v>0.60079840319361277</v>
      </c>
      <c r="H43" s="76">
        <f>D43-8493604.35/253785916.92</f>
        <v>-2.1675952593437561E-3</v>
      </c>
      <c r="I43" s="35">
        <f t="shared" si="7"/>
        <v>1.9677671084823298E-2</v>
      </c>
      <c r="J43" s="74">
        <f t="shared" si="8"/>
        <v>2.6395232821677545E-4</v>
      </c>
      <c r="K43" s="35">
        <f t="shared" si="16"/>
        <v>2.7577563628225825E-2</v>
      </c>
      <c r="L43" s="35">
        <f t="shared" si="17"/>
        <v>-2.3411495639844279E-2</v>
      </c>
      <c r="M43" s="35">
        <f t="shared" si="18"/>
        <v>0.41663644486580442</v>
      </c>
      <c r="N43" s="110">
        <f t="shared" si="9"/>
        <v>0.37497280037922398</v>
      </c>
      <c r="O43" s="100">
        <f t="shared" si="5"/>
        <v>0.46530304150497948</v>
      </c>
      <c r="P43" s="100">
        <v>27.452749036407944</v>
      </c>
      <c r="Q43" s="112">
        <v>5</v>
      </c>
      <c r="R43" s="121">
        <f t="shared" si="10"/>
        <v>46.530304150497948</v>
      </c>
      <c r="S43" s="121">
        <f t="shared" si="11"/>
        <v>27.452749036407944</v>
      </c>
      <c r="T43" s="121">
        <f t="shared" si="12"/>
        <v>100</v>
      </c>
    </row>
    <row r="44" spans="1:20" ht="17" thickBot="1">
      <c r="A44" s="84" t="s">
        <v>40</v>
      </c>
      <c r="B44" s="84" t="s">
        <v>82</v>
      </c>
      <c r="C44" s="63">
        <v>5650645.0300000003</v>
      </c>
      <c r="D44" s="65">
        <v>1.1999999999999999E-3</v>
      </c>
      <c r="E44" s="35">
        <f t="shared" si="14"/>
        <v>5.1299999999999998E-2</v>
      </c>
      <c r="F44" s="35">
        <f t="shared" si="15"/>
        <v>1.1999999999999999E-3</v>
      </c>
      <c r="G44" s="106">
        <f t="shared" si="6"/>
        <v>0</v>
      </c>
      <c r="H44" s="35">
        <f>D44-5079022.76/4079709861.92</f>
        <v>-4.4947050624257433E-5</v>
      </c>
      <c r="I44" s="35">
        <f t="shared" si="7"/>
        <v>1.9677671084823298E-2</v>
      </c>
      <c r="J44" s="74">
        <f t="shared" si="8"/>
        <v>2.6395232821677545E-4</v>
      </c>
      <c r="K44" s="35">
        <f t="shared" si="16"/>
        <v>2.7577563628225825E-2</v>
      </c>
      <c r="L44" s="35">
        <f t="shared" si="17"/>
        <v>-2.3411495639844279E-2</v>
      </c>
      <c r="M44" s="35">
        <f t="shared" si="18"/>
        <v>0.45826592850777315</v>
      </c>
      <c r="N44" s="110">
        <f t="shared" si="9"/>
        <v>0.41243933565699586</v>
      </c>
      <c r="O44" s="100">
        <f t="shared" si="5"/>
        <v>0.24746360139419751</v>
      </c>
      <c r="P44" s="100">
        <v>46.669835320754423</v>
      </c>
      <c r="Q44" s="111">
        <v>5</v>
      </c>
      <c r="R44" s="121">
        <f t="shared" si="10"/>
        <v>24.74636013941975</v>
      </c>
      <c r="S44" s="121">
        <f t="shared" si="11"/>
        <v>46.669835320754423</v>
      </c>
      <c r="T44" s="121">
        <f t="shared" si="12"/>
        <v>100</v>
      </c>
    </row>
    <row r="45" spans="1:20" ht="17" thickBot="1">
      <c r="A45" s="84">
        <v>603886</v>
      </c>
      <c r="B45" s="84" t="s">
        <v>41</v>
      </c>
      <c r="C45" s="63">
        <v>13520543.630000001</v>
      </c>
      <c r="D45" s="64">
        <v>6.8999999999999999E-3</v>
      </c>
      <c r="E45" s="35">
        <f t="shared" si="14"/>
        <v>5.1299999999999998E-2</v>
      </c>
      <c r="F45" s="35">
        <f t="shared" si="15"/>
        <v>1.1999999999999999E-3</v>
      </c>
      <c r="G45" s="106">
        <f t="shared" si="6"/>
        <v>0.11377245508982037</v>
      </c>
      <c r="H45" s="74">
        <f>D45-11433782.66/1777241093.1</f>
        <v>4.6655509238967621E-4</v>
      </c>
      <c r="I45" s="35">
        <f t="shared" si="7"/>
        <v>1.9677671084823298E-2</v>
      </c>
      <c r="J45" s="74">
        <f t="shared" si="8"/>
        <v>2.6395232821677545E-4</v>
      </c>
      <c r="K45" s="35">
        <f t="shared" si="16"/>
        <v>2.7577563628225825E-2</v>
      </c>
      <c r="L45" s="35">
        <f t="shared" si="17"/>
        <v>-2.3411495639844279E-2</v>
      </c>
      <c r="M45" s="35">
        <f t="shared" si="18"/>
        <v>0.46829753431412385</v>
      </c>
      <c r="N45" s="110">
        <f t="shared" si="9"/>
        <v>0.42146778088271147</v>
      </c>
      <c r="O45" s="100">
        <f t="shared" si="5"/>
        <v>0.298389650565555</v>
      </c>
      <c r="P45" s="100">
        <v>95.759417211544132</v>
      </c>
      <c r="Q45" s="112">
        <v>4</v>
      </c>
      <c r="R45" s="121">
        <f t="shared" si="10"/>
        <v>29.838965056555502</v>
      </c>
      <c r="S45" s="121">
        <f t="shared" si="11"/>
        <v>95.759417211544132</v>
      </c>
      <c r="T45" s="121">
        <f t="shared" si="12"/>
        <v>80</v>
      </c>
    </row>
  </sheetData>
  <autoFilter ref="A3:Q41" xr:uid="{00000000-0009-0000-0000-000001000000}"/>
  <mergeCells count="1">
    <mergeCell ref="O2:Q2"/>
  </mergeCells>
  <conditionalFormatting sqref="O1:O1048576 Q3:T3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{DE6030C2-3BBE-8A4F-AF7C-C35FF5B746DB}</x14:id>
        </ext>
      </extLst>
    </cfRule>
  </conditionalFormatting>
  <conditionalFormatting sqref="P4:P45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{9CE8EDE0-D3DC-0547-A2C9-F8F40AF0AE2E}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E6030C2-3BBE-8A4F-AF7C-C35FF5B746D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O1:O1048576 Q3:T3</xm:sqref>
        </x14:conditionalFormatting>
        <x14:conditionalFormatting xmlns:xm="http://schemas.microsoft.com/office/excel/2006/main">
          <x14:cfRule type="dataBar" id="{9CE8EDE0-D3DC-0547-A2C9-F8F40AF0AE2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P4:P45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178"/>
  <sheetViews>
    <sheetView topLeftCell="I1" workbookViewId="0">
      <selection activeCell="K6" sqref="K6"/>
    </sheetView>
  </sheetViews>
  <sheetFormatPr baseColWidth="10" defaultColWidth="11" defaultRowHeight="16"/>
  <cols>
    <col min="1" max="2" width="20.5" customWidth="1"/>
    <col min="4" max="6" width="15.33203125" customWidth="1"/>
    <col min="7" max="7" width="19" customWidth="1"/>
    <col min="8" max="8" width="16.6640625" customWidth="1"/>
    <col min="9" max="9" width="10.83203125" style="2"/>
    <col min="10" max="10" width="11" style="2" bestFit="1" customWidth="1"/>
    <col min="11" max="11" width="11" style="1"/>
    <col min="13" max="13" width="11" style="1"/>
    <col min="14" max="14" width="10.83203125" style="2"/>
    <col min="15" max="15" width="11" style="2" bestFit="1"/>
    <col min="17" max="17" width="11" style="2"/>
    <col min="18" max="18" width="10.83203125" style="2"/>
    <col min="19" max="19" width="11" style="2" bestFit="1"/>
    <col min="20" max="20" width="11.33203125" bestFit="1" customWidth="1"/>
    <col min="21" max="21" width="11" style="2"/>
  </cols>
  <sheetData>
    <row r="1" spans="1:22">
      <c r="A1" s="3"/>
      <c r="B1" s="3"/>
      <c r="C1" s="3"/>
      <c r="D1" s="3"/>
      <c r="E1" s="3"/>
      <c r="F1" s="3"/>
      <c r="G1" s="3"/>
      <c r="H1" s="3"/>
    </row>
    <row r="2" spans="1:22">
      <c r="A2" s="3"/>
      <c r="B2" s="3"/>
      <c r="C2" s="3"/>
      <c r="D2" s="3"/>
      <c r="E2" s="3"/>
      <c r="F2" s="3"/>
      <c r="G2" s="4"/>
      <c r="H2" s="4"/>
      <c r="O2" s="84" t="s">
        <v>0</v>
      </c>
      <c r="U2" s="84" t="s">
        <v>0</v>
      </c>
      <c r="V2">
        <f>VLOOKUP(U2,Q:R,2,0)</f>
        <v>55.143599999999999</v>
      </c>
    </row>
    <row r="3" spans="1:22">
      <c r="A3" s="3"/>
      <c r="B3" s="3"/>
      <c r="C3" s="3"/>
      <c r="D3" s="3"/>
      <c r="E3" s="3"/>
      <c r="F3" s="3"/>
      <c r="G3" s="4"/>
      <c r="H3" s="4"/>
      <c r="I3" s="2" t="s">
        <v>166</v>
      </c>
      <c r="J3" s="38"/>
      <c r="N3" s="2" t="s">
        <v>166</v>
      </c>
      <c r="O3" s="84" t="s">
        <v>1</v>
      </c>
      <c r="Q3" s="38"/>
      <c r="R3" s="2" t="s">
        <v>166</v>
      </c>
      <c r="S3" s="38"/>
      <c r="U3" s="84" t="s">
        <v>1</v>
      </c>
      <c r="V3" s="85">
        <f t="shared" ref="V3:V43" si="0">VLOOKUP(U3,Q:R,2,0)</f>
        <v>37.083359977659192</v>
      </c>
    </row>
    <row r="4" spans="1:22">
      <c r="A4" s="3"/>
      <c r="B4" s="3"/>
      <c r="C4" s="3"/>
      <c r="D4" s="3"/>
      <c r="E4" s="3"/>
      <c r="F4" s="3"/>
      <c r="G4" s="6"/>
      <c r="H4" s="6"/>
      <c r="I4" s="2">
        <v>55.143599999999999</v>
      </c>
      <c r="J4" s="103" t="s">
        <v>0</v>
      </c>
      <c r="N4" s="2">
        <v>55.143599999999999</v>
      </c>
      <c r="O4" s="84" t="s">
        <v>2</v>
      </c>
      <c r="Q4" s="84" t="s">
        <v>0</v>
      </c>
      <c r="R4" s="2">
        <v>55.143599999999999</v>
      </c>
      <c r="S4" s="84" t="s">
        <v>0</v>
      </c>
      <c r="U4" s="84" t="s">
        <v>2</v>
      </c>
      <c r="V4" s="85">
        <f t="shared" si="0"/>
        <v>49.923000000000002</v>
      </c>
    </row>
    <row r="5" spans="1:22">
      <c r="A5" s="3"/>
      <c r="B5" s="3"/>
      <c r="C5" s="3"/>
      <c r="D5" s="3"/>
      <c r="E5" s="3"/>
      <c r="F5" s="3"/>
      <c r="G5" s="6"/>
      <c r="H5" s="6"/>
      <c r="I5" s="2">
        <v>37.083359977659192</v>
      </c>
      <c r="J5" s="103" t="s">
        <v>1</v>
      </c>
      <c r="N5" s="2">
        <v>37.083359977659192</v>
      </c>
      <c r="O5" s="84" t="s">
        <v>3</v>
      </c>
      <c r="Q5" s="84" t="s">
        <v>1</v>
      </c>
      <c r="R5" s="2">
        <v>37.083359977659192</v>
      </c>
      <c r="S5" s="84" t="s">
        <v>1</v>
      </c>
      <c r="U5" s="84" t="s">
        <v>3</v>
      </c>
      <c r="V5" s="85">
        <f t="shared" si="0"/>
        <v>60.33704468425028</v>
      </c>
    </row>
    <row r="6" spans="1:22">
      <c r="A6" s="3"/>
      <c r="B6" s="3"/>
      <c r="C6" s="3"/>
      <c r="D6" s="3"/>
      <c r="E6" s="3"/>
      <c r="F6" s="3"/>
      <c r="G6" s="4"/>
      <c r="H6" s="4"/>
      <c r="I6" s="2">
        <v>49.923000000000002</v>
      </c>
      <c r="J6" s="103" t="s">
        <v>2</v>
      </c>
      <c r="N6" s="2">
        <v>49.923000000000002</v>
      </c>
      <c r="O6" s="84" t="s">
        <v>4</v>
      </c>
      <c r="Q6" s="84" t="s">
        <v>2</v>
      </c>
      <c r="R6" s="2">
        <v>49.923000000000002</v>
      </c>
      <c r="S6" s="84" t="s">
        <v>2</v>
      </c>
      <c r="U6" s="84" t="s">
        <v>4</v>
      </c>
      <c r="V6" s="85">
        <f t="shared" si="0"/>
        <v>48.281212464724803</v>
      </c>
    </row>
    <row r="7" spans="1:22">
      <c r="A7" s="3"/>
      <c r="B7" s="3"/>
      <c r="C7" s="3"/>
      <c r="D7" s="3"/>
      <c r="E7" s="3"/>
      <c r="F7" s="3"/>
      <c r="G7" s="6"/>
      <c r="H7" s="3"/>
      <c r="I7" s="2">
        <v>60.33704468425028</v>
      </c>
      <c r="J7" s="103" t="s">
        <v>3</v>
      </c>
      <c r="N7" s="2">
        <v>60.33704468425028</v>
      </c>
      <c r="O7" s="84" t="s">
        <v>5</v>
      </c>
      <c r="Q7" s="84" t="s">
        <v>3</v>
      </c>
      <c r="R7" s="2">
        <v>60.33704468425028</v>
      </c>
      <c r="S7" s="84" t="s">
        <v>3</v>
      </c>
      <c r="U7" s="84" t="s">
        <v>5</v>
      </c>
      <c r="V7" s="85">
        <f t="shared" si="0"/>
        <v>54.224399974483319</v>
      </c>
    </row>
    <row r="8" spans="1:22">
      <c r="I8" s="2">
        <v>48.281212464724803</v>
      </c>
      <c r="J8" s="103" t="s">
        <v>4</v>
      </c>
      <c r="N8" s="2">
        <v>48.281212464724803</v>
      </c>
      <c r="O8" s="84" t="s">
        <v>6</v>
      </c>
      <c r="Q8" s="84" t="s">
        <v>4</v>
      </c>
      <c r="R8" s="2">
        <v>48.281212464724803</v>
      </c>
      <c r="S8" s="84" t="s">
        <v>4</v>
      </c>
      <c r="U8" s="84" t="s">
        <v>6</v>
      </c>
      <c r="V8" s="85">
        <f t="shared" si="0"/>
        <v>40.637401235179603</v>
      </c>
    </row>
    <row r="9" spans="1:22">
      <c r="I9" s="2">
        <v>54.224399974483319</v>
      </c>
      <c r="J9" s="103" t="s">
        <v>5</v>
      </c>
      <c r="N9" s="2">
        <v>54.224399974483319</v>
      </c>
      <c r="O9" s="47" t="s">
        <v>7</v>
      </c>
      <c r="Q9" s="84" t="s">
        <v>5</v>
      </c>
      <c r="R9" s="2">
        <v>54.224399974483319</v>
      </c>
      <c r="S9" s="84" t="s">
        <v>5</v>
      </c>
      <c r="U9" s="47" t="s">
        <v>7</v>
      </c>
      <c r="V9" s="85">
        <f t="shared" si="0"/>
        <v>31.77413210815315</v>
      </c>
    </row>
    <row r="10" spans="1:22">
      <c r="A10" s="3"/>
      <c r="B10" s="3"/>
      <c r="C10" s="3"/>
      <c r="D10" s="3"/>
      <c r="E10" s="3"/>
      <c r="F10" s="3"/>
      <c r="G10" s="3"/>
      <c r="H10" s="3"/>
      <c r="I10" s="2">
        <v>40.637401235179603</v>
      </c>
      <c r="J10" s="103" t="s">
        <v>6</v>
      </c>
      <c r="N10" s="2">
        <v>40.637401235179603</v>
      </c>
      <c r="O10" s="84" t="s">
        <v>8</v>
      </c>
      <c r="Q10" s="84" t="s">
        <v>6</v>
      </c>
      <c r="R10" s="2">
        <v>40.637401235179603</v>
      </c>
      <c r="S10" s="84" t="s">
        <v>6</v>
      </c>
      <c r="U10" s="84" t="s">
        <v>8</v>
      </c>
      <c r="V10" s="85">
        <f t="shared" si="0"/>
        <v>54.260606895622615</v>
      </c>
    </row>
    <row r="11" spans="1:22">
      <c r="A11" s="3"/>
      <c r="B11" s="3"/>
      <c r="C11" s="3"/>
      <c r="D11" s="3"/>
      <c r="E11" s="3"/>
      <c r="F11" s="3"/>
      <c r="G11" s="4"/>
      <c r="H11" s="4"/>
      <c r="I11" s="2">
        <v>31.77413210815315</v>
      </c>
      <c r="J11" s="47" t="s">
        <v>7</v>
      </c>
      <c r="N11" s="2">
        <v>31.77413210815315</v>
      </c>
      <c r="O11" s="84" t="s">
        <v>9</v>
      </c>
      <c r="Q11" s="47" t="s">
        <v>7</v>
      </c>
      <c r="R11" s="2">
        <v>31.77413210815315</v>
      </c>
      <c r="S11" s="47" t="s">
        <v>7</v>
      </c>
      <c r="U11" s="84" t="s">
        <v>9</v>
      </c>
      <c r="V11" s="85">
        <f t="shared" si="0"/>
        <v>70.34431234369552</v>
      </c>
    </row>
    <row r="12" spans="1:22" ht="16" customHeight="1">
      <c r="A12" s="3" t="s">
        <v>93</v>
      </c>
      <c r="B12" s="3"/>
      <c r="C12" s="3" t="s">
        <v>104</v>
      </c>
      <c r="D12" s="4">
        <v>14665.41</v>
      </c>
      <c r="E12" s="4"/>
      <c r="F12" s="4"/>
      <c r="G12" s="4">
        <v>13381.51</v>
      </c>
      <c r="H12" s="5">
        <v>9.5899999999999999E-2</v>
      </c>
      <c r="I12" s="2">
        <v>31.77413210815315</v>
      </c>
      <c r="J12" s="103" t="s">
        <v>7</v>
      </c>
      <c r="N12" s="2">
        <v>31.77413210815315</v>
      </c>
      <c r="O12" s="84" t="s">
        <v>10</v>
      </c>
      <c r="Q12" s="84" t="s">
        <v>7</v>
      </c>
      <c r="R12" s="2">
        <v>31.77413210815315</v>
      </c>
      <c r="S12" s="84" t="s">
        <v>7</v>
      </c>
      <c r="U12" s="84" t="s">
        <v>10</v>
      </c>
      <c r="V12" s="85">
        <f t="shared" si="0"/>
        <v>50.264678104835681</v>
      </c>
    </row>
    <row r="13" spans="1:22" ht="16" customHeight="1">
      <c r="A13" s="3" t="s">
        <v>94</v>
      </c>
      <c r="B13" s="3"/>
      <c r="C13" s="3" t="s">
        <v>104</v>
      </c>
      <c r="D13" s="4">
        <v>2022.75</v>
      </c>
      <c r="E13" s="4"/>
      <c r="F13" s="4"/>
      <c r="G13" s="4">
        <v>1341.01</v>
      </c>
      <c r="H13" s="5">
        <v>0.8871</v>
      </c>
      <c r="I13" s="2">
        <v>54.260606895622615</v>
      </c>
      <c r="J13" s="103" t="s">
        <v>8</v>
      </c>
      <c r="N13" s="2">
        <v>54.260606895622615</v>
      </c>
      <c r="O13" s="84" t="s">
        <v>11</v>
      </c>
      <c r="Q13" s="84" t="s">
        <v>8</v>
      </c>
      <c r="R13" s="2">
        <v>54.260606895622615</v>
      </c>
      <c r="S13" s="84" t="s">
        <v>8</v>
      </c>
      <c r="U13" s="84" t="s">
        <v>11</v>
      </c>
      <c r="V13" s="85">
        <f t="shared" si="0"/>
        <v>69.170471020145584</v>
      </c>
    </row>
    <row r="14" spans="1:22">
      <c r="A14" s="3"/>
      <c r="B14" s="3"/>
      <c r="C14" s="3"/>
      <c r="D14" s="3"/>
      <c r="E14" s="3"/>
      <c r="F14" s="3"/>
      <c r="G14" s="4"/>
      <c r="H14" s="4"/>
      <c r="I14" s="2">
        <v>54.260606895622615</v>
      </c>
      <c r="J14" s="103" t="s">
        <v>8</v>
      </c>
      <c r="N14" s="2">
        <v>54.260606895622615</v>
      </c>
      <c r="O14" s="84" t="s">
        <v>12</v>
      </c>
      <c r="Q14" s="84" t="s">
        <v>8</v>
      </c>
      <c r="R14" s="2">
        <v>54.260606895622615</v>
      </c>
      <c r="S14" s="84" t="s">
        <v>8</v>
      </c>
      <c r="U14" s="84" t="s">
        <v>12</v>
      </c>
      <c r="V14" s="85">
        <f t="shared" si="0"/>
        <v>50</v>
      </c>
    </row>
    <row r="15" spans="1:22" ht="16" customHeight="1">
      <c r="A15" s="3" t="s">
        <v>93</v>
      </c>
      <c r="B15" s="3"/>
      <c r="C15" s="3" t="s">
        <v>104</v>
      </c>
      <c r="D15" s="4">
        <v>4188.5</v>
      </c>
      <c r="E15" s="4"/>
      <c r="F15" s="4"/>
      <c r="G15" s="4">
        <v>2808.76</v>
      </c>
      <c r="H15" s="5">
        <v>0.49120000000000003</v>
      </c>
      <c r="I15" s="2">
        <v>54.260606895622615</v>
      </c>
      <c r="J15" s="103" t="s">
        <v>8</v>
      </c>
      <c r="N15" s="2">
        <v>54.260606895622615</v>
      </c>
      <c r="O15" s="84" t="s">
        <v>13</v>
      </c>
      <c r="Q15" s="84" t="s">
        <v>8</v>
      </c>
      <c r="R15" s="2">
        <v>54.260606895622615</v>
      </c>
      <c r="S15" s="84" t="s">
        <v>8</v>
      </c>
      <c r="U15" s="84" t="s">
        <v>13</v>
      </c>
      <c r="V15" s="85">
        <f t="shared" si="0"/>
        <v>64.67692599966847</v>
      </c>
    </row>
    <row r="16" spans="1:22" ht="16" customHeight="1">
      <c r="A16" s="3" t="s">
        <v>94</v>
      </c>
      <c r="B16" s="3"/>
      <c r="C16" s="3" t="s">
        <v>104</v>
      </c>
      <c r="D16" s="3">
        <v>531.35</v>
      </c>
      <c r="E16" s="3"/>
      <c r="F16" s="3"/>
      <c r="G16" s="3">
        <v>221.57</v>
      </c>
      <c r="H16" s="5">
        <v>1.3980999999999999</v>
      </c>
      <c r="I16" s="2">
        <v>70.34431234369552</v>
      </c>
      <c r="J16" s="103" t="s">
        <v>9</v>
      </c>
      <c r="N16" s="2">
        <v>70.34431234369552</v>
      </c>
      <c r="O16" s="84" t="s">
        <v>14</v>
      </c>
      <c r="Q16" s="84" t="s">
        <v>9</v>
      </c>
      <c r="R16" s="2">
        <v>70.34431234369552</v>
      </c>
      <c r="S16" s="84" t="s">
        <v>9</v>
      </c>
      <c r="U16" s="84" t="s">
        <v>14</v>
      </c>
      <c r="V16" s="85">
        <f t="shared" si="0"/>
        <v>64.785791132287585</v>
      </c>
    </row>
    <row r="17" spans="1:22">
      <c r="A17" s="3"/>
      <c r="B17" s="3"/>
      <c r="C17" s="3"/>
      <c r="D17" s="3"/>
      <c r="E17" s="3"/>
      <c r="F17" s="3"/>
      <c r="G17" s="4"/>
      <c r="H17" s="4"/>
      <c r="I17" s="2">
        <v>70.34431234369552</v>
      </c>
      <c r="J17" s="103" t="s">
        <v>9</v>
      </c>
      <c r="N17" s="2">
        <v>70.34431234369552</v>
      </c>
      <c r="O17" s="47" t="s">
        <v>15</v>
      </c>
      <c r="Q17" s="84" t="s">
        <v>9</v>
      </c>
      <c r="R17" s="2">
        <v>70.34431234369552</v>
      </c>
      <c r="S17" s="84" t="s">
        <v>9</v>
      </c>
      <c r="U17" s="47" t="s">
        <v>15</v>
      </c>
      <c r="V17" s="85">
        <f t="shared" si="0"/>
        <v>8.8475110837682891</v>
      </c>
    </row>
    <row r="18" spans="1:22" ht="16" customHeight="1">
      <c r="A18" s="3" t="s">
        <v>93</v>
      </c>
      <c r="B18" s="3"/>
      <c r="C18" s="3" t="s">
        <v>104</v>
      </c>
      <c r="D18" s="4">
        <v>3111.9</v>
      </c>
      <c r="E18" s="4"/>
      <c r="F18" s="4"/>
      <c r="G18" s="4">
        <v>2872.35</v>
      </c>
      <c r="H18" s="5">
        <v>8.3400000000000002E-2</v>
      </c>
      <c r="I18" s="2">
        <v>50.264678104835681</v>
      </c>
      <c r="J18" s="103" t="s">
        <v>10</v>
      </c>
      <c r="N18" s="2">
        <v>50.264678104835681</v>
      </c>
      <c r="O18" s="84" t="s">
        <v>16</v>
      </c>
      <c r="Q18" s="84" t="s">
        <v>10</v>
      </c>
      <c r="R18" s="2">
        <v>50.264678104835681</v>
      </c>
      <c r="S18" s="84" t="s">
        <v>10</v>
      </c>
      <c r="U18" s="84" t="s">
        <v>16</v>
      </c>
      <c r="V18" s="85">
        <f t="shared" si="0"/>
        <v>27.982802966715255</v>
      </c>
    </row>
    <row r="19" spans="1:22" ht="16" customHeight="1">
      <c r="A19" s="3" t="s">
        <v>94</v>
      </c>
      <c r="B19" s="3"/>
      <c r="C19" s="3" t="s">
        <v>104</v>
      </c>
      <c r="D19" s="3">
        <v>511.88</v>
      </c>
      <c r="E19" s="3"/>
      <c r="F19" s="3"/>
      <c r="G19" s="3">
        <v>403.66</v>
      </c>
      <c r="H19" s="5">
        <v>0.2681</v>
      </c>
      <c r="I19" s="2">
        <v>69.170471020145584</v>
      </c>
      <c r="J19" s="103" t="s">
        <v>11</v>
      </c>
      <c r="N19" s="2">
        <v>69.170471020145584</v>
      </c>
      <c r="O19" s="84" t="s">
        <v>17</v>
      </c>
      <c r="Q19" s="84" t="s">
        <v>11</v>
      </c>
      <c r="R19" s="2">
        <v>69.170471020145584</v>
      </c>
      <c r="S19" s="84" t="s">
        <v>11</v>
      </c>
      <c r="U19" s="84" t="s">
        <v>17</v>
      </c>
      <c r="V19" s="85">
        <f t="shared" si="0"/>
        <v>81.503653580026338</v>
      </c>
    </row>
    <row r="20" spans="1:22">
      <c r="A20" s="3"/>
      <c r="B20" s="3"/>
      <c r="C20" s="3"/>
      <c r="D20" s="3"/>
      <c r="E20" s="3"/>
      <c r="F20" s="3"/>
      <c r="G20" s="4"/>
      <c r="H20" s="4"/>
      <c r="I20" s="2">
        <v>50</v>
      </c>
      <c r="J20" s="103" t="s">
        <v>12</v>
      </c>
      <c r="N20" s="2">
        <v>50</v>
      </c>
      <c r="O20" s="84" t="s">
        <v>18</v>
      </c>
      <c r="Q20" s="84" t="s">
        <v>12</v>
      </c>
      <c r="R20" s="2">
        <v>50</v>
      </c>
      <c r="S20" s="84" t="s">
        <v>12</v>
      </c>
      <c r="U20" s="84" t="s">
        <v>18</v>
      </c>
      <c r="V20" s="85">
        <f t="shared" si="0"/>
        <v>99.625262720270911</v>
      </c>
    </row>
    <row r="21" spans="1:22" ht="16" customHeight="1">
      <c r="A21" s="3" t="s">
        <v>93</v>
      </c>
      <c r="B21" s="3"/>
      <c r="C21" s="3" t="s">
        <v>104</v>
      </c>
      <c r="D21" s="4">
        <v>1742.89</v>
      </c>
      <c r="E21" s="4"/>
      <c r="F21" s="4"/>
      <c r="G21" s="4">
        <v>1952.16</v>
      </c>
      <c r="H21" s="5">
        <v>-0.1072</v>
      </c>
      <c r="I21" s="2">
        <v>64.67692599966847</v>
      </c>
      <c r="J21" s="103" t="s">
        <v>13</v>
      </c>
      <c r="N21" s="2">
        <v>64.67692599966847</v>
      </c>
      <c r="O21" s="84" t="s">
        <v>19</v>
      </c>
      <c r="Q21" s="84" t="s">
        <v>13</v>
      </c>
      <c r="R21" s="2">
        <v>64.67692599966847</v>
      </c>
      <c r="S21" s="84" t="s">
        <v>13</v>
      </c>
      <c r="U21" s="84" t="s">
        <v>19</v>
      </c>
      <c r="V21" s="85">
        <f t="shared" si="0"/>
        <v>78.754510791506931</v>
      </c>
    </row>
    <row r="22" spans="1:22" ht="16" customHeight="1">
      <c r="A22" s="3" t="s">
        <v>94</v>
      </c>
      <c r="B22" s="3"/>
      <c r="C22" s="3" t="s">
        <v>104</v>
      </c>
      <c r="D22" s="3">
        <v>272.55</v>
      </c>
      <c r="E22" s="3"/>
      <c r="F22" s="3"/>
      <c r="G22" s="3">
        <v>175.91</v>
      </c>
      <c r="H22" s="5">
        <v>0.5494</v>
      </c>
      <c r="I22" s="2">
        <v>64.785791132287585</v>
      </c>
      <c r="J22" s="103" t="s">
        <v>14</v>
      </c>
      <c r="N22" s="2">
        <v>64.785791132287585</v>
      </c>
      <c r="O22" s="84" t="s">
        <v>20</v>
      </c>
      <c r="Q22" s="84" t="s">
        <v>14</v>
      </c>
      <c r="R22" s="2">
        <v>64.785791132287585</v>
      </c>
      <c r="S22" s="84" t="s">
        <v>14</v>
      </c>
      <c r="U22" s="84" t="s">
        <v>20</v>
      </c>
      <c r="V22" s="85">
        <f t="shared" si="0"/>
        <v>29.628133850763827</v>
      </c>
    </row>
    <row r="23" spans="1:22">
      <c r="A23" s="3"/>
      <c r="B23" s="3"/>
      <c r="C23" s="3"/>
      <c r="D23" s="3"/>
      <c r="E23" s="3"/>
      <c r="F23" s="3"/>
      <c r="G23" s="4"/>
      <c r="H23" s="4"/>
      <c r="I23" s="2">
        <v>8.8475110837682891</v>
      </c>
      <c r="J23" s="47" t="s">
        <v>15</v>
      </c>
      <c r="N23" s="2">
        <v>8.8475110837682891</v>
      </c>
      <c r="O23" s="84" t="s">
        <v>21</v>
      </c>
      <c r="Q23" s="47" t="s">
        <v>15</v>
      </c>
      <c r="R23" s="2">
        <v>8.8475110837682891</v>
      </c>
      <c r="S23" s="47" t="s">
        <v>15</v>
      </c>
      <c r="U23" s="84" t="s">
        <v>21</v>
      </c>
      <c r="V23" s="85">
        <f t="shared" si="0"/>
        <v>69.864738134540346</v>
      </c>
    </row>
    <row r="24" spans="1:22" ht="16" customHeight="1">
      <c r="A24" s="3" t="s">
        <v>93</v>
      </c>
      <c r="B24" s="3"/>
      <c r="C24" s="3" t="s">
        <v>104</v>
      </c>
      <c r="D24" s="4">
        <v>2424.96</v>
      </c>
      <c r="E24" s="4"/>
      <c r="F24" s="4"/>
      <c r="G24" s="4">
        <v>1816.81</v>
      </c>
      <c r="H24" s="5">
        <v>0.3347</v>
      </c>
      <c r="I24" s="2">
        <v>8.8475110837682891</v>
      </c>
      <c r="J24" s="103" t="s">
        <v>15</v>
      </c>
      <c r="N24" s="2">
        <v>8.8475110837682891</v>
      </c>
      <c r="O24" s="84" t="s">
        <v>22</v>
      </c>
      <c r="Q24" s="84" t="s">
        <v>15</v>
      </c>
      <c r="R24" s="2">
        <v>8.8475110837682891</v>
      </c>
      <c r="S24" s="84" t="s">
        <v>15</v>
      </c>
      <c r="U24" s="84" t="s">
        <v>22</v>
      </c>
      <c r="V24" s="85">
        <f t="shared" si="0"/>
        <v>81.157181088314047</v>
      </c>
    </row>
    <row r="25" spans="1:22" ht="16" customHeight="1">
      <c r="A25" s="3" t="s">
        <v>94</v>
      </c>
      <c r="B25" s="3"/>
      <c r="C25" s="3" t="s">
        <v>104</v>
      </c>
      <c r="D25" s="3">
        <v>448.82</v>
      </c>
      <c r="E25" s="3"/>
      <c r="F25" s="3"/>
      <c r="G25" s="3">
        <v>175.89</v>
      </c>
      <c r="H25" s="5">
        <v>1.5517000000000001</v>
      </c>
      <c r="I25" s="2">
        <v>8.8475110837682891</v>
      </c>
      <c r="J25" s="103" t="s">
        <v>15</v>
      </c>
      <c r="N25" s="2">
        <v>8.8475110837682891</v>
      </c>
      <c r="O25" s="47" t="s">
        <v>23</v>
      </c>
      <c r="Q25" s="84" t="s">
        <v>15</v>
      </c>
      <c r="R25" s="2">
        <v>8.8475110837682891</v>
      </c>
      <c r="S25" s="84" t="s">
        <v>15</v>
      </c>
      <c r="U25" s="47" t="s">
        <v>23</v>
      </c>
      <c r="V25" s="85">
        <f t="shared" si="0"/>
        <v>55.29692899261719</v>
      </c>
    </row>
    <row r="26" spans="1:22">
      <c r="A26" s="3"/>
      <c r="B26" s="3"/>
      <c r="C26" s="3"/>
      <c r="D26" s="3"/>
      <c r="E26" s="3"/>
      <c r="F26" s="3"/>
      <c r="G26" s="4"/>
      <c r="H26" s="4"/>
      <c r="I26" s="2">
        <v>27.982802966715255</v>
      </c>
      <c r="J26" s="103" t="s">
        <v>16</v>
      </c>
      <c r="N26" s="2">
        <v>27.982802966715255</v>
      </c>
      <c r="O26" s="84" t="s">
        <v>24</v>
      </c>
      <c r="Q26" s="84" t="s">
        <v>16</v>
      </c>
      <c r="R26" s="2">
        <v>27.982802966715255</v>
      </c>
      <c r="S26" s="84" t="s">
        <v>16</v>
      </c>
      <c r="U26" s="84" t="s">
        <v>24</v>
      </c>
      <c r="V26" s="85">
        <f t="shared" si="0"/>
        <v>52.790604026845514</v>
      </c>
    </row>
    <row r="27" spans="1:22" ht="16" customHeight="1">
      <c r="A27" s="3" t="s">
        <v>93</v>
      </c>
      <c r="B27" s="3"/>
      <c r="C27" s="3" t="s">
        <v>104</v>
      </c>
      <c r="D27" s="4">
        <v>8377.32</v>
      </c>
      <c r="E27" s="4"/>
      <c r="F27" s="4"/>
      <c r="G27" s="4">
        <v>2644.71</v>
      </c>
      <c r="H27" s="5">
        <v>2.1676000000000002</v>
      </c>
      <c r="I27" s="2">
        <v>81.503653580026338</v>
      </c>
      <c r="J27" s="103" t="s">
        <v>17</v>
      </c>
      <c r="N27" s="2">
        <v>81.503653580026338</v>
      </c>
      <c r="O27" s="84" t="s">
        <v>25</v>
      </c>
      <c r="Q27" s="84" t="s">
        <v>17</v>
      </c>
      <c r="R27" s="2">
        <v>81.503653580026338</v>
      </c>
      <c r="S27" s="84" t="s">
        <v>17</v>
      </c>
      <c r="U27" s="84" t="s">
        <v>25</v>
      </c>
      <c r="V27" s="85">
        <f t="shared" si="0"/>
        <v>36.403989209515245</v>
      </c>
    </row>
    <row r="28" spans="1:22" ht="16" customHeight="1">
      <c r="A28" s="3" t="s">
        <v>94</v>
      </c>
      <c r="B28" s="3"/>
      <c r="C28" s="3" t="s">
        <v>104</v>
      </c>
      <c r="D28" s="3">
        <v>996.93</v>
      </c>
      <c r="E28" s="3"/>
      <c r="F28" s="3"/>
      <c r="G28" s="3">
        <v>120.33</v>
      </c>
      <c r="H28" s="5">
        <v>7.2849000000000004</v>
      </c>
      <c r="I28" s="2">
        <v>81.503653580026338</v>
      </c>
      <c r="J28" s="103" t="s">
        <v>17</v>
      </c>
      <c r="N28" s="2">
        <v>81.503653580026338</v>
      </c>
      <c r="O28" s="84" t="s">
        <v>26</v>
      </c>
      <c r="Q28" s="84" t="s">
        <v>17</v>
      </c>
      <c r="R28" s="2">
        <v>81.503653580026338</v>
      </c>
      <c r="S28" s="84" t="s">
        <v>17</v>
      </c>
      <c r="U28" s="84" t="s">
        <v>26</v>
      </c>
      <c r="V28" s="85">
        <f t="shared" si="0"/>
        <v>56.943980462365545</v>
      </c>
    </row>
    <row r="29" spans="1:22">
      <c r="I29" s="2">
        <v>81.503653580026338</v>
      </c>
      <c r="J29" s="103" t="s">
        <v>17</v>
      </c>
      <c r="N29" s="2">
        <v>81.503653580026338</v>
      </c>
      <c r="O29" s="84" t="s">
        <v>27</v>
      </c>
      <c r="Q29" s="84" t="s">
        <v>17</v>
      </c>
      <c r="R29" s="2">
        <v>81.503653580026338</v>
      </c>
      <c r="S29" s="84" t="s">
        <v>17</v>
      </c>
      <c r="U29" s="84" t="s">
        <v>27</v>
      </c>
      <c r="V29" s="85">
        <f t="shared" si="0"/>
        <v>47.125384318139616</v>
      </c>
    </row>
    <row r="30" spans="1:22">
      <c r="I30" s="2">
        <v>99.625262720270911</v>
      </c>
      <c r="J30" s="103" t="s">
        <v>18</v>
      </c>
      <c r="N30" s="2">
        <v>99.625262720270911</v>
      </c>
      <c r="O30" s="84" t="s">
        <v>28</v>
      </c>
      <c r="Q30" s="84" t="s">
        <v>18</v>
      </c>
      <c r="R30" s="2">
        <v>99.625262720270911</v>
      </c>
      <c r="S30" s="84" t="s">
        <v>18</v>
      </c>
      <c r="U30" s="84" t="s">
        <v>28</v>
      </c>
      <c r="V30" s="85">
        <f t="shared" si="0"/>
        <v>36.233657496456651</v>
      </c>
    </row>
    <row r="31" spans="1:22">
      <c r="I31" s="2">
        <v>78.754510791506931</v>
      </c>
      <c r="J31" s="103" t="s">
        <v>19</v>
      </c>
      <c r="N31" s="2">
        <v>78.754510791506931</v>
      </c>
      <c r="O31" s="84" t="s">
        <v>29</v>
      </c>
      <c r="Q31" s="84" t="s">
        <v>19</v>
      </c>
      <c r="R31" s="2">
        <v>78.754510791506931</v>
      </c>
      <c r="S31" s="84" t="s">
        <v>19</v>
      </c>
      <c r="U31" s="84" t="s">
        <v>29</v>
      </c>
      <c r="V31" s="85">
        <f t="shared" si="0"/>
        <v>18.210735586481064</v>
      </c>
    </row>
    <row r="32" spans="1:22">
      <c r="A32" s="116"/>
      <c r="B32" s="7"/>
      <c r="C32" s="116"/>
      <c r="G32" s="116"/>
      <c r="I32" s="2">
        <v>29.628133850763827</v>
      </c>
      <c r="J32" s="103" t="s">
        <v>20</v>
      </c>
      <c r="K32" s="8"/>
      <c r="N32" s="2">
        <v>29.628133850763827</v>
      </c>
      <c r="O32" s="84" t="s">
        <v>30</v>
      </c>
      <c r="Q32" s="84" t="s">
        <v>20</v>
      </c>
      <c r="R32" s="2">
        <v>29.628133850763827</v>
      </c>
      <c r="S32" s="84" t="s">
        <v>20</v>
      </c>
      <c r="U32" s="84" t="s">
        <v>30</v>
      </c>
      <c r="V32" s="85">
        <f t="shared" si="0"/>
        <v>67.413062242255663</v>
      </c>
    </row>
    <row r="33" spans="1:22">
      <c r="A33" s="116"/>
      <c r="B33" s="7"/>
      <c r="C33" s="116"/>
      <c r="G33" s="116"/>
      <c r="I33" s="2">
        <v>29.628133850763827</v>
      </c>
      <c r="J33" s="103" t="s">
        <v>20</v>
      </c>
      <c r="K33" s="8"/>
      <c r="N33" s="2">
        <v>29.628133850763827</v>
      </c>
      <c r="O33" s="84" t="s">
        <v>31</v>
      </c>
      <c r="Q33" s="84" t="s">
        <v>20</v>
      </c>
      <c r="R33" s="2">
        <v>29.628133850763827</v>
      </c>
      <c r="S33" s="84" t="s">
        <v>20</v>
      </c>
      <c r="U33" s="84" t="s">
        <v>31</v>
      </c>
      <c r="V33" s="85">
        <f t="shared" si="0"/>
        <v>81.862119909913332</v>
      </c>
    </row>
    <row r="34" spans="1:22">
      <c r="A34" s="116"/>
      <c r="B34" s="7"/>
      <c r="C34" s="116"/>
      <c r="D34" s="7"/>
      <c r="E34" s="7"/>
      <c r="F34" s="7"/>
      <c r="G34" s="116"/>
      <c r="H34" s="7"/>
      <c r="I34" s="2">
        <v>29.628133850763827</v>
      </c>
      <c r="J34" s="103" t="s">
        <v>20</v>
      </c>
      <c r="K34" s="8"/>
      <c r="N34" s="2">
        <v>29.628133850763827</v>
      </c>
      <c r="O34" s="47" t="s">
        <v>32</v>
      </c>
      <c r="Q34" s="84" t="s">
        <v>20</v>
      </c>
      <c r="R34" s="2">
        <v>29.628133850763827</v>
      </c>
      <c r="S34" s="84" t="s">
        <v>20</v>
      </c>
      <c r="U34" s="47" t="s">
        <v>32</v>
      </c>
      <c r="V34" s="85">
        <f t="shared" si="0"/>
        <v>60.757483325888423</v>
      </c>
    </row>
    <row r="35" spans="1:22">
      <c r="A35" s="116"/>
      <c r="B35" s="7"/>
      <c r="C35" s="116"/>
      <c r="G35" s="116"/>
      <c r="I35" s="2">
        <v>29.628133850763827</v>
      </c>
      <c r="J35" s="103" t="s">
        <v>20</v>
      </c>
      <c r="K35" s="8"/>
      <c r="N35" s="2">
        <v>29.628133850763827</v>
      </c>
      <c r="O35" s="56" t="s">
        <v>33</v>
      </c>
      <c r="Q35" s="84" t="s">
        <v>20</v>
      </c>
      <c r="R35" s="2">
        <v>29.628133850763827</v>
      </c>
      <c r="S35" s="84" t="s">
        <v>20</v>
      </c>
      <c r="U35" s="56" t="s">
        <v>33</v>
      </c>
      <c r="V35" s="85">
        <f t="shared" si="0"/>
        <v>28.628920344157621</v>
      </c>
    </row>
    <row r="36" spans="1:22">
      <c r="A36" s="9"/>
      <c r="B36" s="9"/>
      <c r="C36" s="10"/>
      <c r="D36" s="10"/>
      <c r="E36" s="9"/>
      <c r="F36" s="9"/>
      <c r="G36" s="115"/>
      <c r="H36" s="116"/>
      <c r="I36" s="2">
        <v>29.628133850763827</v>
      </c>
      <c r="J36" s="103" t="s">
        <v>20</v>
      </c>
      <c r="K36" s="8"/>
      <c r="N36" s="2">
        <v>29.628133850763827</v>
      </c>
      <c r="O36" s="84" t="s">
        <v>34</v>
      </c>
      <c r="Q36" s="84" t="s">
        <v>20</v>
      </c>
      <c r="R36" s="2">
        <v>29.628133850763827</v>
      </c>
      <c r="S36" s="84" t="s">
        <v>20</v>
      </c>
      <c r="U36" s="84" t="s">
        <v>34</v>
      </c>
      <c r="V36" s="85">
        <f t="shared" si="0"/>
        <v>38.382228024965343</v>
      </c>
    </row>
    <row r="37" spans="1:22">
      <c r="A37" s="9"/>
      <c r="B37" s="9"/>
      <c r="C37" s="10"/>
      <c r="D37" s="10"/>
      <c r="E37" s="9"/>
      <c r="F37" s="9"/>
      <c r="G37" s="115"/>
      <c r="H37" s="116"/>
      <c r="I37" s="2">
        <v>29.628133850763827</v>
      </c>
      <c r="J37" s="103" t="s">
        <v>20</v>
      </c>
      <c r="K37" s="8"/>
      <c r="N37" s="2">
        <v>29.628133850763827</v>
      </c>
      <c r="O37" s="84" t="s">
        <v>35</v>
      </c>
      <c r="Q37" s="84" t="s">
        <v>20</v>
      </c>
      <c r="R37" s="2">
        <v>29.628133850763827</v>
      </c>
      <c r="S37" s="84" t="s">
        <v>20</v>
      </c>
      <c r="U37" s="84" t="s">
        <v>35</v>
      </c>
      <c r="V37" s="85">
        <f t="shared" si="0"/>
        <v>44.829437382694081</v>
      </c>
    </row>
    <row r="38" spans="1:22">
      <c r="A38" s="9"/>
      <c r="B38" s="9"/>
      <c r="C38" s="10"/>
      <c r="D38" s="10"/>
      <c r="E38" s="9"/>
      <c r="F38" s="9"/>
      <c r="G38" s="115"/>
      <c r="H38" s="116"/>
      <c r="I38" s="2">
        <v>69.864738134540346</v>
      </c>
      <c r="J38" s="103" t="s">
        <v>21</v>
      </c>
      <c r="K38" s="8"/>
      <c r="N38" s="2">
        <v>69.864738134540346</v>
      </c>
      <c r="O38" s="84" t="s">
        <v>36</v>
      </c>
      <c r="Q38" s="84" t="s">
        <v>21</v>
      </c>
      <c r="R38" s="2">
        <v>69.864738134540346</v>
      </c>
      <c r="S38" s="84" t="s">
        <v>21</v>
      </c>
      <c r="U38" s="84" t="s">
        <v>36</v>
      </c>
      <c r="V38" s="85">
        <f t="shared" si="0"/>
        <v>52.157499369334843</v>
      </c>
    </row>
    <row r="39" spans="1:22">
      <c r="A39" s="9"/>
      <c r="B39" s="9"/>
      <c r="C39" s="10"/>
      <c r="D39" s="10"/>
      <c r="E39" s="9"/>
      <c r="F39" s="9"/>
      <c r="G39" s="115"/>
      <c r="H39" s="116"/>
      <c r="I39" s="2">
        <v>69.864738134540346</v>
      </c>
      <c r="J39" s="103" t="s">
        <v>21</v>
      </c>
      <c r="K39" s="8"/>
      <c r="N39" s="2">
        <v>69.864738134540346</v>
      </c>
      <c r="O39" s="56" t="s">
        <v>37</v>
      </c>
      <c r="Q39" s="84" t="s">
        <v>21</v>
      </c>
      <c r="R39" s="2">
        <v>69.864738134540346</v>
      </c>
      <c r="S39" s="84" t="s">
        <v>21</v>
      </c>
      <c r="U39" s="56" t="s">
        <v>37</v>
      </c>
      <c r="V39" s="85">
        <f t="shared" si="0"/>
        <v>57.318880091165099</v>
      </c>
    </row>
    <row r="40" spans="1:22">
      <c r="A40" s="9"/>
      <c r="B40" s="9"/>
      <c r="C40" s="10"/>
      <c r="D40" s="10"/>
      <c r="E40" s="9"/>
      <c r="F40" s="9"/>
      <c r="G40" s="115"/>
      <c r="H40" s="116"/>
      <c r="I40" s="2">
        <v>69.864738134540346</v>
      </c>
      <c r="J40" s="103" t="s">
        <v>21</v>
      </c>
      <c r="K40" s="8"/>
      <c r="N40" s="2">
        <v>69.864738134540346</v>
      </c>
      <c r="O40" s="47" t="s">
        <v>38</v>
      </c>
      <c r="Q40" s="84" t="s">
        <v>21</v>
      </c>
      <c r="R40" s="2">
        <v>69.864738134540346</v>
      </c>
      <c r="S40" s="84" t="s">
        <v>21</v>
      </c>
      <c r="U40" s="47" t="s">
        <v>38</v>
      </c>
      <c r="V40" s="85">
        <f t="shared" si="0"/>
        <v>40.11004279119441</v>
      </c>
    </row>
    <row r="41" spans="1:22">
      <c r="A41" s="9"/>
      <c r="B41" s="9"/>
      <c r="C41" s="10"/>
      <c r="D41" s="10"/>
      <c r="E41" s="9"/>
      <c r="F41" s="9"/>
      <c r="G41" s="115"/>
      <c r="H41" s="116"/>
      <c r="I41" s="2">
        <v>81.157181088314047</v>
      </c>
      <c r="J41" s="103" t="s">
        <v>22</v>
      </c>
      <c r="K41" s="8"/>
      <c r="N41" s="2">
        <v>81.157181088314047</v>
      </c>
      <c r="O41" s="76" t="s">
        <v>39</v>
      </c>
      <c r="Q41" s="84" t="s">
        <v>22</v>
      </c>
      <c r="R41" s="2">
        <v>81.157181088314047</v>
      </c>
      <c r="S41" s="84" t="s">
        <v>22</v>
      </c>
      <c r="U41" s="76" t="s">
        <v>39</v>
      </c>
      <c r="V41" s="85">
        <f t="shared" si="0"/>
        <v>27.452749036407944</v>
      </c>
    </row>
    <row r="42" spans="1:22">
      <c r="A42" s="9"/>
      <c r="B42" s="9"/>
      <c r="C42" s="10"/>
      <c r="D42" s="10"/>
      <c r="E42" s="9"/>
      <c r="F42" s="9"/>
      <c r="G42" s="115"/>
      <c r="H42" s="116"/>
      <c r="I42" s="2">
        <v>55.29692899261719</v>
      </c>
      <c r="J42" s="47" t="s">
        <v>23</v>
      </c>
      <c r="K42" s="8"/>
      <c r="N42" s="2">
        <v>55.29692899261719</v>
      </c>
      <c r="O42" s="84" t="s">
        <v>40</v>
      </c>
      <c r="Q42" s="47" t="s">
        <v>23</v>
      </c>
      <c r="R42" s="2">
        <v>55.29692899261719</v>
      </c>
      <c r="S42" s="47" t="s">
        <v>23</v>
      </c>
      <c r="U42" s="84" t="s">
        <v>40</v>
      </c>
      <c r="V42" s="85">
        <f t="shared" si="0"/>
        <v>46.669835320754423</v>
      </c>
    </row>
    <row r="43" spans="1:22">
      <c r="A43" s="9"/>
      <c r="B43" s="9"/>
      <c r="C43" s="10"/>
      <c r="D43" s="10"/>
      <c r="E43" s="9"/>
      <c r="F43" s="9"/>
      <c r="G43" s="115"/>
      <c r="H43" s="116"/>
      <c r="I43" s="2">
        <v>55.29692899261719</v>
      </c>
      <c r="J43" s="103" t="s">
        <v>23</v>
      </c>
      <c r="K43" s="8"/>
      <c r="N43" s="2">
        <v>55.29692899261719</v>
      </c>
      <c r="O43" s="84">
        <v>603886</v>
      </c>
      <c r="Q43" s="84" t="s">
        <v>23</v>
      </c>
      <c r="R43" s="2">
        <v>55.29692899261719</v>
      </c>
      <c r="S43" s="84" t="s">
        <v>23</v>
      </c>
      <c r="U43" s="84">
        <v>603886</v>
      </c>
      <c r="V43" s="85">
        <f t="shared" si="0"/>
        <v>95.759417211544132</v>
      </c>
    </row>
    <row r="44" spans="1:22">
      <c r="A44" s="9"/>
      <c r="B44" s="9"/>
      <c r="C44" s="10"/>
      <c r="D44" s="10"/>
      <c r="E44" s="9"/>
      <c r="F44" s="9"/>
      <c r="G44" s="115"/>
      <c r="H44" s="116"/>
      <c r="I44" s="2">
        <v>52.790604026845514</v>
      </c>
      <c r="J44" s="103" t="s">
        <v>24</v>
      </c>
      <c r="K44" s="8"/>
      <c r="N44" s="2">
        <v>52.790604026845514</v>
      </c>
      <c r="Q44" s="84" t="s">
        <v>24</v>
      </c>
      <c r="R44" s="2">
        <v>52.790604026845514</v>
      </c>
      <c r="S44" s="84" t="s">
        <v>24</v>
      </c>
      <c r="U44"/>
    </row>
    <row r="45" spans="1:22">
      <c r="A45" s="9"/>
      <c r="B45" s="9"/>
      <c r="C45" s="10"/>
      <c r="D45" s="10"/>
      <c r="E45" s="9"/>
      <c r="F45" s="9"/>
      <c r="G45" s="115"/>
      <c r="H45" s="116"/>
      <c r="I45" s="2">
        <v>36.403989209515245</v>
      </c>
      <c r="J45" s="103" t="s">
        <v>25</v>
      </c>
      <c r="K45" s="8"/>
      <c r="N45" s="2">
        <v>36.403989209515245</v>
      </c>
      <c r="O45" s="38"/>
      <c r="Q45" s="84" t="s">
        <v>25</v>
      </c>
      <c r="R45" s="2">
        <v>36.403989209515245</v>
      </c>
      <c r="S45" s="84" t="s">
        <v>25</v>
      </c>
      <c r="U45"/>
    </row>
    <row r="46" spans="1:22">
      <c r="A46" s="9"/>
      <c r="B46" s="9"/>
      <c r="C46" s="10"/>
      <c r="D46" s="10"/>
      <c r="E46" s="9"/>
      <c r="F46" s="9"/>
      <c r="G46" s="115"/>
      <c r="H46" s="116"/>
      <c r="I46" s="2">
        <v>56.943980462365545</v>
      </c>
      <c r="J46" s="103" t="s">
        <v>26</v>
      </c>
      <c r="K46" s="8"/>
      <c r="N46" s="2">
        <v>56.943980462365545</v>
      </c>
      <c r="O46" s="84" t="s">
        <v>7</v>
      </c>
      <c r="Q46" s="84" t="s">
        <v>26</v>
      </c>
      <c r="R46" s="2">
        <v>56.943980462365545</v>
      </c>
      <c r="S46" s="84" t="s">
        <v>26</v>
      </c>
      <c r="U46"/>
    </row>
    <row r="47" spans="1:22">
      <c r="A47" s="9"/>
      <c r="B47" s="9"/>
      <c r="C47" s="10"/>
      <c r="D47" s="10"/>
      <c r="E47" s="9"/>
      <c r="F47" s="9"/>
      <c r="G47" s="115"/>
      <c r="H47" s="116"/>
      <c r="I47" s="2">
        <v>56.943980462365545</v>
      </c>
      <c r="J47" s="103" t="s">
        <v>26</v>
      </c>
      <c r="K47" s="8"/>
      <c r="N47" s="2">
        <v>56.943980462365545</v>
      </c>
      <c r="O47" s="84" t="s">
        <v>8</v>
      </c>
      <c r="Q47" s="84" t="s">
        <v>26</v>
      </c>
      <c r="R47" s="2">
        <v>56.943980462365545</v>
      </c>
      <c r="S47" s="84" t="s">
        <v>26</v>
      </c>
      <c r="U47"/>
    </row>
    <row r="48" spans="1:22">
      <c r="I48" s="2">
        <v>56.943980462365545</v>
      </c>
      <c r="J48" s="103" t="s">
        <v>26</v>
      </c>
      <c r="N48" s="2">
        <v>56.943980462365545</v>
      </c>
      <c r="O48" s="84" t="s">
        <v>8</v>
      </c>
      <c r="Q48" s="84" t="s">
        <v>26</v>
      </c>
      <c r="R48" s="2">
        <v>56.943980462365545</v>
      </c>
      <c r="S48" s="84" t="s">
        <v>26</v>
      </c>
      <c r="U48"/>
    </row>
    <row r="49" spans="1:21">
      <c r="I49" s="2">
        <v>47.125384318139616</v>
      </c>
      <c r="J49" s="103" t="s">
        <v>27</v>
      </c>
      <c r="N49" s="2">
        <v>47.125384318139616</v>
      </c>
      <c r="O49" s="84" t="s">
        <v>9</v>
      </c>
      <c r="Q49" s="84" t="s">
        <v>27</v>
      </c>
      <c r="R49" s="2">
        <v>47.125384318139616</v>
      </c>
      <c r="S49" s="84" t="s">
        <v>27</v>
      </c>
      <c r="U49"/>
    </row>
    <row r="50" spans="1:21">
      <c r="I50" s="2">
        <v>36.233657496456651</v>
      </c>
      <c r="J50" s="103" t="s">
        <v>28</v>
      </c>
      <c r="N50" s="2">
        <v>36.233657496456651</v>
      </c>
      <c r="O50" s="84" t="s">
        <v>15</v>
      </c>
      <c r="Q50" s="84" t="s">
        <v>28</v>
      </c>
      <c r="R50" s="2">
        <v>36.233657496456651</v>
      </c>
      <c r="S50" s="84" t="s">
        <v>28</v>
      </c>
      <c r="U50"/>
    </row>
    <row r="51" spans="1:21">
      <c r="I51" s="2">
        <v>36.233657496456651</v>
      </c>
      <c r="J51" s="103" t="s">
        <v>28</v>
      </c>
      <c r="N51" s="2">
        <v>36.233657496456651</v>
      </c>
      <c r="O51" s="84" t="s">
        <v>15</v>
      </c>
      <c r="Q51" s="84" t="s">
        <v>28</v>
      </c>
      <c r="R51" s="2">
        <v>36.233657496456651</v>
      </c>
      <c r="S51" s="84" t="s">
        <v>28</v>
      </c>
      <c r="U51"/>
    </row>
    <row r="52" spans="1:21">
      <c r="I52" s="2">
        <v>36.233657496456651</v>
      </c>
      <c r="J52" s="103" t="s">
        <v>28</v>
      </c>
      <c r="N52" s="2">
        <v>36.233657496456651</v>
      </c>
      <c r="O52" s="84" t="s">
        <v>17</v>
      </c>
      <c r="Q52" s="84" t="s">
        <v>28</v>
      </c>
      <c r="R52" s="2">
        <v>36.233657496456651</v>
      </c>
      <c r="S52" s="84" t="s">
        <v>28</v>
      </c>
      <c r="U52"/>
    </row>
    <row r="53" spans="1:21">
      <c r="I53" s="2">
        <v>36.233657496456651</v>
      </c>
      <c r="J53" s="103" t="s">
        <v>28</v>
      </c>
      <c r="N53" s="2">
        <v>36.233657496456651</v>
      </c>
      <c r="O53" s="84" t="s">
        <v>17</v>
      </c>
      <c r="Q53" s="84" t="s">
        <v>28</v>
      </c>
      <c r="R53" s="2">
        <v>36.233657496456651</v>
      </c>
      <c r="S53" s="84" t="s">
        <v>28</v>
      </c>
      <c r="U53"/>
    </row>
    <row r="54" spans="1:21">
      <c r="I54" s="2">
        <v>18.210735586481064</v>
      </c>
      <c r="J54" s="103" t="s">
        <v>29</v>
      </c>
      <c r="N54" s="2">
        <v>18.210735586481064</v>
      </c>
      <c r="O54" s="84" t="s">
        <v>20</v>
      </c>
      <c r="Q54" s="84" t="s">
        <v>29</v>
      </c>
      <c r="R54" s="2">
        <v>18.210735586481064</v>
      </c>
      <c r="S54" s="84" t="s">
        <v>29</v>
      </c>
      <c r="U54"/>
    </row>
    <row r="55" spans="1:21">
      <c r="I55" s="2">
        <v>67.413062242255663</v>
      </c>
      <c r="J55" s="103" t="s">
        <v>30</v>
      </c>
      <c r="N55" s="2">
        <v>67.413062242255663</v>
      </c>
      <c r="O55" s="84" t="s">
        <v>20</v>
      </c>
      <c r="Q55" s="84" t="s">
        <v>30</v>
      </c>
      <c r="R55" s="2">
        <v>67.413062242255663</v>
      </c>
      <c r="S55" s="84" t="s">
        <v>30</v>
      </c>
      <c r="U55"/>
    </row>
    <row r="56" spans="1:21">
      <c r="I56" s="2">
        <v>81.862119909913332</v>
      </c>
      <c r="J56" s="103" t="s">
        <v>31</v>
      </c>
      <c r="N56" s="2">
        <v>81.862119909913332</v>
      </c>
      <c r="O56" s="84" t="s">
        <v>20</v>
      </c>
      <c r="Q56" s="84" t="s">
        <v>31</v>
      </c>
      <c r="R56" s="2">
        <v>81.862119909913332</v>
      </c>
      <c r="S56" s="84" t="s">
        <v>31</v>
      </c>
      <c r="U56"/>
    </row>
    <row r="57" spans="1:21">
      <c r="I57" s="2">
        <v>81.862119909913332</v>
      </c>
      <c r="J57" s="103" t="s">
        <v>31</v>
      </c>
      <c r="N57" s="2">
        <v>81.862119909913332</v>
      </c>
      <c r="O57" s="84" t="s">
        <v>20</v>
      </c>
      <c r="Q57" s="84" t="s">
        <v>31</v>
      </c>
      <c r="R57" s="2">
        <v>81.862119909913332</v>
      </c>
      <c r="S57" s="84" t="s">
        <v>31</v>
      </c>
      <c r="U57"/>
    </row>
    <row r="58" spans="1:21">
      <c r="A58" s="117"/>
      <c r="B58" s="117"/>
      <c r="E58" s="117"/>
      <c r="G58" s="117"/>
      <c r="I58" s="2">
        <v>60.757483325888423</v>
      </c>
      <c r="J58" s="47" t="s">
        <v>32</v>
      </c>
      <c r="N58" s="2">
        <v>60.757483325888423</v>
      </c>
      <c r="O58" s="84" t="s">
        <v>20</v>
      </c>
      <c r="Q58" s="47" t="s">
        <v>32</v>
      </c>
      <c r="R58" s="2">
        <v>60.757483325888423</v>
      </c>
      <c r="S58" s="47" t="s">
        <v>32</v>
      </c>
      <c r="U58"/>
    </row>
    <row r="59" spans="1:21">
      <c r="A59" s="117"/>
      <c r="B59" s="117"/>
      <c r="E59" s="117"/>
      <c r="G59" s="117"/>
      <c r="I59" s="2">
        <v>60.757483325888423</v>
      </c>
      <c r="J59" s="103" t="s">
        <v>32</v>
      </c>
      <c r="N59" s="2">
        <v>60.757483325888423</v>
      </c>
      <c r="O59" s="84" t="s">
        <v>21</v>
      </c>
      <c r="Q59" s="84" t="s">
        <v>32</v>
      </c>
      <c r="R59" s="2">
        <v>60.757483325888423</v>
      </c>
      <c r="S59" s="84" t="s">
        <v>32</v>
      </c>
      <c r="U59"/>
    </row>
    <row r="60" spans="1:21">
      <c r="A60" s="117"/>
      <c r="B60" s="117"/>
      <c r="C60" s="11"/>
      <c r="D60" s="11"/>
      <c r="E60" s="117"/>
      <c r="F60" s="11"/>
      <c r="G60" s="117"/>
      <c r="I60" s="2">
        <v>60.757483325888423</v>
      </c>
      <c r="J60" s="103" t="s">
        <v>32</v>
      </c>
      <c r="N60" s="2">
        <v>60.757483325888423</v>
      </c>
      <c r="O60" s="84" t="s">
        <v>21</v>
      </c>
      <c r="Q60" s="84" t="s">
        <v>32</v>
      </c>
      <c r="R60" s="2">
        <v>60.757483325888423</v>
      </c>
      <c r="S60" s="84" t="s">
        <v>32</v>
      </c>
      <c r="U60"/>
    </row>
    <row r="61" spans="1:21">
      <c r="A61" s="117"/>
      <c r="B61" s="117"/>
      <c r="E61" s="117"/>
      <c r="G61" s="117"/>
      <c r="I61" s="2">
        <v>28.628920344157621</v>
      </c>
      <c r="J61" s="56" t="s">
        <v>33</v>
      </c>
      <c r="N61" s="2">
        <v>28.628920344157621</v>
      </c>
      <c r="O61" s="84" t="s">
        <v>23</v>
      </c>
      <c r="Q61" s="56" t="s">
        <v>33</v>
      </c>
      <c r="R61" s="2">
        <v>28.628920344157621</v>
      </c>
      <c r="S61" s="56" t="s">
        <v>33</v>
      </c>
      <c r="U61"/>
    </row>
    <row r="62" spans="1:21">
      <c r="A62" s="13"/>
      <c r="B62" s="14"/>
      <c r="C62" s="118"/>
      <c r="D62" s="117"/>
      <c r="E62" s="117"/>
      <c r="F62" s="13"/>
      <c r="G62" s="117"/>
      <c r="I62" s="2">
        <v>38.382228024965343</v>
      </c>
      <c r="J62" s="103" t="s">
        <v>34</v>
      </c>
      <c r="N62" s="2">
        <v>38.382228024965343</v>
      </c>
      <c r="O62" s="84" t="s">
        <v>26</v>
      </c>
      <c r="Q62" s="84" t="s">
        <v>34</v>
      </c>
      <c r="R62" s="2">
        <v>38.382228024965343</v>
      </c>
      <c r="S62" s="84" t="s">
        <v>34</v>
      </c>
      <c r="U62"/>
    </row>
    <row r="63" spans="1:21">
      <c r="A63" s="13"/>
      <c r="B63" s="14"/>
      <c r="C63" s="118"/>
      <c r="D63" s="117"/>
      <c r="E63" s="117"/>
      <c r="F63" s="13"/>
      <c r="G63" s="117"/>
      <c r="I63" s="2">
        <v>38.382228024965343</v>
      </c>
      <c r="J63" s="103" t="s">
        <v>34</v>
      </c>
      <c r="N63" s="2">
        <v>38.382228024965343</v>
      </c>
      <c r="O63" s="84" t="s">
        <v>26</v>
      </c>
      <c r="Q63" s="84" t="s">
        <v>34</v>
      </c>
      <c r="R63" s="2">
        <v>38.382228024965343</v>
      </c>
      <c r="S63" s="84" t="s">
        <v>34</v>
      </c>
      <c r="U63"/>
    </row>
    <row r="64" spans="1:21">
      <c r="A64" s="13"/>
      <c r="B64" s="14"/>
      <c r="E64" s="117"/>
      <c r="G64" s="117"/>
      <c r="I64" s="2">
        <v>38.382228024965343</v>
      </c>
      <c r="J64" s="103" t="s">
        <v>34</v>
      </c>
      <c r="N64" s="2">
        <v>38.382228024965343</v>
      </c>
      <c r="O64" s="84" t="s">
        <v>28</v>
      </c>
      <c r="Q64" s="84" t="s">
        <v>34</v>
      </c>
      <c r="R64" s="2">
        <v>38.382228024965343</v>
      </c>
      <c r="S64" s="84" t="s">
        <v>34</v>
      </c>
      <c r="U64"/>
    </row>
    <row r="65" spans="1:25" ht="17" thickBot="1">
      <c r="A65" s="13"/>
      <c r="B65" s="14"/>
      <c r="E65" s="117"/>
      <c r="G65" s="117"/>
      <c r="I65" s="2">
        <v>44.829437382694081</v>
      </c>
      <c r="J65" s="103" t="s">
        <v>35</v>
      </c>
      <c r="N65" s="2">
        <v>44.829437382694081</v>
      </c>
      <c r="O65" s="84" t="s">
        <v>28</v>
      </c>
      <c r="Q65" s="84" t="s">
        <v>35</v>
      </c>
      <c r="R65" s="2">
        <v>44.829437382694081</v>
      </c>
      <c r="S65" s="84" t="s">
        <v>35</v>
      </c>
      <c r="U65"/>
    </row>
    <row r="66" spans="1:25" ht="17" thickBot="1">
      <c r="A66" s="13"/>
      <c r="B66" s="15"/>
      <c r="C66" s="12"/>
      <c r="D66" s="11"/>
      <c r="E66" s="117"/>
      <c r="F66" s="11"/>
      <c r="G66" s="117"/>
      <c r="I66" s="2">
        <v>44.829437382694081</v>
      </c>
      <c r="J66" s="103" t="s">
        <v>35</v>
      </c>
      <c r="K66" s="21"/>
      <c r="L66" s="21"/>
      <c r="M66" s="21"/>
      <c r="N66" s="2">
        <v>44.829437382694081</v>
      </c>
      <c r="O66" s="84" t="s">
        <v>28</v>
      </c>
      <c r="P66" s="21"/>
      <c r="Q66" s="84" t="s">
        <v>35</v>
      </c>
      <c r="R66" s="2">
        <v>44.829437382694081</v>
      </c>
      <c r="S66" s="84" t="s">
        <v>35</v>
      </c>
      <c r="T66" s="21"/>
      <c r="U66"/>
      <c r="W66" s="21"/>
    </row>
    <row r="67" spans="1:25" ht="17" thickBot="1">
      <c r="A67" s="13"/>
      <c r="B67" s="14"/>
      <c r="E67" s="117"/>
      <c r="G67" s="117"/>
      <c r="I67" s="2">
        <v>44.829437382694081</v>
      </c>
      <c r="J67" s="103" t="s">
        <v>35</v>
      </c>
      <c r="K67" s="21"/>
      <c r="L67" s="22"/>
      <c r="M67" s="22"/>
      <c r="N67" s="2">
        <v>44.829437382694081</v>
      </c>
      <c r="O67" s="84" t="s">
        <v>31</v>
      </c>
      <c r="P67" s="21"/>
      <c r="Q67" s="84" t="s">
        <v>35</v>
      </c>
      <c r="R67" s="2">
        <v>44.829437382694081</v>
      </c>
      <c r="S67" s="84" t="s">
        <v>35</v>
      </c>
      <c r="T67" s="21"/>
      <c r="U67"/>
      <c r="W67" s="21"/>
    </row>
    <row r="68" spans="1:25" ht="17" thickBot="1">
      <c r="A68" s="13"/>
      <c r="B68" s="14"/>
      <c r="E68" s="117"/>
      <c r="G68" s="117"/>
      <c r="I68" s="2">
        <v>52.157499369334843</v>
      </c>
      <c r="J68" s="103" t="s">
        <v>36</v>
      </c>
      <c r="K68" s="21"/>
      <c r="L68" s="22"/>
      <c r="M68" s="22"/>
      <c r="N68" s="2">
        <v>52.157499369334843</v>
      </c>
      <c r="O68" s="84" t="s">
        <v>32</v>
      </c>
      <c r="P68" s="21"/>
      <c r="Q68" s="84" t="s">
        <v>36</v>
      </c>
      <c r="R68" s="2">
        <v>52.157499369334843</v>
      </c>
      <c r="S68" s="84" t="s">
        <v>36</v>
      </c>
      <c r="T68" s="21"/>
      <c r="U68"/>
      <c r="W68" s="21"/>
    </row>
    <row r="69" spans="1:25" ht="17" thickBot="1">
      <c r="A69" s="13"/>
      <c r="B69" s="15"/>
      <c r="E69" s="117"/>
      <c r="G69" s="117"/>
      <c r="I69" s="2">
        <v>52.157499369334843</v>
      </c>
      <c r="J69" s="103" t="s">
        <v>36</v>
      </c>
      <c r="K69" s="21"/>
      <c r="L69" s="22"/>
      <c r="M69" s="22"/>
      <c r="N69" s="2">
        <v>52.157499369334843</v>
      </c>
      <c r="O69" s="84" t="s">
        <v>32</v>
      </c>
      <c r="P69" s="21"/>
      <c r="Q69" s="84" t="s">
        <v>36</v>
      </c>
      <c r="R69" s="2">
        <v>52.157499369334843</v>
      </c>
      <c r="S69" s="84" t="s">
        <v>36</v>
      </c>
      <c r="T69" s="21"/>
      <c r="U69"/>
      <c r="W69" s="21"/>
    </row>
    <row r="70" spans="1:25" ht="17" thickBot="1">
      <c r="A70" s="13"/>
      <c r="B70" s="14"/>
      <c r="C70" s="12"/>
      <c r="D70" s="11"/>
      <c r="E70" s="117"/>
      <c r="F70" s="11"/>
      <c r="G70" s="117"/>
      <c r="I70" s="2">
        <v>57.318880091165099</v>
      </c>
      <c r="J70" s="56" t="s">
        <v>37</v>
      </c>
      <c r="K70" s="23"/>
      <c r="L70" s="24"/>
      <c r="M70" s="24"/>
      <c r="N70" s="2">
        <v>57.318880091165099</v>
      </c>
      <c r="O70" s="84" t="s">
        <v>34</v>
      </c>
      <c r="Q70" s="56" t="s">
        <v>37</v>
      </c>
      <c r="R70" s="2">
        <v>57.318880091165099</v>
      </c>
      <c r="S70" s="56" t="s">
        <v>37</v>
      </c>
      <c r="U70"/>
    </row>
    <row r="71" spans="1:25" ht="17" thickBot="1">
      <c r="A71" s="13"/>
      <c r="B71" s="14"/>
      <c r="E71" s="117"/>
      <c r="G71" s="117"/>
      <c r="I71" s="2">
        <v>57.318880091165099</v>
      </c>
      <c r="J71" s="56" t="s">
        <v>37</v>
      </c>
      <c r="N71" s="2">
        <v>57.318880091165099</v>
      </c>
      <c r="O71" s="84" t="s">
        <v>34</v>
      </c>
      <c r="Q71" s="56" t="s">
        <v>37</v>
      </c>
      <c r="R71" s="2">
        <v>57.318880091165099</v>
      </c>
      <c r="S71" s="56" t="s">
        <v>37</v>
      </c>
      <c r="T71" s="23"/>
      <c r="U71"/>
      <c r="V71" s="23"/>
    </row>
    <row r="72" spans="1:25">
      <c r="A72" s="13"/>
      <c r="B72" s="14"/>
      <c r="C72" s="119"/>
      <c r="D72" s="117"/>
      <c r="F72" s="13"/>
      <c r="G72" s="117"/>
      <c r="I72" s="2">
        <v>57.318880091165099</v>
      </c>
      <c r="J72" s="56" t="s">
        <v>37</v>
      </c>
      <c r="N72" s="2">
        <v>57.318880091165099</v>
      </c>
      <c r="O72" s="84" t="s">
        <v>35</v>
      </c>
      <c r="Q72" s="56" t="s">
        <v>37</v>
      </c>
      <c r="R72" s="2">
        <v>57.318880091165099</v>
      </c>
      <c r="S72" s="56" t="s">
        <v>37</v>
      </c>
      <c r="U72"/>
    </row>
    <row r="73" spans="1:25" ht="17" thickBot="1">
      <c r="A73" s="13"/>
      <c r="B73" s="14"/>
      <c r="C73" s="119"/>
      <c r="D73" s="117"/>
      <c r="F73" s="13"/>
      <c r="G73" s="117"/>
      <c r="I73" s="2">
        <v>57.318880091165099</v>
      </c>
      <c r="J73" s="56" t="s">
        <v>37</v>
      </c>
      <c r="N73" s="2">
        <v>57.318880091165099</v>
      </c>
      <c r="O73" s="84" t="s">
        <v>35</v>
      </c>
      <c r="Q73" s="56" t="s">
        <v>37</v>
      </c>
      <c r="R73" s="2">
        <v>57.318880091165099</v>
      </c>
      <c r="S73" s="56" t="s">
        <v>37</v>
      </c>
      <c r="U73"/>
    </row>
    <row r="74" spans="1:25" ht="17" thickBot="1">
      <c r="A74" s="13"/>
      <c r="B74" s="14"/>
      <c r="C74" s="119"/>
      <c r="D74" s="117"/>
      <c r="E74" s="11"/>
      <c r="F74" s="13"/>
      <c r="G74" s="117"/>
      <c r="I74" s="2">
        <v>40.11004279119441</v>
      </c>
      <c r="J74" s="47" t="s">
        <v>38</v>
      </c>
      <c r="K74" s="19"/>
      <c r="L74" s="19"/>
      <c r="M74" s="19"/>
      <c r="N74" s="2">
        <v>40.11004279119441</v>
      </c>
      <c r="O74" s="84" t="s">
        <v>36</v>
      </c>
      <c r="P74" s="19"/>
      <c r="Q74" s="47" t="s">
        <v>38</v>
      </c>
      <c r="R74" s="2">
        <v>40.11004279119441</v>
      </c>
      <c r="S74" s="47" t="s">
        <v>38</v>
      </c>
      <c r="U74"/>
    </row>
    <row r="75" spans="1:25" ht="17" thickBot="1">
      <c r="A75" s="13"/>
      <c r="B75" s="14"/>
      <c r="C75" s="119"/>
      <c r="D75" s="117"/>
      <c r="F75" s="13"/>
      <c r="G75" s="117"/>
      <c r="I75" s="2">
        <v>40.11004279119441</v>
      </c>
      <c r="J75" s="103" t="s">
        <v>38</v>
      </c>
      <c r="K75" s="19"/>
      <c r="L75" s="19"/>
      <c r="M75" s="19"/>
      <c r="N75" s="2">
        <v>40.11004279119441</v>
      </c>
      <c r="O75" s="56" t="s">
        <v>37</v>
      </c>
      <c r="P75" s="19"/>
      <c r="Q75" s="84" t="s">
        <v>38</v>
      </c>
      <c r="R75" s="2">
        <v>40.11004279119441</v>
      </c>
      <c r="S75" s="84" t="s">
        <v>38</v>
      </c>
      <c r="U75"/>
    </row>
    <row r="76" spans="1:25" ht="17" thickBot="1">
      <c r="A76" s="13"/>
      <c r="B76" s="14"/>
      <c r="C76" s="119"/>
      <c r="D76" s="117"/>
      <c r="E76" s="117"/>
      <c r="F76" s="13"/>
      <c r="G76" s="117"/>
      <c r="I76" s="2">
        <v>40.11004279119441</v>
      </c>
      <c r="J76" s="103" t="s">
        <v>38</v>
      </c>
      <c r="K76" s="19"/>
      <c r="L76" s="19"/>
      <c r="M76" s="19"/>
      <c r="N76" s="2">
        <v>40.11004279119441</v>
      </c>
      <c r="O76" s="56" t="s">
        <v>37</v>
      </c>
      <c r="P76" s="19"/>
      <c r="Q76" s="84" t="s">
        <v>38</v>
      </c>
      <c r="R76" s="2">
        <v>40.11004279119441</v>
      </c>
      <c r="S76" s="84" t="s">
        <v>38</v>
      </c>
      <c r="U76"/>
    </row>
    <row r="77" spans="1:25" ht="17" thickBot="1">
      <c r="A77" s="13"/>
      <c r="B77" s="14"/>
      <c r="C77" s="119"/>
      <c r="D77" s="117"/>
      <c r="E77" s="117"/>
      <c r="F77" s="13"/>
      <c r="G77" s="117"/>
      <c r="I77" s="2">
        <v>27.452749036407944</v>
      </c>
      <c r="J77" s="76" t="s">
        <v>39</v>
      </c>
      <c r="K77" s="19"/>
      <c r="L77" s="19"/>
      <c r="M77" s="19"/>
      <c r="N77" s="2">
        <v>27.452749036407944</v>
      </c>
      <c r="O77" s="56" t="s">
        <v>37</v>
      </c>
      <c r="P77" s="19"/>
      <c r="Q77" s="76" t="s">
        <v>39</v>
      </c>
      <c r="R77" s="2">
        <v>27.452749036407944</v>
      </c>
      <c r="S77" s="76" t="s">
        <v>39</v>
      </c>
      <c r="U77"/>
    </row>
    <row r="78" spans="1:25" ht="17" thickBot="1">
      <c r="A78" s="13"/>
      <c r="B78" s="14"/>
      <c r="C78" s="119"/>
      <c r="D78" s="117"/>
      <c r="E78" s="117"/>
      <c r="F78" s="13"/>
      <c r="G78" s="117"/>
      <c r="I78" s="2">
        <v>27.452749036407944</v>
      </c>
      <c r="J78" s="76" t="s">
        <v>39</v>
      </c>
      <c r="K78" s="19"/>
      <c r="L78" s="19"/>
      <c r="M78" s="19"/>
      <c r="N78" s="2">
        <v>27.452749036407944</v>
      </c>
      <c r="O78" s="84" t="s">
        <v>38</v>
      </c>
      <c r="P78" s="19"/>
      <c r="Q78" s="76" t="s">
        <v>39</v>
      </c>
      <c r="R78" s="2">
        <v>27.452749036407944</v>
      </c>
      <c r="S78" s="76" t="s">
        <v>39</v>
      </c>
      <c r="U78"/>
    </row>
    <row r="79" spans="1:25" ht="17" thickBot="1">
      <c r="A79" s="13"/>
      <c r="B79" s="14"/>
      <c r="C79" s="119"/>
      <c r="D79" s="117"/>
      <c r="E79" s="117"/>
      <c r="F79" s="13"/>
      <c r="G79" s="117"/>
      <c r="I79" s="2">
        <v>27.452749036407944</v>
      </c>
      <c r="J79" s="76" t="s">
        <v>39</v>
      </c>
      <c r="N79" s="2">
        <v>27.452749036407944</v>
      </c>
      <c r="O79" s="84" t="s">
        <v>38</v>
      </c>
      <c r="Q79" s="76" t="s">
        <v>39</v>
      </c>
      <c r="R79" s="2">
        <v>27.452749036407944</v>
      </c>
      <c r="S79" s="76" t="s">
        <v>39</v>
      </c>
      <c r="U79"/>
    </row>
    <row r="80" spans="1:25" ht="17" thickBot="1">
      <c r="A80" s="13"/>
      <c r="B80" s="14"/>
      <c r="C80" s="119"/>
      <c r="D80" s="117"/>
      <c r="E80" s="117"/>
      <c r="F80" s="13"/>
      <c r="G80" s="117"/>
      <c r="I80" s="2">
        <v>27.452749036407944</v>
      </c>
      <c r="J80" s="76" t="s">
        <v>39</v>
      </c>
      <c r="K80" s="21"/>
      <c r="L80" s="21"/>
      <c r="M80" s="21"/>
      <c r="N80" s="2">
        <v>27.452749036407944</v>
      </c>
      <c r="O80" s="76" t="s">
        <v>39</v>
      </c>
      <c r="P80" s="21"/>
      <c r="Q80" s="76" t="s">
        <v>39</v>
      </c>
      <c r="R80" s="2">
        <v>27.452749036407944</v>
      </c>
      <c r="S80" s="76" t="s">
        <v>39</v>
      </c>
      <c r="T80" s="18"/>
      <c r="U80"/>
      <c r="V80" s="19"/>
      <c r="W80" s="19"/>
      <c r="X80" s="19"/>
      <c r="Y80" s="19"/>
    </row>
    <row r="81" spans="1:25" ht="17" thickBot="1">
      <c r="A81" s="13"/>
      <c r="B81" s="14"/>
      <c r="C81" s="119"/>
      <c r="D81" s="117"/>
      <c r="E81" s="117"/>
      <c r="F81" s="13"/>
      <c r="G81" s="117"/>
      <c r="I81" s="2">
        <v>27.452749036407944</v>
      </c>
      <c r="J81" s="76" t="s">
        <v>39</v>
      </c>
      <c r="K81" s="21"/>
      <c r="L81" s="26"/>
      <c r="M81" s="26"/>
      <c r="N81" s="2">
        <v>27.452749036407944</v>
      </c>
      <c r="O81" s="76" t="s">
        <v>39</v>
      </c>
      <c r="P81" s="21"/>
      <c r="Q81" s="76" t="s">
        <v>39</v>
      </c>
      <c r="R81" s="2">
        <v>27.452749036407944</v>
      </c>
      <c r="S81" s="76" t="s">
        <v>39</v>
      </c>
      <c r="T81" s="18"/>
      <c r="U81"/>
      <c r="V81" s="19"/>
      <c r="W81" s="19"/>
      <c r="X81" s="19"/>
      <c r="Y81" s="19"/>
    </row>
    <row r="82" spans="1:25" ht="17" thickBot="1">
      <c r="A82" s="13"/>
      <c r="B82" s="14"/>
      <c r="C82" s="119"/>
      <c r="D82" s="120"/>
      <c r="E82" s="120"/>
      <c r="F82" s="16"/>
      <c r="G82" s="120"/>
      <c r="I82" s="2">
        <v>46.669835320754423</v>
      </c>
      <c r="J82" s="103" t="s">
        <v>40</v>
      </c>
      <c r="K82" s="21"/>
      <c r="L82" s="21"/>
      <c r="M82" s="21"/>
      <c r="N82" s="2">
        <v>46.669835320754423</v>
      </c>
      <c r="O82" s="76" t="s">
        <v>39</v>
      </c>
      <c r="P82" s="21"/>
      <c r="Q82" s="84" t="s">
        <v>40</v>
      </c>
      <c r="R82" s="2">
        <v>46.669835320754423</v>
      </c>
      <c r="S82" s="84" t="s">
        <v>40</v>
      </c>
      <c r="T82" s="18"/>
      <c r="U82"/>
      <c r="V82" s="19"/>
      <c r="W82" s="19"/>
      <c r="X82" s="19"/>
      <c r="Y82" s="19"/>
    </row>
    <row r="83" spans="1:25" ht="17" thickBot="1">
      <c r="A83" s="13"/>
      <c r="B83" s="14"/>
      <c r="C83" s="119"/>
      <c r="D83" s="120"/>
      <c r="E83" s="120"/>
      <c r="F83" s="16"/>
      <c r="G83" s="120"/>
      <c r="I83" s="2">
        <v>46.669835320754423</v>
      </c>
      <c r="J83" s="103" t="s">
        <v>40</v>
      </c>
      <c r="K83" s="21"/>
      <c r="L83" s="26"/>
      <c r="M83" s="26"/>
      <c r="N83" s="2">
        <v>46.669835320754423</v>
      </c>
      <c r="O83" s="76" t="s">
        <v>39</v>
      </c>
      <c r="P83" s="21"/>
      <c r="Q83" s="84" t="s">
        <v>40</v>
      </c>
      <c r="R83" s="2">
        <v>46.669835320754423</v>
      </c>
      <c r="S83" s="84" t="s">
        <v>40</v>
      </c>
      <c r="T83" s="18"/>
      <c r="U83"/>
      <c r="V83" s="19"/>
      <c r="W83" s="19"/>
      <c r="X83" s="19"/>
      <c r="Y83" s="19"/>
    </row>
    <row r="84" spans="1:25" ht="17" thickBot="1">
      <c r="A84" s="13"/>
      <c r="B84" s="14"/>
      <c r="C84" s="119"/>
      <c r="D84" s="120"/>
      <c r="E84" s="120"/>
      <c r="F84" s="16"/>
      <c r="G84" s="120"/>
      <c r="I84" s="2">
        <v>46.669835320754423</v>
      </c>
      <c r="J84" s="103" t="s">
        <v>40</v>
      </c>
      <c r="K84" s="21"/>
      <c r="L84" s="21"/>
      <c r="M84" s="21"/>
      <c r="N84" s="2">
        <v>46.669835320754423</v>
      </c>
      <c r="O84" s="84" t="s">
        <v>40</v>
      </c>
      <c r="P84" s="21"/>
      <c r="Q84" s="84" t="s">
        <v>40</v>
      </c>
      <c r="R84" s="2">
        <v>46.669835320754423</v>
      </c>
      <c r="S84" s="84" t="s">
        <v>40</v>
      </c>
      <c r="U84"/>
    </row>
    <row r="85" spans="1:25">
      <c r="I85" s="2">
        <v>95.759417211544132</v>
      </c>
      <c r="J85" s="103">
        <v>603886</v>
      </c>
      <c r="K85" s="27"/>
      <c r="M85"/>
      <c r="N85" s="2">
        <v>95.759417211544132</v>
      </c>
      <c r="O85" s="84" t="s">
        <v>40</v>
      </c>
      <c r="Q85" s="84">
        <v>603886</v>
      </c>
      <c r="R85" s="2">
        <v>95.759417211544132</v>
      </c>
      <c r="S85" s="84">
        <v>603886</v>
      </c>
      <c r="U85"/>
    </row>
    <row r="86" spans="1:25">
      <c r="I86" s="2">
        <v>95.759417211544132</v>
      </c>
      <c r="J86" s="103">
        <v>603886</v>
      </c>
      <c r="N86" s="2">
        <v>95.759417211544132</v>
      </c>
      <c r="O86" s="84">
        <v>603886</v>
      </c>
      <c r="Q86" s="84">
        <v>603886</v>
      </c>
      <c r="R86" s="2">
        <v>95.759417211544132</v>
      </c>
      <c r="S86" s="84">
        <v>603886</v>
      </c>
      <c r="U86"/>
    </row>
    <row r="87" spans="1:25">
      <c r="I87" s="2">
        <v>95.759417211544132</v>
      </c>
      <c r="J87" s="103">
        <v>603886</v>
      </c>
      <c r="N87" s="2">
        <v>95.759417211544132</v>
      </c>
      <c r="O87" s="84">
        <v>603886</v>
      </c>
      <c r="Q87" s="84">
        <v>603886</v>
      </c>
      <c r="R87" s="2">
        <v>95.759417211544132</v>
      </c>
      <c r="S87" s="84">
        <v>603886</v>
      </c>
      <c r="U87"/>
    </row>
    <row r="88" spans="1:25" ht="17" thickBot="1">
      <c r="U88"/>
    </row>
    <row r="89" spans="1:25" ht="17" thickBot="1">
      <c r="K89" s="19"/>
      <c r="L89" s="19"/>
      <c r="M89" s="19"/>
      <c r="P89" s="19"/>
      <c r="U89"/>
    </row>
    <row r="90" spans="1:25" ht="17" thickBot="1">
      <c r="K90" s="18"/>
      <c r="L90" s="18"/>
      <c r="M90" s="19"/>
      <c r="P90" s="19"/>
      <c r="U90"/>
    </row>
    <row r="91" spans="1:25" ht="17" thickBot="1">
      <c r="K91" s="18"/>
      <c r="L91" s="18"/>
      <c r="M91" s="19"/>
      <c r="P91" s="19"/>
      <c r="U91"/>
    </row>
    <row r="92" spans="1:25" ht="17" thickBot="1">
      <c r="K92" s="18"/>
      <c r="L92" s="18"/>
      <c r="M92" s="19"/>
      <c r="P92" s="19"/>
      <c r="U92"/>
    </row>
    <row r="93" spans="1:25" ht="17" thickBot="1">
      <c r="U93"/>
    </row>
    <row r="94" spans="1:25" ht="17" thickBot="1">
      <c r="K94" s="19"/>
      <c r="L94" s="19"/>
      <c r="M94" s="19"/>
      <c r="P94" s="19"/>
      <c r="U94"/>
    </row>
    <row r="95" spans="1:25" ht="17" thickBot="1">
      <c r="K95" s="18"/>
      <c r="L95" s="18"/>
      <c r="M95" s="19"/>
      <c r="P95" s="19"/>
      <c r="U95"/>
    </row>
    <row r="96" spans="1:25" ht="17" thickBot="1">
      <c r="K96" s="18"/>
      <c r="L96" s="18"/>
      <c r="M96" s="19"/>
      <c r="P96" s="19"/>
      <c r="U96"/>
    </row>
    <row r="97" spans="11:21" ht="17" thickBot="1">
      <c r="K97" s="18"/>
      <c r="L97" s="18"/>
      <c r="M97" s="19"/>
      <c r="P97" s="19"/>
      <c r="U97"/>
    </row>
    <row r="98" spans="11:21" ht="17" thickBot="1">
      <c r="U98"/>
    </row>
    <row r="99" spans="11:21" ht="17" thickBot="1">
      <c r="K99" s="21"/>
      <c r="L99" s="21"/>
      <c r="M99" s="21"/>
      <c r="P99" s="21"/>
      <c r="U99"/>
    </row>
    <row r="100" spans="11:21" ht="17" thickBot="1">
      <c r="K100" s="26"/>
      <c r="L100" s="26"/>
      <c r="M100" s="21"/>
      <c r="P100" s="21"/>
      <c r="U100"/>
    </row>
    <row r="101" spans="11:21" ht="17" thickBot="1">
      <c r="K101" s="21"/>
      <c r="L101" s="21"/>
      <c r="M101" s="21"/>
      <c r="P101" s="21"/>
      <c r="U101"/>
    </row>
    <row r="102" spans="11:21" ht="17" thickBot="1">
      <c r="K102" s="26"/>
      <c r="L102" s="26"/>
      <c r="M102" s="26"/>
      <c r="P102" s="21"/>
      <c r="U102"/>
    </row>
    <row r="103" spans="11:21" ht="17" thickBot="1">
      <c r="K103" s="26"/>
      <c r="L103" s="26"/>
      <c r="M103" s="26"/>
      <c r="P103" s="21"/>
      <c r="U103"/>
    </row>
    <row r="104" spans="11:21" ht="17" thickBot="1">
      <c r="K104" s="19"/>
      <c r="L104" s="19"/>
      <c r="M104" s="19"/>
      <c r="P104" s="19"/>
      <c r="U104"/>
    </row>
    <row r="105" spans="11:21" ht="17" thickBot="1">
      <c r="K105" s="18"/>
      <c r="L105" s="18"/>
      <c r="M105" s="19"/>
      <c r="P105" s="19"/>
      <c r="U105"/>
    </row>
    <row r="106" spans="11:21" ht="17" thickBot="1">
      <c r="K106" s="18"/>
      <c r="L106" s="18"/>
      <c r="M106" s="19"/>
      <c r="P106" s="19"/>
      <c r="U106"/>
    </row>
    <row r="107" spans="11:21" ht="17" thickBot="1">
      <c r="K107" s="18"/>
      <c r="L107" s="18"/>
      <c r="M107" s="19"/>
      <c r="P107" s="19"/>
      <c r="U107"/>
    </row>
    <row r="108" spans="11:21" ht="17" thickBot="1">
      <c r="U108"/>
    </row>
    <row r="109" spans="11:21" ht="17" thickBot="1">
      <c r="K109" s="19"/>
      <c r="L109" s="19"/>
      <c r="M109" s="19"/>
      <c r="P109" s="19"/>
      <c r="U109"/>
    </row>
    <row r="110" spans="11:21" ht="17" thickBot="1">
      <c r="K110" s="18"/>
      <c r="L110" s="18"/>
      <c r="M110" s="19"/>
      <c r="P110" s="19"/>
      <c r="U110"/>
    </row>
    <row r="111" spans="11:21" ht="17" thickBot="1">
      <c r="K111" s="18"/>
      <c r="L111" s="18"/>
      <c r="M111" s="18"/>
      <c r="P111" s="19"/>
      <c r="U111"/>
    </row>
    <row r="112" spans="11:21" ht="17" thickBot="1">
      <c r="K112" s="19"/>
      <c r="L112" s="19"/>
      <c r="M112" s="19"/>
      <c r="P112" s="19"/>
      <c r="U112"/>
    </row>
    <row r="113" spans="11:21" ht="17" thickBot="1">
      <c r="K113" s="18"/>
      <c r="L113" s="18"/>
      <c r="M113" s="19"/>
      <c r="P113" s="19"/>
      <c r="U113"/>
    </row>
    <row r="114" spans="11:21" ht="17" thickBot="1">
      <c r="K114" s="18"/>
      <c r="L114" s="18"/>
      <c r="M114" s="19"/>
      <c r="P114" s="19"/>
      <c r="U114"/>
    </row>
    <row r="115" spans="11:21" ht="17" thickBot="1">
      <c r="U115"/>
    </row>
    <row r="116" spans="11:21" ht="17" thickBot="1">
      <c r="K116" s="19"/>
      <c r="L116" s="19"/>
      <c r="M116" s="19"/>
      <c r="P116" s="19"/>
      <c r="U116"/>
    </row>
    <row r="117" spans="11:21" ht="17" thickBot="1">
      <c r="K117" s="18"/>
      <c r="L117" s="18"/>
      <c r="M117" s="18"/>
      <c r="P117" s="19"/>
      <c r="U117"/>
    </row>
    <row r="118" spans="11:21" ht="17" thickBot="1">
      <c r="K118" s="18"/>
      <c r="L118" s="18"/>
      <c r="M118" s="18"/>
      <c r="P118" s="19"/>
      <c r="U118"/>
    </row>
    <row r="119" spans="11:21" ht="17" thickBot="1">
      <c r="K119" s="18"/>
      <c r="L119" s="18"/>
      <c r="M119" s="18"/>
      <c r="P119" s="19"/>
      <c r="U119"/>
    </row>
    <row r="120" spans="11:21" ht="17" thickBot="1">
      <c r="U120"/>
    </row>
    <row r="121" spans="11:21" ht="17" thickBot="1">
      <c r="K121" s="18"/>
      <c r="L121" s="18"/>
      <c r="M121" s="19"/>
      <c r="P121" s="19"/>
      <c r="U121"/>
    </row>
    <row r="122" spans="11:21" ht="17" thickBot="1">
      <c r="K122" s="18"/>
      <c r="L122" s="18"/>
      <c r="M122" s="19"/>
      <c r="P122" s="19"/>
      <c r="U122"/>
    </row>
    <row r="123" spans="11:21" ht="17" thickBot="1">
      <c r="K123" s="18"/>
      <c r="L123" s="18"/>
      <c r="M123" s="19"/>
      <c r="P123" s="19"/>
      <c r="U123"/>
    </row>
    <row r="124" spans="11:21">
      <c r="U124"/>
    </row>
    <row r="125" spans="11:21" ht="17" thickBot="1">
      <c r="U125"/>
    </row>
    <row r="126" spans="11:21" ht="17" thickBot="1">
      <c r="K126" s="19"/>
      <c r="L126" s="19"/>
      <c r="M126" s="19"/>
      <c r="P126" s="19"/>
      <c r="U126"/>
    </row>
    <row r="127" spans="11:21" ht="17" thickBot="1">
      <c r="K127" s="19"/>
      <c r="P127" s="19"/>
      <c r="U127"/>
    </row>
    <row r="128" spans="11:21" ht="17" thickBot="1">
      <c r="K128" s="19"/>
      <c r="P128" s="19"/>
      <c r="U128"/>
    </row>
    <row r="129" spans="11:21" ht="17" thickBot="1">
      <c r="K129" s="19"/>
      <c r="P129" s="19"/>
      <c r="U129"/>
    </row>
    <row r="130" spans="11:21" ht="17" thickBot="1">
      <c r="U130"/>
    </row>
    <row r="131" spans="11:21" ht="17" thickBot="1">
      <c r="K131" s="19"/>
      <c r="L131" s="19"/>
      <c r="M131" s="19"/>
      <c r="P131" s="19"/>
      <c r="U131"/>
    </row>
    <row r="132" spans="11:21" ht="17" thickBot="1">
      <c r="K132" s="18"/>
      <c r="L132" s="18"/>
      <c r="M132" s="19"/>
      <c r="P132" s="19"/>
      <c r="U132"/>
    </row>
    <row r="133" spans="11:21" ht="17" thickBot="1">
      <c r="K133" s="18"/>
      <c r="L133" s="18"/>
      <c r="M133" s="19"/>
      <c r="P133" s="19"/>
      <c r="U133"/>
    </row>
    <row r="134" spans="11:21" ht="17" thickBot="1">
      <c r="K134" s="18"/>
      <c r="L134" s="18"/>
      <c r="M134" s="19"/>
      <c r="P134" s="19"/>
      <c r="U134"/>
    </row>
    <row r="135" spans="11:21" ht="17" thickBot="1">
      <c r="U135"/>
    </row>
    <row r="136" spans="11:21" ht="17" thickBot="1">
      <c r="K136" s="19"/>
      <c r="L136" s="19"/>
      <c r="M136" s="19"/>
      <c r="P136" s="19"/>
      <c r="U136"/>
    </row>
    <row r="137" spans="11:21" ht="17" thickBot="1">
      <c r="K137" s="25"/>
      <c r="L137" s="25"/>
      <c r="M137" s="25"/>
      <c r="P137" s="20"/>
      <c r="U137"/>
    </row>
    <row r="138" spans="11:21" ht="17" thickBot="1">
      <c r="K138" s="25"/>
      <c r="L138" s="25"/>
      <c r="M138" s="19"/>
      <c r="P138" s="19"/>
      <c r="U138"/>
    </row>
    <row r="139" spans="11:21" ht="17" thickBot="1">
      <c r="K139" s="25"/>
      <c r="L139" s="25"/>
      <c r="M139" s="25"/>
      <c r="P139" s="20"/>
      <c r="U139"/>
    </row>
    <row r="140" spans="11:21" ht="17" thickBot="1">
      <c r="K140" s="25"/>
      <c r="L140" s="25"/>
      <c r="M140" s="25"/>
      <c r="P140" s="20"/>
      <c r="U140"/>
    </row>
    <row r="141" spans="11:21" ht="17" thickBot="1">
      <c r="K141" s="25"/>
      <c r="L141" s="25"/>
      <c r="M141" s="25"/>
      <c r="P141" s="20"/>
      <c r="U141"/>
    </row>
    <row r="142" spans="11:21" ht="17" thickBot="1">
      <c r="U142"/>
    </row>
    <row r="143" spans="11:21" ht="17" thickBot="1">
      <c r="K143" s="21"/>
      <c r="L143" s="21"/>
      <c r="M143" s="21"/>
      <c r="P143" s="21"/>
      <c r="U143"/>
    </row>
    <row r="144" spans="11:21" ht="17" thickBot="1">
      <c r="K144" s="22"/>
      <c r="L144" s="22"/>
      <c r="M144" s="25"/>
      <c r="P144" s="20"/>
      <c r="U144"/>
    </row>
    <row r="145" spans="11:21" ht="17" thickBot="1">
      <c r="K145" s="22"/>
      <c r="L145" s="22"/>
      <c r="M145" s="25"/>
      <c r="P145" s="20"/>
      <c r="U145"/>
    </row>
    <row r="146" spans="11:21" ht="17" thickBot="1">
      <c r="K146" s="22"/>
      <c r="L146" s="22"/>
      <c r="M146" s="25"/>
      <c r="P146" s="20"/>
      <c r="U146"/>
    </row>
    <row r="147" spans="11:21" ht="17" thickBot="1">
      <c r="K147" s="22"/>
      <c r="L147" s="22"/>
      <c r="M147" s="21"/>
      <c r="P147" s="21"/>
      <c r="U147"/>
    </row>
    <row r="148" spans="11:21" ht="17" thickBot="1">
      <c r="K148" s="22"/>
      <c r="L148" s="22"/>
      <c r="M148" s="21"/>
      <c r="P148" s="21"/>
      <c r="U148"/>
    </row>
    <row r="149" spans="11:21" ht="17" thickBot="1">
      <c r="U149"/>
    </row>
    <row r="150" spans="11:21" ht="17" thickBot="1">
      <c r="K150" s="21"/>
      <c r="L150" s="21"/>
      <c r="M150" s="21"/>
      <c r="P150" s="21"/>
      <c r="U150"/>
    </row>
    <row r="151" spans="11:21" ht="17" thickBot="1">
      <c r="K151" s="21"/>
      <c r="L151" s="21"/>
      <c r="M151" s="21"/>
      <c r="P151" s="21"/>
      <c r="U151"/>
    </row>
    <row r="152" spans="11:21" ht="17" thickBot="1">
      <c r="K152" s="21"/>
      <c r="L152" s="21"/>
      <c r="M152" s="21"/>
      <c r="P152" s="21"/>
      <c r="U152"/>
    </row>
    <row r="153" spans="11:21" ht="17" thickBot="1">
      <c r="K153" s="21"/>
      <c r="L153" s="21"/>
      <c r="M153" s="21"/>
      <c r="P153" s="21"/>
      <c r="U153"/>
    </row>
    <row r="154" spans="11:21">
      <c r="K154"/>
      <c r="M154"/>
      <c r="U154"/>
    </row>
    <row r="155" spans="11:21" ht="17" thickBot="1">
      <c r="U155"/>
    </row>
    <row r="156" spans="11:21" ht="17" thickBot="1">
      <c r="K156" s="19"/>
      <c r="L156" s="19"/>
      <c r="M156" s="19"/>
      <c r="P156" s="29"/>
      <c r="U156"/>
    </row>
    <row r="157" spans="11:21" ht="17" thickBot="1">
      <c r="K157" s="18"/>
      <c r="L157" s="18"/>
      <c r="M157" s="21"/>
      <c r="P157" s="21"/>
      <c r="U157"/>
    </row>
    <row r="158" spans="11:21" ht="17" thickBot="1">
      <c r="K158" s="18"/>
      <c r="L158" s="18"/>
      <c r="M158" s="21"/>
      <c r="P158" s="21"/>
      <c r="U158"/>
    </row>
    <row r="159" spans="11:21" ht="17" thickBot="1">
      <c r="K159" s="18"/>
      <c r="L159" s="18"/>
      <c r="M159" s="21"/>
      <c r="P159" s="21"/>
      <c r="U159"/>
    </row>
    <row r="160" spans="11:21" ht="17" thickBot="1">
      <c r="K160" s="18"/>
      <c r="L160" s="18"/>
      <c r="M160" s="19"/>
      <c r="P160" s="29"/>
      <c r="U160"/>
    </row>
    <row r="161" spans="11:24">
      <c r="U161"/>
    </row>
    <row r="162" spans="11:24" ht="17" thickBot="1">
      <c r="K162" s="17"/>
      <c r="L162" s="17"/>
      <c r="M162" s="17"/>
      <c r="P162" s="17"/>
      <c r="U162"/>
    </row>
    <row r="163" spans="11:24" ht="17" thickBot="1">
      <c r="K163" s="19"/>
      <c r="L163" s="19"/>
      <c r="M163" s="19"/>
      <c r="P163" s="19"/>
      <c r="U163"/>
    </row>
    <row r="164" spans="11:24" ht="17" thickBot="1">
      <c r="K164" s="18"/>
      <c r="L164" s="18"/>
      <c r="M164" s="19"/>
      <c r="P164" s="19"/>
      <c r="U164"/>
    </row>
    <row r="165" spans="11:24" ht="17" thickBot="1">
      <c r="K165" s="19"/>
      <c r="L165" s="19"/>
      <c r="M165" s="19"/>
      <c r="P165" s="19"/>
      <c r="U165"/>
    </row>
    <row r="166" spans="11:24" ht="17" thickBot="1">
      <c r="K166" s="19"/>
      <c r="L166" s="19"/>
      <c r="M166" s="19"/>
      <c r="P166" s="19"/>
      <c r="U166"/>
    </row>
    <row r="167" spans="11:24" ht="17" thickBot="1">
      <c r="K167" s="18"/>
      <c r="L167" s="18"/>
      <c r="M167" s="19"/>
      <c r="P167" s="19"/>
      <c r="U167"/>
    </row>
    <row r="168" spans="11:24" ht="17" thickBot="1">
      <c r="K168" s="19"/>
      <c r="L168" s="19"/>
      <c r="M168" s="19"/>
      <c r="P168" s="19"/>
      <c r="T168" s="92"/>
      <c r="U168"/>
      <c r="V168" s="92"/>
      <c r="W168" s="92"/>
      <c r="X168" s="92"/>
    </row>
    <row r="169" spans="11:24" ht="17" thickBot="1">
      <c r="K169" s="19"/>
      <c r="L169" s="19"/>
      <c r="M169" s="19"/>
      <c r="P169" s="17"/>
      <c r="T169" s="93"/>
      <c r="U169"/>
      <c r="V169" s="3"/>
      <c r="W169" s="17"/>
      <c r="X169" s="3"/>
    </row>
    <row r="170" spans="11:24" ht="17" thickBot="1">
      <c r="P170" s="17"/>
      <c r="T170" s="93"/>
      <c r="U170"/>
      <c r="V170" s="3"/>
      <c r="W170" s="17"/>
      <c r="X170" s="3"/>
    </row>
    <row r="171" spans="11:24" ht="17" thickBot="1">
      <c r="K171" s="19"/>
      <c r="L171" s="19"/>
      <c r="M171" s="19"/>
      <c r="P171" s="17"/>
      <c r="T171" s="93"/>
      <c r="U171"/>
      <c r="V171" s="3"/>
      <c r="W171" s="17"/>
      <c r="X171" s="3"/>
    </row>
    <row r="172" spans="11:24" ht="17" thickBot="1">
      <c r="K172" s="18"/>
      <c r="M172" s="18"/>
      <c r="P172" s="17"/>
      <c r="T172" s="93"/>
      <c r="U172"/>
      <c r="V172" s="3"/>
      <c r="W172" s="17"/>
      <c r="X172" s="3"/>
    </row>
    <row r="173" spans="11:24" ht="17" thickBot="1">
      <c r="K173" s="18"/>
      <c r="M173" s="19"/>
      <c r="P173" s="19"/>
      <c r="U173"/>
    </row>
    <row r="174" spans="11:24" ht="17" thickBot="1">
      <c r="K174" s="18"/>
      <c r="M174" s="19"/>
      <c r="P174" s="19"/>
      <c r="T174" s="3"/>
      <c r="U174"/>
      <c r="V174" s="3"/>
      <c r="W174" s="3"/>
      <c r="X174" s="3"/>
    </row>
    <row r="175" spans="11:24" ht="17" thickBot="1">
      <c r="K175" s="18"/>
      <c r="M175" s="18"/>
      <c r="P175" s="19"/>
      <c r="T175" s="3"/>
      <c r="U175"/>
      <c r="V175" s="3"/>
      <c r="W175" s="3"/>
      <c r="X175" s="3"/>
    </row>
    <row r="176" spans="11:24" ht="17" thickBot="1">
      <c r="K176" s="18"/>
      <c r="M176" s="19"/>
      <c r="P176" s="19"/>
      <c r="T176" s="3"/>
      <c r="U176"/>
      <c r="V176" s="3"/>
      <c r="W176" s="3"/>
      <c r="X176" s="3"/>
    </row>
    <row r="177" spans="11:24" ht="17" thickBot="1">
      <c r="K177" s="18"/>
      <c r="L177" s="18"/>
      <c r="M177" s="19"/>
      <c r="P177" s="19"/>
      <c r="T177" s="3"/>
      <c r="U177"/>
      <c r="V177" s="3"/>
      <c r="W177" s="3"/>
      <c r="X177" s="3"/>
    </row>
    <row r="178" spans="11:24" ht="17" thickBot="1">
      <c r="K178" s="18"/>
      <c r="L178" s="18"/>
      <c r="M178" s="19"/>
      <c r="P178" s="19"/>
      <c r="T178" s="3"/>
      <c r="U178"/>
      <c r="V178" s="3"/>
      <c r="W178" s="3"/>
      <c r="X178" s="3"/>
    </row>
  </sheetData>
  <sortState ref="A62:B84">
    <sortCondition ref="A62"/>
  </sortState>
  <mergeCells count="42">
    <mergeCell ref="G82:G84"/>
    <mergeCell ref="C82:C84"/>
    <mergeCell ref="D82:D84"/>
    <mergeCell ref="E82:E84"/>
    <mergeCell ref="G76:G78"/>
    <mergeCell ref="C79:C81"/>
    <mergeCell ref="D79:D81"/>
    <mergeCell ref="E79:E81"/>
    <mergeCell ref="G79:G81"/>
    <mergeCell ref="C76:C78"/>
    <mergeCell ref="D76:D78"/>
    <mergeCell ref="E76:E78"/>
    <mergeCell ref="C72:C75"/>
    <mergeCell ref="D72:D75"/>
    <mergeCell ref="G72:G75"/>
    <mergeCell ref="G62:G63"/>
    <mergeCell ref="E64:E67"/>
    <mergeCell ref="G64:G67"/>
    <mergeCell ref="E68:E71"/>
    <mergeCell ref="G68:G71"/>
    <mergeCell ref="A58:A61"/>
    <mergeCell ref="B58:B61"/>
    <mergeCell ref="E58:E61"/>
    <mergeCell ref="G58:G61"/>
    <mergeCell ref="C62:C63"/>
    <mergeCell ref="D62:D63"/>
    <mergeCell ref="E62:E63"/>
    <mergeCell ref="G46:G47"/>
    <mergeCell ref="H46:H47"/>
    <mergeCell ref="G44:G45"/>
    <mergeCell ref="H44:H45"/>
    <mergeCell ref="G42:G43"/>
    <mergeCell ref="H42:H43"/>
    <mergeCell ref="G40:G41"/>
    <mergeCell ref="H40:H41"/>
    <mergeCell ref="G38:G39"/>
    <mergeCell ref="H38:H39"/>
    <mergeCell ref="A32:A35"/>
    <mergeCell ref="C32:C35"/>
    <mergeCell ref="G32:G35"/>
    <mergeCell ref="G36:G37"/>
    <mergeCell ref="H36:H37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研发投入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drrrren@gmail.com</dc:creator>
  <cp:lastModifiedBy>drrrren@gmail.com</cp:lastModifiedBy>
  <dcterms:created xsi:type="dcterms:W3CDTF">2019-07-22T09:22:48Z</dcterms:created>
  <dcterms:modified xsi:type="dcterms:W3CDTF">2019-07-24T12:37:58Z</dcterms:modified>
</cp:coreProperties>
</file>