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Winding Design" sheetId="1" r:id="rId1"/>
    <sheet name="Motor Parameter Estim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M10" i="1" s="1"/>
  <c r="E5" i="1"/>
  <c r="A5" i="2" l="1"/>
  <c r="Q1" i="1"/>
  <c r="K2" i="2" l="1"/>
  <c r="B5" i="2" l="1"/>
  <c r="G5" i="2"/>
  <c r="H5" i="2" s="1"/>
  <c r="M2" i="2"/>
  <c r="Q2" i="1"/>
  <c r="N7" i="1" s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1" i="1"/>
  <c r="D31" i="1" l="1"/>
  <c r="D39" i="1" s="1"/>
  <c r="D40" i="1" l="1"/>
  <c r="D24" i="1"/>
  <c r="D28" i="1"/>
  <c r="D32" i="1"/>
  <c r="D36" i="1"/>
  <c r="D25" i="1"/>
  <c r="D29" i="1"/>
  <c r="D33" i="1"/>
  <c r="D37" i="1"/>
  <c r="D26" i="1"/>
  <c r="D30" i="1"/>
  <c r="D34" i="1"/>
  <c r="D38" i="1"/>
  <c r="D23" i="1"/>
  <c r="D21" i="1" s="1"/>
  <c r="D27" i="1"/>
  <c r="D35" i="1"/>
  <c r="M2" i="1" l="1"/>
  <c r="M3" i="1" s="1"/>
  <c r="C4" i="1" l="1"/>
  <c r="M6" i="1"/>
  <c r="C5" i="2" s="1"/>
  <c r="E5" i="2"/>
  <c r="M4" i="1"/>
  <c r="N4" i="1" s="1"/>
  <c r="F3" i="1" s="1"/>
  <c r="D3" i="1" l="1"/>
  <c r="C3" i="1"/>
  <c r="G3" i="1"/>
  <c r="E3" i="1"/>
  <c r="N6" i="1" l="1"/>
  <c r="M7" i="1"/>
  <c r="M8" i="1" s="1"/>
  <c r="E2" i="2" l="1"/>
  <c r="D5" i="2"/>
  <c r="I2" i="2" l="1"/>
  <c r="C12" i="1" s="1"/>
  <c r="L2" i="2" l="1"/>
  <c r="H2" i="2" s="1"/>
</calcChain>
</file>

<file path=xl/sharedStrings.xml><?xml version="1.0" encoding="utf-8"?>
<sst xmlns="http://schemas.openxmlformats.org/spreadsheetml/2006/main" count="223" uniqueCount="132">
  <si>
    <t>A</t>
  </si>
  <si>
    <t>B</t>
  </si>
  <si>
    <t>C</t>
  </si>
  <si>
    <t>C-</t>
  </si>
  <si>
    <t>A-</t>
  </si>
  <si>
    <t>B-</t>
  </si>
  <si>
    <t>a1</t>
  </si>
  <si>
    <t>a2</t>
  </si>
  <si>
    <t>a3</t>
  </si>
  <si>
    <t>c10-</t>
  </si>
  <si>
    <t>c11-</t>
  </si>
  <si>
    <t>c12-</t>
  </si>
  <si>
    <t>b1</t>
  </si>
  <si>
    <t xml:space="preserve">b2 </t>
  </si>
  <si>
    <t>b3</t>
  </si>
  <si>
    <t>a4-</t>
  </si>
  <si>
    <t>a5-</t>
  </si>
  <si>
    <t>a6-</t>
  </si>
  <si>
    <t>c1</t>
  </si>
  <si>
    <t>c2</t>
  </si>
  <si>
    <t>c3</t>
  </si>
  <si>
    <t>b4-</t>
  </si>
  <si>
    <t>b5-</t>
  </si>
  <si>
    <t>b6-</t>
  </si>
  <si>
    <t>a7</t>
  </si>
  <si>
    <t>a8</t>
  </si>
  <si>
    <t>a9</t>
  </si>
  <si>
    <t>c4-</t>
  </si>
  <si>
    <t>c5-</t>
  </si>
  <si>
    <t>c6-</t>
  </si>
  <si>
    <t>b7</t>
  </si>
  <si>
    <t>b8</t>
  </si>
  <si>
    <t>b9</t>
  </si>
  <si>
    <t>a10-</t>
  </si>
  <si>
    <t>a11-</t>
  </si>
  <si>
    <t>a12-</t>
  </si>
  <si>
    <t>c7</t>
  </si>
  <si>
    <t>c8</t>
  </si>
  <si>
    <t xml:space="preserve">c9 </t>
  </si>
  <si>
    <t>b10-</t>
  </si>
  <si>
    <t>b11-</t>
  </si>
  <si>
    <t>b12-</t>
  </si>
  <si>
    <t>a10</t>
  </si>
  <si>
    <t>a11</t>
  </si>
  <si>
    <t>a12</t>
  </si>
  <si>
    <t>c7-</t>
  </si>
  <si>
    <t>c8-</t>
  </si>
  <si>
    <t>c9-</t>
  </si>
  <si>
    <t>b10</t>
  </si>
  <si>
    <t>b11</t>
  </si>
  <si>
    <t>b12</t>
  </si>
  <si>
    <t>a1-</t>
  </si>
  <si>
    <t>a2-</t>
  </si>
  <si>
    <t>a3-</t>
  </si>
  <si>
    <t>c10</t>
  </si>
  <si>
    <t>c11</t>
  </si>
  <si>
    <t>c12</t>
  </si>
  <si>
    <t>b1-</t>
  </si>
  <si>
    <t>b2-</t>
  </si>
  <si>
    <t>b3-</t>
  </si>
  <si>
    <t>a4</t>
  </si>
  <si>
    <t>a5</t>
  </si>
  <si>
    <t>a6</t>
  </si>
  <si>
    <t>c1-</t>
  </si>
  <si>
    <t>c2-</t>
  </si>
  <si>
    <t>c3-</t>
  </si>
  <si>
    <t>b4</t>
  </si>
  <si>
    <t>b5</t>
  </si>
  <si>
    <t>b6</t>
  </si>
  <si>
    <t>a7-</t>
  </si>
  <si>
    <t>a8-</t>
  </si>
  <si>
    <t>a9-</t>
  </si>
  <si>
    <t>c4</t>
  </si>
  <si>
    <t>c5</t>
  </si>
  <si>
    <t>c6</t>
  </si>
  <si>
    <t>b7-</t>
  </si>
  <si>
    <t>b8-</t>
  </si>
  <si>
    <t>b9-</t>
  </si>
  <si>
    <t>Number of Poles</t>
  </si>
  <si>
    <t>Type of Winding</t>
  </si>
  <si>
    <t>Winding Factors</t>
  </si>
  <si>
    <t>Number of Turns</t>
  </si>
  <si>
    <t>Wire Size</t>
  </si>
  <si>
    <t>Fill Factor</t>
  </si>
  <si>
    <t>Winding Connection</t>
  </si>
  <si>
    <t>Number of StatorSlots</t>
  </si>
  <si>
    <t>Slots per Pole</t>
  </si>
  <si>
    <t>Slot per Pole per Phase</t>
  </si>
  <si>
    <t>Slot Angle (degree)</t>
  </si>
  <si>
    <t>Conductors per Slot</t>
  </si>
  <si>
    <t xml:space="preserve">&lt; </t>
  </si>
  <si>
    <t>(mm^2)</t>
  </si>
  <si>
    <t>Voltage Rating (V)</t>
  </si>
  <si>
    <t>Current Rating (A)</t>
  </si>
  <si>
    <t>Integral, Double Layer, Distributed Winding</t>
  </si>
  <si>
    <t>coil span=120 (6 slots)</t>
  </si>
  <si>
    <t>Specific Electric Loading-q (A/m)</t>
  </si>
  <si>
    <t>Full-Load Efficiency</t>
  </si>
  <si>
    <t>Full-Load Power Factor</t>
  </si>
  <si>
    <t>Output Coefficient</t>
  </si>
  <si>
    <t>ns (rps)</t>
  </si>
  <si>
    <t>D^2.L(m^3)</t>
  </si>
  <si>
    <t>L (m)</t>
  </si>
  <si>
    <t>Di (m)</t>
  </si>
  <si>
    <t>Nphase</t>
  </si>
  <si>
    <t>Frequency</t>
  </si>
  <si>
    <t>Flux per Pole (Wb)</t>
  </si>
  <si>
    <t>Bavg (T)</t>
  </si>
  <si>
    <t>Axial Length (m)</t>
  </si>
  <si>
    <t>Airgap Clearance (m)</t>
  </si>
  <si>
    <t>A (mm^2)</t>
  </si>
  <si>
    <t>Specific Magnetic Loading (T)</t>
  </si>
  <si>
    <t>Flux Density in Teeth (T)</t>
  </si>
  <si>
    <t>Flux Density in Core (T)</t>
  </si>
  <si>
    <t>Torque (N.m)</t>
  </si>
  <si>
    <t>Speed (rad/s)</t>
  </si>
  <si>
    <t>Pole Pitch (m)</t>
  </si>
  <si>
    <t>l_mt (m)</t>
  </si>
  <si>
    <t>Phase Resistance (ohm)</t>
  </si>
  <si>
    <t>wye</t>
  </si>
  <si>
    <t>Core Mass (kg)</t>
  </si>
  <si>
    <t>Core Loss (W)</t>
  </si>
  <si>
    <t>Do (m)</t>
  </si>
  <si>
    <t>Phase Inductance (mH)</t>
  </si>
  <si>
    <t>Leakage Inductance (mH)</t>
  </si>
  <si>
    <t>rpm</t>
  </si>
  <si>
    <t>14AWG</t>
  </si>
  <si>
    <t>(17AWG-1,04mm^2)</t>
  </si>
  <si>
    <t>Output Power Rating (W)</t>
  </si>
  <si>
    <t>Input Power Rating (W)</t>
  </si>
  <si>
    <t>Stator Copper Losses (W)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</si>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</sst>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charset val="162"/>
      <scheme val="major"/>
    </font>
    <font>
      <i/>
      <sz val="11"/>
      <color theme="1"/>
      <name val="Calibri Light"/>
      <family val="2"/>
      <charset val="162"/>
      <scheme val="major"/>
    </font>
    <font>
      <sz val="11"/>
      <color theme="1"/>
      <name val="Calibri Light"/>
      <family val="2"/>
      <charset val="162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MMF Waveforms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492825896762906"/>
          <c:y val="0.19486111111111112"/>
          <c:w val="0.79217585301837268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v>at t=0s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Design'!$E$21:$E$40</c:f>
              <c:numCache>
                <c:formatCode>General</c:formatCode>
                <c:ptCount val="20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-4</c:v>
                </c:pt>
                <c:pt idx="13">
                  <c:v>-5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-1</c:v>
                </c:pt>
                <c:pt idx="1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A4-4CB4-A52D-88312C3447CD}"/>
            </c:ext>
          </c:extLst>
        </c:ser>
        <c:ser>
          <c:idx val="1"/>
          <c:order val="1"/>
          <c:tx>
            <c:v>at t=0,01s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'Winding Design'!$D$21:$D$40</c:f>
              <c:numCache>
                <c:formatCode>General</c:formatCode>
                <c:ptCount val="20"/>
                <c:pt idx="0">
                  <c:v>-0.3490658503988659</c:v>
                </c:pt>
                <c:pt idx="1">
                  <c:v>0</c:v>
                </c:pt>
                <c:pt idx="2">
                  <c:v>0.3490658503988659</c:v>
                </c:pt>
                <c:pt idx="3">
                  <c:v>0.69813170079773179</c:v>
                </c:pt>
                <c:pt idx="4">
                  <c:v>1.0471975511965976</c:v>
                </c:pt>
                <c:pt idx="5">
                  <c:v>1.3962634015954636</c:v>
                </c:pt>
                <c:pt idx="6">
                  <c:v>1.7453292519943295</c:v>
                </c:pt>
                <c:pt idx="7">
                  <c:v>2.0943951023931953</c:v>
                </c:pt>
                <c:pt idx="8">
                  <c:v>2.4434609527920612</c:v>
                </c:pt>
                <c:pt idx="9">
                  <c:v>2.7925268031909272</c:v>
                </c:pt>
                <c:pt idx="10">
                  <c:v>3.1415926535897931</c:v>
                </c:pt>
                <c:pt idx="11">
                  <c:v>3.4906585039886591</c:v>
                </c:pt>
                <c:pt idx="12">
                  <c:v>3.8397243543875246</c:v>
                </c:pt>
                <c:pt idx="13">
                  <c:v>4.1887902047863905</c:v>
                </c:pt>
                <c:pt idx="14">
                  <c:v>4.5378560551852569</c:v>
                </c:pt>
                <c:pt idx="15">
                  <c:v>4.8869219055841224</c:v>
                </c:pt>
                <c:pt idx="16">
                  <c:v>5.2359877559829879</c:v>
                </c:pt>
                <c:pt idx="17">
                  <c:v>5.5850536063818543</c:v>
                </c:pt>
                <c:pt idx="18">
                  <c:v>5.9341194567807207</c:v>
                </c:pt>
                <c:pt idx="19">
                  <c:v>6.2831853071795862</c:v>
                </c:pt>
              </c:numCache>
            </c:numRef>
          </c:xVal>
          <c:yVal>
            <c:numRef>
              <c:f>'Winding Design'!$F$21:$F$40</c:f>
              <c:numCache>
                <c:formatCode>General</c:formatCode>
                <c:ptCount val="20"/>
                <c:pt idx="0">
                  <c:v>1</c:v>
                </c:pt>
                <c:pt idx="1">
                  <c:v>-1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A4-4CB4-A52D-88312C3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674719"/>
        <c:axId val="1131879231"/>
      </c:scatterChart>
      <c:valAx>
        <c:axId val="120267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</a:t>
                </a:r>
              </a:p>
            </c:rich>
          </c:tx>
          <c:layout>
            <c:manualLayout>
              <c:xMode val="edge"/>
              <c:yMode val="edge"/>
              <c:x val="0.44785639955570333"/>
              <c:y val="0.85689568059069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1879231"/>
        <c:crosses val="autoZero"/>
        <c:crossBetween val="midCat"/>
      </c:valAx>
      <c:valAx>
        <c:axId val="113187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F_t(theta)</a:t>
                </a:r>
              </a:p>
              <a:p>
                <a:pPr>
                  <a:defRPr/>
                </a:pPr>
                <a:r>
                  <a:rPr lang="tr-TR"/>
                  <a:t>(A-t)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02674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6442211214479"/>
          <c:y val="5.0943045896546642E-2"/>
          <c:w val="0.22349290783566997"/>
          <c:h val="0.11320829467308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21011</xdr:colOff>
      <xdr:row>19</xdr:row>
      <xdr:rowOff>170890</xdr:rowOff>
    </xdr:from>
    <xdr:to>
      <xdr:col>27</xdr:col>
      <xdr:colOff>356628</xdr:colOff>
      <xdr:row>39</xdr:row>
      <xdr:rowOff>147079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828660B9-635B-411B-A77F-3A88ADF75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17</xdr:row>
      <xdr:rowOff>23813</xdr:rowOff>
    </xdr:from>
    <xdr:to>
      <xdr:col>17</xdr:col>
      <xdr:colOff>63475</xdr:colOff>
      <xdr:row>56</xdr:row>
      <xdr:rowOff>138113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19CE22D3-A6D6-4A0E-B339-095FB6137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3262313"/>
          <a:ext cx="10259147" cy="75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16</xdr:col>
      <xdr:colOff>601357</xdr:colOff>
      <xdr:row>99</xdr:row>
      <xdr:rowOff>96648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26F9EA9D-98C4-4F1F-BDF2-6AD24D573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2763500"/>
          <a:ext cx="10058400" cy="61926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zoomScaleNormal="100" workbookViewId="0">
      <selection activeCell="K13" sqref="K13"/>
    </sheetView>
  </sheetViews>
  <sheetFormatPr defaultRowHeight="15" x14ac:dyDescent="0.25"/>
  <cols>
    <col min="1" max="1" width="9.140625" style="5"/>
    <col min="2" max="2" width="16.7109375" style="5" customWidth="1"/>
    <col min="3" max="6" width="9.140625" style="5"/>
    <col min="7" max="7" width="9.140625" style="5" customWidth="1"/>
    <col min="8" max="16384" width="9.140625" style="5"/>
  </cols>
  <sheetData>
    <row r="1" spans="1:52" x14ac:dyDescent="0.25">
      <c r="A1" s="12" t="s">
        <v>78</v>
      </c>
      <c r="B1" s="12"/>
      <c r="C1" s="3">
        <v>4</v>
      </c>
      <c r="D1" s="4"/>
      <c r="E1" s="4"/>
      <c r="F1" s="4"/>
      <c r="G1" s="4"/>
      <c r="J1" s="12" t="s">
        <v>85</v>
      </c>
      <c r="K1" s="12"/>
      <c r="L1" s="12"/>
      <c r="M1" s="3">
        <v>36</v>
      </c>
      <c r="N1" s="4"/>
      <c r="O1" s="3"/>
      <c r="P1" s="10" t="s">
        <v>103</v>
      </c>
      <c r="Q1" s="3">
        <f>'Motor Parameter Estimation'!B2</f>
        <v>0.115</v>
      </c>
    </row>
    <row r="2" spans="1:52" x14ac:dyDescent="0.25">
      <c r="A2" s="12" t="s">
        <v>79</v>
      </c>
      <c r="B2" s="12"/>
      <c r="C2" s="16" t="s">
        <v>94</v>
      </c>
      <c r="D2" s="16"/>
      <c r="E2" s="16"/>
      <c r="F2" s="4"/>
      <c r="G2" s="4"/>
      <c r="J2" s="12" t="s">
        <v>86</v>
      </c>
      <c r="K2" s="12"/>
      <c r="L2" s="12"/>
      <c r="M2" s="3">
        <f>M1/C1</f>
        <v>9</v>
      </c>
      <c r="N2" s="4"/>
      <c r="O2" s="3"/>
      <c r="P2" s="10" t="s">
        <v>102</v>
      </c>
      <c r="Q2" s="3">
        <f>'Motor Parameter Estimation'!A2</f>
        <v>0.2</v>
      </c>
    </row>
    <row r="3" spans="1:52" x14ac:dyDescent="0.25">
      <c r="A3" s="12" t="s">
        <v>80</v>
      </c>
      <c r="B3" s="12"/>
      <c r="C3" s="3">
        <f>SIN(M3*N4/2)/(M3*SIN(N4/2))</f>
        <v>0.95979508052393891</v>
      </c>
      <c r="D3" s="3">
        <f>SIN(3*M3*N4/2)/(M3*SIN(3*N4/2))</f>
        <v>0.66666666666666674</v>
      </c>
      <c r="E3" s="4">
        <f>SIN(5*M3*N4/2)/(M3*SIN(5*N4/2))</f>
        <v>0.21756788155537973</v>
      </c>
      <c r="F3" s="4">
        <f>SIN(7*M3*N4/2)/(M3*SIN(7*N4/2))</f>
        <v>-0.17736296207931862</v>
      </c>
      <c r="G3" s="4">
        <f>SIN(9*M3*N4/2)/(M3*SIN(9*N4/2))</f>
        <v>-0.33333333333333331</v>
      </c>
      <c r="J3" s="12" t="s">
        <v>87</v>
      </c>
      <c r="K3" s="12"/>
      <c r="L3" s="12"/>
      <c r="M3" s="3">
        <f>M2/3</f>
        <v>3</v>
      </c>
      <c r="N3" s="4"/>
      <c r="O3" s="3"/>
      <c r="P3" s="3"/>
      <c r="Q3" s="3"/>
    </row>
    <row r="4" spans="1:52" x14ac:dyDescent="0.25">
      <c r="A4" s="12" t="s">
        <v>81</v>
      </c>
      <c r="B4" s="12"/>
      <c r="C4" s="3">
        <f>M3*M5*C1/2</f>
        <v>180</v>
      </c>
      <c r="D4" s="3"/>
      <c r="E4" s="4"/>
      <c r="F4" s="4"/>
      <c r="G4" s="4"/>
      <c r="J4" s="12" t="s">
        <v>88</v>
      </c>
      <c r="K4" s="12"/>
      <c r="L4" s="12"/>
      <c r="M4" s="3">
        <f>180/M2</f>
        <v>20</v>
      </c>
      <c r="N4" s="3">
        <f>PI()/(180/M4)</f>
        <v>0.3490658503988659</v>
      </c>
      <c r="O4" s="3"/>
      <c r="P4" s="3"/>
      <c r="Q4" s="3"/>
    </row>
    <row r="5" spans="1:52" x14ac:dyDescent="0.25">
      <c r="A5" s="12" t="s">
        <v>82</v>
      </c>
      <c r="B5" s="12"/>
      <c r="C5" s="3" t="s">
        <v>126</v>
      </c>
      <c r="D5" s="3" t="s">
        <v>90</v>
      </c>
      <c r="E5" s="3">
        <f>('Motor Parameter Estimation'!D2*C6/M5)</f>
        <v>2.1769999999999996</v>
      </c>
      <c r="F5" s="3" t="s">
        <v>91</v>
      </c>
      <c r="G5" s="4"/>
      <c r="J5" s="12" t="s">
        <v>89</v>
      </c>
      <c r="K5" s="12"/>
      <c r="L5" s="12"/>
      <c r="M5" s="3">
        <v>30</v>
      </c>
      <c r="N5" s="3"/>
      <c r="O5" s="3"/>
      <c r="P5" s="3"/>
      <c r="Q5" s="3"/>
    </row>
    <row r="6" spans="1:52" x14ac:dyDescent="0.25">
      <c r="A6" s="12" t="s">
        <v>83</v>
      </c>
      <c r="B6" s="12"/>
      <c r="C6" s="3">
        <v>0.7</v>
      </c>
      <c r="D6" s="3"/>
      <c r="E6" s="4"/>
      <c r="F6" s="4"/>
      <c r="G6" s="4"/>
      <c r="J6" s="12" t="s">
        <v>104</v>
      </c>
      <c r="K6" s="12"/>
      <c r="L6" s="12"/>
      <c r="M6" s="3">
        <f>(M3*M5*C1/2)</f>
        <v>180</v>
      </c>
      <c r="N6" s="3">
        <f>(C8/SQRT(3))/(4.44*C11*C3*N7)</f>
        <v>71.249819887081856</v>
      </c>
      <c r="O6" s="3"/>
      <c r="P6" s="3"/>
      <c r="Q6" s="3"/>
    </row>
    <row r="7" spans="1:52" x14ac:dyDescent="0.25">
      <c r="A7" s="12" t="s">
        <v>84</v>
      </c>
      <c r="B7" s="12"/>
      <c r="C7" s="3" t="s">
        <v>119</v>
      </c>
      <c r="D7" s="3"/>
      <c r="E7" s="4"/>
      <c r="F7" s="4"/>
      <c r="G7" s="4"/>
      <c r="J7" s="12" t="s">
        <v>106</v>
      </c>
      <c r="K7" s="12"/>
      <c r="L7" s="12"/>
      <c r="M7" s="4">
        <f>(C8/SQRT(3))/(4.44*C11*C3*M6)</f>
        <v>5.7203021630195597E-3</v>
      </c>
      <c r="N7" s="3">
        <f>N8*PI()*Q1*Q2/C1</f>
        <v>1.445132620651305E-2</v>
      </c>
      <c r="O7" s="3"/>
      <c r="P7" s="3"/>
      <c r="Q7" s="3"/>
    </row>
    <row r="8" spans="1:52" x14ac:dyDescent="0.25">
      <c r="A8" s="12" t="s">
        <v>92</v>
      </c>
      <c r="B8" s="12"/>
      <c r="C8" s="3">
        <v>380</v>
      </c>
      <c r="D8" s="3"/>
      <c r="E8" s="4"/>
      <c r="F8" s="4"/>
      <c r="G8" s="4"/>
      <c r="J8" s="12" t="s">
        <v>107</v>
      </c>
      <c r="K8" s="12"/>
      <c r="L8" s="12"/>
      <c r="M8" s="3">
        <f>M7/(PI()*Q1*Q2/C1)</f>
        <v>0.3166658661648083</v>
      </c>
      <c r="N8" s="3">
        <v>0.8</v>
      </c>
      <c r="O8" s="3"/>
      <c r="P8" s="3"/>
      <c r="Q8" s="3"/>
    </row>
    <row r="9" spans="1:52" x14ac:dyDescent="0.25">
      <c r="A9" s="12" t="s">
        <v>93</v>
      </c>
      <c r="B9" s="12"/>
      <c r="C9" s="3">
        <v>4.5999999999999996</v>
      </c>
      <c r="D9" s="3"/>
      <c r="E9" s="4"/>
      <c r="F9" s="4"/>
      <c r="G9" s="4"/>
      <c r="J9" s="12" t="s">
        <v>109</v>
      </c>
      <c r="K9" s="12"/>
      <c r="L9" s="12"/>
      <c r="M9" s="3">
        <v>1E-3</v>
      </c>
      <c r="N9" s="3"/>
      <c r="O9" s="3"/>
      <c r="P9" s="3"/>
      <c r="Q9" s="3"/>
    </row>
    <row r="10" spans="1:52" x14ac:dyDescent="0.25">
      <c r="A10" s="12" t="s">
        <v>128</v>
      </c>
      <c r="B10" s="12"/>
      <c r="C10" s="3">
        <v>3000</v>
      </c>
      <c r="D10" s="4"/>
      <c r="E10" s="4"/>
      <c r="F10" s="4"/>
      <c r="G10" s="4"/>
      <c r="J10" s="12" t="s">
        <v>114</v>
      </c>
      <c r="K10" s="12"/>
      <c r="L10" s="12"/>
      <c r="M10" s="4">
        <f>C10/M11</f>
        <v>20.462778397529405</v>
      </c>
      <c r="N10" s="3"/>
      <c r="O10" s="3"/>
      <c r="P10" s="3"/>
      <c r="Q10" s="3"/>
    </row>
    <row r="11" spans="1:52" x14ac:dyDescent="0.25">
      <c r="A11" s="12" t="s">
        <v>105</v>
      </c>
      <c r="B11" s="12"/>
      <c r="C11" s="3">
        <v>50</v>
      </c>
      <c r="D11" s="4"/>
      <c r="E11" s="4"/>
      <c r="F11" s="4"/>
      <c r="G11" s="4"/>
      <c r="J11" s="12" t="s">
        <v>115</v>
      </c>
      <c r="K11" s="12"/>
      <c r="L11" s="12"/>
      <c r="M11" s="3">
        <f>2*PI()*N11/60</f>
        <v>146.60765716752366</v>
      </c>
      <c r="N11" s="3">
        <v>1400</v>
      </c>
      <c r="O11" s="3" t="s">
        <v>125</v>
      </c>
      <c r="P11" s="4"/>
      <c r="Q11" s="4"/>
    </row>
    <row r="12" spans="1:52" x14ac:dyDescent="0.25">
      <c r="A12" s="12" t="s">
        <v>129</v>
      </c>
      <c r="B12" s="12"/>
      <c r="C12" s="3">
        <f>C10/'Motor Parameter Estimation'!I2</f>
        <v>3308.1530331532981</v>
      </c>
      <c r="D12" s="4"/>
      <c r="E12" s="4"/>
      <c r="F12" s="4"/>
      <c r="G12" s="4"/>
      <c r="J12" s="11"/>
      <c r="K12" s="11"/>
      <c r="L12" s="11"/>
    </row>
    <row r="14" spans="1:52" s="2" customFormat="1" x14ac:dyDescent="0.25">
      <c r="A14" s="13" t="s">
        <v>0</v>
      </c>
      <c r="B14" s="14"/>
      <c r="C14" s="15"/>
      <c r="D14" s="12" t="s">
        <v>3</v>
      </c>
      <c r="E14" s="12"/>
      <c r="F14" s="12"/>
      <c r="G14" s="12" t="s">
        <v>1</v>
      </c>
      <c r="H14" s="12"/>
      <c r="I14" s="12"/>
      <c r="J14" s="12" t="s">
        <v>4</v>
      </c>
      <c r="K14" s="12"/>
      <c r="L14" s="12"/>
      <c r="M14" s="12" t="s">
        <v>2</v>
      </c>
      <c r="N14" s="12"/>
      <c r="O14" s="12"/>
      <c r="P14" s="12" t="s">
        <v>5</v>
      </c>
      <c r="Q14" s="12"/>
      <c r="R14" s="12"/>
      <c r="S14" s="12" t="s">
        <v>0</v>
      </c>
      <c r="T14" s="12"/>
      <c r="U14" s="12"/>
      <c r="V14" s="12" t="s">
        <v>3</v>
      </c>
      <c r="W14" s="12"/>
      <c r="X14" s="12"/>
      <c r="Y14" s="12" t="s">
        <v>1</v>
      </c>
      <c r="Z14" s="12"/>
      <c r="AA14" s="12"/>
      <c r="AB14" s="12" t="s">
        <v>4</v>
      </c>
      <c r="AC14" s="12"/>
      <c r="AD14" s="12"/>
      <c r="AE14" s="12" t="s">
        <v>2</v>
      </c>
      <c r="AF14" s="12"/>
      <c r="AG14" s="12"/>
      <c r="AH14" s="12" t="s">
        <v>5</v>
      </c>
      <c r="AI14" s="12"/>
      <c r="AJ14" s="12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s="4" customFormat="1" x14ac:dyDescent="0.25">
      <c r="A15" s="3" t="s">
        <v>6</v>
      </c>
      <c r="B15" s="3" t="s">
        <v>7</v>
      </c>
      <c r="C15" s="3" t="s">
        <v>8</v>
      </c>
      <c r="D15" s="3" t="s">
        <v>9</v>
      </c>
      <c r="E15" s="3" t="s">
        <v>10</v>
      </c>
      <c r="F15" s="3" t="s">
        <v>11</v>
      </c>
      <c r="G15" s="3" t="s">
        <v>12</v>
      </c>
      <c r="H15" s="3" t="s">
        <v>13</v>
      </c>
      <c r="I15" s="3" t="s">
        <v>14</v>
      </c>
      <c r="J15" s="3" t="s">
        <v>15</v>
      </c>
      <c r="K15" s="3" t="s">
        <v>16</v>
      </c>
      <c r="L15" s="3" t="s">
        <v>17</v>
      </c>
      <c r="M15" s="3" t="s">
        <v>18</v>
      </c>
      <c r="N15" s="3" t="s">
        <v>19</v>
      </c>
      <c r="O15" s="3" t="s">
        <v>20</v>
      </c>
      <c r="P15" s="3" t="s">
        <v>21</v>
      </c>
      <c r="Q15" s="3" t="s">
        <v>22</v>
      </c>
      <c r="R15" s="3" t="s">
        <v>23</v>
      </c>
      <c r="S15" s="3" t="s">
        <v>24</v>
      </c>
      <c r="T15" s="3" t="s">
        <v>25</v>
      </c>
      <c r="U15" s="3" t="s">
        <v>26</v>
      </c>
      <c r="V15" s="3" t="s">
        <v>27</v>
      </c>
      <c r="W15" s="3" t="s">
        <v>28</v>
      </c>
      <c r="X15" s="3" t="s">
        <v>29</v>
      </c>
      <c r="Y15" s="3" t="s">
        <v>30</v>
      </c>
      <c r="Z15" s="3" t="s">
        <v>31</v>
      </c>
      <c r="AA15" s="3" t="s">
        <v>32</v>
      </c>
      <c r="AB15" s="3" t="s">
        <v>33</v>
      </c>
      <c r="AC15" s="3" t="s">
        <v>34</v>
      </c>
      <c r="AD15" s="3" t="s">
        <v>35</v>
      </c>
      <c r="AE15" s="3" t="s">
        <v>36</v>
      </c>
      <c r="AF15" s="3" t="s">
        <v>37</v>
      </c>
      <c r="AG15" s="3" t="s">
        <v>38</v>
      </c>
      <c r="AH15" s="3" t="s">
        <v>39</v>
      </c>
      <c r="AI15" s="3" t="s">
        <v>40</v>
      </c>
      <c r="AJ15" s="3" t="s">
        <v>41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s="4" customFormat="1" x14ac:dyDescent="0.25">
      <c r="A16" s="3" t="s">
        <v>42</v>
      </c>
      <c r="B16" s="3" t="s">
        <v>43</v>
      </c>
      <c r="C16" s="3" t="s">
        <v>44</v>
      </c>
      <c r="D16" s="3" t="s">
        <v>45</v>
      </c>
      <c r="E16" s="3" t="s">
        <v>46</v>
      </c>
      <c r="F16" s="3" t="s">
        <v>47</v>
      </c>
      <c r="G16" s="3" t="s">
        <v>48</v>
      </c>
      <c r="H16" s="3" t="s">
        <v>49</v>
      </c>
      <c r="I16" s="3" t="s">
        <v>50</v>
      </c>
      <c r="J16" s="3" t="s">
        <v>51</v>
      </c>
      <c r="K16" s="3" t="s">
        <v>52</v>
      </c>
      <c r="L16" s="3" t="s">
        <v>53</v>
      </c>
      <c r="M16" s="3" t="s">
        <v>54</v>
      </c>
      <c r="N16" s="3" t="s">
        <v>55</v>
      </c>
      <c r="O16" s="3" t="s">
        <v>56</v>
      </c>
      <c r="P16" s="3" t="s">
        <v>57</v>
      </c>
      <c r="Q16" s="3" t="s">
        <v>58</v>
      </c>
      <c r="R16" s="3" t="s">
        <v>59</v>
      </c>
      <c r="S16" s="3" t="s">
        <v>60</v>
      </c>
      <c r="T16" s="3" t="s">
        <v>61</v>
      </c>
      <c r="U16" s="3" t="s">
        <v>62</v>
      </c>
      <c r="V16" s="3" t="s">
        <v>63</v>
      </c>
      <c r="W16" s="3" t="s">
        <v>64</v>
      </c>
      <c r="X16" s="3" t="s">
        <v>65</v>
      </c>
      <c r="Y16" s="3" t="s">
        <v>66</v>
      </c>
      <c r="Z16" s="3" t="s">
        <v>67</v>
      </c>
      <c r="AA16" s="3" t="s">
        <v>68</v>
      </c>
      <c r="AB16" s="3" t="s">
        <v>69</v>
      </c>
      <c r="AC16" s="3" t="s">
        <v>70</v>
      </c>
      <c r="AD16" s="3" t="s">
        <v>71</v>
      </c>
      <c r="AE16" s="3" t="s">
        <v>72</v>
      </c>
      <c r="AF16" s="3" t="s">
        <v>73</v>
      </c>
      <c r="AG16" s="3" t="s">
        <v>74</v>
      </c>
      <c r="AH16" s="3" t="s">
        <v>75</v>
      </c>
      <c r="AI16" s="3" t="s">
        <v>76</v>
      </c>
      <c r="AJ16" s="3" t="s">
        <v>77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21" spans="4:6" x14ac:dyDescent="0.25">
      <c r="D21" s="5">
        <f>-D23</f>
        <v>-0.3490658503988659</v>
      </c>
      <c r="E21" s="5">
        <v>-1</v>
      </c>
      <c r="F21" s="5">
        <f>E21*-1</f>
        <v>1</v>
      </c>
    </row>
    <row r="22" spans="4:6" x14ac:dyDescent="0.25">
      <c r="D22" s="5">
        <v>0</v>
      </c>
      <c r="E22" s="5">
        <v>1</v>
      </c>
      <c r="F22" s="5">
        <f t="shared" ref="F22:F40" si="0">E22*-1</f>
        <v>-1</v>
      </c>
    </row>
    <row r="23" spans="4:6" x14ac:dyDescent="0.25">
      <c r="D23" s="5">
        <f>$D$31/9</f>
        <v>0.3490658503988659</v>
      </c>
      <c r="E23" s="5">
        <v>3</v>
      </c>
      <c r="F23" s="5">
        <f t="shared" si="0"/>
        <v>-3</v>
      </c>
    </row>
    <row r="24" spans="4:6" x14ac:dyDescent="0.25">
      <c r="D24" s="5">
        <f>2*$D$31/9</f>
        <v>0.69813170079773179</v>
      </c>
      <c r="E24" s="5">
        <v>4</v>
      </c>
      <c r="F24" s="5">
        <f t="shared" si="0"/>
        <v>-4</v>
      </c>
    </row>
    <row r="25" spans="4:6" x14ac:dyDescent="0.25">
      <c r="D25" s="5">
        <f>3*$D$31/9</f>
        <v>1.0471975511965976</v>
      </c>
      <c r="E25" s="5">
        <v>5</v>
      </c>
      <c r="F25" s="5">
        <f t="shared" si="0"/>
        <v>-5</v>
      </c>
    </row>
    <row r="26" spans="4:6" x14ac:dyDescent="0.25">
      <c r="D26" s="5">
        <f>4*$D$31/9</f>
        <v>1.3962634015954636</v>
      </c>
      <c r="E26" s="5">
        <v>6</v>
      </c>
      <c r="F26" s="5">
        <f t="shared" si="0"/>
        <v>-6</v>
      </c>
    </row>
    <row r="27" spans="4:6" x14ac:dyDescent="0.25">
      <c r="D27" s="5">
        <f>5*$D$31/9</f>
        <v>1.7453292519943295</v>
      </c>
      <c r="E27" s="5">
        <v>5</v>
      </c>
      <c r="F27" s="5">
        <f t="shared" si="0"/>
        <v>-5</v>
      </c>
    </row>
    <row r="28" spans="4:6" x14ac:dyDescent="0.25">
      <c r="D28" s="5">
        <f>6*$D$31/9</f>
        <v>2.0943951023931953</v>
      </c>
      <c r="E28" s="5">
        <v>4</v>
      </c>
      <c r="F28" s="5">
        <f t="shared" si="0"/>
        <v>-4</v>
      </c>
    </row>
    <row r="29" spans="4:6" x14ac:dyDescent="0.25">
      <c r="D29" s="5">
        <f>7*$D$31/9</f>
        <v>2.4434609527920612</v>
      </c>
      <c r="E29" s="5">
        <v>3</v>
      </c>
      <c r="F29" s="5">
        <f t="shared" si="0"/>
        <v>-3</v>
      </c>
    </row>
    <row r="30" spans="4:6" x14ac:dyDescent="0.25">
      <c r="D30" s="5">
        <f>8*$D$31/9</f>
        <v>2.7925268031909272</v>
      </c>
      <c r="E30" s="5">
        <v>1</v>
      </c>
      <c r="F30" s="5">
        <f t="shared" si="0"/>
        <v>-1</v>
      </c>
    </row>
    <row r="31" spans="4:6" x14ac:dyDescent="0.25">
      <c r="D31" s="5">
        <f>PI()</f>
        <v>3.1415926535897931</v>
      </c>
      <c r="E31" s="5">
        <v>-1</v>
      </c>
      <c r="F31" s="5">
        <f t="shared" si="0"/>
        <v>1</v>
      </c>
    </row>
    <row r="32" spans="4:6" x14ac:dyDescent="0.25">
      <c r="D32" s="5">
        <f>10*$D$31/9</f>
        <v>3.4906585039886591</v>
      </c>
      <c r="E32" s="5">
        <v>-3</v>
      </c>
      <c r="F32" s="5">
        <f t="shared" si="0"/>
        <v>3</v>
      </c>
    </row>
    <row r="33" spans="4:6" x14ac:dyDescent="0.25">
      <c r="D33" s="5">
        <f>11*$D$31/9</f>
        <v>3.8397243543875246</v>
      </c>
      <c r="E33" s="5">
        <v>-4</v>
      </c>
      <c r="F33" s="5">
        <f t="shared" si="0"/>
        <v>4</v>
      </c>
    </row>
    <row r="34" spans="4:6" x14ac:dyDescent="0.25">
      <c r="D34" s="5">
        <f>12*$D$31/9</f>
        <v>4.1887902047863905</v>
      </c>
      <c r="E34" s="5">
        <v>-5</v>
      </c>
      <c r="F34" s="5">
        <f t="shared" si="0"/>
        <v>5</v>
      </c>
    </row>
    <row r="35" spans="4:6" x14ac:dyDescent="0.25">
      <c r="D35" s="5">
        <f>13*$D$31/9</f>
        <v>4.5378560551852569</v>
      </c>
      <c r="E35" s="5">
        <v>-6</v>
      </c>
      <c r="F35" s="5">
        <f t="shared" si="0"/>
        <v>6</v>
      </c>
    </row>
    <row r="36" spans="4:6" x14ac:dyDescent="0.25">
      <c r="D36" s="5">
        <f>14*$D$31/9</f>
        <v>4.8869219055841224</v>
      </c>
      <c r="E36" s="5">
        <v>-5</v>
      </c>
      <c r="F36" s="5">
        <f t="shared" si="0"/>
        <v>5</v>
      </c>
    </row>
    <row r="37" spans="4:6" x14ac:dyDescent="0.25">
      <c r="D37" s="5">
        <f>15*$D$31/9</f>
        <v>5.2359877559829879</v>
      </c>
      <c r="E37" s="5">
        <v>-4</v>
      </c>
      <c r="F37" s="5">
        <f t="shared" si="0"/>
        <v>4</v>
      </c>
    </row>
    <row r="38" spans="4:6" x14ac:dyDescent="0.25">
      <c r="D38" s="5">
        <f>16*$D$31/9</f>
        <v>5.5850536063818543</v>
      </c>
      <c r="E38" s="5">
        <v>-3</v>
      </c>
      <c r="F38" s="5">
        <f t="shared" si="0"/>
        <v>3</v>
      </c>
    </row>
    <row r="39" spans="4:6" x14ac:dyDescent="0.25">
      <c r="D39" s="5">
        <f>17*$D$31/9</f>
        <v>5.9341194567807207</v>
      </c>
      <c r="E39" s="5">
        <v>-1</v>
      </c>
      <c r="F39" s="5">
        <f t="shared" si="0"/>
        <v>1</v>
      </c>
    </row>
    <row r="40" spans="4:6" x14ac:dyDescent="0.25">
      <c r="D40" s="5">
        <f>18*$D$31/9</f>
        <v>6.2831853071795862</v>
      </c>
      <c r="E40" s="5">
        <v>1</v>
      </c>
      <c r="F40" s="5">
        <f t="shared" si="0"/>
        <v>-1</v>
      </c>
    </row>
    <row r="61" spans="1:52" x14ac:dyDescent="0.25">
      <c r="A61" s="7" t="s">
        <v>95</v>
      </c>
      <c r="B61" s="7"/>
    </row>
    <row r="64" spans="1:52" s="2" customFormat="1" x14ac:dyDescent="0.25">
      <c r="A64" s="13" t="s">
        <v>0</v>
      </c>
      <c r="B64" s="14"/>
      <c r="C64" s="15"/>
      <c r="D64" s="12" t="s">
        <v>3</v>
      </c>
      <c r="E64" s="12"/>
      <c r="F64" s="12"/>
      <c r="G64" s="12" t="s">
        <v>1</v>
      </c>
      <c r="H64" s="12"/>
      <c r="I64" s="12"/>
      <c r="J64" s="12" t="s">
        <v>4</v>
      </c>
      <c r="K64" s="12"/>
      <c r="L64" s="12"/>
      <c r="M64" s="12" t="s">
        <v>2</v>
      </c>
      <c r="N64" s="12"/>
      <c r="O64" s="12"/>
      <c r="P64" s="12" t="s">
        <v>5</v>
      </c>
      <c r="Q64" s="12"/>
      <c r="R64" s="12"/>
      <c r="S64" s="12" t="s">
        <v>0</v>
      </c>
      <c r="T64" s="12"/>
      <c r="U64" s="12"/>
      <c r="V64" s="12" t="s">
        <v>3</v>
      </c>
      <c r="W64" s="12"/>
      <c r="X64" s="12"/>
      <c r="Y64" s="12" t="s">
        <v>1</v>
      </c>
      <c r="Z64" s="12"/>
      <c r="AA64" s="12"/>
      <c r="AB64" s="12" t="s">
        <v>4</v>
      </c>
      <c r="AC64" s="12"/>
      <c r="AD64" s="12"/>
      <c r="AE64" s="12" t="s">
        <v>2</v>
      </c>
      <c r="AF64" s="12"/>
      <c r="AG64" s="12"/>
      <c r="AH64" s="12" t="s">
        <v>5</v>
      </c>
      <c r="AI64" s="12"/>
      <c r="AJ64" s="12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4" customFormat="1" x14ac:dyDescent="0.25">
      <c r="A65" s="3" t="s">
        <v>6</v>
      </c>
      <c r="B65" s="3" t="s">
        <v>7</v>
      </c>
      <c r="C65" s="3" t="s">
        <v>8</v>
      </c>
      <c r="D65" s="3" t="s">
        <v>9</v>
      </c>
      <c r="E65" s="3" t="s">
        <v>10</v>
      </c>
      <c r="F65" s="3" t="s">
        <v>11</v>
      </c>
      <c r="G65" s="3" t="s">
        <v>12</v>
      </c>
      <c r="H65" s="3" t="s">
        <v>13</v>
      </c>
      <c r="I65" s="3" t="s">
        <v>14</v>
      </c>
      <c r="J65" s="3" t="s">
        <v>15</v>
      </c>
      <c r="K65" s="3" t="s">
        <v>16</v>
      </c>
      <c r="L65" s="3" t="s">
        <v>17</v>
      </c>
      <c r="M65" s="3" t="s">
        <v>18</v>
      </c>
      <c r="N65" s="3" t="s">
        <v>19</v>
      </c>
      <c r="O65" s="3" t="s">
        <v>20</v>
      </c>
      <c r="P65" s="3" t="s">
        <v>21</v>
      </c>
      <c r="Q65" s="3" t="s">
        <v>22</v>
      </c>
      <c r="R65" s="3" t="s">
        <v>23</v>
      </c>
      <c r="S65" s="3" t="s">
        <v>24</v>
      </c>
      <c r="T65" s="3" t="s">
        <v>25</v>
      </c>
      <c r="U65" s="3" t="s">
        <v>26</v>
      </c>
      <c r="V65" s="3" t="s">
        <v>27</v>
      </c>
      <c r="W65" s="3" t="s">
        <v>28</v>
      </c>
      <c r="X65" s="3" t="s">
        <v>29</v>
      </c>
      <c r="Y65" s="3" t="s">
        <v>30</v>
      </c>
      <c r="Z65" s="3" t="s">
        <v>31</v>
      </c>
      <c r="AA65" s="3" t="s">
        <v>32</v>
      </c>
      <c r="AB65" s="3" t="s">
        <v>33</v>
      </c>
      <c r="AC65" s="3" t="s">
        <v>34</v>
      </c>
      <c r="AD65" s="3" t="s">
        <v>35</v>
      </c>
      <c r="AE65" s="3" t="s">
        <v>36</v>
      </c>
      <c r="AF65" s="3" t="s">
        <v>37</v>
      </c>
      <c r="AG65" s="3" t="s">
        <v>38</v>
      </c>
      <c r="AH65" s="3" t="s">
        <v>39</v>
      </c>
      <c r="AI65" s="3" t="s">
        <v>40</v>
      </c>
      <c r="AJ65" s="3" t="s">
        <v>41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4" customFormat="1" x14ac:dyDescent="0.25">
      <c r="A66" s="3" t="s">
        <v>45</v>
      </c>
      <c r="B66" s="3" t="s">
        <v>46</v>
      </c>
      <c r="C66" s="3" t="s">
        <v>47</v>
      </c>
      <c r="D66" s="3" t="s">
        <v>48</v>
      </c>
      <c r="E66" s="3" t="s">
        <v>49</v>
      </c>
      <c r="F66" s="3" t="s">
        <v>50</v>
      </c>
      <c r="G66" s="3" t="s">
        <v>51</v>
      </c>
      <c r="H66" s="3" t="s">
        <v>52</v>
      </c>
      <c r="I66" s="3" t="s">
        <v>53</v>
      </c>
      <c r="J66" s="3" t="s">
        <v>54</v>
      </c>
      <c r="K66" s="3" t="s">
        <v>55</v>
      </c>
      <c r="L66" s="3" t="s">
        <v>56</v>
      </c>
      <c r="M66" s="3" t="s">
        <v>57</v>
      </c>
      <c r="N66" s="3" t="s">
        <v>58</v>
      </c>
      <c r="O66" s="3" t="s">
        <v>59</v>
      </c>
      <c r="P66" s="3" t="s">
        <v>60</v>
      </c>
      <c r="Q66" s="3" t="s">
        <v>61</v>
      </c>
      <c r="R66" s="3" t="s">
        <v>62</v>
      </c>
      <c r="S66" s="3" t="s">
        <v>63</v>
      </c>
      <c r="T66" s="3" t="s">
        <v>64</v>
      </c>
      <c r="U66" s="3" t="s">
        <v>65</v>
      </c>
      <c r="V66" s="3" t="s">
        <v>66</v>
      </c>
      <c r="W66" s="3" t="s">
        <v>67</v>
      </c>
      <c r="X66" s="3" t="s">
        <v>68</v>
      </c>
      <c r="Y66" s="3" t="s">
        <v>69</v>
      </c>
      <c r="Z66" s="3" t="s">
        <v>70</v>
      </c>
      <c r="AA66" s="3" t="s">
        <v>71</v>
      </c>
      <c r="AB66" s="3" t="s">
        <v>72</v>
      </c>
      <c r="AC66" s="3" t="s">
        <v>73</v>
      </c>
      <c r="AD66" s="3" t="s">
        <v>74</v>
      </c>
      <c r="AE66" s="3" t="s">
        <v>75</v>
      </c>
      <c r="AF66" s="3" t="s">
        <v>76</v>
      </c>
      <c r="AG66" s="3" t="s">
        <v>77</v>
      </c>
      <c r="AH66" s="3" t="s">
        <v>42</v>
      </c>
      <c r="AI66" s="3" t="s">
        <v>43</v>
      </c>
      <c r="AJ66" s="3" t="s">
        <v>44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48">
    <mergeCell ref="AH64:AJ64"/>
    <mergeCell ref="A64:C64"/>
    <mergeCell ref="D64:F64"/>
    <mergeCell ref="G64:I64"/>
    <mergeCell ref="J64:L64"/>
    <mergeCell ref="M64:O64"/>
    <mergeCell ref="P64:R64"/>
    <mergeCell ref="S64:U64"/>
    <mergeCell ref="V64:X64"/>
    <mergeCell ref="Y64:AA64"/>
    <mergeCell ref="AB64:AD64"/>
    <mergeCell ref="AE64:AG64"/>
    <mergeCell ref="J1:L1"/>
    <mergeCell ref="J4:L4"/>
    <mergeCell ref="J3:L3"/>
    <mergeCell ref="J2:L2"/>
    <mergeCell ref="J5:L5"/>
    <mergeCell ref="A1:B1"/>
    <mergeCell ref="A2:B2"/>
    <mergeCell ref="A10:B10"/>
    <mergeCell ref="A3:B3"/>
    <mergeCell ref="A4:B4"/>
    <mergeCell ref="A5:B5"/>
    <mergeCell ref="A6:B6"/>
    <mergeCell ref="A7:B7"/>
    <mergeCell ref="A8:B8"/>
    <mergeCell ref="A9:B9"/>
    <mergeCell ref="AH14:AJ14"/>
    <mergeCell ref="A14:C14"/>
    <mergeCell ref="D14:F14"/>
    <mergeCell ref="G14:I14"/>
    <mergeCell ref="J14:L14"/>
    <mergeCell ref="M14:O14"/>
    <mergeCell ref="P14:R14"/>
    <mergeCell ref="S14:U14"/>
    <mergeCell ref="V14:X14"/>
    <mergeCell ref="Y14:AA14"/>
    <mergeCell ref="AB14:AD14"/>
    <mergeCell ref="AE14:AG14"/>
    <mergeCell ref="J12:L12"/>
    <mergeCell ref="J6:L6"/>
    <mergeCell ref="J7:L7"/>
    <mergeCell ref="A11:B11"/>
    <mergeCell ref="J8:L8"/>
    <mergeCell ref="J9:L9"/>
    <mergeCell ref="J10:L10"/>
    <mergeCell ref="J11:L1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topLeftCell="C1" workbookViewId="0">
      <selection activeCell="H2" sqref="H2"/>
    </sheetView>
  </sheetViews>
  <sheetFormatPr defaultRowHeight="15" x14ac:dyDescent="0.25"/>
  <cols>
    <col min="1" max="1" width="19.140625" style="6" bestFit="1" customWidth="1"/>
    <col min="2" max="2" width="9.140625" style="6"/>
    <col min="3" max="3" width="25" style="9" bestFit="1" customWidth="1"/>
    <col min="4" max="4" width="26.7109375" style="6" bestFit="1" customWidth="1"/>
    <col min="5" max="5" width="30.5703125" style="6" bestFit="1" customWidth="1"/>
    <col min="6" max="7" width="30.5703125" style="9" customWidth="1"/>
    <col min="8" max="8" width="33.5703125" style="6" bestFit="1" customWidth="1"/>
    <col min="9" max="9" width="20.5703125" style="6" bestFit="1" customWidth="1"/>
    <col min="10" max="10" width="24.42578125" style="6" bestFit="1" customWidth="1"/>
    <col min="11" max="12" width="19.85546875" style="6" bestFit="1" customWidth="1"/>
    <col min="13" max="13" width="13.42578125" style="6" bestFit="1" customWidth="1"/>
    <col min="14" max="16384" width="9.140625" style="6"/>
  </cols>
  <sheetData>
    <row r="1" spans="1:13" s="8" customFormat="1" x14ac:dyDescent="0.25">
      <c r="A1" s="10" t="s">
        <v>108</v>
      </c>
      <c r="B1" s="10" t="s">
        <v>103</v>
      </c>
      <c r="C1" s="10" t="s">
        <v>122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96</v>
      </c>
      <c r="I1" s="10" t="s">
        <v>97</v>
      </c>
      <c r="J1" s="10" t="s">
        <v>98</v>
      </c>
      <c r="K1" s="10" t="s">
        <v>100</v>
      </c>
      <c r="L1" s="10" t="s">
        <v>99</v>
      </c>
      <c r="M1" s="10" t="s">
        <v>101</v>
      </c>
    </row>
    <row r="2" spans="1:13" x14ac:dyDescent="0.25">
      <c r="A2" s="3">
        <v>0.2</v>
      </c>
      <c r="B2" s="3">
        <v>0.115</v>
      </c>
      <c r="C2" s="3">
        <v>0.17</v>
      </c>
      <c r="D2" s="3">
        <v>93.3</v>
      </c>
      <c r="E2" s="3">
        <f>'Winding Design'!M8</f>
        <v>0.3166658661648083</v>
      </c>
      <c r="F2" s="3">
        <v>1.5</v>
      </c>
      <c r="G2" s="3">
        <v>1.5</v>
      </c>
      <c r="H2" s="3">
        <f>L2/(11*E2*'Winding Design'!C3*I2*J2*10^-3)</f>
        <v>16962.627505543845</v>
      </c>
      <c r="I2" s="3">
        <f>('Winding Design'!C10-(H5+D5+50))/'Winding Design'!C10</f>
        <v>0.90685042981232045</v>
      </c>
      <c r="J2" s="3">
        <v>0.8</v>
      </c>
      <c r="K2" s="3">
        <f>(120*50/'Winding Design'!C1)/60</f>
        <v>25</v>
      </c>
      <c r="L2" s="3">
        <f>(('Winding Design'!C10*I2)/(K2*M2))/1000</f>
        <v>41.1425525812773</v>
      </c>
      <c r="M2" s="3">
        <f>B2^2*A2</f>
        <v>2.6450000000000002E-3</v>
      </c>
    </row>
    <row r="4" spans="1:13" s="8" customFormat="1" x14ac:dyDescent="0.25">
      <c r="A4" s="10" t="s">
        <v>116</v>
      </c>
      <c r="B4" s="10" t="s">
        <v>117</v>
      </c>
      <c r="C4" s="10" t="s">
        <v>118</v>
      </c>
      <c r="D4" s="10" t="s">
        <v>130</v>
      </c>
      <c r="E4" s="10" t="s">
        <v>123</v>
      </c>
      <c r="F4" s="10" t="s">
        <v>124</v>
      </c>
      <c r="G4" s="10" t="s">
        <v>120</v>
      </c>
      <c r="H4" s="10" t="s">
        <v>121</v>
      </c>
    </row>
    <row r="5" spans="1:13" x14ac:dyDescent="0.25">
      <c r="A5" s="3">
        <f>PI()*B2/'Winding Design'!C1</f>
        <v>9.0320788790706555E-2</v>
      </c>
      <c r="B5" s="3">
        <f>2*A2+2.3*A5+0.24</f>
        <v>0.84773781421862504</v>
      </c>
      <c r="C5" s="3">
        <f>0.021*B5*'Winding Design'!M6/1.04</f>
        <v>3.0812009016792334</v>
      </c>
      <c r="D5" s="3">
        <f>3*'Winding Design'!C9^2*C5</f>
        <v>195.59463323859771</v>
      </c>
      <c r="E5" s="3">
        <f>(('Winding Design'!M6^2)/('Winding Design'!M9/((2.5/1000)*A2*4*PI()*10^-7)))/10^-3</f>
        <v>20.357520395261858</v>
      </c>
      <c r="F5" s="3" t="s">
        <v>131</v>
      </c>
      <c r="G5" s="3">
        <f>PI()*(C2/2)^2*A2*7850</f>
        <v>35.635870867832431</v>
      </c>
      <c r="H5" s="3">
        <f>G5*0.95</f>
        <v>33.854077324440809</v>
      </c>
    </row>
    <row r="6" spans="1:13" x14ac:dyDescent="0.25">
      <c r="C6" s="3" t="s">
        <v>127</v>
      </c>
    </row>
  </sheetData>
  <conditionalFormatting sqref="A5:D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{65605CF0-8A24-4652-8E8A-FE25475B23BD}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605CF0-8A24-4652-8E8A-FE25475B23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Winding Design</vt:lpstr>
      <vt:lpstr>Motor Parameter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2018-04-23T21:00:20Z</dcterms:modified>
</cp:coreProperties>
</file>