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24226"/>
  <bookViews>
    <workbookView xWindow="0" yWindow="0" windowWidth="20490" windowHeight="7545"/>
  </bookViews>
  <sheets>
    <sheet name="Inductor" sheetId="3" r:id="rId1"/>
  </sheets>
  <calcPr calcId="171027"/>
</workbook>
</file>

<file path=xl/calcChain.xml><?xml version="1.0" encoding="utf-8"?>
<calcChain xmlns="http://schemas.openxmlformats.org/spreadsheetml/2006/main">
  <c r="N8" i="3" l="1"/>
  <c r="G8" i="3" s="1"/>
  <c r="C8" i="3" s="1"/>
  <c r="R8" i="3"/>
  <c r="H6" i="3"/>
  <c r="H5" i="3"/>
  <c r="H4" i="3"/>
  <c r="H7" i="3"/>
  <c r="C7" i="3"/>
  <c r="F7" i="3"/>
  <c r="G7" i="3"/>
  <c r="R7" i="3"/>
  <c r="R6" i="3"/>
  <c r="G6" i="3" s="1"/>
  <c r="C5" i="3"/>
  <c r="G5" i="3"/>
  <c r="F5" i="3" s="1"/>
  <c r="R5" i="3"/>
  <c r="C18" i="3"/>
  <c r="G20" i="3"/>
  <c r="F20" i="3" s="1"/>
  <c r="G23" i="3"/>
  <c r="H23" i="3" s="1"/>
  <c r="G24" i="3"/>
  <c r="F24" i="3" s="1"/>
  <c r="R20" i="3"/>
  <c r="C20" i="3" s="1"/>
  <c r="R21" i="3"/>
  <c r="G21" i="3" s="1"/>
  <c r="R22" i="3"/>
  <c r="G22" i="3" s="1"/>
  <c r="R23" i="3"/>
  <c r="C23" i="3" s="1"/>
  <c r="R24" i="3"/>
  <c r="C24" i="3" s="1"/>
  <c r="R25" i="3"/>
  <c r="G25" i="3" s="1"/>
  <c r="G18" i="3"/>
  <c r="F18" i="3" s="1"/>
  <c r="R18" i="3"/>
  <c r="R19" i="3"/>
  <c r="C19" i="3" s="1"/>
  <c r="H8" i="3" l="1"/>
  <c r="F8" i="3"/>
  <c r="F6" i="3"/>
  <c r="C6" i="3"/>
  <c r="F23" i="3"/>
  <c r="F25" i="3"/>
  <c r="H25" i="3"/>
  <c r="F21" i="3"/>
  <c r="H21" i="3"/>
  <c r="F22" i="3"/>
  <c r="H22" i="3"/>
  <c r="C22" i="3"/>
  <c r="H18" i="3"/>
  <c r="C25" i="3"/>
  <c r="C21" i="3"/>
  <c r="H24" i="3"/>
  <c r="H20" i="3"/>
  <c r="G19" i="3"/>
  <c r="R4" i="3"/>
  <c r="C4" i="3" s="1"/>
  <c r="C29" i="3" l="1"/>
  <c r="D29" i="3" s="1"/>
  <c r="E29" i="3" s="1"/>
  <c r="H19" i="3"/>
  <c r="F19" i="3"/>
  <c r="H2" i="3"/>
  <c r="G4" i="3"/>
  <c r="F4" i="3" l="1"/>
</calcChain>
</file>

<file path=xl/sharedStrings.xml><?xml version="1.0" encoding="utf-8"?>
<sst xmlns="http://schemas.openxmlformats.org/spreadsheetml/2006/main" count="29" uniqueCount="27">
  <si>
    <t>B_ac_max(T)</t>
  </si>
  <si>
    <t>B_dc_max(T)</t>
  </si>
  <si>
    <t>Inductor Design</t>
  </si>
  <si>
    <t>Number of Turns</t>
  </si>
  <si>
    <t>Current (A)</t>
  </si>
  <si>
    <t>Reluctance(A-t/Wb)</t>
  </si>
  <si>
    <t>Core Dimensions</t>
  </si>
  <si>
    <t>Ae(mm^2)</t>
  </si>
  <si>
    <t>Ve(mm^3)</t>
  </si>
  <si>
    <t>A (mm)</t>
  </si>
  <si>
    <t>B (mm)</t>
  </si>
  <si>
    <t>C (mm)</t>
  </si>
  <si>
    <t>Permeability</t>
  </si>
  <si>
    <t>u_0</t>
  </si>
  <si>
    <t>le(mm)</t>
  </si>
  <si>
    <t>Inductance(mH)</t>
  </si>
  <si>
    <t>Saturation Flux Density (mT)</t>
  </si>
  <si>
    <t>B(T)</t>
  </si>
  <si>
    <t>Permeance (Wb/A-t)</t>
  </si>
  <si>
    <t>B_mean(T)</t>
  </si>
  <si>
    <t>Datasheet_values</t>
  </si>
  <si>
    <t>Analytic Calculations</t>
  </si>
  <si>
    <t>Q1</t>
  </si>
  <si>
    <t>Q3</t>
  </si>
  <si>
    <t>Q4</t>
  </si>
  <si>
    <t>Inductance(uH)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</si>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</sst>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28575</xdr:colOff>
      <xdr:row>0</xdr:row>
      <xdr:rowOff>152400</xdr:rowOff>
    </xdr:from>
    <xdr:to>
      <xdr:col>32</xdr:col>
      <xdr:colOff>551699</xdr:colOff>
      <xdr:row>42</xdr:row>
      <xdr:rowOff>37114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68700" y="152400"/>
          <a:ext cx="6009524" cy="7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C14" sqref="C14"/>
    </sheetView>
  </sheetViews>
  <sheetFormatPr defaultRowHeight="15" x14ac:dyDescent="0.25"/>
  <cols>
    <col min="1" max="2" width="19.5703125" bestFit="1" customWidth="1"/>
    <col min="3" max="3" width="12.28515625" bestFit="1" customWidth="1"/>
    <col min="4" max="5" width="16" bestFit="1" customWidth="1"/>
    <col min="6" max="6" width="19.85546875" bestFit="1" customWidth="1"/>
    <col min="7" max="7" width="19.140625" bestFit="1" customWidth="1"/>
    <col min="8" max="9" width="15.28515625" bestFit="1" customWidth="1"/>
    <col min="14" max="14" width="10.28515625" bestFit="1" customWidth="1"/>
    <col min="16" max="16" width="10.28515625" bestFit="1" customWidth="1"/>
    <col min="17" max="17" width="12.42578125" bestFit="1" customWidth="1"/>
    <col min="18" max="18" width="12" bestFit="1" customWidth="1"/>
    <col min="20" max="20" width="26.5703125" bestFit="1" customWidth="1"/>
    <col min="22" max="22" width="12.28515625" bestFit="1" customWidth="1"/>
    <col min="23" max="23" width="12.140625" bestFit="1" customWidth="1"/>
  </cols>
  <sheetData>
    <row r="1" spans="1:27" x14ac:dyDescent="0.25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1" customFormat="1" x14ac:dyDescent="0.25">
      <c r="A2" s="3"/>
      <c r="B2" s="3"/>
      <c r="C2" s="3"/>
      <c r="D2" s="3"/>
      <c r="E2" s="3"/>
      <c r="F2" s="3"/>
      <c r="G2" s="3"/>
      <c r="H2" s="3">
        <f>((Q4*R4*D4*D4*N4*10^-6)/(O4*10^-3))/10^-3</f>
        <v>0.14561489543616898</v>
      </c>
      <c r="I2" s="3"/>
      <c r="J2" s="3"/>
      <c r="K2" s="7" t="s">
        <v>6</v>
      </c>
      <c r="L2" s="7"/>
      <c r="M2" s="7"/>
      <c r="N2" s="7"/>
      <c r="O2" s="7"/>
      <c r="P2" s="7"/>
      <c r="Q2" s="3"/>
      <c r="R2" s="3"/>
    </row>
    <row r="3" spans="1:27" x14ac:dyDescent="0.25">
      <c r="B3" s="3"/>
      <c r="C3" s="2" t="s">
        <v>17</v>
      </c>
      <c r="D3" s="2" t="s">
        <v>3</v>
      </c>
      <c r="E3" s="2" t="s">
        <v>4</v>
      </c>
      <c r="F3" s="6" t="s">
        <v>18</v>
      </c>
      <c r="G3" s="2" t="s">
        <v>5</v>
      </c>
      <c r="H3" s="2" t="s">
        <v>25</v>
      </c>
      <c r="I3" s="6" t="s">
        <v>15</v>
      </c>
      <c r="J3" s="3"/>
      <c r="K3" s="2" t="s">
        <v>9</v>
      </c>
      <c r="L3" s="2" t="s">
        <v>10</v>
      </c>
      <c r="M3" s="2" t="s">
        <v>11</v>
      </c>
      <c r="N3" s="5" t="s">
        <v>7</v>
      </c>
      <c r="O3" s="2" t="s">
        <v>14</v>
      </c>
      <c r="P3" s="2" t="s">
        <v>8</v>
      </c>
      <c r="Q3" s="2" t="s">
        <v>12</v>
      </c>
      <c r="R3" s="2" t="s">
        <v>13</v>
      </c>
      <c r="T3" s="2" t="s">
        <v>16</v>
      </c>
    </row>
    <row r="4" spans="1:27" x14ac:dyDescent="0.25">
      <c r="A4" s="6" t="s">
        <v>20</v>
      </c>
      <c r="B4" s="3" t="s">
        <v>22</v>
      </c>
      <c r="C4" s="3">
        <f>((Q4*R4*D4*E4)/(O4*10^-3))</f>
        <v>0.26572061210979747</v>
      </c>
      <c r="D4" s="3">
        <v>8</v>
      </c>
      <c r="E4" s="3">
        <v>0.2</v>
      </c>
      <c r="F4" s="3">
        <f>1/G4</f>
        <v>2.2752327411901406E-6</v>
      </c>
      <c r="G4" s="3">
        <f>(O4*10^-3)/(Q4*R4*N4*10^-6)</f>
        <v>439515.47544842149</v>
      </c>
      <c r="H4" s="3">
        <f>((D4*D4)/G4)/10^-6</f>
        <v>145.61489543616901</v>
      </c>
      <c r="I4" s="3"/>
      <c r="J4" s="3"/>
      <c r="K4" s="3">
        <v>9.5299999999999994</v>
      </c>
      <c r="L4" s="3">
        <v>5.59</v>
      </c>
      <c r="M4" s="3">
        <v>7.11</v>
      </c>
      <c r="N4" s="3">
        <v>13.7</v>
      </c>
      <c r="O4" s="3">
        <v>22.7</v>
      </c>
      <c r="P4" s="3">
        <v>310</v>
      </c>
      <c r="Q4" s="3">
        <v>3000</v>
      </c>
      <c r="R4" s="3">
        <f>4*PI()*10^(-7)</f>
        <v>1.2566370614359173E-6</v>
      </c>
      <c r="T4" s="3">
        <v>470</v>
      </c>
    </row>
    <row r="5" spans="1:27" x14ac:dyDescent="0.25">
      <c r="A5" s="6" t="s">
        <v>21</v>
      </c>
      <c r="B5" s="3" t="s">
        <v>22</v>
      </c>
      <c r="C5" s="3">
        <f>((Q5*R5*D5*E5)/(O5*10^-3))</f>
        <v>0.25397296399546959</v>
      </c>
      <c r="D5" s="3">
        <v>8</v>
      </c>
      <c r="E5" s="3">
        <v>0.2</v>
      </c>
      <c r="F5" s="3">
        <f>1/G5</f>
        <v>2.1746435042112082E-6</v>
      </c>
      <c r="G5" s="3">
        <f>(O5*10^-3)/(Q5*R5*N5*10^-6)</f>
        <v>459845.48642731324</v>
      </c>
      <c r="H5" s="3">
        <f>((D5*D5)/G5)/10^-6</f>
        <v>139.17718426951734</v>
      </c>
      <c r="I5" s="3"/>
      <c r="J5" s="3"/>
      <c r="K5" s="3">
        <v>9.5299999999999994</v>
      </c>
      <c r="L5" s="3">
        <v>5.59</v>
      </c>
      <c r="M5" s="3">
        <v>7.11</v>
      </c>
      <c r="N5" s="3">
        <v>13.7</v>
      </c>
      <c r="O5" s="3">
        <v>23.75</v>
      </c>
      <c r="P5" s="3">
        <v>310</v>
      </c>
      <c r="Q5" s="3">
        <v>3000</v>
      </c>
      <c r="R5" s="3">
        <f>4*PI()*10^(-7)</f>
        <v>1.2566370614359173E-6</v>
      </c>
      <c r="T5" s="3">
        <v>470</v>
      </c>
    </row>
    <row r="6" spans="1:27" x14ac:dyDescent="0.25">
      <c r="B6" s="3" t="s">
        <v>23</v>
      </c>
      <c r="C6" s="3">
        <f>((Q6*R6*D6*E6)/(O6*10^-3))</f>
        <v>0.36826079779343091</v>
      </c>
      <c r="D6" s="3">
        <v>8</v>
      </c>
      <c r="E6" s="3">
        <v>0.3</v>
      </c>
      <c r="F6" s="3">
        <f>1/G6</f>
        <v>2.1021553874041677E-6</v>
      </c>
      <c r="G6" s="3">
        <f>(O6*10^-3)/(Q6*R6*N6*10^-6)</f>
        <v>475702.22733859991</v>
      </c>
      <c r="H6" s="3">
        <f>((D6*D6)/G6)/10^-6</f>
        <v>134.53794479386673</v>
      </c>
      <c r="I6" s="3"/>
      <c r="J6" s="3"/>
      <c r="K6" s="3">
        <v>9.5299999999999994</v>
      </c>
      <c r="L6" s="3">
        <v>5.59</v>
      </c>
      <c r="M6" s="3">
        <v>7.11</v>
      </c>
      <c r="N6" s="3">
        <v>13.7</v>
      </c>
      <c r="O6" s="3">
        <v>23.75</v>
      </c>
      <c r="P6" s="3">
        <v>310</v>
      </c>
      <c r="Q6" s="3">
        <v>2900</v>
      </c>
      <c r="R6" s="3">
        <f>4*PI()*10^(-7)</f>
        <v>1.2566370614359173E-6</v>
      </c>
      <c r="T6" s="3">
        <v>470</v>
      </c>
    </row>
    <row r="7" spans="1:27" x14ac:dyDescent="0.25">
      <c r="B7" s="3" t="s">
        <v>24</v>
      </c>
      <c r="C7" s="3">
        <f>(D7*E7)/(G7*N7*10^-6)</f>
        <v>1.0012098673642679E-3</v>
      </c>
      <c r="D7" s="3">
        <v>8</v>
      </c>
      <c r="E7" s="3">
        <v>0.2</v>
      </c>
      <c r="F7" s="3">
        <f>1/G7</f>
        <v>8.5728594893065448E-9</v>
      </c>
      <c r="G7" s="3">
        <f>G6+(2*10^-3)/(R7*N7*10^-6)</f>
        <v>116647193.53529142</v>
      </c>
      <c r="H7" s="3">
        <f>((D7*D7)/G7)/10^-6</f>
        <v>0.5486630073156189</v>
      </c>
      <c r="I7" s="3"/>
      <c r="J7" s="3"/>
      <c r="K7" s="3">
        <v>9.5299999999999994</v>
      </c>
      <c r="L7" s="3">
        <v>5.59</v>
      </c>
      <c r="M7" s="3">
        <v>7.11</v>
      </c>
      <c r="N7" s="3">
        <v>13.7</v>
      </c>
      <c r="O7" s="3">
        <v>23.75</v>
      </c>
      <c r="P7" s="3">
        <v>310</v>
      </c>
      <c r="Q7" s="3">
        <v>3000</v>
      </c>
      <c r="R7" s="3">
        <f>4*PI()*10^(-7)</f>
        <v>1.2566370614359173E-6</v>
      </c>
      <c r="T7" s="3">
        <v>470</v>
      </c>
    </row>
    <row r="8" spans="1:27" x14ac:dyDescent="0.25">
      <c r="B8" s="3" t="s">
        <v>26</v>
      </c>
      <c r="C8" s="3">
        <f>(D8*E8)/(G8*N8*10^-6)</f>
        <v>9.9714338863833357E-4</v>
      </c>
      <c r="D8" s="3">
        <v>8</v>
      </c>
      <c r="E8" s="3">
        <v>0.2</v>
      </c>
      <c r="F8" s="3">
        <f>1/G8</f>
        <v>1.7076080530431463E-8</v>
      </c>
      <c r="G8" s="3">
        <f>G6+(2*10^-3)/(R8*N8*10^-6)</f>
        <v>58561447.881315008</v>
      </c>
      <c r="H8" s="3">
        <f>((D8*D8)/G8)/10^-6</f>
        <v>1.0928691539476136</v>
      </c>
      <c r="I8" s="3"/>
      <c r="J8" s="3"/>
      <c r="K8" s="3">
        <v>9.5299999999999994</v>
      </c>
      <c r="L8" s="3">
        <v>5.59</v>
      </c>
      <c r="M8" s="3">
        <v>7.11</v>
      </c>
      <c r="N8" s="3">
        <f>13.7*SQRT(2)*SQRT(2)</f>
        <v>27.400000000000002</v>
      </c>
      <c r="O8" s="3">
        <v>23.75</v>
      </c>
      <c r="P8" s="3">
        <v>310</v>
      </c>
      <c r="Q8" s="3">
        <v>3000</v>
      </c>
      <c r="R8" s="3">
        <f>4*PI()*10^(-7)</f>
        <v>1.2566370614359173E-6</v>
      </c>
      <c r="T8" s="3">
        <v>470</v>
      </c>
      <c r="V8" s="4" t="s">
        <v>1</v>
      </c>
      <c r="W8" s="4" t="s">
        <v>0</v>
      </c>
    </row>
    <row r="9" spans="1:2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7" x14ac:dyDescent="0.25"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</row>
    <row r="11" spans="1:27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2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7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27" x14ac:dyDescent="0.25">
      <c r="B15" s="3"/>
    </row>
    <row r="16" spans="1:27" x14ac:dyDescent="0.25">
      <c r="B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>
        <f t="shared" ref="C18:C25" si="0">((Q18*R18*D18*E18)/(O18*10^-3))</f>
        <v>0.27796580160794482</v>
      </c>
      <c r="D18" s="3">
        <v>8</v>
      </c>
      <c r="E18" s="3">
        <v>0.2</v>
      </c>
      <c r="F18" s="3">
        <f t="shared" ref="F18:F25" si="1">1/G18</f>
        <v>2.3800821762680275E-6</v>
      </c>
      <c r="G18" s="3">
        <f t="shared" ref="G18:G25" si="2">(O18*10^-3)/(Q18*R18*N18*10^-6)</f>
        <v>420153.56023042934</v>
      </c>
      <c r="H18" s="3">
        <f t="shared" ref="H18:H25" si="3">((D18*D18)/G18)/10^-3</f>
        <v>0.15232525928115376</v>
      </c>
      <c r="I18" s="3"/>
      <c r="J18" s="3"/>
      <c r="K18" s="3"/>
      <c r="L18" s="3"/>
      <c r="M18" s="3"/>
      <c r="N18" s="3">
        <v>13.7</v>
      </c>
      <c r="O18" s="3">
        <v>21.7</v>
      </c>
      <c r="P18" s="3"/>
      <c r="Q18" s="3">
        <v>3000</v>
      </c>
      <c r="R18" s="3">
        <f t="shared" ref="R18:R25" si="4">4*PI()*10^(-7)</f>
        <v>1.2566370614359173E-6</v>
      </c>
    </row>
    <row r="19" spans="2:18" x14ac:dyDescent="0.25">
      <c r="B19" s="3"/>
      <c r="C19" s="3">
        <f t="shared" si="0"/>
        <v>0.29139410120253156</v>
      </c>
      <c r="D19" s="3">
        <v>8</v>
      </c>
      <c r="E19" s="3">
        <v>0.2</v>
      </c>
      <c r="F19" s="3">
        <f t="shared" si="1"/>
        <v>2.4950619915466763E-6</v>
      </c>
      <c r="G19" s="3">
        <f t="shared" si="2"/>
        <v>400791.64501243719</v>
      </c>
      <c r="H19" s="3">
        <f t="shared" si="3"/>
        <v>0.15968396745898727</v>
      </c>
      <c r="I19" s="3"/>
      <c r="J19" s="3"/>
      <c r="K19" s="3"/>
      <c r="L19" s="3"/>
      <c r="M19" s="3"/>
      <c r="N19" s="3">
        <v>13.7</v>
      </c>
      <c r="O19" s="3">
        <v>20.7</v>
      </c>
      <c r="P19" s="3"/>
      <c r="Q19" s="3">
        <v>3000</v>
      </c>
      <c r="R19" s="3">
        <f t="shared" si="4"/>
        <v>1.2566370614359173E-6</v>
      </c>
    </row>
    <row r="20" spans="2:18" x14ac:dyDescent="0.25">
      <c r="B20" s="3"/>
      <c r="C20" s="3">
        <f t="shared" si="0"/>
        <v>0.30618567994377682</v>
      </c>
      <c r="D20" s="3">
        <v>8</v>
      </c>
      <c r="E20" s="3">
        <v>0.2</v>
      </c>
      <c r="F20" s="3">
        <f t="shared" si="1"/>
        <v>2.6217148845185887E-6</v>
      </c>
      <c r="G20" s="3">
        <f t="shared" si="2"/>
        <v>381429.72979444504</v>
      </c>
      <c r="H20" s="3">
        <f t="shared" si="3"/>
        <v>0.16778975260918969</v>
      </c>
      <c r="I20" s="3"/>
      <c r="J20" s="3"/>
      <c r="K20" s="3"/>
      <c r="L20" s="3"/>
      <c r="M20" s="3"/>
      <c r="N20" s="3">
        <v>13.7</v>
      </c>
      <c r="O20" s="3">
        <v>19.7</v>
      </c>
      <c r="P20" s="3"/>
      <c r="Q20" s="3">
        <v>3000</v>
      </c>
      <c r="R20" s="3">
        <f t="shared" si="4"/>
        <v>1.2566370614359173E-6</v>
      </c>
    </row>
    <row r="21" spans="2:18" x14ac:dyDescent="0.25">
      <c r="B21" s="3"/>
      <c r="C21" s="3">
        <f t="shared" si="0"/>
        <v>0.32255924571617128</v>
      </c>
      <c r="D21" s="3">
        <v>8</v>
      </c>
      <c r="E21" s="3">
        <v>0.2</v>
      </c>
      <c r="F21" s="3">
        <f t="shared" si="1"/>
        <v>2.7619135414447161E-6</v>
      </c>
      <c r="G21" s="3">
        <f t="shared" si="2"/>
        <v>362067.81457645295</v>
      </c>
      <c r="H21" s="3">
        <f t="shared" si="3"/>
        <v>0.17676246665246181</v>
      </c>
      <c r="I21" s="3"/>
      <c r="J21" s="3"/>
      <c r="K21" s="3"/>
      <c r="L21" s="3"/>
      <c r="M21" s="3"/>
      <c r="N21" s="3">
        <v>13.7</v>
      </c>
      <c r="O21" s="3">
        <v>18.7</v>
      </c>
      <c r="P21" s="3"/>
      <c r="Q21" s="3">
        <v>3000</v>
      </c>
      <c r="R21" s="3">
        <f t="shared" si="4"/>
        <v>1.2566370614359173E-6</v>
      </c>
    </row>
    <row r="22" spans="2:18" x14ac:dyDescent="0.25">
      <c r="B22" s="3"/>
      <c r="C22" s="3">
        <f t="shared" si="0"/>
        <v>0.25450877193638832</v>
      </c>
      <c r="D22" s="3">
        <v>8</v>
      </c>
      <c r="E22" s="3">
        <v>0.2</v>
      </c>
      <c r="F22" s="3">
        <f t="shared" si="1"/>
        <v>2.1792313597053249E-6</v>
      </c>
      <c r="G22" s="3">
        <f t="shared" si="2"/>
        <v>458877.39066641359</v>
      </c>
      <c r="H22" s="3">
        <f t="shared" si="3"/>
        <v>0.13947080702114079</v>
      </c>
      <c r="I22" s="3"/>
      <c r="J22" s="3"/>
      <c r="K22" s="3"/>
      <c r="L22" s="3"/>
      <c r="M22" s="3"/>
      <c r="N22" s="3">
        <v>13.7</v>
      </c>
      <c r="O22" s="3">
        <v>23.7</v>
      </c>
      <c r="P22" s="3"/>
      <c r="Q22" s="3">
        <v>3000</v>
      </c>
      <c r="R22" s="3">
        <f t="shared" si="4"/>
        <v>1.2566370614359173E-6</v>
      </c>
    </row>
    <row r="23" spans="2:18" x14ac:dyDescent="0.25">
      <c r="B23" s="3"/>
      <c r="C23" s="3">
        <f t="shared" si="0"/>
        <v>0.24420477307256694</v>
      </c>
      <c r="D23" s="3">
        <v>8</v>
      </c>
      <c r="E23" s="3">
        <v>0.2</v>
      </c>
      <c r="F23" s="3">
        <f t="shared" si="1"/>
        <v>2.0910033694338539E-6</v>
      </c>
      <c r="G23" s="3">
        <f t="shared" si="2"/>
        <v>478239.30588440574</v>
      </c>
      <c r="H23" s="3">
        <f t="shared" si="3"/>
        <v>0.13382421564376665</v>
      </c>
      <c r="I23" s="3"/>
      <c r="J23" s="3"/>
      <c r="K23" s="3"/>
      <c r="L23" s="3"/>
      <c r="M23" s="3"/>
      <c r="N23" s="3">
        <v>13.7</v>
      </c>
      <c r="O23" s="3">
        <v>24.7</v>
      </c>
      <c r="P23" s="3"/>
      <c r="Q23" s="3">
        <v>3000</v>
      </c>
      <c r="R23" s="3">
        <f t="shared" si="4"/>
        <v>1.2566370614359173E-6</v>
      </c>
    </row>
    <row r="24" spans="2:18" x14ac:dyDescent="0.25">
      <c r="B24" s="3"/>
      <c r="C24" s="3">
        <f t="shared" si="0"/>
        <v>0.23470264182460712</v>
      </c>
      <c r="D24" s="3">
        <v>8</v>
      </c>
      <c r="E24" s="3">
        <v>0.2</v>
      </c>
      <c r="F24" s="3">
        <f t="shared" si="1"/>
        <v>2.0096413706231983E-6</v>
      </c>
      <c r="G24" s="3">
        <f t="shared" si="2"/>
        <v>497601.22110239789</v>
      </c>
      <c r="H24" s="3">
        <f t="shared" si="3"/>
        <v>0.12861704771988469</v>
      </c>
      <c r="I24" s="3"/>
      <c r="J24" s="3"/>
      <c r="K24" s="3"/>
      <c r="L24" s="3"/>
      <c r="M24" s="3"/>
      <c r="N24" s="3">
        <v>13.7</v>
      </c>
      <c r="O24" s="3">
        <v>25.7</v>
      </c>
      <c r="P24" s="3"/>
      <c r="Q24" s="3">
        <v>3000</v>
      </c>
      <c r="R24" s="3">
        <f t="shared" si="4"/>
        <v>1.2566370614359173E-6</v>
      </c>
    </row>
    <row r="25" spans="2:18" x14ac:dyDescent="0.25">
      <c r="B25" s="3"/>
      <c r="C25" s="3">
        <f t="shared" si="0"/>
        <v>0.22591228070758063</v>
      </c>
      <c r="D25" s="3">
        <v>8</v>
      </c>
      <c r="E25" s="3">
        <v>0.2</v>
      </c>
      <c r="F25" s="3">
        <f t="shared" si="1"/>
        <v>1.9343739035586588E-6</v>
      </c>
      <c r="G25" s="3">
        <f t="shared" si="2"/>
        <v>516963.13632039004</v>
      </c>
      <c r="H25" s="3">
        <f t="shared" si="3"/>
        <v>0.12379992982775416</v>
      </c>
      <c r="I25" s="3"/>
      <c r="J25" s="3"/>
      <c r="K25" s="3"/>
      <c r="L25" s="3"/>
      <c r="M25" s="3"/>
      <c r="N25" s="3">
        <v>13.7</v>
      </c>
      <c r="O25" s="3">
        <v>26.7</v>
      </c>
      <c r="P25" s="3"/>
      <c r="Q25" s="3">
        <v>3000</v>
      </c>
      <c r="R25" s="3">
        <f t="shared" si="4"/>
        <v>1.2566370614359173E-6</v>
      </c>
    </row>
    <row r="26" spans="2:18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3"/>
      <c r="C28" s="6" t="s">
        <v>19</v>
      </c>
      <c r="D28" s="3"/>
      <c r="E28" s="6" t="s">
        <v>15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5">
      <c r="B29" s="3"/>
      <c r="C29" s="3">
        <f>AVERAGE(C4:C25)</f>
        <v>0.23441430947432834</v>
      </c>
      <c r="D29" s="3">
        <f>(D25*E25)/(C29*13.7*10^-6)</f>
        <v>498213.27644110046</v>
      </c>
      <c r="E29" s="3">
        <f>(100/D29)/10^-3</f>
        <v>0.20071725248739361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</sheetData>
  <mergeCells count="2">
    <mergeCell ref="B1:AA1"/>
    <mergeCell ref="K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Inductor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2018-03-26T20:06:19Z</dcterms:modified>
</cp:coreProperties>
</file>