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Winding Design" sheetId="1" r:id="rId1"/>
    <sheet name="Motor Parameter Estim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2" i="2"/>
  <c r="Q4" i="1"/>
  <c r="M12" i="1"/>
  <c r="Q3" i="1" s="1"/>
  <c r="Q1" i="1" s="1"/>
  <c r="C2" i="2" s="1"/>
  <c r="M9" i="1"/>
  <c r="C9" i="1"/>
  <c r="Q5" i="1" l="1"/>
  <c r="Q7" i="1" s="1"/>
  <c r="Q2" i="1"/>
  <c r="M7" i="1" s="1"/>
  <c r="M11" i="1"/>
  <c r="M10" i="1" s="1"/>
  <c r="E5" i="1"/>
  <c r="A5" i="2" l="1"/>
  <c r="K2" i="2" l="1"/>
  <c r="B5" i="2" l="1"/>
  <c r="G5" i="2"/>
  <c r="H5" i="2" s="1"/>
  <c r="M2" i="2"/>
  <c r="M2" i="1" l="1"/>
  <c r="M3" i="1" s="1"/>
  <c r="C4" i="1" l="1"/>
  <c r="M6" i="1"/>
  <c r="C5" i="2" s="1"/>
  <c r="E5" i="2"/>
  <c r="M4" i="1"/>
  <c r="N4" i="1" s="1"/>
  <c r="F3" i="1" s="1"/>
  <c r="D3" i="1" l="1"/>
  <c r="C3" i="1"/>
  <c r="G3" i="1"/>
  <c r="E3" i="1"/>
  <c r="D5" i="2" l="1"/>
  <c r="I2" i="2" l="1"/>
  <c r="C12" i="1" s="1"/>
  <c r="L2" i="2" l="1"/>
</calcChain>
</file>

<file path=xl/sharedStrings.xml><?xml version="1.0" encoding="utf-8"?>
<sst xmlns="http://schemas.openxmlformats.org/spreadsheetml/2006/main" count="60" uniqueCount="58">
  <si>
    <t>Number of Poles</t>
  </si>
  <si>
    <t>Type of Winding</t>
  </si>
  <si>
    <t>Winding Factors</t>
  </si>
  <si>
    <t>Number of Turns</t>
  </si>
  <si>
    <t>Wire Size</t>
  </si>
  <si>
    <t>Fill Factor</t>
  </si>
  <si>
    <t>Winding Connection</t>
  </si>
  <si>
    <t>Number of StatorSlots</t>
  </si>
  <si>
    <t>Slots per Pole</t>
  </si>
  <si>
    <t>Slot per Pole per Phase</t>
  </si>
  <si>
    <t>Slot Angle (degree)</t>
  </si>
  <si>
    <t>Conductors per Slot</t>
  </si>
  <si>
    <t xml:space="preserve">&lt; </t>
  </si>
  <si>
    <t>(mm^2)</t>
  </si>
  <si>
    <t>Voltage Rating (V)</t>
  </si>
  <si>
    <t>Current Rating (A)</t>
  </si>
  <si>
    <t>Integral, Double Layer, Distributed Winding</t>
  </si>
  <si>
    <t>Specific Electric Loading-q (A/m)</t>
  </si>
  <si>
    <t>Full-Load Efficiency</t>
  </si>
  <si>
    <t>Full-Load Power Factor</t>
  </si>
  <si>
    <t>Output Coefficient</t>
  </si>
  <si>
    <t>ns (rps)</t>
  </si>
  <si>
    <t>D^2.L(m^3)</t>
  </si>
  <si>
    <t>L (m)</t>
  </si>
  <si>
    <t>Di (m)</t>
  </si>
  <si>
    <t>Nphase</t>
  </si>
  <si>
    <t>Frequency</t>
  </si>
  <si>
    <t>Flux per Pole (Wb)</t>
  </si>
  <si>
    <t>Bavg (T)</t>
  </si>
  <si>
    <t>Axial Length (m)</t>
  </si>
  <si>
    <t>Airgap Clearance (m)</t>
  </si>
  <si>
    <t>A (mm^2)</t>
  </si>
  <si>
    <t>Specific Magnetic Loading (T)</t>
  </si>
  <si>
    <t>Flux Density in Teeth (T)</t>
  </si>
  <si>
    <t>Flux Density in Core (T)</t>
  </si>
  <si>
    <t>Torque (N.m)</t>
  </si>
  <si>
    <t>Speed (rad/s)</t>
  </si>
  <si>
    <t>Pole Pitch (m)</t>
  </si>
  <si>
    <t>l_mt (m)</t>
  </si>
  <si>
    <t>Phase Resistance (ohm)</t>
  </si>
  <si>
    <t>wye</t>
  </si>
  <si>
    <t>Core Mass (kg)</t>
  </si>
  <si>
    <t>Core Loss (W)</t>
  </si>
  <si>
    <t>Do (m)</t>
  </si>
  <si>
    <t>Phase Inductance (mH)</t>
  </si>
  <si>
    <t>Leakage Inductance (mH)</t>
  </si>
  <si>
    <t>rpm</t>
  </si>
  <si>
    <t>(17AWG-1,04mm^2)</t>
  </si>
  <si>
    <t>Output Power Rating (W)</t>
  </si>
  <si>
    <t>Input Power Rating (W)</t>
  </si>
  <si>
    <t>Stator Copper Losses (W)</t>
  </si>
  <si>
    <t>-</t>
  </si>
  <si>
    <t>Di^2*L</t>
  </si>
  <si>
    <t>Maxwell Stress Tensor (N/m^2)</t>
  </si>
  <si>
    <t>Aspect Ratio (L/D)</t>
  </si>
  <si>
    <t>Zq*Qs</t>
  </si>
  <si>
    <t>Zq</t>
  </si>
  <si>
    <t>Number of RotorSlots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</si>
</sst>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charset val="162"/>
      <scheme val="major"/>
    </font>
    <font>
      <sz val="11"/>
      <color theme="1"/>
      <name val="Calibri Light"/>
      <family val="2"/>
      <charset val="16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MMF Waveforms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7921758530183726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at t=0s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</c:numCache>
            </c:numRef>
          </c:xVal>
          <c:yVal>
            <c:numRef>
              <c:f>'Winding Design'!$E$21:$E$40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4-4CB4-A52D-88312C3447CD}"/>
            </c:ext>
          </c:extLst>
        </c:ser>
        <c:ser>
          <c:idx val="1"/>
          <c:order val="1"/>
          <c:tx>
            <c:v>at t=0,01s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</c:numCache>
            </c:numRef>
          </c:xVal>
          <c:yVal>
            <c:numRef>
              <c:f>'Winding Design'!$F$21:$F$40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4-4CB4-A52D-88312C34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4719"/>
        <c:axId val="1131879231"/>
      </c:scatterChart>
      <c:valAx>
        <c:axId val="12026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Theta</a:t>
                </a:r>
              </a:p>
            </c:rich>
          </c:tx>
          <c:layout>
            <c:manualLayout>
              <c:xMode val="edge"/>
              <c:yMode val="edge"/>
              <c:x val="0.44785639955570333"/>
              <c:y val="0.8568956805906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879231"/>
        <c:crosses val="autoZero"/>
        <c:crossBetween val="midCat"/>
      </c:valAx>
      <c:valAx>
        <c:axId val="1131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F_t(theta)</a:t>
                </a:r>
              </a:p>
              <a:p>
                <a:pPr>
                  <a:defRPr/>
                </a:pPr>
                <a:r>
                  <a:rPr lang="tr-TR"/>
                  <a:t>(A-t)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267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6442211214479"/>
          <c:y val="5.0943045896546642E-2"/>
          <c:w val="0.22349290783566997"/>
          <c:h val="0.1132082946730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21011</xdr:colOff>
      <xdr:row>19</xdr:row>
      <xdr:rowOff>170890</xdr:rowOff>
    </xdr:from>
    <xdr:to>
      <xdr:col>27</xdr:col>
      <xdr:colOff>356628</xdr:colOff>
      <xdr:row>39</xdr:row>
      <xdr:rowOff>147079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28660B9-635B-411B-A77F-3A88ADF75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zoomScaleNormal="100" workbookViewId="0">
      <selection activeCell="I16" sqref="I16"/>
    </sheetView>
  </sheetViews>
  <sheetFormatPr defaultRowHeight="15" x14ac:dyDescent="0.25"/>
  <cols>
    <col min="1" max="1" width="9.140625" style="3"/>
    <col min="2" max="2" width="16.7109375" style="3" customWidth="1"/>
    <col min="3" max="6" width="9.140625" style="3"/>
    <col min="7" max="7" width="9.140625" style="3" customWidth="1"/>
    <col min="8" max="11" width="9.140625" style="3"/>
    <col min="12" max="12" width="16.5703125" style="3" customWidth="1"/>
    <col min="13" max="15" width="9.140625" style="3"/>
    <col min="16" max="16" width="33.5703125" style="3" bestFit="1" customWidth="1"/>
    <col min="17" max="16384" width="9.140625" style="3"/>
  </cols>
  <sheetData>
    <row r="1" spans="1:17" x14ac:dyDescent="0.25">
      <c r="A1" s="11" t="s">
        <v>0</v>
      </c>
      <c r="B1" s="11"/>
      <c r="C1" s="1">
        <v>6</v>
      </c>
      <c r="D1" s="2"/>
      <c r="E1" s="2"/>
      <c r="F1" s="2"/>
      <c r="G1" s="2"/>
      <c r="J1" s="11" t="s">
        <v>7</v>
      </c>
      <c r="K1" s="11"/>
      <c r="L1" s="11"/>
      <c r="M1" s="1">
        <v>54</v>
      </c>
      <c r="N1" s="2"/>
      <c r="O1" s="1"/>
      <c r="P1" s="8" t="s">
        <v>24</v>
      </c>
      <c r="Q1" s="1">
        <f>(Q3/Q4)^(1/3)</f>
        <v>0.29859296910436695</v>
      </c>
    </row>
    <row r="2" spans="1:17" x14ac:dyDescent="0.25">
      <c r="A2" s="11" t="s">
        <v>1</v>
      </c>
      <c r="B2" s="11"/>
      <c r="C2" s="10" t="s">
        <v>16</v>
      </c>
      <c r="D2" s="10"/>
      <c r="E2" s="10"/>
      <c r="F2" s="2"/>
      <c r="G2" s="2"/>
      <c r="J2" s="11" t="s">
        <v>8</v>
      </c>
      <c r="K2" s="11"/>
      <c r="L2" s="11"/>
      <c r="M2" s="1">
        <f>M1/C1</f>
        <v>9</v>
      </c>
      <c r="N2" s="2"/>
      <c r="O2" s="1"/>
      <c r="P2" s="8" t="s">
        <v>23</v>
      </c>
      <c r="Q2" s="1">
        <f>Q1*Q4</f>
        <v>0.22548549913135782</v>
      </c>
    </row>
    <row r="3" spans="1:17" x14ac:dyDescent="0.25">
      <c r="A3" s="11" t="s">
        <v>2</v>
      </c>
      <c r="B3" s="11"/>
      <c r="C3" s="1">
        <f>SIN(M3*N4/2)/(M3*SIN(N4/2))</f>
        <v>0.95979508052393891</v>
      </c>
      <c r="D3" s="1">
        <f>SIN(3*M3*N4/2)/(M3*SIN(3*N4/2))</f>
        <v>0.66666666666666674</v>
      </c>
      <c r="E3" s="2">
        <f>SIN(5*M3*N4/2)/(M3*SIN(5*N4/2))</f>
        <v>0.21756788155537973</v>
      </c>
      <c r="F3" s="2">
        <f>SIN(7*M3*N4/2)/(M3*SIN(7*N4/2))</f>
        <v>-0.17736296207931862</v>
      </c>
      <c r="G3" s="2">
        <f>SIN(9*M3*N4/2)/(M3*SIN(9*N4/2))</f>
        <v>-0.33333333333333331</v>
      </c>
      <c r="J3" s="11" t="s">
        <v>9</v>
      </c>
      <c r="K3" s="11"/>
      <c r="L3" s="11"/>
      <c r="M3" s="1">
        <f>M2/3</f>
        <v>3</v>
      </c>
      <c r="N3" s="2"/>
      <c r="O3" s="1"/>
      <c r="P3" s="9" t="s">
        <v>52</v>
      </c>
      <c r="Q3" s="1">
        <f>(M10*2)/(PI()*M12)</f>
        <v>2.0103782285292037E-2</v>
      </c>
    </row>
    <row r="4" spans="1:17" x14ac:dyDescent="0.25">
      <c r="A4" s="11" t="s">
        <v>3</v>
      </c>
      <c r="B4" s="11"/>
      <c r="C4" s="1">
        <f>M3*M5*C1/2</f>
        <v>18</v>
      </c>
      <c r="D4" s="1"/>
      <c r="E4" s="2"/>
      <c r="F4" s="2"/>
      <c r="G4" s="2"/>
      <c r="J4" s="11" t="s">
        <v>10</v>
      </c>
      <c r="K4" s="11"/>
      <c r="L4" s="11"/>
      <c r="M4" s="1">
        <f>180/M2</f>
        <v>20</v>
      </c>
      <c r="N4" s="1">
        <f>PI()/(180/M4)</f>
        <v>0.3490658503988659</v>
      </c>
      <c r="O4" s="1"/>
      <c r="P4" s="9" t="s">
        <v>54</v>
      </c>
      <c r="Q4" s="1">
        <f>(PI()/(2*C1/2))*(C1/2)^(1/3)</f>
        <v>0.75516010912013154</v>
      </c>
    </row>
    <row r="5" spans="1:17" x14ac:dyDescent="0.25">
      <c r="A5" s="11" t="s">
        <v>4</v>
      </c>
      <c r="B5" s="11"/>
      <c r="C5" s="1">
        <f>547.43*3</f>
        <v>1642.29</v>
      </c>
      <c r="D5" s="1" t="s">
        <v>12</v>
      </c>
      <c r="E5" s="1">
        <f>('Motor Parameter Estimation'!D2*C6/M5)</f>
        <v>1750</v>
      </c>
      <c r="F5" s="1" t="s">
        <v>13</v>
      </c>
      <c r="G5" s="2"/>
      <c r="J5" s="11" t="s">
        <v>11</v>
      </c>
      <c r="K5" s="11"/>
      <c r="L5" s="11"/>
      <c r="M5" s="1">
        <v>2</v>
      </c>
      <c r="N5" s="1"/>
      <c r="O5" s="1"/>
      <c r="P5" s="9" t="s">
        <v>55</v>
      </c>
      <c r="Q5" s="1">
        <f>Q6*PI()*Q1/C9</f>
        <v>102.81403103506123</v>
      </c>
    </row>
    <row r="6" spans="1:17" x14ac:dyDescent="0.25">
      <c r="A6" s="11" t="s">
        <v>5</v>
      </c>
      <c r="B6" s="11"/>
      <c r="C6" s="1">
        <v>0.7</v>
      </c>
      <c r="D6" s="1"/>
      <c r="E6" s="2"/>
      <c r="F6" s="2"/>
      <c r="G6" s="2"/>
      <c r="J6" s="11" t="s">
        <v>25</v>
      </c>
      <c r="K6" s="11"/>
      <c r="L6" s="11"/>
      <c r="M6" s="1">
        <f>(M3*M5*C1/2)</f>
        <v>18</v>
      </c>
      <c r="N6" s="1"/>
      <c r="O6" s="1"/>
      <c r="P6" s="9" t="s">
        <v>17</v>
      </c>
      <c r="Q6" s="1">
        <v>60000</v>
      </c>
    </row>
    <row r="7" spans="1:17" x14ac:dyDescent="0.25">
      <c r="A7" s="11" t="s">
        <v>6</v>
      </c>
      <c r="B7" s="11"/>
      <c r="C7" s="1" t="s">
        <v>40</v>
      </c>
      <c r="D7" s="1"/>
      <c r="E7" s="2"/>
      <c r="F7" s="2"/>
      <c r="G7" s="2"/>
      <c r="J7" s="11" t="s">
        <v>27</v>
      </c>
      <c r="K7" s="11"/>
      <c r="L7" s="11"/>
      <c r="M7" s="1">
        <f>M8*PI()*Q1*Q2*(1/(C1/2))</f>
        <v>5.6404895646658973E-2</v>
      </c>
      <c r="N7" s="1"/>
      <c r="O7" s="1"/>
      <c r="P7" s="6" t="s">
        <v>56</v>
      </c>
      <c r="Q7" s="1">
        <f>Q5/M1</f>
        <v>1.9039635376863191</v>
      </c>
    </row>
    <row r="8" spans="1:17" x14ac:dyDescent="0.25">
      <c r="A8" s="11" t="s">
        <v>14</v>
      </c>
      <c r="B8" s="11"/>
      <c r="C8" s="1">
        <v>1350</v>
      </c>
      <c r="D8" s="1"/>
      <c r="E8" s="2"/>
      <c r="F8" s="2"/>
      <c r="G8" s="2"/>
      <c r="J8" s="11" t="s">
        <v>28</v>
      </c>
      <c r="K8" s="11"/>
      <c r="L8" s="11"/>
      <c r="M8" s="1">
        <v>0.8</v>
      </c>
      <c r="N8" s="1"/>
      <c r="O8" s="1"/>
      <c r="P8" s="1"/>
      <c r="Q8" s="1"/>
    </row>
    <row r="9" spans="1:17" x14ac:dyDescent="0.25">
      <c r="A9" s="11" t="s">
        <v>15</v>
      </c>
      <c r="B9" s="11"/>
      <c r="C9" s="1">
        <f>C10/(1.732*C8)</f>
        <v>547.42964673680615</v>
      </c>
      <c r="D9" s="1"/>
      <c r="E9" s="2"/>
      <c r="F9" s="2"/>
      <c r="G9" s="2"/>
      <c r="J9" s="11" t="s">
        <v>30</v>
      </c>
      <c r="K9" s="11"/>
      <c r="L9" s="11"/>
      <c r="M9" s="1">
        <f>0.18+0.0006*((C1/2)^0.4)</f>
        <v>0.1809311073443492</v>
      </c>
      <c r="N9" s="1"/>
      <c r="O9" s="1"/>
      <c r="P9" s="1"/>
      <c r="Q9" s="1"/>
    </row>
    <row r="10" spans="1:17" x14ac:dyDescent="0.25">
      <c r="A10" s="11" t="s">
        <v>48</v>
      </c>
      <c r="B10" s="11"/>
      <c r="C10" s="1">
        <v>1280000</v>
      </c>
      <c r="D10" s="2"/>
      <c r="E10" s="2"/>
      <c r="F10" s="2"/>
      <c r="G10" s="2"/>
      <c r="J10" s="11" t="s">
        <v>35</v>
      </c>
      <c r="K10" s="11"/>
      <c r="L10" s="11"/>
      <c r="M10" s="2">
        <f>C10/M11</f>
        <v>8041.5129141168163</v>
      </c>
      <c r="N10" s="1"/>
      <c r="O10" s="1"/>
      <c r="P10" s="1"/>
      <c r="Q10" s="1"/>
    </row>
    <row r="11" spans="1:17" x14ac:dyDescent="0.25">
      <c r="A11" s="11" t="s">
        <v>26</v>
      </c>
      <c r="B11" s="11"/>
      <c r="C11" s="1">
        <v>50</v>
      </c>
      <c r="D11" s="2"/>
      <c r="E11" s="2"/>
      <c r="F11" s="2"/>
      <c r="G11" s="2"/>
      <c r="J11" s="11" t="s">
        <v>36</v>
      </c>
      <c r="K11" s="11"/>
      <c r="L11" s="11"/>
      <c r="M11" s="1">
        <f>2*PI()*N11/60</f>
        <v>159.17402778188287</v>
      </c>
      <c r="N11" s="1">
        <v>1520</v>
      </c>
      <c r="O11" s="1" t="s">
        <v>46</v>
      </c>
      <c r="P11" s="2"/>
      <c r="Q11" s="2"/>
    </row>
    <row r="12" spans="1:17" x14ac:dyDescent="0.25">
      <c r="A12" s="11" t="s">
        <v>49</v>
      </c>
      <c r="B12" s="11"/>
      <c r="C12" s="1">
        <f>C10/'Motor Parameter Estimation'!I2</f>
        <v>1598208.4726528006</v>
      </c>
      <c r="D12" s="2"/>
      <c r="E12" s="2"/>
      <c r="F12" s="2"/>
      <c r="G12" s="2"/>
      <c r="J12" s="11" t="s">
        <v>53</v>
      </c>
      <c r="K12" s="11"/>
      <c r="L12" s="11"/>
      <c r="M12" s="1">
        <f>1/(2*4*PI()*10^-7)*M8^2</f>
        <v>254647.90894703259</v>
      </c>
      <c r="N12" s="1"/>
      <c r="O12" s="1"/>
      <c r="P12" s="1"/>
      <c r="Q12" s="1"/>
    </row>
    <row r="13" spans="1:17" x14ac:dyDescent="0.25">
      <c r="J13" s="11" t="s">
        <v>57</v>
      </c>
      <c r="K13" s="11"/>
      <c r="L13" s="11"/>
      <c r="M13" s="1">
        <v>62</v>
      </c>
      <c r="N13" s="1"/>
      <c r="O13" s="1"/>
      <c r="P13" s="1"/>
      <c r="Q13" s="1"/>
    </row>
    <row r="61" spans="1:2" x14ac:dyDescent="0.25">
      <c r="A61" s="5"/>
      <c r="B61" s="5"/>
    </row>
  </sheetData>
  <mergeCells count="25">
    <mergeCell ref="J13:L13"/>
    <mergeCell ref="J12:L12"/>
    <mergeCell ref="J6:L6"/>
    <mergeCell ref="J7:L7"/>
    <mergeCell ref="A11:B11"/>
    <mergeCell ref="J8:L8"/>
    <mergeCell ref="J9:L9"/>
    <mergeCell ref="J10:L10"/>
    <mergeCell ref="J11:L11"/>
    <mergeCell ref="A12:B12"/>
    <mergeCell ref="A1:B1"/>
    <mergeCell ref="A2:B2"/>
    <mergeCell ref="A10:B10"/>
    <mergeCell ref="A3:B3"/>
    <mergeCell ref="A4:B4"/>
    <mergeCell ref="A5:B5"/>
    <mergeCell ref="A6:B6"/>
    <mergeCell ref="A7:B7"/>
    <mergeCell ref="A8:B8"/>
    <mergeCell ref="A9:B9"/>
    <mergeCell ref="J1:L1"/>
    <mergeCell ref="J4:L4"/>
    <mergeCell ref="J3:L3"/>
    <mergeCell ref="J2:L2"/>
    <mergeCell ref="J5:L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C1" workbookViewId="0">
      <selection activeCell="E16" sqref="E16"/>
    </sheetView>
  </sheetViews>
  <sheetFormatPr defaultRowHeight="15" x14ac:dyDescent="0.25"/>
  <cols>
    <col min="1" max="1" width="19.140625" style="4" bestFit="1" customWidth="1"/>
    <col min="2" max="2" width="9.140625" style="4"/>
    <col min="3" max="3" width="25" style="7" bestFit="1" customWidth="1"/>
    <col min="4" max="4" width="26.7109375" style="4" bestFit="1" customWidth="1"/>
    <col min="5" max="5" width="30.5703125" style="4" bestFit="1" customWidth="1"/>
    <col min="6" max="7" width="30.5703125" style="7" customWidth="1"/>
    <col min="8" max="8" width="33.5703125" style="4" bestFit="1" customWidth="1"/>
    <col min="9" max="9" width="20.5703125" style="4" bestFit="1" customWidth="1"/>
    <col min="10" max="10" width="24.42578125" style="4" bestFit="1" customWidth="1"/>
    <col min="11" max="12" width="19.85546875" style="4" bestFit="1" customWidth="1"/>
    <col min="13" max="13" width="13.42578125" style="4" bestFit="1" customWidth="1"/>
    <col min="14" max="16384" width="9.140625" style="4"/>
  </cols>
  <sheetData>
    <row r="1" spans="1:13" s="6" customFormat="1" x14ac:dyDescent="0.25">
      <c r="A1" s="8" t="s">
        <v>29</v>
      </c>
      <c r="B1" s="8" t="s">
        <v>24</v>
      </c>
      <c r="C1" s="8" t="s">
        <v>43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17</v>
      </c>
      <c r="I1" s="8" t="s">
        <v>18</v>
      </c>
      <c r="J1" s="8" t="s">
        <v>19</v>
      </c>
      <c r="K1" s="8" t="s">
        <v>21</v>
      </c>
      <c r="L1" s="8" t="s">
        <v>20</v>
      </c>
      <c r="M1" s="8" t="s">
        <v>22</v>
      </c>
    </row>
    <row r="2" spans="1:13" x14ac:dyDescent="0.25">
      <c r="A2" s="1">
        <v>0.2</v>
      </c>
      <c r="B2" s="1">
        <v>0.115</v>
      </c>
      <c r="C2" s="1">
        <f>'Winding Design'!Q1*2</f>
        <v>0.59718593820873389</v>
      </c>
      <c r="D2" s="1">
        <v>5000</v>
      </c>
      <c r="E2" s="1">
        <f>0.8</f>
        <v>0.8</v>
      </c>
      <c r="F2" s="1">
        <v>1.5</v>
      </c>
      <c r="G2" s="1">
        <v>1.5</v>
      </c>
      <c r="H2" s="1">
        <v>60000</v>
      </c>
      <c r="I2" s="1">
        <f>('Winding Design'!C10-(H5+D5+50))/'Winding Design'!C10</f>
        <v>0.80089676778861052</v>
      </c>
      <c r="J2" s="1">
        <v>0.8</v>
      </c>
      <c r="K2" s="1">
        <f>(120*50/'Winding Design'!C1)/60</f>
        <v>16.666666666666668</v>
      </c>
      <c r="L2" s="1">
        <f>(('Winding Design'!C10*I2)/(K2*M2))/1000</f>
        <v>23254.771934277986</v>
      </c>
      <c r="M2" s="1">
        <f>B2^2*A2</f>
        <v>2.6450000000000002E-3</v>
      </c>
    </row>
    <row r="4" spans="1:13" s="6" customFormat="1" x14ac:dyDescent="0.25">
      <c r="A4" s="8" t="s">
        <v>37</v>
      </c>
      <c r="B4" s="8" t="s">
        <v>38</v>
      </c>
      <c r="C4" s="8" t="s">
        <v>39</v>
      </c>
      <c r="D4" s="8" t="s">
        <v>50</v>
      </c>
      <c r="E4" s="8" t="s">
        <v>44</v>
      </c>
      <c r="F4" s="8" t="s">
        <v>45</v>
      </c>
      <c r="G4" s="8" t="s">
        <v>41</v>
      </c>
      <c r="H4" s="8" t="s">
        <v>42</v>
      </c>
    </row>
    <row r="5" spans="1:13" x14ac:dyDescent="0.25">
      <c r="A5" s="1">
        <f>PI()*B2/'Winding Design'!C1</f>
        <v>6.021385919380437E-2</v>
      </c>
      <c r="B5" s="1">
        <f>2*A2+2.3*A5+0.24</f>
        <v>0.77849187614574999</v>
      </c>
      <c r="C5" s="1">
        <f>0.021*B5*'Winding Design'!M6/1.04</f>
        <v>0.28295185498374376</v>
      </c>
      <c r="D5" s="1">
        <f>3*'Winding Design'!C9^2*C5</f>
        <v>254384.37200681528</v>
      </c>
      <c r="E5" s="1">
        <f>(('Winding Design'!M6^2)/('Winding Design'!M9/((2.5/1000)*A2*4*PI()*10^-7)))/10^-3</f>
        <v>1.1251531422132568E-3</v>
      </c>
      <c r="F5" s="1" t="s">
        <v>51</v>
      </c>
      <c r="G5" s="1">
        <f>PI()*(C2/2)^2*A2*7850</f>
        <v>439.75286711930454</v>
      </c>
      <c r="H5" s="1">
        <f>G5*0.95</f>
        <v>417.76522376333929</v>
      </c>
    </row>
    <row r="6" spans="1:13" x14ac:dyDescent="0.25">
      <c r="C6" s="1" t="s">
        <v>47</v>
      </c>
    </row>
  </sheetData>
  <conditionalFormatting sqref="A5:D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{65605CF0-8A24-4652-8E8A-FE25475B23BD}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605CF0-8A24-4652-8E8A-FE25475B2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Winding Design</vt:lpstr>
      <vt:lpstr>Motor Parameter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2018-06-02T19:42:33Z</dcterms:modified>
</cp:coreProperties>
</file>