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71027"/>
</workbook>
</file>

<file path=xl/calcChain.xml><?xml version="1.0" encoding="utf-8"?>
<calcChain xmlns="http://schemas.openxmlformats.org/spreadsheetml/2006/main">
  <c r="U4" i="1" l="1"/>
  <c r="U5" i="1"/>
  <c r="U6" i="1"/>
  <c r="U7" i="1"/>
  <c r="U3" i="1"/>
  <c r="T4" i="1"/>
  <c r="T5" i="1"/>
  <c r="T6" i="1"/>
  <c r="T7" i="1"/>
  <c r="T3" i="1"/>
  <c r="I34" i="1" l="1"/>
  <c r="I35" i="1"/>
  <c r="I36" i="1"/>
  <c r="I37" i="1"/>
  <c r="I33" i="1"/>
  <c r="I4" i="1"/>
  <c r="I5" i="1"/>
  <c r="I6" i="1"/>
  <c r="I7" i="1"/>
  <c r="I3" i="1"/>
  <c r="W34" i="2" l="1"/>
  <c r="W35" i="2"/>
  <c r="W36" i="2"/>
  <c r="W37" i="2"/>
  <c r="W33" i="2"/>
  <c r="W4" i="2"/>
  <c r="W5" i="2"/>
  <c r="W6" i="2"/>
  <c r="W7" i="2"/>
  <c r="W3" i="2"/>
  <c r="J34" i="2"/>
  <c r="E34" i="2" s="1"/>
  <c r="J35" i="2"/>
  <c r="E35" i="2" s="1"/>
  <c r="J36" i="2"/>
  <c r="E36" i="2" s="1"/>
  <c r="O36" i="2" s="1"/>
  <c r="Q36" i="2" s="1"/>
  <c r="J37" i="2"/>
  <c r="E37" i="2" s="1"/>
  <c r="O37" i="2" s="1"/>
  <c r="J33" i="2"/>
  <c r="E33" i="2" s="1"/>
  <c r="N33" i="2" s="1"/>
  <c r="J4" i="2"/>
  <c r="J5" i="2"/>
  <c r="J6" i="2"/>
  <c r="E6" i="2" s="1"/>
  <c r="J7" i="2"/>
  <c r="E7" i="2" s="1"/>
  <c r="J3" i="2"/>
  <c r="C37" i="1"/>
  <c r="B37" i="1"/>
  <c r="T37" i="2" s="1"/>
  <c r="C36" i="1"/>
  <c r="B36" i="1"/>
  <c r="C35" i="1"/>
  <c r="B35" i="1"/>
  <c r="C34" i="1"/>
  <c r="B34" i="1"/>
  <c r="C33" i="1"/>
  <c r="B33" i="1"/>
  <c r="T33" i="2" s="1"/>
  <c r="S37" i="2"/>
  <c r="R37" i="2"/>
  <c r="L37" i="2"/>
  <c r="C37" i="2"/>
  <c r="S36" i="2"/>
  <c r="U36" i="2" s="1"/>
  <c r="R36" i="2"/>
  <c r="T36" i="2" s="1"/>
  <c r="V36" i="2" s="1"/>
  <c r="L36" i="2"/>
  <c r="C36" i="2"/>
  <c r="U35" i="2"/>
  <c r="S35" i="2"/>
  <c r="R35" i="2"/>
  <c r="L35" i="2"/>
  <c r="C35" i="2"/>
  <c r="S34" i="2"/>
  <c r="R34" i="2"/>
  <c r="T34" i="2" s="1"/>
  <c r="L34" i="2"/>
  <c r="C34" i="2"/>
  <c r="S33" i="2"/>
  <c r="U33" i="2" s="1"/>
  <c r="R33" i="2"/>
  <c r="L33" i="2"/>
  <c r="C33" i="2"/>
  <c r="S7" i="2"/>
  <c r="R7" i="2"/>
  <c r="L7" i="2"/>
  <c r="C7" i="2"/>
  <c r="C7" i="1"/>
  <c r="B7" i="1"/>
  <c r="C6" i="1"/>
  <c r="B6" i="1"/>
  <c r="T6" i="2" s="1"/>
  <c r="S6" i="2"/>
  <c r="R6" i="2"/>
  <c r="L6" i="2"/>
  <c r="C6" i="2"/>
  <c r="S5" i="2"/>
  <c r="R5" i="2"/>
  <c r="L5" i="2"/>
  <c r="E5" i="2"/>
  <c r="C5" i="2"/>
  <c r="C5" i="1"/>
  <c r="B5" i="1"/>
  <c r="Q5" i="1"/>
  <c r="S5" i="1"/>
  <c r="P33" i="2" l="1"/>
  <c r="U37" i="2"/>
  <c r="V37" i="2" s="1"/>
  <c r="U5" i="2"/>
  <c r="K36" i="2"/>
  <c r="K35" i="2"/>
  <c r="Q37" i="2"/>
  <c r="H37" i="1"/>
  <c r="K37" i="2"/>
  <c r="O33" i="2"/>
  <c r="U34" i="2"/>
  <c r="V34" i="2" s="1"/>
  <c r="G33" i="1"/>
  <c r="H36" i="1"/>
  <c r="K33" i="2"/>
  <c r="T35" i="2"/>
  <c r="V35" i="2" s="1"/>
  <c r="M36" i="2"/>
  <c r="E36" i="1" s="1"/>
  <c r="J36" i="1" s="1"/>
  <c r="N34" i="2"/>
  <c r="M34" i="2"/>
  <c r="E34" i="1" s="1"/>
  <c r="J34" i="1" s="1"/>
  <c r="O34" i="2"/>
  <c r="K34" i="2"/>
  <c r="B34" i="2"/>
  <c r="V33" i="2"/>
  <c r="M35" i="2"/>
  <c r="E35" i="1" s="1"/>
  <c r="J35" i="1" s="1"/>
  <c r="N35" i="2"/>
  <c r="B35" i="2"/>
  <c r="O35" i="2"/>
  <c r="M33" i="2"/>
  <c r="E33" i="1" s="1"/>
  <c r="J33" i="1" s="1"/>
  <c r="B36" i="2"/>
  <c r="N36" i="2"/>
  <c r="M37" i="2"/>
  <c r="E37" i="1" s="1"/>
  <c r="J37" i="1" s="1"/>
  <c r="B33" i="2"/>
  <c r="B37" i="2"/>
  <c r="N37" i="2"/>
  <c r="T5" i="2"/>
  <c r="U7" i="2"/>
  <c r="T7" i="2"/>
  <c r="N7" i="2"/>
  <c r="P7" i="2" s="1"/>
  <c r="B7" i="2"/>
  <c r="M7" i="2"/>
  <c r="E7" i="1" s="1"/>
  <c r="O7" i="2"/>
  <c r="Q7" i="2" s="1"/>
  <c r="K7" i="2"/>
  <c r="N6" i="2"/>
  <c r="K6" i="2"/>
  <c r="U6" i="2"/>
  <c r="V6" i="2" s="1"/>
  <c r="O6" i="2"/>
  <c r="M6" i="2"/>
  <c r="E6" i="1" s="1"/>
  <c r="B6" i="2"/>
  <c r="N5" i="2"/>
  <c r="B5" i="2"/>
  <c r="M5" i="2"/>
  <c r="E5" i="1" s="1"/>
  <c r="O5" i="2"/>
  <c r="K5" i="2"/>
  <c r="V5" i="2" l="1"/>
  <c r="M34" i="1"/>
  <c r="M35" i="1"/>
  <c r="P34" i="2"/>
  <c r="G34" i="1"/>
  <c r="P35" i="2"/>
  <c r="G35" i="1"/>
  <c r="M33" i="1"/>
  <c r="M37" i="1"/>
  <c r="Q35" i="2"/>
  <c r="H35" i="1"/>
  <c r="P37" i="2"/>
  <c r="F37" i="1" s="1"/>
  <c r="N37" i="1" s="1"/>
  <c r="G37" i="1"/>
  <c r="K37" i="1" s="1"/>
  <c r="P36" i="2"/>
  <c r="F36" i="1" s="1"/>
  <c r="N36" i="1" s="1"/>
  <c r="G36" i="1"/>
  <c r="K36" i="1" s="1"/>
  <c r="Q34" i="2"/>
  <c r="H34" i="1"/>
  <c r="M36" i="1"/>
  <c r="Q33" i="2"/>
  <c r="F33" i="1" s="1"/>
  <c r="N33" i="1" s="1"/>
  <c r="H33" i="1"/>
  <c r="K33" i="1" s="1"/>
  <c r="V7" i="2"/>
  <c r="J7" i="1"/>
  <c r="M7" i="1"/>
  <c r="H7" i="1"/>
  <c r="G7" i="1"/>
  <c r="J6" i="1"/>
  <c r="M6" i="1"/>
  <c r="Q6" i="2"/>
  <c r="H6" i="1"/>
  <c r="P6" i="2"/>
  <c r="G6" i="1"/>
  <c r="J5" i="1"/>
  <c r="M5" i="1"/>
  <c r="Q5" i="2"/>
  <c r="H5" i="1"/>
  <c r="P5" i="2"/>
  <c r="F5" i="1" s="1"/>
  <c r="N5" i="1" s="1"/>
  <c r="G5" i="1"/>
  <c r="K35" i="1" l="1"/>
  <c r="O36" i="1"/>
  <c r="O37" i="1"/>
  <c r="F35" i="1"/>
  <c r="N35" i="1" s="1"/>
  <c r="O35" i="1" s="1"/>
  <c r="H36" i="2"/>
  <c r="L36" i="1"/>
  <c r="L37" i="1"/>
  <c r="H37" i="2"/>
  <c r="L35" i="1"/>
  <c r="H35" i="2"/>
  <c r="L33" i="1"/>
  <c r="H33" i="2"/>
  <c r="K34" i="1"/>
  <c r="L34" i="1" s="1"/>
  <c r="O33" i="1"/>
  <c r="F34" i="1"/>
  <c r="N34" i="1" s="1"/>
  <c r="O34" i="1" s="1"/>
  <c r="F7" i="1"/>
  <c r="N7" i="1" s="1"/>
  <c r="O7" i="1" s="1"/>
  <c r="K7" i="1"/>
  <c r="H7" i="2" s="1"/>
  <c r="K6" i="1"/>
  <c r="H6" i="2" s="1"/>
  <c r="F6" i="1"/>
  <c r="N6" i="1" s="1"/>
  <c r="O6" i="1" s="1"/>
  <c r="K5" i="1"/>
  <c r="L5" i="1" s="1"/>
  <c r="O5" i="1"/>
  <c r="H34" i="2" l="1"/>
  <c r="H5" i="2"/>
  <c r="L6" i="1"/>
  <c r="L7" i="1"/>
  <c r="S4" i="2" l="1"/>
  <c r="S3" i="2"/>
  <c r="C4" i="1"/>
  <c r="C3" i="1"/>
  <c r="L4" i="2" l="1"/>
  <c r="E4" i="2"/>
  <c r="B4" i="2" s="1"/>
  <c r="C4" i="2"/>
  <c r="L3" i="2"/>
  <c r="C3" i="2"/>
  <c r="O4" i="2" l="1"/>
  <c r="Q4" i="2" s="1"/>
  <c r="K4" i="2"/>
  <c r="M4" i="2"/>
  <c r="E3" i="2"/>
  <c r="B3" i="2" s="1"/>
  <c r="H4" i="1" l="1"/>
  <c r="O3" i="2"/>
  <c r="Q3" i="2" s="1"/>
  <c r="K3" i="2"/>
  <c r="M3" i="2"/>
  <c r="E4" i="1"/>
  <c r="J4" i="1" s="1"/>
  <c r="M4" i="1" l="1"/>
  <c r="Q15" i="1"/>
  <c r="Q14" i="1"/>
  <c r="Q13" i="1"/>
  <c r="Q12" i="1"/>
  <c r="Q11" i="1"/>
  <c r="Q10" i="1"/>
  <c r="Q3" i="1"/>
  <c r="U3" i="2" l="1"/>
  <c r="U4" i="2"/>
  <c r="S4" i="1"/>
  <c r="B3" i="1"/>
  <c r="B4" i="1"/>
  <c r="E3" i="1"/>
  <c r="J3" i="1" s="1"/>
  <c r="H3" i="1"/>
  <c r="N4" i="2" l="1"/>
  <c r="N3" i="2"/>
  <c r="R4" i="2"/>
  <c r="T4" i="2" s="1"/>
  <c r="V4" i="2" s="1"/>
  <c r="R3" i="2"/>
  <c r="T3" i="2" s="1"/>
  <c r="V3" i="2" s="1"/>
  <c r="M3" i="1"/>
  <c r="P4" i="2" l="1"/>
  <c r="F4" i="1" s="1"/>
  <c r="N4" i="1" s="1"/>
  <c r="O4" i="1" s="1"/>
  <c r="G4" i="1"/>
  <c r="K4" i="1" s="1"/>
  <c r="P3" i="2"/>
  <c r="F3" i="1" s="1"/>
  <c r="N3" i="1" s="1"/>
  <c r="O3" i="1" s="1"/>
  <c r="G3" i="1"/>
  <c r="K3" i="1" s="1"/>
  <c r="H3" i="2" l="1"/>
  <c r="L3" i="1"/>
  <c r="H4" i="2"/>
  <c r="L4" i="1"/>
</calcChain>
</file>

<file path=xl/sharedStrings.xml><?xml version="1.0" encoding="utf-8"?>
<sst xmlns="http://schemas.openxmlformats.org/spreadsheetml/2006/main" count="113" uniqueCount="60">
  <si>
    <t>N1</t>
  </si>
  <si>
    <t>N2</t>
  </si>
  <si>
    <t>Bcore (T)</t>
  </si>
  <si>
    <t>Core Mass (kg)</t>
  </si>
  <si>
    <t>Copper Mass (kg)</t>
  </si>
  <si>
    <t>R1 (ohm)</t>
  </si>
  <si>
    <t>R2 (ohm)</t>
  </si>
  <si>
    <t>Lm (H)</t>
  </si>
  <si>
    <t>Pcore (W)</t>
  </si>
  <si>
    <t>Pcopper (W)</t>
  </si>
  <si>
    <t>Fill Factor</t>
  </si>
  <si>
    <t>Initial Permeability of Core</t>
  </si>
  <si>
    <t>Efficiency (%)</t>
  </si>
  <si>
    <t>Input Voltage (V)</t>
  </si>
  <si>
    <t>Output Voltage (V)</t>
  </si>
  <si>
    <t>Rating (VA)</t>
  </si>
  <si>
    <t>Core Loss(W/kg)</t>
  </si>
  <si>
    <t>Leakage Inductance (p.u)</t>
  </si>
  <si>
    <t>Core Material Cost ($/kg)</t>
  </si>
  <si>
    <t>Copper Cost ($/kg)</t>
  </si>
  <si>
    <t>Design 1</t>
  </si>
  <si>
    <t>Design 2</t>
  </si>
  <si>
    <t>Turns per volt</t>
  </si>
  <si>
    <t>Area of Core (m^2)</t>
  </si>
  <si>
    <t>Frequency(Hz)</t>
  </si>
  <si>
    <t>Input Current (A)</t>
  </si>
  <si>
    <t>Output Current (A)</t>
  </si>
  <si>
    <t>Area of Copper Conductor_Output (mm^2)</t>
  </si>
  <si>
    <t>Design Procedure</t>
  </si>
  <si>
    <t>Copper Resistivity (Ohm.m)</t>
  </si>
  <si>
    <t>L1 (m)</t>
  </si>
  <si>
    <t>L2 (m)</t>
  </si>
  <si>
    <t>Copper Volume_1</t>
  </si>
  <si>
    <t>Copper Volume_2</t>
  </si>
  <si>
    <t>Density of Copper (kg/m3)</t>
  </si>
  <si>
    <t>F</t>
  </si>
  <si>
    <t>G</t>
  </si>
  <si>
    <t>E</t>
  </si>
  <si>
    <t>D</t>
  </si>
  <si>
    <t>Density of Steel (kg/m3)</t>
  </si>
  <si>
    <t>Core Dimensions (m)</t>
  </si>
  <si>
    <t>Area Product(m4)</t>
  </si>
  <si>
    <t>Window Area(m2)</t>
  </si>
  <si>
    <t>Core Volume(m3)</t>
  </si>
  <si>
    <t>Area of Copper Conductor_Input (mm^2) - 7 AWG&gt;9,66mm2</t>
  </si>
  <si>
    <t>Results</t>
  </si>
  <si>
    <t>Copper Area_1(m^2)</t>
  </si>
  <si>
    <t>Copper Area_2(m^2)</t>
  </si>
  <si>
    <t>Core Cost ($)</t>
  </si>
  <si>
    <t>Copper Cost ($)</t>
  </si>
  <si>
    <t>Total Cost ($)</t>
  </si>
  <si>
    <t>M235-35A</t>
  </si>
  <si>
    <t>Design 3</t>
  </si>
  <si>
    <t>Design 4</t>
  </si>
  <si>
    <t>Design 5</t>
  </si>
  <si>
    <t>X&lt;Window Area</t>
  </si>
  <si>
    <t>Reluctance</t>
  </si>
  <si>
    <t>L1 (H)</t>
  </si>
  <si>
    <t>L2 (H)</t>
  </si>
  <si>
    <t xml:space="preserve">Area of Copper Conductor_Input (mm^2)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</si>
</sst>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B050"/>
      <name val="Calibri"/>
      <family val="2"/>
      <charset val="162"/>
      <scheme val="minor"/>
    </font>
    <font>
      <sz val="11"/>
      <color rgb="FF00B050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2" borderId="0" xfId="0" applyFont="1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/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92825896762906"/>
          <c:y val="0.19486111111111112"/>
          <c:w val="0.7921758530183726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B=1T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Sheet2!$I$3:$I$8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xVal>
          <c:yVal>
            <c:numRef>
              <c:f>Sheet2!$H$3:$H$8</c:f>
              <c:numCache>
                <c:formatCode>General</c:formatCode>
                <c:ptCount val="6"/>
                <c:pt idx="0">
                  <c:v>97.700486994000997</c:v>
                </c:pt>
                <c:pt idx="1">
                  <c:v>98.815801553305064</c:v>
                </c:pt>
                <c:pt idx="2">
                  <c:v>98.868518908576021</c:v>
                </c:pt>
                <c:pt idx="3">
                  <c:v>98.748992430368304</c:v>
                </c:pt>
                <c:pt idx="4">
                  <c:v>98.575513293573863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6A-48E0-A2A2-CDCCE1E5CFEF}"/>
            </c:ext>
          </c:extLst>
        </c:ser>
        <c:ser>
          <c:idx val="1"/>
          <c:order val="1"/>
          <c:tx>
            <c:v>B=1.5T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Sheet2!$I$33:$I$37</c:f>
              <c:numCache>
                <c:formatCode>General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xVal>
          <c:yVal>
            <c:numRef>
              <c:f>Sheet2!$H$33:$H$37</c:f>
              <c:numCache>
                <c:formatCode>General</c:formatCode>
                <c:ptCount val="5"/>
                <c:pt idx="0">
                  <c:v>97.303714017042296</c:v>
                </c:pt>
                <c:pt idx="1">
                  <c:v>98.675830030787097</c:v>
                </c:pt>
                <c:pt idx="2">
                  <c:v>98.79763956212048</c:v>
                </c:pt>
                <c:pt idx="3">
                  <c:v>98.709563864053138</c:v>
                </c:pt>
                <c:pt idx="4">
                  <c:v>98.553964696817815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6A-48E0-A2A2-CDCCE1E5C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74719"/>
        <c:axId val="1131879231"/>
      </c:scatterChart>
      <c:valAx>
        <c:axId val="120267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Turns per Volt</a:t>
                </a:r>
              </a:p>
            </c:rich>
          </c:tx>
          <c:layout>
            <c:manualLayout>
              <c:xMode val="edge"/>
              <c:yMode val="edge"/>
              <c:x val="0.44785639955570333"/>
              <c:y val="0.85689568059069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31879231"/>
        <c:crosses val="autoZero"/>
        <c:crossBetween val="midCat"/>
      </c:valAx>
      <c:valAx>
        <c:axId val="113187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Efficiency</a:t>
                </a:r>
              </a:p>
              <a:p>
                <a:pPr>
                  <a:defRPr/>
                </a:pPr>
                <a:r>
                  <a:rPr lang="tr-TR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267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96552552000824"/>
          <c:y val="5.0943045896546642E-2"/>
          <c:w val="0.13517173553116113"/>
          <c:h val="0.11320829467308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92825896762906"/>
          <c:y val="0.19486111111111112"/>
          <c:w val="0.7921758530183726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B=1T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Sheet2!$I$3:$I$8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xVal>
          <c:yVal>
            <c:numRef>
              <c:f>Sheet2!$H$3:$H$8</c:f>
              <c:numCache>
                <c:formatCode>General</c:formatCode>
                <c:ptCount val="6"/>
                <c:pt idx="0">
                  <c:v>97.700486994000997</c:v>
                </c:pt>
                <c:pt idx="1">
                  <c:v>98.815801553305064</c:v>
                </c:pt>
                <c:pt idx="2">
                  <c:v>98.868518908576021</c:v>
                </c:pt>
                <c:pt idx="3">
                  <c:v>98.748992430368304</c:v>
                </c:pt>
                <c:pt idx="4">
                  <c:v>98.575513293573863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7-4F10-907B-D00B4CA2E5FD}"/>
            </c:ext>
          </c:extLst>
        </c:ser>
        <c:ser>
          <c:idx val="1"/>
          <c:order val="1"/>
          <c:tx>
            <c:v>B=1.5T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Sheet2!$I$33:$I$37</c:f>
              <c:numCache>
                <c:formatCode>General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xVal>
          <c:yVal>
            <c:numRef>
              <c:f>Sheet2!$H$33:$H$37</c:f>
              <c:numCache>
                <c:formatCode>General</c:formatCode>
                <c:ptCount val="5"/>
                <c:pt idx="0">
                  <c:v>97.303714017042296</c:v>
                </c:pt>
                <c:pt idx="1">
                  <c:v>98.675830030787097</c:v>
                </c:pt>
                <c:pt idx="2">
                  <c:v>98.79763956212048</c:v>
                </c:pt>
                <c:pt idx="3">
                  <c:v>98.709563864053138</c:v>
                </c:pt>
                <c:pt idx="4">
                  <c:v>98.553964696817815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07-4F10-907B-D00B4CA2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74719"/>
        <c:axId val="1131879231"/>
      </c:scatterChart>
      <c:valAx>
        <c:axId val="120267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Turns per Volt</a:t>
                </a:r>
              </a:p>
            </c:rich>
          </c:tx>
          <c:layout>
            <c:manualLayout>
              <c:xMode val="edge"/>
              <c:yMode val="edge"/>
              <c:x val="0.44785639955570333"/>
              <c:y val="0.85689568059069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31879231"/>
        <c:crosses val="autoZero"/>
        <c:crossBetween val="midCat"/>
      </c:valAx>
      <c:valAx>
        <c:axId val="113187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Efficiency</a:t>
                </a:r>
              </a:p>
              <a:p>
                <a:pPr>
                  <a:defRPr/>
                </a:pPr>
                <a:r>
                  <a:rPr lang="tr-TR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267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96552552000824"/>
          <c:y val="5.0943045896546642E-2"/>
          <c:w val="0.13517173553116113"/>
          <c:h val="0.11320829467308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11</xdr:col>
      <xdr:colOff>723517</xdr:colOff>
      <xdr:row>22</xdr:row>
      <xdr:rowOff>180714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4075A2AB-F2AF-4356-85A0-3898BBA07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2286000"/>
          <a:ext cx="3066667" cy="208571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7</xdr:col>
      <xdr:colOff>1337983</xdr:colOff>
      <xdr:row>29</xdr:row>
      <xdr:rowOff>166689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E6D7B24B-B4F5-41C7-9EFB-C20382DC8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78442</xdr:colOff>
      <xdr:row>24</xdr:row>
      <xdr:rowOff>134471</xdr:rowOff>
    </xdr:from>
    <xdr:to>
      <xdr:col>13</xdr:col>
      <xdr:colOff>1004528</xdr:colOff>
      <xdr:row>29</xdr:row>
      <xdr:rowOff>105781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AE1EA9D-74B0-48A6-A9A6-1839E4AAF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1" y="4706471"/>
          <a:ext cx="5161909" cy="9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295275</xdr:colOff>
      <xdr:row>22</xdr:row>
      <xdr:rowOff>14288</xdr:rowOff>
    </xdr:from>
    <xdr:to>
      <xdr:col>12</xdr:col>
      <xdr:colOff>1094734</xdr:colOff>
      <xdr:row>26</xdr:row>
      <xdr:rowOff>176098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468AEDF9-42C5-4B58-A119-2235A7201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5675" y="4205288"/>
          <a:ext cx="5161909" cy="9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738188</xdr:colOff>
      <xdr:row>10</xdr:row>
      <xdr:rowOff>38100</xdr:rowOff>
    </xdr:from>
    <xdr:to>
      <xdr:col>10</xdr:col>
      <xdr:colOff>852105</xdr:colOff>
      <xdr:row>21</xdr:row>
      <xdr:rowOff>28314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5231F77A-9FCD-4B0D-A36E-A675B687D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9438" y="1943100"/>
          <a:ext cx="3066667" cy="2085714"/>
        </a:xfrm>
        <a:prstGeom prst="rect">
          <a:avLst/>
        </a:prstGeom>
      </xdr:spPr>
    </xdr:pic>
    <xdr:clientData/>
  </xdr:twoCellAnchor>
  <xdr:twoCellAnchor>
    <xdr:from>
      <xdr:col>0</xdr:col>
      <xdr:colOff>647699</xdr:colOff>
      <xdr:row>8</xdr:row>
      <xdr:rowOff>95249</xdr:rowOff>
    </xdr:from>
    <xdr:to>
      <xdr:col>6</xdr:col>
      <xdr:colOff>304800</xdr:colOff>
      <xdr:row>28</xdr:row>
      <xdr:rowOff>71438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8CFBA525-A1A9-4FCB-BD78-DE7201E18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zoomScaleNormal="100" workbookViewId="0">
      <selection activeCell="R19" sqref="R19"/>
    </sheetView>
  </sheetViews>
  <sheetFormatPr defaultRowHeight="15" x14ac:dyDescent="0.25"/>
  <cols>
    <col min="1" max="1" width="10.7109375" bestFit="1" customWidth="1"/>
    <col min="4" max="4" width="8.85546875" bestFit="1" customWidth="1"/>
    <col min="5" max="5" width="14.140625" bestFit="1" customWidth="1"/>
    <col min="6" max="6" width="16.42578125" bestFit="1" customWidth="1"/>
    <col min="7" max="7" width="9" bestFit="1" customWidth="1"/>
    <col min="8" max="8" width="22.85546875" bestFit="1" customWidth="1"/>
    <col min="9" max="9" width="9.85546875" bestFit="1" customWidth="1"/>
    <col min="10" max="10" width="12.140625" bestFit="1" customWidth="1"/>
    <col min="11" max="12" width="13.140625" bestFit="1" customWidth="1"/>
    <col min="13" max="13" width="25.28515625" bestFit="1" customWidth="1"/>
    <col min="14" max="16" width="26" bestFit="1" customWidth="1"/>
    <col min="17" max="17" width="12" bestFit="1" customWidth="1"/>
    <col min="18" max="18" width="17.85546875" bestFit="1" customWidth="1"/>
    <col min="19" max="19" width="5" bestFit="1" customWidth="1"/>
    <col min="20" max="21" width="12" bestFit="1" customWidth="1"/>
    <col min="22" max="22" width="17.85546875" customWidth="1"/>
    <col min="23" max="23" width="37.7109375" bestFit="1" customWidth="1"/>
    <col min="24" max="24" width="39.42578125" bestFit="1" customWidth="1"/>
    <col min="25" max="25" width="24.28515625" bestFit="1" customWidth="1"/>
    <col min="26" max="26" width="18.42578125" bestFit="1" customWidth="1"/>
  </cols>
  <sheetData>
    <row r="1" spans="1:23" x14ac:dyDescent="0.25">
      <c r="A1" s="36" t="s">
        <v>45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23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12</v>
      </c>
      <c r="M2" s="15" t="s">
        <v>48</v>
      </c>
      <c r="N2" s="15" t="s">
        <v>49</v>
      </c>
      <c r="O2" s="15" t="s">
        <v>50</v>
      </c>
      <c r="P2" s="15" t="s">
        <v>24</v>
      </c>
      <c r="Q2" s="35">
        <v>50</v>
      </c>
      <c r="R2" s="19"/>
      <c r="S2" s="19"/>
      <c r="T2" s="32" t="s">
        <v>57</v>
      </c>
      <c r="U2" s="32" t="s">
        <v>58</v>
      </c>
    </row>
    <row r="3" spans="1:23" x14ac:dyDescent="0.25">
      <c r="A3" s="1" t="s">
        <v>20</v>
      </c>
      <c r="B3" s="2">
        <f>$Q$3*Sheet2!I3</f>
        <v>345</v>
      </c>
      <c r="C3" s="2">
        <f>$Q$4*Sheet2!I3</f>
        <v>250</v>
      </c>
      <c r="D3" s="2">
        <v>1</v>
      </c>
      <c r="E3" s="2">
        <f>Sheet2!C3*Sheet2!M3</f>
        <v>9200.7728449169863</v>
      </c>
      <c r="F3" s="2">
        <f>(Sheet2!P3+Sheet2!Q3)*8960</f>
        <v>94.11363363363364</v>
      </c>
      <c r="G3" s="2">
        <f>0.000000017*Sheet2!N3/(Sheet2!R3*10^-6)</f>
        <v>3.9106546608108106</v>
      </c>
      <c r="H3" s="2">
        <f>0.000000017*Sheet2!O3/(Sheet2!S3*10^-6)</f>
        <v>1.9642019519519522</v>
      </c>
      <c r="I3" s="2">
        <f>(B3)^2/Sheet2!B3</f>
        <v>42.061354257846695</v>
      </c>
      <c r="J3" s="2">
        <f>1*E3*$Q$9</f>
        <v>8740.7342026711358</v>
      </c>
      <c r="K3" s="2">
        <f>G3*$S$4^2+H3*$S$5^2</f>
        <v>1607.0743243243244</v>
      </c>
      <c r="L3" s="2">
        <f>(500000*0.9-(J3+K3))/(500000*0.9)*100</f>
        <v>97.700486994000997</v>
      </c>
      <c r="M3" s="16">
        <f>E3*3</f>
        <v>27602.318534750957</v>
      </c>
      <c r="N3" s="16">
        <f>F3*10</f>
        <v>941.1363363363364</v>
      </c>
      <c r="O3" s="16">
        <f>M3+N3</f>
        <v>28543.454871087295</v>
      </c>
      <c r="P3" s="15" t="s">
        <v>13</v>
      </c>
      <c r="Q3" s="18">
        <f>34500</f>
        <v>34500</v>
      </c>
      <c r="R3" s="19"/>
      <c r="S3" s="19"/>
      <c r="T3">
        <f>0.02*($Q$3/$S$4)/(2*3.14*50)</f>
        <v>0.15162420382165606</v>
      </c>
      <c r="U3">
        <f>0.02*($Q$4/$S$5)/(2*3.14*50)</f>
        <v>7.9617834394904455E-2</v>
      </c>
    </row>
    <row r="4" spans="1:23" x14ac:dyDescent="0.25">
      <c r="A4" s="1" t="s">
        <v>21</v>
      </c>
      <c r="B4" s="17">
        <f>$Q$3*Sheet2!I4</f>
        <v>690</v>
      </c>
      <c r="C4" s="17">
        <f>$Q$4*Sheet2!I4</f>
        <v>500</v>
      </c>
      <c r="D4" s="9">
        <v>1</v>
      </c>
      <c r="E4" s="8">
        <f>Sheet2!C4*Sheet2!M4</f>
        <v>2830.598616634652</v>
      </c>
      <c r="F4" s="21">
        <f>(Sheet2!P4+Sheet2!Q4)*8960</f>
        <v>154.5936336336336</v>
      </c>
      <c r="G4" s="8">
        <f>0.000000017*Sheet2!N4/(Sheet2!R4*10^-6)</f>
        <v>6.4237485108108094</v>
      </c>
      <c r="H4" s="8">
        <f>0.000000017*Sheet2!O4/(Sheet2!S4*10^-6)</f>
        <v>3.2264519519519523</v>
      </c>
      <c r="I4" s="29">
        <f>(B4)^2/Sheet2!B4</f>
        <v>122.38117154811714</v>
      </c>
      <c r="J4" s="21">
        <f>1*E4*$Q$9</f>
        <v>2689.0686858029194</v>
      </c>
      <c r="K4" s="17">
        <f>G4*$S$4^2+H4*$S$5^2</f>
        <v>2639.8243243243242</v>
      </c>
      <c r="L4" s="17">
        <f t="shared" ref="L4" si="0">(500000*0.9-(J4+K4))/(500000*0.9)*100</f>
        <v>98.815801553305064</v>
      </c>
      <c r="M4" s="16">
        <f t="shared" ref="M4" si="1">E4*3</f>
        <v>8491.795849903956</v>
      </c>
      <c r="N4" s="16">
        <f t="shared" ref="N4" si="2">F4*10</f>
        <v>1545.9363363363359</v>
      </c>
      <c r="O4" s="16">
        <f t="shared" ref="O4" si="3">M4+N4</f>
        <v>10037.732186240291</v>
      </c>
      <c r="P4" s="15" t="s">
        <v>14</v>
      </c>
      <c r="Q4" s="18">
        <v>25000</v>
      </c>
      <c r="R4" s="15" t="s">
        <v>25</v>
      </c>
      <c r="S4" s="18">
        <f>Q5/Q3</f>
        <v>14.492753623188406</v>
      </c>
      <c r="T4">
        <f t="shared" ref="T4:T7" si="4">0.02*($Q$3/$S$4)/(2*3.14*50)</f>
        <v>0.15162420382165606</v>
      </c>
      <c r="U4">
        <f t="shared" ref="U4:U7" si="5">0.02*($Q$4/$S$5)/(2*3.14*50)</f>
        <v>7.9617834394904455E-2</v>
      </c>
    </row>
    <row r="5" spans="1:23" s="26" customFormat="1" x14ac:dyDescent="0.25">
      <c r="A5" s="23" t="s">
        <v>52</v>
      </c>
      <c r="B5" s="34">
        <f>$Q$3*Sheet2!I5</f>
        <v>1035</v>
      </c>
      <c r="C5" s="34">
        <f>$Q$4*Sheet2!I5</f>
        <v>750</v>
      </c>
      <c r="D5" s="34">
        <v>1</v>
      </c>
      <c r="E5" s="24">
        <f>Sheet2!C5*Sheet2!M5</f>
        <v>1493.7795653511366</v>
      </c>
      <c r="F5" s="24">
        <f>(Sheet2!P5+Sheet2!Q5)*8960</f>
        <v>215.07363363363359</v>
      </c>
      <c r="G5" s="24">
        <f>0.000000017*Sheet2!N5/(Sheet2!R5*10^-6)</f>
        <v>8.936842360810811</v>
      </c>
      <c r="H5" s="24">
        <f>0.000000017*Sheet2!O5/(Sheet2!S5*10^-6)</f>
        <v>4.4887019519519527</v>
      </c>
      <c r="I5" s="24">
        <f>(B5)^2/Sheet2!B5</f>
        <v>216.37351511686083</v>
      </c>
      <c r="J5" s="24">
        <f>1*E5*$Q$9</f>
        <v>1419.0905870835797</v>
      </c>
      <c r="K5" s="24">
        <f>G5*$S$4^2+H5*$S$5^2</f>
        <v>3672.5743243243246</v>
      </c>
      <c r="L5" s="24">
        <f t="shared" ref="L5" si="6">(500000*0.9-(J5+K5))/(500000*0.9)*100</f>
        <v>98.868518908576021</v>
      </c>
      <c r="M5" s="24">
        <f t="shared" ref="M5" si="7">E5*3</f>
        <v>4481.3386960534099</v>
      </c>
      <c r="N5" s="24">
        <f t="shared" ref="N5" si="8">F5*10</f>
        <v>2150.7363363363361</v>
      </c>
      <c r="O5" s="24">
        <f t="shared" ref="O5" si="9">M5+N5</f>
        <v>6632.0750323897464</v>
      </c>
      <c r="P5" s="23" t="s">
        <v>15</v>
      </c>
      <c r="Q5" s="30">
        <f>500000</f>
        <v>500000</v>
      </c>
      <c r="R5" s="23" t="s">
        <v>26</v>
      </c>
      <c r="S5" s="30">
        <f>Q5/Q4</f>
        <v>20</v>
      </c>
      <c r="T5">
        <f t="shared" si="4"/>
        <v>0.15162420382165606</v>
      </c>
      <c r="U5">
        <f t="shared" si="5"/>
        <v>7.9617834394904455E-2</v>
      </c>
    </row>
    <row r="6" spans="1:23" s="26" customFormat="1" x14ac:dyDescent="0.25">
      <c r="A6" s="23" t="s">
        <v>53</v>
      </c>
      <c r="B6" s="34">
        <f>$Q$3*Sheet2!I6</f>
        <v>1380</v>
      </c>
      <c r="C6" s="34">
        <f>$Q$4*Sheet2!I6</f>
        <v>1000</v>
      </c>
      <c r="D6" s="34">
        <v>1</v>
      </c>
      <c r="E6" s="24">
        <f>Sheet2!C6*Sheet2!M6</f>
        <v>972.85235686136559</v>
      </c>
      <c r="F6" s="24">
        <f>(Sheet2!P6+Sheet2!Q6)*8960</f>
        <v>275.55363363363364</v>
      </c>
      <c r="G6" s="24">
        <f>0.000000017*Sheet2!N6/(Sheet2!R6*10^-6)</f>
        <v>11.449936210810812</v>
      </c>
      <c r="H6" s="24">
        <f>0.000000017*Sheet2!O6/(Sheet2!S6*10^-6)</f>
        <v>5.7509519519519516</v>
      </c>
      <c r="I6" s="24">
        <f>(B6)^2/Sheet2!B6</f>
        <v>316.80211914292437</v>
      </c>
      <c r="J6" s="24">
        <f>1*E6*$Q$9</f>
        <v>924.20973901829723</v>
      </c>
      <c r="K6" s="24">
        <f>G6*$S$4^2+H6*$S$5^2</f>
        <v>4705.3243243243251</v>
      </c>
      <c r="L6" s="24">
        <f t="shared" ref="L6:L7" si="10">(500000*0.9-(J6+K6))/(500000*0.9)*100</f>
        <v>98.748992430368304</v>
      </c>
      <c r="M6" s="24">
        <f t="shared" ref="M6:M7" si="11">E6*3</f>
        <v>2918.5570705840969</v>
      </c>
      <c r="N6" s="24">
        <f t="shared" ref="N6:N7" si="12">F6*10</f>
        <v>2755.5363363363363</v>
      </c>
      <c r="O6" s="24">
        <f t="shared" ref="O6:O7" si="13">M6+N6</f>
        <v>5674.0934069204332</v>
      </c>
      <c r="P6" s="33"/>
      <c r="Q6" s="33"/>
      <c r="R6" s="30"/>
      <c r="S6" s="30"/>
      <c r="T6">
        <f t="shared" si="4"/>
        <v>0.15162420382165606</v>
      </c>
      <c r="U6">
        <f t="shared" si="5"/>
        <v>7.9617834394904455E-2</v>
      </c>
    </row>
    <row r="7" spans="1:23" x14ac:dyDescent="0.25">
      <c r="A7" s="31" t="s">
        <v>54</v>
      </c>
      <c r="B7" s="21">
        <f>$Q$3*Sheet2!I7</f>
        <v>1725</v>
      </c>
      <c r="C7" s="21">
        <f>$Q$4*Sheet2!I7</f>
        <v>1250</v>
      </c>
      <c r="D7" s="21">
        <v>1</v>
      </c>
      <c r="E7" s="21">
        <f>Sheet2!C7*Sheet2!M7</f>
        <v>707.49037325613892</v>
      </c>
      <c r="F7" s="21">
        <f>(Sheet2!P7+Sheet2!Q7)*8960</f>
        <v>336.03363363363366</v>
      </c>
      <c r="G7" s="21">
        <f>0.000000017*Sheet2!N7/(Sheet2!R7*10^-6)</f>
        <v>13.96303006081081</v>
      </c>
      <c r="H7" s="21">
        <f>0.000000017*Sheet2!O7/(Sheet2!S7*10^-6)</f>
        <v>7.0132019519519542</v>
      </c>
      <c r="I7" s="29">
        <f>(B7)^2/Sheet2!B7</f>
        <v>420.77139104328245</v>
      </c>
      <c r="J7" s="21">
        <f>1*E7*$Q$9</f>
        <v>672.11585459333196</v>
      </c>
      <c r="K7" s="21">
        <f>G7*$S$4^2+H7*$S$5^2</f>
        <v>5738.0743243243251</v>
      </c>
      <c r="L7" s="21">
        <f t="shared" si="10"/>
        <v>98.575513293573863</v>
      </c>
      <c r="M7" s="21">
        <f t="shared" si="11"/>
        <v>2122.4711197684169</v>
      </c>
      <c r="N7" s="21">
        <f t="shared" si="12"/>
        <v>3360.3363363363364</v>
      </c>
      <c r="O7" s="21">
        <f t="shared" si="13"/>
        <v>5482.8074561047533</v>
      </c>
      <c r="P7" s="15" t="s">
        <v>34</v>
      </c>
      <c r="Q7" s="18">
        <v>8960</v>
      </c>
      <c r="R7" s="18"/>
      <c r="S7" s="18"/>
      <c r="T7">
        <f t="shared" si="4"/>
        <v>0.15162420382165606</v>
      </c>
      <c r="U7">
        <f t="shared" si="5"/>
        <v>7.9617834394904455E-2</v>
      </c>
      <c r="V7" s="3"/>
      <c r="W7" s="2"/>
    </row>
    <row r="8" spans="1:23" x14ac:dyDescent="0.25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15"/>
      <c r="Q8" s="18"/>
      <c r="R8" s="18"/>
      <c r="S8" s="18"/>
      <c r="T8" s="3"/>
      <c r="U8" s="3"/>
      <c r="V8" s="3"/>
      <c r="W8" s="2"/>
    </row>
    <row r="9" spans="1:23" x14ac:dyDescent="0.25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15" t="s">
        <v>16</v>
      </c>
      <c r="Q9" s="35">
        <v>0.95</v>
      </c>
      <c r="R9" s="35">
        <v>2.35</v>
      </c>
      <c r="S9" s="18"/>
      <c r="T9" s="2"/>
      <c r="U9" s="2"/>
      <c r="V9" s="2"/>
    </row>
    <row r="10" spans="1:23" x14ac:dyDescent="0.25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15" t="s">
        <v>29</v>
      </c>
      <c r="Q10" s="18">
        <f>1.7*10^-8</f>
        <v>1.7E-8</v>
      </c>
      <c r="R10" s="18"/>
      <c r="S10" s="18"/>
      <c r="T10" s="2"/>
      <c r="U10" s="2"/>
      <c r="V10" s="2"/>
    </row>
    <row r="11" spans="1:23" x14ac:dyDescent="0.25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15" t="s">
        <v>10</v>
      </c>
      <c r="Q11" s="35">
        <f>0.6</f>
        <v>0.6</v>
      </c>
      <c r="R11" s="18"/>
      <c r="S11" s="18"/>
      <c r="T11" s="2"/>
      <c r="U11" s="2"/>
      <c r="V11" s="2"/>
    </row>
    <row r="12" spans="1:23" x14ac:dyDescent="0.2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15" t="s">
        <v>11</v>
      </c>
      <c r="Q12" s="18">
        <f>1000</f>
        <v>1000</v>
      </c>
      <c r="R12" s="18"/>
      <c r="S12" s="18"/>
      <c r="T12" s="2"/>
      <c r="U12" s="2"/>
      <c r="V12" s="2"/>
    </row>
    <row r="13" spans="1:23" s="14" customFormat="1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5" t="s">
        <v>17</v>
      </c>
      <c r="Q13" s="18">
        <f>0.04</f>
        <v>0.04</v>
      </c>
      <c r="R13" s="18"/>
      <c r="S13" s="18"/>
      <c r="T13" s="13"/>
      <c r="U13" s="13"/>
      <c r="V13" s="13"/>
    </row>
    <row r="14" spans="1:23" s="14" customFormat="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15" t="s">
        <v>18</v>
      </c>
      <c r="Q14" s="18">
        <f>3</f>
        <v>3</v>
      </c>
      <c r="R14" s="18"/>
      <c r="S14" s="18"/>
      <c r="T14" s="13"/>
      <c r="U14" s="13"/>
      <c r="V14" s="13"/>
    </row>
    <row r="15" spans="1:23" x14ac:dyDescent="0.25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15" t="s">
        <v>19</v>
      </c>
      <c r="Q15" s="18">
        <f>10</f>
        <v>10</v>
      </c>
      <c r="R15" s="18"/>
      <c r="S15" s="18"/>
      <c r="T15" s="2"/>
      <c r="U15" s="2"/>
      <c r="V15" s="2"/>
    </row>
    <row r="16" spans="1:23" s="14" customFormat="1" x14ac:dyDescent="0.25">
      <c r="A16" s="12"/>
      <c r="B16" s="17"/>
      <c r="C16" s="17"/>
      <c r="D16" s="13"/>
      <c r="E16" s="13"/>
      <c r="F16" s="13"/>
      <c r="G16" s="13"/>
      <c r="H16" s="13"/>
      <c r="I16" s="13"/>
      <c r="J16" s="13"/>
      <c r="K16" s="17"/>
      <c r="L16" s="17"/>
      <c r="M16" s="13"/>
      <c r="N16" s="13"/>
      <c r="O16" s="13"/>
      <c r="P16" s="19"/>
      <c r="Q16" s="19"/>
      <c r="R16" s="19"/>
      <c r="S16" s="19"/>
      <c r="T16" s="13"/>
      <c r="U16" s="13"/>
      <c r="V16" s="13"/>
    </row>
    <row r="17" spans="1:24" s="14" customFormat="1" x14ac:dyDescent="0.25">
      <c r="A17" s="12"/>
      <c r="B17" s="17"/>
      <c r="C17" s="17"/>
      <c r="D17" s="13"/>
      <c r="E17" s="13"/>
      <c r="F17" s="13"/>
      <c r="G17" s="13"/>
      <c r="H17" s="13"/>
      <c r="I17" s="13"/>
      <c r="J17" s="13"/>
      <c r="K17" s="17"/>
      <c r="L17" s="17"/>
      <c r="M17" s="13"/>
      <c r="N17" s="13"/>
      <c r="O17" s="13"/>
      <c r="P17" s="19"/>
      <c r="Q17" s="19"/>
      <c r="R17" s="19"/>
      <c r="S17" s="19"/>
      <c r="T17" s="13"/>
      <c r="U17" s="13"/>
      <c r="V17" s="13"/>
    </row>
    <row r="18" spans="1:24" x14ac:dyDescent="0.25">
      <c r="A18" s="7"/>
      <c r="B18" s="17"/>
      <c r="C18" s="17"/>
      <c r="D18" s="11"/>
      <c r="E18" s="13"/>
      <c r="F18" s="13"/>
      <c r="G18" s="13"/>
      <c r="H18" s="13"/>
      <c r="I18" s="13"/>
      <c r="J18" s="13"/>
      <c r="K18" s="17"/>
      <c r="L18" s="17"/>
      <c r="M18" s="16"/>
      <c r="N18" s="16"/>
      <c r="O18" s="16"/>
      <c r="P18" s="19"/>
      <c r="Q18" s="19"/>
      <c r="R18" s="19"/>
      <c r="S18" s="19"/>
      <c r="T18" s="2"/>
      <c r="U18" s="2"/>
      <c r="V18" s="2"/>
    </row>
    <row r="19" spans="1:24" s="14" customFormat="1" x14ac:dyDescent="0.25">
      <c r="A19" s="12"/>
      <c r="B19" s="17"/>
      <c r="C19" s="17"/>
      <c r="D19" s="13"/>
      <c r="E19" s="13"/>
      <c r="F19" s="13"/>
      <c r="G19" s="13"/>
      <c r="H19" s="13"/>
      <c r="I19" s="13"/>
      <c r="J19" s="13"/>
      <c r="K19" s="17"/>
      <c r="L19" s="17"/>
      <c r="M19" s="13"/>
      <c r="N19" s="13"/>
      <c r="O19" s="13"/>
      <c r="P19" s="19"/>
      <c r="Q19" s="19"/>
      <c r="R19" s="19"/>
      <c r="S19" s="19"/>
    </row>
    <row r="20" spans="1:24" s="14" customFormat="1" x14ac:dyDescent="0.25">
      <c r="A20" s="12"/>
      <c r="B20" s="17"/>
      <c r="C20" s="17"/>
      <c r="D20" s="13"/>
      <c r="E20" s="13"/>
      <c r="F20" s="13"/>
      <c r="G20" s="13"/>
      <c r="H20" s="13"/>
      <c r="I20" s="13"/>
      <c r="J20" s="13"/>
      <c r="K20" s="17"/>
      <c r="L20" s="17"/>
      <c r="M20" s="13"/>
      <c r="N20" s="13"/>
      <c r="O20" s="13"/>
      <c r="P20" s="19"/>
      <c r="Q20" s="19"/>
      <c r="R20" s="19"/>
      <c r="S20" s="19"/>
    </row>
    <row r="21" spans="1:24" x14ac:dyDescent="0.25">
      <c r="A21" s="7"/>
      <c r="D21" s="11"/>
    </row>
    <row r="22" spans="1:24" x14ac:dyDescent="0.25">
      <c r="A22" s="7"/>
      <c r="D22" s="11"/>
    </row>
    <row r="23" spans="1:24" x14ac:dyDescent="0.25">
      <c r="D23" s="11"/>
    </row>
    <row r="26" spans="1:24" x14ac:dyDescent="0.25">
      <c r="I26" s="22" t="s">
        <v>51</v>
      </c>
    </row>
    <row r="32" spans="1:24" x14ac:dyDescent="0.25">
      <c r="B32" s="20" t="s">
        <v>0</v>
      </c>
      <c r="C32" s="20" t="s">
        <v>1</v>
      </c>
      <c r="D32" s="20" t="s">
        <v>2</v>
      </c>
      <c r="E32" s="20" t="s">
        <v>3</v>
      </c>
      <c r="F32" s="20" t="s">
        <v>4</v>
      </c>
      <c r="G32" s="20" t="s">
        <v>5</v>
      </c>
      <c r="H32" s="20" t="s">
        <v>6</v>
      </c>
      <c r="I32" s="20" t="s">
        <v>7</v>
      </c>
      <c r="J32" s="20" t="s">
        <v>8</v>
      </c>
      <c r="K32" s="20" t="s">
        <v>9</v>
      </c>
      <c r="L32" s="20" t="s">
        <v>12</v>
      </c>
      <c r="M32" s="20" t="s">
        <v>48</v>
      </c>
      <c r="N32" s="20" t="s">
        <v>49</v>
      </c>
      <c r="O32" s="20" t="s">
        <v>50</v>
      </c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20" t="s">
        <v>20</v>
      </c>
      <c r="B33" s="21">
        <f>$Q$3*Sheet2!I33</f>
        <v>345</v>
      </c>
      <c r="C33" s="21">
        <f>$Q$4*Sheet2!I33</f>
        <v>250</v>
      </c>
      <c r="D33" s="21">
        <v>1.5</v>
      </c>
      <c r="E33" s="21">
        <f>Sheet2!C33*Sheet2!M33</f>
        <v>4560.7038469901327</v>
      </c>
      <c r="F33" s="21">
        <f>(Sheet2!P33+Sheet2!Q33)*8960</f>
        <v>82.902422422422433</v>
      </c>
      <c r="G33" s="21">
        <f>0.000000017*Sheet2!N33/(Sheet2!R33*10^-6)</f>
        <v>3.444801057207207</v>
      </c>
      <c r="H33" s="21">
        <f>0.000000017*Sheet2!O33/(Sheet2!S33*10^-6)</f>
        <v>1.7302179679679681</v>
      </c>
      <c r="I33" s="21">
        <f>(B33)^2/Sheet2!B33</f>
        <v>35.423584855984416</v>
      </c>
      <c r="J33" s="21">
        <f>1*E33*$R$9</f>
        <v>10717.654040426813</v>
      </c>
      <c r="K33" s="21">
        <f>G33*$S$4^2+H33*$S$5^2</f>
        <v>1415.6328828828828</v>
      </c>
      <c r="L33" s="21">
        <f>(500000*0.9-(J33+K33))/(500000*0.9)*100</f>
        <v>97.303714017042296</v>
      </c>
      <c r="M33" s="21">
        <f>E33*3</f>
        <v>13682.111540970398</v>
      </c>
      <c r="N33" s="21">
        <f>F33*10</f>
        <v>829.02422422422433</v>
      </c>
      <c r="O33" s="21">
        <f>M33+N33</f>
        <v>14511.135765194622</v>
      </c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20" t="s">
        <v>21</v>
      </c>
      <c r="B34" s="21">
        <f>$Q$3*Sheet2!I34</f>
        <v>690</v>
      </c>
      <c r="C34" s="21">
        <f>$Q$4*Sheet2!I34</f>
        <v>500</v>
      </c>
      <c r="D34" s="21">
        <v>1.5</v>
      </c>
      <c r="E34" s="21">
        <f>Sheet2!C34*Sheet2!M34</f>
        <v>1493.7795653511366</v>
      </c>
      <c r="F34" s="21">
        <f>(Sheet2!P34+Sheet2!Q34)*8960</f>
        <v>143.38242242242239</v>
      </c>
      <c r="G34" s="21">
        <f>0.000000017*Sheet2!N34/(Sheet2!R34*10^-6)</f>
        <v>5.9578949072072058</v>
      </c>
      <c r="H34" s="21">
        <f>0.000000017*Sheet2!O34/(Sheet2!S34*10^-6)</f>
        <v>2.9924679679679675</v>
      </c>
      <c r="I34" s="29">
        <f>(B34)^2/Sheet2!B34</f>
        <v>96.166006718604805</v>
      </c>
      <c r="J34" s="21">
        <f t="shared" ref="J34:J37" si="14">1*E34*$R$9</f>
        <v>3510.3819785751712</v>
      </c>
      <c r="K34" s="21">
        <f>G34*$S$4^2+H34*$S$5^2</f>
        <v>2448.3828828828823</v>
      </c>
      <c r="L34" s="21">
        <f t="shared" ref="L34:L37" si="15">(500000*0.9-(J34+K34))/(500000*0.9)*100</f>
        <v>98.675830030787097</v>
      </c>
      <c r="M34" s="21">
        <f t="shared" ref="M34:M37" si="16">E34*3</f>
        <v>4481.3386960534099</v>
      </c>
      <c r="N34" s="21">
        <f t="shared" ref="N34:N37" si="17">F34*10</f>
        <v>1433.8242242242241</v>
      </c>
      <c r="O34" s="21">
        <f t="shared" ref="O34:O37" si="18">M34+N34</f>
        <v>5915.1629202776339</v>
      </c>
      <c r="P34" s="2"/>
      <c r="Q34" s="2"/>
      <c r="R34" s="2"/>
      <c r="S34" s="2"/>
      <c r="T34" s="2"/>
      <c r="U34" s="2"/>
      <c r="V34" s="2"/>
      <c r="W34" s="2"/>
      <c r="X34" s="2"/>
    </row>
    <row r="35" spans="1:24" s="25" customFormat="1" x14ac:dyDescent="0.25">
      <c r="A35" s="23" t="s">
        <v>52</v>
      </c>
      <c r="B35" s="24">
        <f>$Q$3*Sheet2!I35</f>
        <v>1035</v>
      </c>
      <c r="C35" s="24">
        <f>$Q$4*Sheet2!I35</f>
        <v>750</v>
      </c>
      <c r="D35" s="24">
        <v>1.5</v>
      </c>
      <c r="E35" s="24">
        <f>Sheet2!C35*Sheet2!M35</f>
        <v>821.05918620210673</v>
      </c>
      <c r="F35" s="24">
        <f>(Sheet2!P35+Sheet2!Q35)*8960</f>
        <v>203.86242242242238</v>
      </c>
      <c r="G35" s="24">
        <f>0.000000017*Sheet2!N35/(Sheet2!R35*10^-6)</f>
        <v>8.4709887572072056</v>
      </c>
      <c r="H35" s="24">
        <f>0.000000017*Sheet2!O35/(Sheet2!S35*10^-6)</f>
        <v>4.2547179679679683</v>
      </c>
      <c r="I35" s="29">
        <f>(B35)^2/Sheet2!B35</f>
        <v>163.75635463716765</v>
      </c>
      <c r="J35" s="24">
        <f t="shared" si="14"/>
        <v>1929.4890875749509</v>
      </c>
      <c r="K35" s="24">
        <f>G35*$S$4^2+H35*$S$5^2</f>
        <v>3481.1328828828828</v>
      </c>
      <c r="L35" s="24">
        <f t="shared" si="15"/>
        <v>98.79763956212048</v>
      </c>
      <c r="M35" s="24">
        <f t="shared" si="16"/>
        <v>2463.1775586063204</v>
      </c>
      <c r="N35" s="24">
        <f t="shared" si="17"/>
        <v>2038.6242242242238</v>
      </c>
      <c r="O35" s="24">
        <f t="shared" si="18"/>
        <v>4501.8017828305437</v>
      </c>
      <c r="P35" s="24"/>
      <c r="Q35" s="24"/>
      <c r="R35" s="24"/>
      <c r="S35" s="24"/>
      <c r="T35" s="24"/>
      <c r="U35" s="24"/>
      <c r="V35" s="24"/>
      <c r="W35" s="24"/>
      <c r="X35" s="24"/>
    </row>
    <row r="36" spans="1:24" x14ac:dyDescent="0.25">
      <c r="A36" s="20" t="s">
        <v>53</v>
      </c>
      <c r="B36" s="21">
        <f>$Q$3*Sheet2!I36</f>
        <v>1380</v>
      </c>
      <c r="C36" s="21">
        <f>$Q$4*Sheet2!I36</f>
        <v>1000</v>
      </c>
      <c r="D36" s="21">
        <v>1.5</v>
      </c>
      <c r="E36" s="21">
        <f>Sheet2!C36*Sheet2!M36</f>
        <v>550.24669313958577</v>
      </c>
      <c r="F36" s="21">
        <f>(Sheet2!P36+Sheet2!Q36)*8960</f>
        <v>264.34242242242243</v>
      </c>
      <c r="G36" s="21">
        <f>0.000000017*Sheet2!N36/(Sheet2!R36*10^-6)</f>
        <v>10.984082607207208</v>
      </c>
      <c r="H36" s="21">
        <f>0.000000017*Sheet2!O36/(Sheet2!S36*10^-6)</f>
        <v>5.5169679679679682</v>
      </c>
      <c r="I36" s="29">
        <f>(B36)^2/Sheet2!B36</f>
        <v>234.17606822730829</v>
      </c>
      <c r="J36" s="21">
        <f t="shared" si="14"/>
        <v>1293.0797288780266</v>
      </c>
      <c r="K36" s="21">
        <f>G36*$S$4^2+H36*$S$5^2</f>
        <v>4513.8828828828828</v>
      </c>
      <c r="L36" s="21">
        <f t="shared" si="15"/>
        <v>98.709563864053138</v>
      </c>
      <c r="M36" s="21">
        <f t="shared" si="16"/>
        <v>1650.7400794187574</v>
      </c>
      <c r="N36" s="21">
        <f t="shared" si="17"/>
        <v>2643.4242242242244</v>
      </c>
      <c r="O36" s="21">
        <f t="shared" si="18"/>
        <v>4294.1643036429814</v>
      </c>
    </row>
    <row r="37" spans="1:24" x14ac:dyDescent="0.25">
      <c r="A37" s="28" t="s">
        <v>54</v>
      </c>
      <c r="B37" s="21">
        <f>$Q$3*Sheet2!I37</f>
        <v>1725</v>
      </c>
      <c r="C37" s="21">
        <f>$Q$4*Sheet2!I37</f>
        <v>1250</v>
      </c>
      <c r="D37" s="21">
        <v>1.5</v>
      </c>
      <c r="E37" s="21">
        <f>Sheet2!C37*Sheet2!M37</f>
        <v>408.73446018591164</v>
      </c>
      <c r="F37" s="21">
        <f>(Sheet2!P37+Sheet2!Q37)*8960</f>
        <v>324.82242242242245</v>
      </c>
      <c r="G37" s="21">
        <f>0.000000017*Sheet2!N37/(Sheet2!R37*10^-6)</f>
        <v>13.497176457207205</v>
      </c>
      <c r="H37" s="21">
        <f>0.000000017*Sheet2!O37/(Sheet2!S37*10^-6)</f>
        <v>6.7792179679679681</v>
      </c>
      <c r="I37" s="29">
        <f>(B37)^2/Sheet2!B37</f>
        <v>306.03643890455828</v>
      </c>
      <c r="J37" s="21">
        <f t="shared" si="14"/>
        <v>960.52598143689238</v>
      </c>
      <c r="K37" s="21">
        <f>G37*$S$4^2+H37*$S$5^2</f>
        <v>5546.6328828828828</v>
      </c>
      <c r="L37" s="21">
        <f t="shared" si="15"/>
        <v>98.553964696817815</v>
      </c>
      <c r="M37" s="21">
        <f t="shared" si="16"/>
        <v>1226.2033805577348</v>
      </c>
      <c r="N37" s="21">
        <f t="shared" si="17"/>
        <v>3248.2242242242246</v>
      </c>
      <c r="O37" s="21">
        <f t="shared" si="18"/>
        <v>4474.4276047819594</v>
      </c>
    </row>
    <row r="38" spans="1:24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</row>
  </sheetData>
  <mergeCells count="1">
    <mergeCell ref="A1:Q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abSelected="1" topLeftCell="M1" zoomScaleNormal="100" workbookViewId="0">
      <selection activeCell="R10" sqref="R10"/>
    </sheetView>
  </sheetViews>
  <sheetFormatPr defaultRowHeight="15" x14ac:dyDescent="0.25"/>
  <cols>
    <col min="1" max="2" width="16.28515625" bestFit="1" customWidth="1"/>
    <col min="3" max="3" width="22.85546875" bestFit="1" customWidth="1"/>
    <col min="8" max="8" width="13.140625" bestFit="1" customWidth="1"/>
    <col min="9" max="9" width="13.28515625" bestFit="1" customWidth="1"/>
    <col min="10" max="10" width="17.85546875" bestFit="1" customWidth="1"/>
    <col min="11" max="11" width="16.7109375" bestFit="1" customWidth="1"/>
    <col min="12" max="12" width="17.5703125" bestFit="1" customWidth="1"/>
    <col min="13" max="13" width="16.85546875" bestFit="1" customWidth="1"/>
    <col min="16" max="17" width="17" bestFit="1" customWidth="1"/>
    <col min="18" max="18" width="55.140625" bestFit="1" customWidth="1"/>
    <col min="19" max="19" width="39.42578125" bestFit="1" customWidth="1"/>
    <col min="20" max="21" width="19.42578125" bestFit="1" customWidth="1"/>
    <col min="22" max="22" width="15.42578125" bestFit="1" customWidth="1"/>
    <col min="23" max="23" width="17.5703125" bestFit="1" customWidth="1"/>
  </cols>
  <sheetData>
    <row r="1" spans="1:23" x14ac:dyDescent="0.25">
      <c r="D1" s="36" t="s">
        <v>40</v>
      </c>
      <c r="E1" s="37"/>
      <c r="F1" s="37"/>
      <c r="G1" s="37"/>
      <c r="H1" s="36" t="s">
        <v>28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3" x14ac:dyDescent="0.25">
      <c r="B2" s="5" t="s">
        <v>56</v>
      </c>
      <c r="C2" s="4" t="s">
        <v>39</v>
      </c>
      <c r="D2" s="4" t="s">
        <v>38</v>
      </c>
      <c r="E2" s="4" t="s">
        <v>37</v>
      </c>
      <c r="F2" s="4" t="s">
        <v>35</v>
      </c>
      <c r="G2" s="4" t="s">
        <v>36</v>
      </c>
      <c r="H2" s="20" t="s">
        <v>12</v>
      </c>
      <c r="I2" s="1" t="s">
        <v>22</v>
      </c>
      <c r="J2" s="1" t="s">
        <v>23</v>
      </c>
      <c r="K2" s="3" t="s">
        <v>41</v>
      </c>
      <c r="L2" s="3" t="s">
        <v>42</v>
      </c>
      <c r="M2" s="4" t="s">
        <v>43</v>
      </c>
      <c r="N2" s="3" t="s">
        <v>30</v>
      </c>
      <c r="O2" s="3" t="s">
        <v>31</v>
      </c>
      <c r="P2" s="3" t="s">
        <v>32</v>
      </c>
      <c r="Q2" s="3" t="s">
        <v>33</v>
      </c>
      <c r="R2" s="1" t="s">
        <v>59</v>
      </c>
      <c r="S2" s="1" t="s">
        <v>27</v>
      </c>
      <c r="T2" s="7" t="s">
        <v>46</v>
      </c>
      <c r="U2" s="7" t="s">
        <v>47</v>
      </c>
      <c r="V2" s="7" t="s">
        <v>55</v>
      </c>
      <c r="W2" s="20" t="s">
        <v>42</v>
      </c>
    </row>
    <row r="3" spans="1:23" x14ac:dyDescent="0.25">
      <c r="A3" s="7" t="s">
        <v>20</v>
      </c>
      <c r="B3" s="8">
        <f>((F3+G3+E3)*2)/(4*3.14*10^-7*1000*J3)</f>
        <v>2829.794762915782</v>
      </c>
      <c r="C3" s="6">
        <f>7850</f>
        <v>7850</v>
      </c>
      <c r="D3" s="6">
        <v>0.9</v>
      </c>
      <c r="E3" s="6">
        <f t="shared" ref="E3:E4" si="0">J3/D3</f>
        <v>0.50050050050050043</v>
      </c>
      <c r="F3" s="6">
        <v>0.15</v>
      </c>
      <c r="G3" s="6">
        <v>0.15</v>
      </c>
      <c r="H3" s="21">
        <f>(500000*0.9-(Sheet1!J3+Sheet1!K3))/(500000*0.9)*100</f>
        <v>97.700486994000997</v>
      </c>
      <c r="I3" s="2">
        <v>0.01</v>
      </c>
      <c r="J3" s="2">
        <f>1/(4.44*Sheet1!$Q$2*Sheet1!D3*I3)</f>
        <v>0.4504504504504504</v>
      </c>
      <c r="K3" s="2">
        <f t="shared" ref="K3:K4" si="1">L3*D3*E3</f>
        <v>1.0135135135135134E-2</v>
      </c>
      <c r="L3" s="2">
        <f t="shared" ref="L3:L4" si="2">F3*G3</f>
        <v>2.2499999999999999E-2</v>
      </c>
      <c r="M3" s="2">
        <f t="shared" ref="M3:M4" si="3">((F3+2*E3)*(G3+2*E3)-L3)*D3</f>
        <v>1.1720729738747753</v>
      </c>
      <c r="N3">
        <f>(2*E3+2*D3)*Sheet1!B3*1.15</f>
        <v>1111.2971471471471</v>
      </c>
      <c r="O3" s="9">
        <f>(2*E3+2*D3)*Sheet1!C3*1.1</f>
        <v>770.27527527527536</v>
      </c>
      <c r="P3" s="2">
        <f>N3*R3*10^-6</f>
        <v>5.3685852519185853E-3</v>
      </c>
      <c r="Q3" s="2">
        <f>O3*S3*10^-6</f>
        <v>5.1351685018351688E-3</v>
      </c>
      <c r="R3" s="2">
        <f>Sheet1!$S$4/3</f>
        <v>4.8309178743961354</v>
      </c>
      <c r="S3" s="2">
        <f>Sheet1!$S$5/3</f>
        <v>6.666666666666667</v>
      </c>
      <c r="T3" s="11">
        <f>R3*Sheet1!B3*10^-6/Sheet1!$Q$11</f>
        <v>2.7777777777777779E-3</v>
      </c>
      <c r="U3" s="11">
        <f>S3*Sheet1!C3*10^-6/Sheet1!$Q$11</f>
        <v>2.7777777777777779E-3</v>
      </c>
      <c r="V3" s="11">
        <f>T3+U3</f>
        <v>5.5555555555555558E-3</v>
      </c>
      <c r="W3" s="21">
        <f>F3*G3</f>
        <v>2.2499999999999999E-2</v>
      </c>
    </row>
    <row r="4" spans="1:23" x14ac:dyDescent="0.25">
      <c r="A4" s="7" t="s">
        <v>21</v>
      </c>
      <c r="B4" s="8">
        <f>((F4+G4+E4)*2)/(4*3.14*10^-7*1000*J4)</f>
        <v>3890.3043170559099</v>
      </c>
      <c r="C4" s="6">
        <f>7850</f>
        <v>7850</v>
      </c>
      <c r="D4" s="9">
        <v>0.9</v>
      </c>
      <c r="E4" s="8">
        <f t="shared" si="0"/>
        <v>0.25025025025025022</v>
      </c>
      <c r="F4" s="8">
        <v>0.15</v>
      </c>
      <c r="G4" s="9">
        <v>0.15</v>
      </c>
      <c r="H4" s="21">
        <f>(500000*0.9-(Sheet1!J4+Sheet1!K4))/(500000*0.9)*100</f>
        <v>98.815801553305064</v>
      </c>
      <c r="I4" s="9">
        <v>0.02</v>
      </c>
      <c r="J4" s="21">
        <f>1/(4.44*Sheet1!$Q$2*Sheet1!D4*I4)</f>
        <v>0.2252252252252252</v>
      </c>
      <c r="K4" s="8">
        <f t="shared" si="1"/>
        <v>5.067567567567567E-3</v>
      </c>
      <c r="L4" s="8">
        <f t="shared" si="2"/>
        <v>2.2499999999999999E-2</v>
      </c>
      <c r="M4" s="8">
        <f t="shared" si="3"/>
        <v>0.36058581103626142</v>
      </c>
      <c r="N4">
        <f>(2*E4+2*D4)*Sheet1!B4*1.15</f>
        <v>1825.447147147147</v>
      </c>
      <c r="O4" s="9">
        <f>(2*E4+2*D4)*Sheet1!C4*1.1</f>
        <v>1265.2752752752754</v>
      </c>
      <c r="P4" s="11">
        <f>N4*R4*10^-6</f>
        <v>8.8185852519185835E-3</v>
      </c>
      <c r="Q4" s="11">
        <f t="shared" ref="Q4" si="4">O4*S4*10^-6</f>
        <v>8.4351685018351687E-3</v>
      </c>
      <c r="R4" s="17">
        <f>Sheet1!$S$4/3</f>
        <v>4.8309178743961354</v>
      </c>
      <c r="S4" s="17">
        <f>Sheet1!$S$5/3</f>
        <v>6.666666666666667</v>
      </c>
      <c r="T4" s="21">
        <f>R4*Sheet1!B4*10^-6/Sheet1!$Q$11</f>
        <v>5.5555555555555558E-3</v>
      </c>
      <c r="U4" s="21">
        <f>S4*Sheet1!C4*10^-6/Sheet1!$Q$11</f>
        <v>5.5555555555555558E-3</v>
      </c>
      <c r="V4" s="11">
        <f t="shared" ref="V4" si="5">T4+U4</f>
        <v>1.1111111111111112E-2</v>
      </c>
      <c r="W4" s="21">
        <f t="shared" ref="W4:W7" si="6">F4*G4</f>
        <v>2.2499999999999999E-2</v>
      </c>
    </row>
    <row r="5" spans="1:23" s="26" customFormat="1" x14ac:dyDescent="0.25">
      <c r="A5" s="23" t="s">
        <v>52</v>
      </c>
      <c r="B5" s="24">
        <f>((F5+G5+E5)*2)/(4*3.14*10^-7*1000*J5)</f>
        <v>4950.8138711960373</v>
      </c>
      <c r="C5" s="24">
        <f>7850</f>
        <v>7850</v>
      </c>
      <c r="D5" s="34">
        <v>0.9</v>
      </c>
      <c r="E5" s="24">
        <f t="shared" ref="E5" si="7">J5/D5</f>
        <v>0.16683350016683346</v>
      </c>
      <c r="F5" s="34">
        <v>0.15</v>
      </c>
      <c r="G5" s="34">
        <v>0.15</v>
      </c>
      <c r="H5" s="24">
        <f>(500000*0.9-(Sheet1!J5+Sheet1!K5))/(500000*0.9)*100</f>
        <v>98.868518908576021</v>
      </c>
      <c r="I5" s="34">
        <v>0.03</v>
      </c>
      <c r="J5" s="34">
        <f>1/(4.44*Sheet1!$Q$2*Sheet1!D5*I5)</f>
        <v>0.15015015015015012</v>
      </c>
      <c r="K5" s="24">
        <f t="shared" ref="K5" si="8">L5*D5*E5</f>
        <v>3.3783783783783777E-3</v>
      </c>
      <c r="L5" s="24">
        <f t="shared" ref="L5" si="9">F5*G5</f>
        <v>2.2499999999999999E-2</v>
      </c>
      <c r="M5" s="24">
        <f t="shared" ref="M5" si="10">((F5+2*E5)*(G5+2*E5)-L5)*D5</f>
        <v>0.19029039049059066</v>
      </c>
      <c r="N5" s="25">
        <f>(2*E5+2*D5)*Sheet1!B5*1.15</f>
        <v>2539.5971471471471</v>
      </c>
      <c r="O5" s="24">
        <f>(2*E5+2*D5)*Sheet1!C5*1.1</f>
        <v>1760.2752752752754</v>
      </c>
      <c r="P5" s="24">
        <f>N5*R5*10^-6</f>
        <v>1.2268585251918583E-2</v>
      </c>
      <c r="Q5" s="24">
        <f t="shared" ref="Q5" si="11">O5*S5*10^-6</f>
        <v>1.1735168501835168E-2</v>
      </c>
      <c r="R5" s="24">
        <f>Sheet1!$S$4/3</f>
        <v>4.8309178743961354</v>
      </c>
      <c r="S5" s="24">
        <f>Sheet1!$S$5/3</f>
        <v>6.666666666666667</v>
      </c>
      <c r="T5" s="24">
        <f>R5*Sheet1!B5*10^-6/Sheet1!$Q$11</f>
        <v>8.3333333333333332E-3</v>
      </c>
      <c r="U5" s="24">
        <f>S5*Sheet1!C5*10^-6/Sheet1!$Q$11</f>
        <v>8.3333333333333332E-3</v>
      </c>
      <c r="V5" s="34">
        <f t="shared" ref="V5" si="12">T5+U5</f>
        <v>1.6666666666666666E-2</v>
      </c>
      <c r="W5" s="21">
        <f t="shared" si="6"/>
        <v>2.2499999999999999E-2</v>
      </c>
    </row>
    <row r="6" spans="1:23" s="14" customFormat="1" x14ac:dyDescent="0.25">
      <c r="A6" s="20" t="s">
        <v>53</v>
      </c>
      <c r="B6" s="21">
        <f>((F6+G6+E6)*2)/(4*3.14*10^-7*1000*J6)</f>
        <v>6011.3234253361652</v>
      </c>
      <c r="C6" s="21">
        <f>7850</f>
        <v>7850</v>
      </c>
      <c r="D6" s="21">
        <v>0.9</v>
      </c>
      <c r="E6" s="21">
        <f t="shared" ref="E6" si="13">J6/D6</f>
        <v>0.12512512512512511</v>
      </c>
      <c r="F6" s="21">
        <v>0.15</v>
      </c>
      <c r="G6" s="21">
        <v>0.15</v>
      </c>
      <c r="H6" s="21">
        <f>(500000*0.9-(Sheet1!J6+Sheet1!K6))/(500000*0.9)*100</f>
        <v>98.748992430368304</v>
      </c>
      <c r="I6" s="21">
        <v>0.04</v>
      </c>
      <c r="J6" s="21">
        <f>1/(4.44*Sheet1!$Q$2*Sheet1!D6*I6)</f>
        <v>0.1126126126126126</v>
      </c>
      <c r="K6" s="21">
        <f t="shared" ref="K6" si="14">L6*D6*E6</f>
        <v>2.5337837837837835E-3</v>
      </c>
      <c r="L6" s="21">
        <f t="shared" ref="L6" si="15">F6*G6</f>
        <v>2.2499999999999999E-2</v>
      </c>
      <c r="M6" s="21">
        <f t="shared" ref="M6" si="16">((F6+2*E6)*(G6+2*E6)-L6)*D6</f>
        <v>0.12393023654284913</v>
      </c>
      <c r="N6">
        <f>(2*E6+2*D6)*Sheet1!B6*1.15</f>
        <v>3253.7471471471472</v>
      </c>
      <c r="O6" s="21">
        <f>(2*E6+2*D6)*Sheet1!C6*1.1</f>
        <v>2255.2752752752754</v>
      </c>
      <c r="P6" s="21">
        <f>N6*R6*10^-6</f>
        <v>1.5718585251918587E-2</v>
      </c>
      <c r="Q6" s="21">
        <f t="shared" ref="Q6" si="17">O6*S6*10^-6</f>
        <v>1.5035168501835169E-2</v>
      </c>
      <c r="R6" s="21">
        <f>Sheet1!$S$4/3</f>
        <v>4.8309178743961354</v>
      </c>
      <c r="S6" s="21">
        <f>Sheet1!$S$5/3</f>
        <v>6.666666666666667</v>
      </c>
      <c r="T6" s="21">
        <f>R6*Sheet1!B6*10^-6/Sheet1!$Q$11</f>
        <v>1.1111111111111112E-2</v>
      </c>
      <c r="U6" s="21">
        <f>S6*Sheet1!C6*10^-6/Sheet1!$Q$11</f>
        <v>1.1111111111111112E-2</v>
      </c>
      <c r="V6" s="21">
        <f t="shared" ref="V6" si="18">T6+U6</f>
        <v>2.2222222222222223E-2</v>
      </c>
      <c r="W6" s="21">
        <f t="shared" si="6"/>
        <v>2.2499999999999999E-2</v>
      </c>
    </row>
    <row r="7" spans="1:23" s="14" customFormat="1" x14ac:dyDescent="0.25">
      <c r="A7" s="28" t="s">
        <v>54</v>
      </c>
      <c r="B7" s="21">
        <f>((F7+G7+E7)*2)/(4*3.14*10^-7*1000*J7)</f>
        <v>7071.8329794762922</v>
      </c>
      <c r="C7" s="21">
        <f>7850</f>
        <v>7850</v>
      </c>
      <c r="D7" s="21">
        <v>0.9</v>
      </c>
      <c r="E7" s="21">
        <f t="shared" ref="E7" si="19">J7/D7</f>
        <v>0.10010010010010008</v>
      </c>
      <c r="F7" s="21">
        <v>0.15</v>
      </c>
      <c r="G7" s="21">
        <v>0.15</v>
      </c>
      <c r="H7" s="21">
        <f>(500000*0.9-(Sheet1!J7+Sheet1!K7))/(500000*0.9)*100</f>
        <v>98.575513293573863</v>
      </c>
      <c r="I7" s="21">
        <v>0.05</v>
      </c>
      <c r="J7" s="21">
        <f>1/(4.44*Sheet1!$Q$2*Sheet1!D7*I7)</f>
        <v>9.0090090090090072E-2</v>
      </c>
      <c r="K7" s="21">
        <f t="shared" ref="K7" si="20">L7*D7*E7</f>
        <v>2.0270270270270267E-3</v>
      </c>
      <c r="L7" s="21">
        <f t="shared" ref="L7" si="21">F7*G7</f>
        <v>2.2499999999999999E-2</v>
      </c>
      <c r="M7" s="21">
        <f t="shared" ref="M7" si="22">((F7+2*E7)*(G7+2*E7)-L7)*D7</f>
        <v>9.0126162198234258E-2</v>
      </c>
      <c r="N7">
        <f>(2*E7+2*D7)*Sheet1!B7*1.15</f>
        <v>3967.8971471471473</v>
      </c>
      <c r="O7" s="21">
        <f>(2*E7+2*D7)*Sheet1!C7*1.1</f>
        <v>2750.2752752752758</v>
      </c>
      <c r="P7" s="21">
        <f>N7*R7*10^-6</f>
        <v>1.9168585251918585E-2</v>
      </c>
      <c r="Q7" s="21">
        <f t="shared" ref="Q7" si="23">O7*S7*10^-6</f>
        <v>1.8335168501835173E-2</v>
      </c>
      <c r="R7" s="21">
        <f>Sheet1!$S$4/3</f>
        <v>4.8309178743961354</v>
      </c>
      <c r="S7" s="21">
        <f>Sheet1!$S$5/3</f>
        <v>6.666666666666667</v>
      </c>
      <c r="T7" s="21">
        <f>R7*Sheet1!B7*10^-6/Sheet1!$Q$11</f>
        <v>1.388888888888889E-2</v>
      </c>
      <c r="U7" s="21">
        <f>S7*Sheet1!C7*10^-6/Sheet1!$Q$11</f>
        <v>1.388888888888889E-2</v>
      </c>
      <c r="V7" s="27">
        <f t="shared" ref="V7" si="24">T7+U7</f>
        <v>2.777777777777778E-2</v>
      </c>
      <c r="W7" s="27">
        <f t="shared" si="6"/>
        <v>2.2499999999999999E-2</v>
      </c>
    </row>
    <row r="8" spans="1:23" s="14" customFormat="1" x14ac:dyDescent="0.25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/>
      <c r="O8" s="21"/>
      <c r="P8" s="21"/>
      <c r="Q8" s="21"/>
      <c r="R8" s="21"/>
      <c r="S8" s="21"/>
      <c r="T8" s="21"/>
      <c r="U8" s="21"/>
      <c r="V8" s="21"/>
    </row>
    <row r="9" spans="1:23" s="14" customFormat="1" x14ac:dyDescent="0.25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/>
      <c r="O9" s="21"/>
      <c r="P9" s="21"/>
      <c r="Q9" s="21"/>
      <c r="R9" s="21"/>
      <c r="S9" s="21"/>
      <c r="T9" s="21"/>
      <c r="U9" s="21"/>
      <c r="V9" s="21"/>
    </row>
    <row r="10" spans="1:23" s="14" customFormat="1" x14ac:dyDescent="0.25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/>
      <c r="O10" s="21"/>
      <c r="P10" s="21"/>
      <c r="Q10" s="21"/>
      <c r="R10" s="21"/>
      <c r="S10" s="21"/>
      <c r="T10" s="21"/>
      <c r="U10" s="21"/>
      <c r="V10" s="21"/>
    </row>
    <row r="11" spans="1:23" s="14" customFormat="1" x14ac:dyDescent="0.25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/>
      <c r="O11" s="21"/>
      <c r="P11" s="21"/>
      <c r="Q11" s="21"/>
      <c r="R11" s="21"/>
      <c r="S11" s="21"/>
      <c r="T11" s="21"/>
      <c r="U11" s="21"/>
      <c r="V11" s="21"/>
    </row>
    <row r="12" spans="1:23" s="14" customFormat="1" x14ac:dyDescent="0.2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/>
      <c r="O12" s="21"/>
      <c r="P12" s="21"/>
      <c r="Q12" s="21"/>
      <c r="R12" s="21"/>
      <c r="S12" s="21"/>
      <c r="T12" s="21"/>
      <c r="U12" s="21"/>
      <c r="V12" s="21"/>
    </row>
    <row r="13" spans="1:23" s="14" customFormat="1" x14ac:dyDescent="0.25">
      <c r="A13" s="12"/>
      <c r="B13" s="13"/>
      <c r="C13" s="13"/>
      <c r="D13" s="13"/>
      <c r="E13" s="13"/>
      <c r="F13" s="13"/>
      <c r="G13" s="13"/>
      <c r="H13" s="12"/>
      <c r="I13" s="13"/>
      <c r="J13" s="13"/>
      <c r="K13" s="13"/>
      <c r="L13" s="13"/>
      <c r="M13" s="13"/>
      <c r="O13" s="13"/>
      <c r="P13" s="13"/>
      <c r="Q13" s="13"/>
      <c r="R13" s="17"/>
      <c r="S13" s="17"/>
      <c r="T13" s="13"/>
      <c r="U13" s="13"/>
      <c r="V13" s="13"/>
    </row>
    <row r="14" spans="1:23" s="14" customFormat="1" x14ac:dyDescent="0.25">
      <c r="A14" s="12"/>
      <c r="B14" s="13"/>
      <c r="C14" s="13"/>
      <c r="D14" s="13"/>
      <c r="E14" s="13"/>
      <c r="F14" s="13"/>
      <c r="G14" s="13"/>
      <c r="H14" s="12"/>
      <c r="I14" s="13"/>
      <c r="J14" s="13"/>
      <c r="K14" s="13"/>
      <c r="L14" s="13"/>
      <c r="M14" s="13"/>
      <c r="O14" s="13"/>
      <c r="P14" s="13"/>
      <c r="Q14" s="13"/>
      <c r="R14" s="17"/>
      <c r="S14" s="17"/>
      <c r="T14" s="13"/>
      <c r="U14" s="13"/>
      <c r="V14" s="13"/>
    </row>
    <row r="15" spans="1:23" x14ac:dyDescent="0.25">
      <c r="B15" s="11"/>
      <c r="C15" s="11"/>
      <c r="D15" s="11"/>
      <c r="E15" s="11"/>
      <c r="F15" s="11"/>
      <c r="G15" s="11"/>
      <c r="H15" s="10"/>
      <c r="I15" s="11"/>
      <c r="J15" s="11"/>
      <c r="K15" s="11"/>
      <c r="L15" s="11"/>
      <c r="M15" s="11"/>
      <c r="O15" s="11"/>
      <c r="P15" s="11"/>
      <c r="Q15" s="11"/>
      <c r="R15" s="17"/>
      <c r="S15" s="17"/>
      <c r="T15" s="11"/>
      <c r="U15" s="11"/>
      <c r="V15" s="11"/>
    </row>
    <row r="16" spans="1:23" x14ac:dyDescent="0.25">
      <c r="A16" s="7"/>
      <c r="B16" s="13"/>
      <c r="C16" s="13"/>
      <c r="D16" s="13"/>
      <c r="E16" s="13"/>
      <c r="F16" s="13"/>
      <c r="G16" s="13"/>
      <c r="H16" s="12"/>
      <c r="I16" s="13"/>
      <c r="J16" s="13"/>
      <c r="K16" s="13"/>
      <c r="L16" s="13"/>
      <c r="M16" s="13"/>
      <c r="N16" s="14"/>
      <c r="O16" s="13"/>
      <c r="P16" s="13"/>
      <c r="Q16" s="13"/>
      <c r="R16" s="17"/>
      <c r="S16" s="17"/>
      <c r="T16" s="13"/>
      <c r="U16" s="13"/>
      <c r="V16" s="13"/>
    </row>
    <row r="17" spans="1:23" x14ac:dyDescent="0.25">
      <c r="A17" s="7"/>
      <c r="B17" s="13"/>
      <c r="C17" s="13"/>
      <c r="D17" s="13"/>
      <c r="E17" s="13"/>
      <c r="F17" s="13"/>
      <c r="G17" s="13"/>
      <c r="H17" s="12"/>
      <c r="I17" s="13"/>
      <c r="J17" s="13"/>
      <c r="K17" s="13"/>
      <c r="L17" s="13"/>
      <c r="M17" s="13"/>
      <c r="N17" s="14"/>
      <c r="O17" s="13"/>
      <c r="P17" s="13"/>
      <c r="Q17" s="13"/>
      <c r="R17" s="17"/>
      <c r="S17" s="17"/>
      <c r="T17" s="13"/>
      <c r="U17" s="13"/>
      <c r="V17" s="13"/>
    </row>
    <row r="18" spans="1:23" x14ac:dyDescent="0.25">
      <c r="A18" s="7"/>
      <c r="B18" s="11"/>
      <c r="C18" s="11"/>
      <c r="D18" s="11"/>
      <c r="E18" s="11"/>
      <c r="F18" s="11"/>
      <c r="G18" s="11"/>
      <c r="H18" s="10"/>
      <c r="I18" s="11"/>
      <c r="J18" s="11"/>
      <c r="K18" s="11"/>
      <c r="L18" s="11"/>
      <c r="M18" s="11"/>
      <c r="O18" s="11"/>
      <c r="P18" s="11"/>
      <c r="Q18" s="11"/>
      <c r="R18" s="17"/>
      <c r="S18" s="17"/>
      <c r="T18" s="11"/>
      <c r="U18" s="11"/>
      <c r="V18" s="11"/>
    </row>
    <row r="19" spans="1:23" x14ac:dyDescent="0.25">
      <c r="A19" s="7"/>
      <c r="B19" s="13"/>
      <c r="C19" s="13"/>
      <c r="D19" s="13"/>
      <c r="E19" s="13"/>
      <c r="F19" s="13"/>
      <c r="G19" s="13"/>
      <c r="H19" s="12"/>
      <c r="I19" s="13"/>
      <c r="J19" s="13"/>
      <c r="K19" s="13"/>
      <c r="L19" s="13"/>
      <c r="M19" s="13"/>
      <c r="N19" s="14"/>
      <c r="O19" s="13"/>
      <c r="P19" s="13"/>
      <c r="Q19" s="13"/>
      <c r="R19" s="17"/>
      <c r="S19" s="17"/>
      <c r="T19" s="13"/>
      <c r="U19" s="13"/>
      <c r="V19" s="13"/>
    </row>
    <row r="20" spans="1:23" x14ac:dyDescent="0.25">
      <c r="A20" s="7"/>
      <c r="B20" s="13"/>
      <c r="C20" s="13"/>
      <c r="D20" s="13"/>
      <c r="E20" s="13"/>
      <c r="F20" s="13"/>
      <c r="G20" s="13"/>
      <c r="H20" s="12"/>
      <c r="I20" s="13"/>
      <c r="J20" s="13"/>
      <c r="K20" s="13"/>
      <c r="L20" s="13"/>
      <c r="M20" s="13"/>
      <c r="N20" s="14"/>
      <c r="O20" s="13"/>
      <c r="P20" s="13"/>
      <c r="Q20" s="13"/>
      <c r="R20" s="17"/>
      <c r="S20" s="17"/>
      <c r="T20" s="13"/>
      <c r="U20" s="13"/>
      <c r="V20" s="13"/>
    </row>
    <row r="21" spans="1:23" x14ac:dyDescent="0.25">
      <c r="A21" s="7"/>
      <c r="B21" s="11"/>
      <c r="C21" s="11"/>
      <c r="D21" s="11"/>
      <c r="E21" s="11"/>
      <c r="F21" s="11"/>
      <c r="G21" s="11"/>
      <c r="H21" s="10"/>
      <c r="I21" s="11"/>
      <c r="J21" s="11"/>
      <c r="K21" s="11"/>
      <c r="L21" s="11"/>
      <c r="M21" s="11"/>
      <c r="O21" s="11"/>
      <c r="P21" s="11"/>
      <c r="Q21" s="11"/>
      <c r="R21" s="11"/>
      <c r="S21" s="11"/>
      <c r="T21" s="11"/>
      <c r="U21" s="11"/>
      <c r="V21" s="11"/>
    </row>
    <row r="22" spans="1:23" x14ac:dyDescent="0.25">
      <c r="A22" s="7"/>
      <c r="B22" s="11"/>
      <c r="C22" s="11"/>
      <c r="D22" s="11"/>
      <c r="E22" s="11"/>
      <c r="F22" s="11"/>
      <c r="G22" s="11"/>
      <c r="H22" s="10"/>
      <c r="I22" s="11"/>
      <c r="J22" s="11"/>
      <c r="K22" s="11"/>
      <c r="L22" s="11"/>
      <c r="M22" s="11"/>
      <c r="O22" s="11"/>
      <c r="P22" s="11"/>
      <c r="Q22" s="11"/>
      <c r="R22" s="11"/>
      <c r="S22" s="11"/>
      <c r="T22" s="11"/>
      <c r="U22" s="11"/>
      <c r="V22" s="11"/>
    </row>
    <row r="23" spans="1:23" x14ac:dyDescent="0.25">
      <c r="A23" s="10"/>
      <c r="B23" s="11"/>
      <c r="C23" s="11"/>
      <c r="D23" s="11"/>
      <c r="E23" s="11"/>
      <c r="F23" s="11"/>
      <c r="G23" s="11"/>
      <c r="H23" s="10"/>
      <c r="I23" s="11"/>
      <c r="J23" s="11"/>
      <c r="K23" s="11"/>
      <c r="L23" s="11"/>
      <c r="M23" s="11"/>
      <c r="O23" s="11"/>
      <c r="P23" s="11"/>
      <c r="Q23" s="11"/>
      <c r="R23" s="11"/>
      <c r="S23" s="11"/>
      <c r="T23" s="11"/>
      <c r="U23" s="11"/>
      <c r="V23" s="11"/>
    </row>
    <row r="24" spans="1:23" x14ac:dyDescent="0.25">
      <c r="A24" s="10"/>
      <c r="B24" s="11"/>
      <c r="C24" s="11"/>
      <c r="D24" s="11"/>
      <c r="E24" s="11"/>
      <c r="F24" s="11"/>
      <c r="G24" s="11"/>
      <c r="H24" s="7" t="s">
        <v>51</v>
      </c>
      <c r="I24" s="11"/>
      <c r="J24" s="11"/>
      <c r="K24" s="11"/>
      <c r="L24" s="11"/>
      <c r="M24" s="11"/>
      <c r="O24" s="11"/>
      <c r="P24" s="11"/>
      <c r="Q24" s="11"/>
      <c r="R24" s="11"/>
      <c r="S24" s="11"/>
      <c r="T24" s="11"/>
      <c r="U24" s="11"/>
      <c r="V24" s="11"/>
    </row>
    <row r="25" spans="1:23" x14ac:dyDescent="0.25">
      <c r="A25" s="10"/>
      <c r="B25" s="11"/>
      <c r="C25" s="11"/>
      <c r="D25" s="11"/>
      <c r="E25" s="11"/>
      <c r="F25" s="11"/>
      <c r="G25" s="11"/>
      <c r="H25" s="10"/>
      <c r="I25" s="11"/>
      <c r="J25" s="11"/>
      <c r="K25" s="11"/>
      <c r="L25" s="11"/>
      <c r="M25" s="11"/>
      <c r="O25" s="11"/>
      <c r="P25" s="11"/>
      <c r="Q25" s="11"/>
      <c r="R25" s="11"/>
      <c r="S25" s="11"/>
      <c r="T25" s="11"/>
      <c r="U25" s="11"/>
      <c r="V25" s="11"/>
    </row>
    <row r="26" spans="1:23" x14ac:dyDescent="0.25">
      <c r="A26" s="10"/>
      <c r="J26" s="11"/>
    </row>
    <row r="27" spans="1:23" x14ac:dyDescent="0.25">
      <c r="A27" s="10"/>
      <c r="J27" s="11"/>
    </row>
    <row r="28" spans="1:23" x14ac:dyDescent="0.25">
      <c r="A28" s="10"/>
      <c r="J28" s="11"/>
    </row>
    <row r="29" spans="1:23" x14ac:dyDescent="0.25">
      <c r="A29" s="10"/>
      <c r="J29" s="11"/>
    </row>
    <row r="30" spans="1:23" x14ac:dyDescent="0.25">
      <c r="A30" s="10"/>
      <c r="J30" s="11"/>
    </row>
    <row r="31" spans="1:23" x14ac:dyDescent="0.25">
      <c r="A31" s="10"/>
      <c r="J31" s="11"/>
    </row>
    <row r="32" spans="1:23" x14ac:dyDescent="0.25">
      <c r="A32" s="10"/>
      <c r="B32" s="20" t="s">
        <v>56</v>
      </c>
      <c r="C32" s="20" t="s">
        <v>39</v>
      </c>
      <c r="D32" s="20" t="s">
        <v>38</v>
      </c>
      <c r="E32" s="20" t="s">
        <v>37</v>
      </c>
      <c r="F32" s="20" t="s">
        <v>35</v>
      </c>
      <c r="G32" s="20" t="s">
        <v>36</v>
      </c>
      <c r="H32" s="20" t="s">
        <v>12</v>
      </c>
      <c r="I32" s="20" t="s">
        <v>22</v>
      </c>
      <c r="J32" s="20" t="s">
        <v>23</v>
      </c>
      <c r="K32" s="20" t="s">
        <v>41</v>
      </c>
      <c r="L32" s="20" t="s">
        <v>42</v>
      </c>
      <c r="M32" s="20" t="s">
        <v>43</v>
      </c>
      <c r="N32" s="20" t="s">
        <v>30</v>
      </c>
      <c r="O32" s="20" t="s">
        <v>31</v>
      </c>
      <c r="P32" s="20" t="s">
        <v>32</v>
      </c>
      <c r="Q32" s="20" t="s">
        <v>33</v>
      </c>
      <c r="R32" s="20" t="s">
        <v>44</v>
      </c>
      <c r="S32" s="20" t="s">
        <v>27</v>
      </c>
      <c r="T32" s="20" t="s">
        <v>46</v>
      </c>
      <c r="U32" s="20" t="s">
        <v>47</v>
      </c>
      <c r="V32" s="20" t="s">
        <v>55</v>
      </c>
      <c r="W32" s="20" t="s">
        <v>42</v>
      </c>
    </row>
    <row r="33" spans="1:23" x14ac:dyDescent="0.25">
      <c r="A33" s="20" t="s">
        <v>20</v>
      </c>
      <c r="B33" s="21">
        <f>((F33+G33+E33)*2)/(4*3.14*10^-7*1000*J33)</f>
        <v>3360.0495399858455</v>
      </c>
      <c r="C33" s="21">
        <f>7850</f>
        <v>7850</v>
      </c>
      <c r="D33" s="21">
        <v>0.9</v>
      </c>
      <c r="E33" s="21">
        <f t="shared" ref="E33:E37" si="25">J33/D33</f>
        <v>0.33366700033366692</v>
      </c>
      <c r="F33" s="21">
        <v>0.15</v>
      </c>
      <c r="G33" s="21">
        <v>0.15</v>
      </c>
      <c r="H33" s="21">
        <f>(500000*0.9-(Sheet1!J33+Sheet1!K33))/(500000*0.9)*100</f>
        <v>97.303714017042296</v>
      </c>
      <c r="I33" s="21">
        <v>0.01</v>
      </c>
      <c r="J33" s="21">
        <f>1/(4.44*Sheet1!$Q$2*Sheet1!D33*I33)</f>
        <v>0.30030030030030025</v>
      </c>
      <c r="K33" s="21">
        <f t="shared" ref="K33:K37" si="26">L33*D33*E33</f>
        <v>6.7567567567567554E-3</v>
      </c>
      <c r="L33" s="21">
        <f t="shared" ref="L33:L37" si="27">F33*G33</f>
        <v>2.2499999999999999E-2</v>
      </c>
      <c r="M33" s="21">
        <f t="shared" ref="M33:M37" si="28">((F33+2*E33)*(G33+2*E33)-L33)*D33</f>
        <v>0.5809813817821825</v>
      </c>
      <c r="N33">
        <f>(2*E33+2*D33)*Sheet1!B33*1.15</f>
        <v>978.91476476476464</v>
      </c>
      <c r="O33" s="21">
        <f>(2*E33+2*D33)*Sheet1!C33*1.1</f>
        <v>678.51685018351691</v>
      </c>
      <c r="P33" s="21">
        <f>N33*R33*10^-6</f>
        <v>4.7290568346123902E-3</v>
      </c>
      <c r="Q33" s="21">
        <f>O33*S33*10^-6</f>
        <v>4.5234456678901131E-3</v>
      </c>
      <c r="R33" s="21">
        <f>Sheet1!$S$4/3</f>
        <v>4.8309178743961354</v>
      </c>
      <c r="S33" s="21">
        <f>Sheet1!$S$5/3</f>
        <v>6.666666666666667</v>
      </c>
      <c r="T33" s="21">
        <f>R33*Sheet1!B33*10^-6/Sheet1!$Q$11</f>
        <v>2.7777777777777779E-3</v>
      </c>
      <c r="U33" s="21">
        <f>S33*Sheet1!C33*10^-6/Sheet1!$Q$11</f>
        <v>2.7777777777777779E-3</v>
      </c>
      <c r="V33" s="21">
        <f>T33+U33</f>
        <v>5.5555555555555558E-3</v>
      </c>
      <c r="W33" s="21">
        <f>F33*G33</f>
        <v>2.2499999999999999E-2</v>
      </c>
    </row>
    <row r="34" spans="1:23" x14ac:dyDescent="0.25">
      <c r="A34" s="20" t="s">
        <v>21</v>
      </c>
      <c r="B34" s="21">
        <f>((F34+G34+E34)*2)/(4*3.14*10^-7*1000*J34)</f>
        <v>4950.8138711960373</v>
      </c>
      <c r="C34" s="21">
        <f>7850</f>
        <v>7850</v>
      </c>
      <c r="D34" s="21">
        <v>0.9</v>
      </c>
      <c r="E34" s="21">
        <f t="shared" si="25"/>
        <v>0.16683350016683346</v>
      </c>
      <c r="F34" s="21">
        <v>0.15</v>
      </c>
      <c r="G34" s="21">
        <v>0.15</v>
      </c>
      <c r="H34" s="21">
        <f>(500000*0.9-(Sheet1!J34+Sheet1!K34))/(500000*0.9)*100</f>
        <v>98.675830030787097</v>
      </c>
      <c r="I34" s="21">
        <v>0.02</v>
      </c>
      <c r="J34" s="21">
        <f>1/(4.44*Sheet1!$Q$2*Sheet1!D34*I34)</f>
        <v>0.15015015015015012</v>
      </c>
      <c r="K34" s="21">
        <f t="shared" si="26"/>
        <v>3.3783783783783777E-3</v>
      </c>
      <c r="L34" s="21">
        <f t="shared" si="27"/>
        <v>2.2499999999999999E-2</v>
      </c>
      <c r="M34" s="21">
        <f t="shared" si="28"/>
        <v>0.19029039049059066</v>
      </c>
      <c r="N34">
        <f>(2*E34+2*D34)*Sheet1!B34*1.15</f>
        <v>1693.0647647647645</v>
      </c>
      <c r="O34" s="21">
        <f>(2*E34+2*D34)*Sheet1!C34*1.1</f>
        <v>1173.5168501835167</v>
      </c>
      <c r="P34" s="21">
        <f>N34*R34*10^-6</f>
        <v>8.1790568346123884E-3</v>
      </c>
      <c r="Q34" s="21">
        <f t="shared" ref="Q34:Q37" si="29">O34*S34*10^-6</f>
        <v>7.8234456678901113E-3</v>
      </c>
      <c r="R34" s="21">
        <f>Sheet1!$S$4/3</f>
        <v>4.8309178743961354</v>
      </c>
      <c r="S34" s="21">
        <f>Sheet1!$S$5/3</f>
        <v>6.666666666666667</v>
      </c>
      <c r="T34" s="21">
        <f>R34*Sheet1!B34*10^-6/Sheet1!$Q$11</f>
        <v>5.5555555555555558E-3</v>
      </c>
      <c r="U34" s="21">
        <f>S34*Sheet1!C34*10^-6/Sheet1!$Q$11</f>
        <v>5.5555555555555558E-3</v>
      </c>
      <c r="V34" s="21">
        <f t="shared" ref="V34:V37" si="30">T34+U34</f>
        <v>1.1111111111111112E-2</v>
      </c>
      <c r="W34" s="21">
        <f t="shared" ref="W34:W37" si="31">F34*G34</f>
        <v>2.2499999999999999E-2</v>
      </c>
    </row>
    <row r="35" spans="1:23" s="26" customFormat="1" x14ac:dyDescent="0.25">
      <c r="A35" s="23" t="s">
        <v>52</v>
      </c>
      <c r="B35" s="24">
        <f>((F35+G35+E35)*2)/(4*3.14*10^-7*1000*J35)</f>
        <v>6541.5782024062282</v>
      </c>
      <c r="C35" s="24">
        <f>7850</f>
        <v>7850</v>
      </c>
      <c r="D35" s="24">
        <v>0.9</v>
      </c>
      <c r="E35" s="24">
        <f t="shared" si="25"/>
        <v>0.11122233344455563</v>
      </c>
      <c r="F35" s="24">
        <v>0.15</v>
      </c>
      <c r="G35" s="24">
        <v>0.15</v>
      </c>
      <c r="H35" s="24">
        <f>(500000*0.9-(Sheet1!J35+Sheet1!K35))/(500000*0.9)*100</f>
        <v>98.79763956212048</v>
      </c>
      <c r="I35" s="24">
        <v>0.03</v>
      </c>
      <c r="J35" s="24">
        <f>1/(4.44*Sheet1!$Q$2*Sheet1!D35*I35)</f>
        <v>0.10010010010010008</v>
      </c>
      <c r="K35" s="24">
        <f t="shared" si="26"/>
        <v>2.2522522522522518E-3</v>
      </c>
      <c r="L35" s="24">
        <f t="shared" si="27"/>
        <v>2.2499999999999999E-2</v>
      </c>
      <c r="M35" s="24">
        <f t="shared" si="28"/>
        <v>0.10459352690472697</v>
      </c>
      <c r="N35" s="25">
        <f>(2*E35+2*D35)*Sheet1!B35*1.15</f>
        <v>2407.2147647647644</v>
      </c>
      <c r="O35" s="24">
        <f>(2*E35+2*D35)*Sheet1!C35*1.1</f>
        <v>1668.5168501835169</v>
      </c>
      <c r="P35" s="24">
        <f>N35*R35*10^-6</f>
        <v>1.1629056834612388E-2</v>
      </c>
      <c r="Q35" s="24">
        <f t="shared" si="29"/>
        <v>1.1123445667890112E-2</v>
      </c>
      <c r="R35" s="24">
        <f>Sheet1!$S$4/3</f>
        <v>4.8309178743961354</v>
      </c>
      <c r="S35" s="24">
        <f>Sheet1!$S$5/3</f>
        <v>6.666666666666667</v>
      </c>
      <c r="T35" s="24">
        <f>R35*Sheet1!B35*10^-6/Sheet1!$Q$11</f>
        <v>8.3333333333333332E-3</v>
      </c>
      <c r="U35" s="24">
        <f>S35*Sheet1!C35*10^-6/Sheet1!$Q$11</f>
        <v>8.3333333333333332E-3</v>
      </c>
      <c r="V35" s="24">
        <f t="shared" si="30"/>
        <v>1.6666666666666666E-2</v>
      </c>
      <c r="W35" s="21">
        <f t="shared" si="31"/>
        <v>2.2499999999999999E-2</v>
      </c>
    </row>
    <row r="36" spans="1:23" s="14" customFormat="1" x14ac:dyDescent="0.25">
      <c r="A36" s="20" t="s">
        <v>53</v>
      </c>
      <c r="B36" s="21">
        <f>((F36+G36+E36)*2)/(4*3.14*10^-7*1000*J36)</f>
        <v>8132.34253361642</v>
      </c>
      <c r="C36" s="21">
        <f>7850</f>
        <v>7850</v>
      </c>
      <c r="D36" s="21">
        <v>0.9</v>
      </c>
      <c r="E36" s="21">
        <f t="shared" si="25"/>
        <v>8.341675008341673E-2</v>
      </c>
      <c r="F36" s="21">
        <v>0.15</v>
      </c>
      <c r="G36" s="21">
        <v>0.15</v>
      </c>
      <c r="H36" s="21">
        <f>(500000*0.9-(Sheet1!J36+Sheet1!K36))/(500000*0.9)*100</f>
        <v>98.709563864053138</v>
      </c>
      <c r="I36" s="21">
        <v>0.04</v>
      </c>
      <c r="J36" s="21">
        <f>1/(4.44*Sheet1!$Q$2*Sheet1!D36*I36)</f>
        <v>7.5075075075075062E-2</v>
      </c>
      <c r="K36" s="21">
        <f t="shared" si="26"/>
        <v>1.6891891891891888E-3</v>
      </c>
      <c r="L36" s="21">
        <f t="shared" si="27"/>
        <v>2.2499999999999999E-2</v>
      </c>
      <c r="M36" s="21">
        <f t="shared" si="28"/>
        <v>7.0095120145170164E-2</v>
      </c>
      <c r="N36">
        <f>(2*E36+2*D36)*Sheet1!B36*1.15</f>
        <v>3121.3647647647649</v>
      </c>
      <c r="O36" s="21">
        <f>(2*E36+2*D36)*Sheet1!C36*1.1</f>
        <v>2163.5168501835169</v>
      </c>
      <c r="P36" s="21">
        <f>N36*R36*10^-6</f>
        <v>1.507905683461239E-2</v>
      </c>
      <c r="Q36" s="21">
        <f t="shared" si="29"/>
        <v>1.4423445667890113E-2</v>
      </c>
      <c r="R36" s="21">
        <f>Sheet1!$S$4/3</f>
        <v>4.8309178743961354</v>
      </c>
      <c r="S36" s="21">
        <f>Sheet1!$S$5/3</f>
        <v>6.666666666666667</v>
      </c>
      <c r="T36" s="21">
        <f>R36*Sheet1!B36*10^-6/Sheet1!$Q$11</f>
        <v>1.1111111111111112E-2</v>
      </c>
      <c r="U36" s="21">
        <f>S36*Sheet1!C36*10^-6/Sheet1!$Q$11</f>
        <v>1.1111111111111112E-2</v>
      </c>
      <c r="V36" s="21">
        <f t="shared" si="30"/>
        <v>2.2222222222222223E-2</v>
      </c>
      <c r="W36" s="21">
        <f t="shared" si="31"/>
        <v>2.2499999999999999E-2</v>
      </c>
    </row>
    <row r="37" spans="1:23" s="14" customFormat="1" x14ac:dyDescent="0.25">
      <c r="A37" s="28" t="s">
        <v>54</v>
      </c>
      <c r="B37" s="21">
        <f>((F37+G37+E37)*2)/(4*3.14*10^-7*1000*J37)</f>
        <v>9723.10686482661</v>
      </c>
      <c r="C37" s="21">
        <f>7850</f>
        <v>7850</v>
      </c>
      <c r="D37" s="21">
        <v>0.9</v>
      </c>
      <c r="E37" s="21">
        <f t="shared" si="25"/>
        <v>6.6733400066733395E-2</v>
      </c>
      <c r="F37" s="21">
        <v>0.15</v>
      </c>
      <c r="G37" s="21">
        <v>0.15</v>
      </c>
      <c r="H37" s="21">
        <f>(500000*0.9-(Sheet1!J37+Sheet1!K37))/(500000*0.9)*100</f>
        <v>98.553964696817815</v>
      </c>
      <c r="I37" s="21">
        <v>0.05</v>
      </c>
      <c r="J37" s="21">
        <f>1/(4.44*Sheet1!$Q$2*Sheet1!D37*I37)</f>
        <v>6.0060060060060053E-2</v>
      </c>
      <c r="K37" s="21">
        <f t="shared" si="26"/>
        <v>1.3513513513513512E-3</v>
      </c>
      <c r="L37" s="21">
        <f t="shared" si="27"/>
        <v>2.2499999999999999E-2</v>
      </c>
      <c r="M37" s="21">
        <f t="shared" si="28"/>
        <v>5.2068084100116131E-2</v>
      </c>
      <c r="N37">
        <f>(2*E37+2*D37)*Sheet1!B37*1.15</f>
        <v>3835.5147647647641</v>
      </c>
      <c r="O37" s="21">
        <f>(2*E37+2*D37)*Sheet1!C37*1.1</f>
        <v>2658.5168501835169</v>
      </c>
      <c r="P37" s="21">
        <f>N37*R37*10^-6</f>
        <v>1.8529056834612385E-2</v>
      </c>
      <c r="Q37" s="21">
        <f t="shared" si="29"/>
        <v>1.7723445667890116E-2</v>
      </c>
      <c r="R37" s="21">
        <f>Sheet1!$S$4/3</f>
        <v>4.8309178743961354</v>
      </c>
      <c r="S37" s="21">
        <f>Sheet1!$S$5/3</f>
        <v>6.666666666666667</v>
      </c>
      <c r="T37" s="21">
        <f>R37*Sheet1!B37*10^-6/Sheet1!$Q$11</f>
        <v>1.388888888888889E-2</v>
      </c>
      <c r="U37" s="21">
        <f>S37*Sheet1!C37*10^-6/Sheet1!$Q$11</f>
        <v>1.388888888888889E-2</v>
      </c>
      <c r="V37" s="27">
        <f t="shared" si="30"/>
        <v>2.777777777777778E-2</v>
      </c>
      <c r="W37" s="27">
        <f t="shared" si="31"/>
        <v>2.2499999999999999E-2</v>
      </c>
    </row>
    <row r="38" spans="1:23" s="14" customFormat="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/>
      <c r="O38" s="21"/>
      <c r="P38" s="21"/>
      <c r="Q38" s="21"/>
      <c r="R38" s="21"/>
      <c r="S38" s="21"/>
      <c r="T38" s="21"/>
      <c r="U38" s="21"/>
      <c r="V38" s="21"/>
    </row>
    <row r="39" spans="1:23" x14ac:dyDescent="0.25">
      <c r="A39" s="10"/>
      <c r="J39" s="11"/>
    </row>
    <row r="40" spans="1:23" x14ac:dyDescent="0.25">
      <c r="A40" s="10"/>
      <c r="J40" s="11"/>
    </row>
    <row r="41" spans="1:23" x14ac:dyDescent="0.25">
      <c r="A41" s="10"/>
      <c r="J41" s="11"/>
    </row>
    <row r="42" spans="1:23" x14ac:dyDescent="0.25">
      <c r="A42" s="10"/>
      <c r="J42" s="11"/>
    </row>
    <row r="43" spans="1:23" x14ac:dyDescent="0.25">
      <c r="A43" s="10"/>
      <c r="J43" s="11"/>
    </row>
    <row r="44" spans="1:23" x14ac:dyDescent="0.25">
      <c r="A44" s="10"/>
      <c r="J44" s="11"/>
    </row>
    <row r="45" spans="1:23" x14ac:dyDescent="0.25">
      <c r="A45" s="10"/>
      <c r="J45" s="11"/>
    </row>
    <row r="46" spans="1:23" x14ac:dyDescent="0.25">
      <c r="A46" s="10"/>
      <c r="J46" s="11"/>
    </row>
    <row r="47" spans="1:23" x14ac:dyDescent="0.25">
      <c r="A47" s="10"/>
      <c r="J47" s="11"/>
    </row>
    <row r="48" spans="1:23" x14ac:dyDescent="0.25">
      <c r="A48" s="10"/>
      <c r="J48" s="11"/>
    </row>
    <row r="49" spans="1:10" x14ac:dyDescent="0.25">
      <c r="A49" s="10"/>
      <c r="J49" s="11"/>
    </row>
    <row r="50" spans="1:10" x14ac:dyDescent="0.25">
      <c r="A50" s="10"/>
      <c r="J50" s="11"/>
    </row>
    <row r="51" spans="1:10" x14ac:dyDescent="0.25">
      <c r="A51" s="10"/>
      <c r="J51" s="11"/>
    </row>
    <row r="52" spans="1:10" x14ac:dyDescent="0.25">
      <c r="A52" s="10"/>
      <c r="J52" s="11"/>
    </row>
  </sheetData>
  <mergeCells count="2">
    <mergeCell ref="H1:U1"/>
    <mergeCell ref="D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2018-03-28T20:42:10Z</dcterms:modified>
</cp:coreProperties>
</file>