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 Projetc\선우-project\2022 Projetc\01 김해 덕암 물류센터\01 실시설계작업\00 구조면경및VE변경 실시설계도면작성\02 실시설계도면 정리\"/>
    </mc:Choice>
  </mc:AlternateContent>
  <xr:revisionPtr revIDLastSave="0" documentId="13_ncr:1_{1983D42A-7803-42D3-9757-ADA43A6ECE8D}" xr6:coauthVersionLast="47" xr6:coauthVersionMax="47" xr10:uidLastSave="{00000000-0000-0000-0000-000000000000}"/>
  <bookViews>
    <workbookView xWindow="-38520" yWindow="-120" windowWidth="38640" windowHeight="21120" firstSheet="15" activeTab="20" xr2:uid="{00000000-000D-0000-FFFF-FFFF00000000}"/>
  </bookViews>
  <sheets>
    <sheet name="201223" sheetId="38" r:id="rId1"/>
    <sheet name="210106" sheetId="39" r:id="rId2"/>
    <sheet name="210106 (부대시설수정)" sheetId="40" r:id="rId3"/>
    <sheet name="210112" sheetId="41" r:id="rId4"/>
    <sheet name="210121" sheetId="42" r:id="rId5"/>
    <sheet name="210122" sheetId="43" r:id="rId6"/>
    <sheet name="210128" sheetId="44" r:id="rId7"/>
    <sheet name="210201 (주차대수)" sheetId="45" r:id="rId8"/>
    <sheet name="210205" sheetId="46" r:id="rId9"/>
    <sheet name="210218 (주차)" sheetId="47" r:id="rId10"/>
    <sheet name="20210224 (주차)" sheetId="49" r:id="rId11"/>
    <sheet name="20210226 (주차)" sheetId="50" r:id="rId12"/>
    <sheet name="20210305 (주차)" sheetId="51" r:id="rId13"/>
    <sheet name="20210310 (주차)" sheetId="52" r:id="rId14"/>
    <sheet name="20210316 (전체보완)" sheetId="53" r:id="rId15"/>
    <sheet name="20210326 (캐드구적, 교.평보완)" sheetId="54" r:id="rId16"/>
    <sheet name="20210405 (면적산출도, 교평보완)" sheetId="55" r:id="rId17"/>
    <sheet name="20210412 (저온PS 확대)" sheetId="56" r:id="rId18"/>
    <sheet name="20210528 (피난층계단보완)" sheetId="57" r:id="rId19"/>
    <sheet name="20210528 (주차용 표기 변경)" sheetId="58" r:id="rId20"/>
    <sheet name="20221108 (설계변경-지하2층 계단 변경)" sheetId="60" r:id="rId21"/>
  </sheets>
  <definedNames>
    <definedName name="_xlnm.Print_Area" localSheetId="5">'210122'!$B$1:$R$52</definedName>
    <definedName name="_xlnm.Print_Area" localSheetId="6">'210128'!$B$1:$R$52</definedName>
    <definedName name="_xlnm.Print_Area" localSheetId="7">'210201 (주차대수)'!$B$1:$R$52</definedName>
    <definedName name="_xlnm.Print_Area" localSheetId="8">'210205'!$B$1:$R$52</definedName>
    <definedName name="_xlnm.Print_Area" localSheetId="9">'210218 (주차)'!$B$1:$R$52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8" i="60" l="1"/>
  <c r="K38" i="60"/>
  <c r="Y37" i="60"/>
  <c r="X37" i="60"/>
  <c r="S37" i="60"/>
  <c r="R37" i="60"/>
  <c r="Q37" i="60"/>
  <c r="T37" i="60" s="1"/>
  <c r="U37" i="60" s="1"/>
  <c r="P37" i="60"/>
  <c r="M37" i="60"/>
  <c r="K37" i="60"/>
  <c r="J37" i="60"/>
  <c r="I37" i="60"/>
  <c r="L37" i="60" s="1"/>
  <c r="G37" i="60"/>
  <c r="F37" i="60"/>
  <c r="E37" i="60"/>
  <c r="E38" i="60" s="1"/>
  <c r="D37" i="60"/>
  <c r="C37" i="60"/>
  <c r="C38" i="60" s="1"/>
  <c r="T36" i="60"/>
  <c r="U36" i="60" s="1"/>
  <c r="L36" i="60"/>
  <c r="H36" i="60"/>
  <c r="N36" i="60" s="1"/>
  <c r="T35" i="60"/>
  <c r="U35" i="60" s="1"/>
  <c r="L35" i="60"/>
  <c r="H35" i="60"/>
  <c r="N35" i="60" s="1"/>
  <c r="T34" i="60"/>
  <c r="U34" i="60" s="1"/>
  <c r="L34" i="60"/>
  <c r="H34" i="60"/>
  <c r="N34" i="60" s="1"/>
  <c r="T33" i="60"/>
  <c r="U33" i="60" s="1"/>
  <c r="L33" i="60"/>
  <c r="H33" i="60"/>
  <c r="N33" i="60" s="1"/>
  <c r="T32" i="60"/>
  <c r="U32" i="60" s="1"/>
  <c r="L32" i="60"/>
  <c r="H32" i="60"/>
  <c r="N32" i="60" s="1"/>
  <c r="T31" i="60"/>
  <c r="U31" i="60" s="1"/>
  <c r="L31" i="60"/>
  <c r="H31" i="60"/>
  <c r="N31" i="60" s="1"/>
  <c r="Y30" i="60"/>
  <c r="Y38" i="60" s="1"/>
  <c r="I19" i="60" s="1"/>
  <c r="X30" i="60"/>
  <c r="X38" i="60" s="1"/>
  <c r="I18" i="60" s="1"/>
  <c r="I20" i="60" s="1"/>
  <c r="S30" i="60"/>
  <c r="S38" i="60" s="1"/>
  <c r="R30" i="60"/>
  <c r="R38" i="60" s="1"/>
  <c r="Q30" i="60"/>
  <c r="Q38" i="60" s="1"/>
  <c r="P30" i="60"/>
  <c r="T30" i="60" s="1"/>
  <c r="M30" i="60"/>
  <c r="K30" i="60"/>
  <c r="J30" i="60"/>
  <c r="J38" i="60" s="1"/>
  <c r="I30" i="60"/>
  <c r="I38" i="60" s="1"/>
  <c r="L38" i="60" s="1"/>
  <c r="G30" i="60"/>
  <c r="G38" i="60" s="1"/>
  <c r="F30" i="60"/>
  <c r="F38" i="60" s="1"/>
  <c r="E30" i="60"/>
  <c r="D30" i="60"/>
  <c r="D38" i="60" s="1"/>
  <c r="C30" i="60"/>
  <c r="U29" i="60"/>
  <c r="T29" i="60"/>
  <c r="L29" i="60"/>
  <c r="N29" i="60" s="1"/>
  <c r="H29" i="60"/>
  <c r="U28" i="60"/>
  <c r="T28" i="60"/>
  <c r="L28" i="60"/>
  <c r="H28" i="60"/>
  <c r="F21" i="60"/>
  <c r="D15" i="60"/>
  <c r="G10" i="60"/>
  <c r="G6" i="60"/>
  <c r="M38" i="58"/>
  <c r="J38" i="58"/>
  <c r="I38" i="58"/>
  <c r="F38" i="58"/>
  <c r="Y37" i="58"/>
  <c r="X37" i="58"/>
  <c r="S37" i="58"/>
  <c r="R37" i="58"/>
  <c r="Q37" i="58"/>
  <c r="P37" i="58"/>
  <c r="T37" i="58" s="1"/>
  <c r="U37" i="58" s="1"/>
  <c r="M37" i="58"/>
  <c r="K37" i="58"/>
  <c r="J37" i="58"/>
  <c r="I37" i="58"/>
  <c r="L37" i="58" s="1"/>
  <c r="G37" i="58"/>
  <c r="F37" i="58"/>
  <c r="E37" i="58"/>
  <c r="D37" i="58"/>
  <c r="H37" i="58" s="1"/>
  <c r="C37" i="58"/>
  <c r="T36" i="58"/>
  <c r="U36" i="58" s="1"/>
  <c r="L36" i="58"/>
  <c r="H36" i="58"/>
  <c r="T35" i="58"/>
  <c r="U35" i="58" s="1"/>
  <c r="L35" i="58"/>
  <c r="N35" i="58" s="1"/>
  <c r="H35" i="58"/>
  <c r="U34" i="58"/>
  <c r="T34" i="58"/>
  <c r="L34" i="58"/>
  <c r="H34" i="58"/>
  <c r="T33" i="58"/>
  <c r="U33" i="58" s="1"/>
  <c r="L33" i="58"/>
  <c r="N33" i="58" s="1"/>
  <c r="H33" i="58"/>
  <c r="T32" i="58"/>
  <c r="U32" i="58" s="1"/>
  <c r="L32" i="58"/>
  <c r="H32" i="58"/>
  <c r="T31" i="58"/>
  <c r="U31" i="58" s="1"/>
  <c r="L31" i="58"/>
  <c r="N31" i="58" s="1"/>
  <c r="H31" i="58"/>
  <c r="Y30" i="58"/>
  <c r="Y38" i="58" s="1"/>
  <c r="I19" i="58" s="1"/>
  <c r="X30" i="58"/>
  <c r="X38" i="58" s="1"/>
  <c r="I18" i="58" s="1"/>
  <c r="S30" i="58"/>
  <c r="R30" i="58"/>
  <c r="R38" i="58" s="1"/>
  <c r="Q30" i="58"/>
  <c r="Q38" i="58" s="1"/>
  <c r="P30" i="58"/>
  <c r="M30" i="58"/>
  <c r="K30" i="58"/>
  <c r="J30" i="58"/>
  <c r="I30" i="58"/>
  <c r="G30" i="58"/>
  <c r="G38" i="58" s="1"/>
  <c r="F30" i="58"/>
  <c r="E30" i="58"/>
  <c r="E38" i="58" s="1"/>
  <c r="D30" i="58"/>
  <c r="D38" i="58" s="1"/>
  <c r="C30" i="58"/>
  <c r="C38" i="58" s="1"/>
  <c r="T29" i="58"/>
  <c r="L29" i="58"/>
  <c r="N29" i="58" s="1"/>
  <c r="O29" i="58" s="1"/>
  <c r="H29" i="58"/>
  <c r="T28" i="58"/>
  <c r="L28" i="58"/>
  <c r="H28" i="58"/>
  <c r="F21" i="58"/>
  <c r="D15" i="58"/>
  <c r="G10" i="58"/>
  <c r="G6" i="58"/>
  <c r="H30" i="60" l="1"/>
  <c r="N28" i="60"/>
  <c r="H38" i="60"/>
  <c r="N38" i="60" s="1"/>
  <c r="V38" i="60" s="1"/>
  <c r="W31" i="60"/>
  <c r="O32" i="60"/>
  <c r="W32" i="60" s="1"/>
  <c r="V32" i="60"/>
  <c r="O34" i="60"/>
  <c r="W34" i="60" s="1"/>
  <c r="V34" i="60"/>
  <c r="V35" i="60"/>
  <c r="O35" i="60"/>
  <c r="W35" i="60" s="1"/>
  <c r="U30" i="60"/>
  <c r="T38" i="60"/>
  <c r="U38" i="60" s="1"/>
  <c r="V29" i="60"/>
  <c r="O29" i="60"/>
  <c r="W29" i="60" s="1"/>
  <c r="V33" i="60"/>
  <c r="O33" i="60"/>
  <c r="W33" i="60" s="1"/>
  <c r="O28" i="60"/>
  <c r="V28" i="60"/>
  <c r="W28" i="60"/>
  <c r="O36" i="60"/>
  <c r="W36" i="60" s="1"/>
  <c r="V36" i="60"/>
  <c r="V31" i="60"/>
  <c r="O31" i="60"/>
  <c r="D22" i="60"/>
  <c r="L30" i="60"/>
  <c r="P38" i="60"/>
  <c r="H37" i="60"/>
  <c r="N37" i="60" s="1"/>
  <c r="V29" i="58"/>
  <c r="H38" i="58"/>
  <c r="N32" i="58"/>
  <c r="N36" i="58"/>
  <c r="O36" i="58" s="1"/>
  <c r="W36" i="58" s="1"/>
  <c r="L30" i="58"/>
  <c r="P38" i="58"/>
  <c r="N28" i="58"/>
  <c r="O28" i="58" s="1"/>
  <c r="S38" i="58"/>
  <c r="N34" i="58"/>
  <c r="V34" i="58" s="1"/>
  <c r="N37" i="58"/>
  <c r="O37" i="58" s="1"/>
  <c r="W37" i="58" s="1"/>
  <c r="I20" i="58"/>
  <c r="O31" i="58"/>
  <c r="V31" i="58"/>
  <c r="O32" i="58"/>
  <c r="W32" i="58" s="1"/>
  <c r="V32" i="58"/>
  <c r="O33" i="58"/>
  <c r="W33" i="58" s="1"/>
  <c r="V33" i="58"/>
  <c r="O35" i="58"/>
  <c r="W35" i="58" s="1"/>
  <c r="V35" i="58"/>
  <c r="V36" i="58"/>
  <c r="D22" i="58"/>
  <c r="L38" i="58"/>
  <c r="N38" i="58" s="1"/>
  <c r="V28" i="58"/>
  <c r="W31" i="58"/>
  <c r="U28" i="58"/>
  <c r="W28" i="58" s="1"/>
  <c r="U29" i="58"/>
  <c r="W29" i="58" s="1"/>
  <c r="H30" i="58"/>
  <c r="N30" i="58" s="1"/>
  <c r="O30" i="58" s="1"/>
  <c r="K38" i="58"/>
  <c r="T30" i="58"/>
  <c r="Y37" i="57"/>
  <c r="X37" i="57"/>
  <c r="S37" i="57"/>
  <c r="R37" i="57"/>
  <c r="Q37" i="57"/>
  <c r="P37" i="57"/>
  <c r="T37" i="57" s="1"/>
  <c r="U37" i="57" s="1"/>
  <c r="M37" i="57"/>
  <c r="K37" i="57"/>
  <c r="J37" i="57"/>
  <c r="I37" i="57"/>
  <c r="L37" i="57" s="1"/>
  <c r="G37" i="57"/>
  <c r="F37" i="57"/>
  <c r="E37" i="57"/>
  <c r="D37" i="57"/>
  <c r="C37" i="57"/>
  <c r="T36" i="57"/>
  <c r="U36" i="57" s="1"/>
  <c r="L36" i="57"/>
  <c r="H36" i="57"/>
  <c r="N36" i="57" s="1"/>
  <c r="O36" i="57" s="1"/>
  <c r="W36" i="57" s="1"/>
  <c r="T35" i="57"/>
  <c r="U35" i="57" s="1"/>
  <c r="L35" i="57"/>
  <c r="H35" i="57"/>
  <c r="N35" i="57" s="1"/>
  <c r="O35" i="57" s="1"/>
  <c r="T34" i="57"/>
  <c r="U34" i="57" s="1"/>
  <c r="L34" i="57"/>
  <c r="H34" i="57"/>
  <c r="N34" i="57" s="1"/>
  <c r="O34" i="57" s="1"/>
  <c r="W34" i="57" s="1"/>
  <c r="T33" i="57"/>
  <c r="U33" i="57" s="1"/>
  <c r="L33" i="57"/>
  <c r="H33" i="57"/>
  <c r="N33" i="57" s="1"/>
  <c r="O33" i="57" s="1"/>
  <c r="W33" i="57" s="1"/>
  <c r="T32" i="57"/>
  <c r="U32" i="57" s="1"/>
  <c r="L32" i="57"/>
  <c r="H32" i="57"/>
  <c r="N32" i="57" s="1"/>
  <c r="O32" i="57" s="1"/>
  <c r="W32" i="57" s="1"/>
  <c r="T31" i="57"/>
  <c r="U31" i="57" s="1"/>
  <c r="L31" i="57"/>
  <c r="H31" i="57"/>
  <c r="Y30" i="57"/>
  <c r="X30" i="57"/>
  <c r="S30" i="57"/>
  <c r="R30" i="57"/>
  <c r="R38" i="57" s="1"/>
  <c r="Q30" i="57"/>
  <c r="P30" i="57"/>
  <c r="M30" i="57"/>
  <c r="K30" i="57"/>
  <c r="J30" i="57"/>
  <c r="J38" i="57" s="1"/>
  <c r="I30" i="57"/>
  <c r="G30" i="57"/>
  <c r="F30" i="57"/>
  <c r="F38" i="57" s="1"/>
  <c r="E30" i="57"/>
  <c r="E38" i="57" s="1"/>
  <c r="D30" i="57"/>
  <c r="D38" i="57" s="1"/>
  <c r="C30" i="57"/>
  <c r="T29" i="57"/>
  <c r="U29" i="57" s="1"/>
  <c r="L29" i="57"/>
  <c r="N29" i="57" s="1"/>
  <c r="O29" i="57" s="1"/>
  <c r="H29" i="57"/>
  <c r="T28" i="57"/>
  <c r="U28" i="57" s="1"/>
  <c r="L28" i="57"/>
  <c r="H28" i="57"/>
  <c r="F21" i="57"/>
  <c r="D15" i="57"/>
  <c r="G10" i="57"/>
  <c r="G6" i="57"/>
  <c r="O38" i="60" l="1"/>
  <c r="W38" i="60" s="1"/>
  <c r="N30" i="60"/>
  <c r="O30" i="60"/>
  <c r="V30" i="60"/>
  <c r="D12" i="60" s="1"/>
  <c r="G12" i="60" s="1"/>
  <c r="O37" i="60"/>
  <c r="W37" i="60" s="1"/>
  <c r="V37" i="60"/>
  <c r="D11" i="60" s="1"/>
  <c r="D14" i="60"/>
  <c r="D18" i="60"/>
  <c r="D19" i="60" s="1"/>
  <c r="D17" i="60"/>
  <c r="W30" i="60"/>
  <c r="W35" i="57"/>
  <c r="K38" i="57"/>
  <c r="G38" i="57"/>
  <c r="P38" i="57"/>
  <c r="M38" i="57"/>
  <c r="S38" i="57"/>
  <c r="O34" i="58"/>
  <c r="W34" i="58" s="1"/>
  <c r="I38" i="57"/>
  <c r="L38" i="57" s="1"/>
  <c r="V37" i="58"/>
  <c r="D11" i="58" s="1"/>
  <c r="G11" i="58" s="1"/>
  <c r="Y38" i="57"/>
  <c r="I19" i="57" s="1"/>
  <c r="L30" i="57"/>
  <c r="Q38" i="57"/>
  <c r="D22" i="57" s="1"/>
  <c r="X38" i="57"/>
  <c r="I18" i="57" s="1"/>
  <c r="I20" i="57" s="1"/>
  <c r="C38" i="57"/>
  <c r="H38" i="57" s="1"/>
  <c r="N38" i="57" s="1"/>
  <c r="O38" i="57" s="1"/>
  <c r="N31" i="57"/>
  <c r="O31" i="57" s="1"/>
  <c r="W31" i="57" s="1"/>
  <c r="O38" i="58"/>
  <c r="T38" i="58"/>
  <c r="U38" i="58" s="1"/>
  <c r="V30" i="58"/>
  <c r="D12" i="58" s="1"/>
  <c r="G12" i="58" s="1"/>
  <c r="U30" i="58"/>
  <c r="W30" i="58" s="1"/>
  <c r="H37" i="57"/>
  <c r="N37" i="57" s="1"/>
  <c r="N28" i="57"/>
  <c r="O28" i="57" s="1"/>
  <c r="W28" i="57" s="1"/>
  <c r="V28" i="57"/>
  <c r="V29" i="57"/>
  <c r="W29" i="57"/>
  <c r="O37" i="57"/>
  <c r="W37" i="57" s="1"/>
  <c r="V37" i="57"/>
  <c r="D11" i="57" s="1"/>
  <c r="T30" i="57"/>
  <c r="V34" i="57"/>
  <c r="V35" i="57"/>
  <c r="H30" i="57"/>
  <c r="V32" i="57"/>
  <c r="V33" i="57"/>
  <c r="V36" i="57"/>
  <c r="Y37" i="56"/>
  <c r="X37" i="56"/>
  <c r="S37" i="56"/>
  <c r="R37" i="56"/>
  <c r="Q37" i="56"/>
  <c r="P37" i="56"/>
  <c r="T37" i="56" s="1"/>
  <c r="U37" i="56" s="1"/>
  <c r="M37" i="56"/>
  <c r="K37" i="56"/>
  <c r="J37" i="56"/>
  <c r="I37" i="56"/>
  <c r="G37" i="56"/>
  <c r="F37" i="56"/>
  <c r="E37" i="56"/>
  <c r="D37" i="56"/>
  <c r="C37" i="56"/>
  <c r="T36" i="56"/>
  <c r="U36" i="56" s="1"/>
  <c r="L36" i="56"/>
  <c r="H36" i="56"/>
  <c r="N36" i="56" s="1"/>
  <c r="T35" i="56"/>
  <c r="U35" i="56" s="1"/>
  <c r="L35" i="56"/>
  <c r="H35" i="56"/>
  <c r="N35" i="56" s="1"/>
  <c r="U34" i="56"/>
  <c r="T34" i="56"/>
  <c r="L34" i="56"/>
  <c r="H34" i="56"/>
  <c r="T33" i="56"/>
  <c r="U33" i="56" s="1"/>
  <c r="L33" i="56"/>
  <c r="H33" i="56"/>
  <c r="T32" i="56"/>
  <c r="U32" i="56" s="1"/>
  <c r="L32" i="56"/>
  <c r="H32" i="56"/>
  <c r="N32" i="56" s="1"/>
  <c r="T31" i="56"/>
  <c r="U31" i="56" s="1"/>
  <c r="L31" i="56"/>
  <c r="H31" i="56"/>
  <c r="Y30" i="56"/>
  <c r="Y38" i="56" s="1"/>
  <c r="I19" i="56" s="1"/>
  <c r="X30" i="56"/>
  <c r="X38" i="56" s="1"/>
  <c r="I18" i="56" s="1"/>
  <c r="I20" i="56" s="1"/>
  <c r="S30" i="56"/>
  <c r="R30" i="56"/>
  <c r="Q30" i="56"/>
  <c r="P30" i="56"/>
  <c r="T30" i="56" s="1"/>
  <c r="M30" i="56"/>
  <c r="K30" i="56"/>
  <c r="K38" i="56" s="1"/>
  <c r="J30" i="56"/>
  <c r="J38" i="56" s="1"/>
  <c r="I30" i="56"/>
  <c r="I38" i="56" s="1"/>
  <c r="G30" i="56"/>
  <c r="F30" i="56"/>
  <c r="F38" i="56" s="1"/>
  <c r="E30" i="56"/>
  <c r="E38" i="56" s="1"/>
  <c r="D30" i="56"/>
  <c r="D38" i="56" s="1"/>
  <c r="C30" i="56"/>
  <c r="H30" i="56" s="1"/>
  <c r="T29" i="56"/>
  <c r="L29" i="56"/>
  <c r="H29" i="56"/>
  <c r="T28" i="56"/>
  <c r="L28" i="56"/>
  <c r="H28" i="56"/>
  <c r="F21" i="56"/>
  <c r="D15" i="56"/>
  <c r="G10" i="56"/>
  <c r="G6" i="56"/>
  <c r="D13" i="60" l="1"/>
  <c r="G13" i="60" s="1"/>
  <c r="G11" i="60"/>
  <c r="G14" i="60"/>
  <c r="D16" i="60"/>
  <c r="N29" i="56"/>
  <c r="O29" i="56" s="1"/>
  <c r="N33" i="56"/>
  <c r="V33" i="56" s="1"/>
  <c r="Q38" i="56"/>
  <c r="D22" i="56" s="1"/>
  <c r="N30" i="57"/>
  <c r="O30" i="57" s="1"/>
  <c r="V31" i="57"/>
  <c r="R38" i="56"/>
  <c r="M38" i="56"/>
  <c r="S38" i="56"/>
  <c r="L37" i="56"/>
  <c r="W38" i="58"/>
  <c r="D13" i="58"/>
  <c r="G13" i="58" s="1"/>
  <c r="V38" i="58"/>
  <c r="T38" i="57"/>
  <c r="V30" i="57"/>
  <c r="D12" i="57" s="1"/>
  <c r="G12" i="57" s="1"/>
  <c r="U30" i="57"/>
  <c r="W30" i="57" s="1"/>
  <c r="G11" i="57"/>
  <c r="H37" i="56"/>
  <c r="N34" i="56"/>
  <c r="V34" i="56" s="1"/>
  <c r="G38" i="56"/>
  <c r="N31" i="56"/>
  <c r="O31" i="56" s="1"/>
  <c r="W31" i="56" s="1"/>
  <c r="N28" i="56"/>
  <c r="O28" i="56" s="1"/>
  <c r="U30" i="56"/>
  <c r="T38" i="56"/>
  <c r="U38" i="56" s="1"/>
  <c r="L38" i="56"/>
  <c r="V29" i="56"/>
  <c r="V32" i="56"/>
  <c r="O32" i="56"/>
  <c r="W32" i="56" s="1"/>
  <c r="V35" i="56"/>
  <c r="O35" i="56"/>
  <c r="W35" i="56" s="1"/>
  <c r="O34" i="56"/>
  <c r="W34" i="56" s="1"/>
  <c r="O33" i="56"/>
  <c r="W33" i="56" s="1"/>
  <c r="O36" i="56"/>
  <c r="W36" i="56" s="1"/>
  <c r="V36" i="56"/>
  <c r="U29" i="56"/>
  <c r="W29" i="56" s="1"/>
  <c r="L30" i="56"/>
  <c r="N30" i="56" s="1"/>
  <c r="C38" i="56"/>
  <c r="P38" i="56"/>
  <c r="U28" i="56"/>
  <c r="E37" i="55"/>
  <c r="D37" i="55"/>
  <c r="F17" i="60" l="1"/>
  <c r="D13" i="57"/>
  <c r="G13" i="57" s="1"/>
  <c r="N37" i="56"/>
  <c r="O37" i="56" s="1"/>
  <c r="W37" i="56" s="1"/>
  <c r="D17" i="58"/>
  <c r="F17" i="58" s="1"/>
  <c r="D14" i="58"/>
  <c r="D18" i="58"/>
  <c r="D19" i="58" s="1"/>
  <c r="U38" i="57"/>
  <c r="W38" i="57" s="1"/>
  <c r="V38" i="57"/>
  <c r="V37" i="56"/>
  <c r="D11" i="56" s="1"/>
  <c r="G11" i="56" s="1"/>
  <c r="H38" i="56"/>
  <c r="N38" i="56" s="1"/>
  <c r="O38" i="56" s="1"/>
  <c r="W38" i="56" s="1"/>
  <c r="V31" i="56"/>
  <c r="W28" i="56"/>
  <c r="V28" i="56"/>
  <c r="O30" i="56"/>
  <c r="V30" i="56"/>
  <c r="D12" i="56" s="1"/>
  <c r="G12" i="56" s="1"/>
  <c r="W30" i="56"/>
  <c r="S38" i="55"/>
  <c r="Y37" i="55"/>
  <c r="X37" i="55"/>
  <c r="S37" i="55"/>
  <c r="R37" i="55"/>
  <c r="Q37" i="55"/>
  <c r="P37" i="55"/>
  <c r="M37" i="55"/>
  <c r="K37" i="55"/>
  <c r="J37" i="55"/>
  <c r="J38" i="55" s="1"/>
  <c r="I37" i="55"/>
  <c r="L37" i="55" s="1"/>
  <c r="G37" i="55"/>
  <c r="F37" i="55"/>
  <c r="C37" i="55"/>
  <c r="T36" i="55"/>
  <c r="U36" i="55" s="1"/>
  <c r="L36" i="55"/>
  <c r="H36" i="55"/>
  <c r="N36" i="55" s="1"/>
  <c r="T35" i="55"/>
  <c r="U35" i="55" s="1"/>
  <c r="L35" i="55"/>
  <c r="H35" i="55"/>
  <c r="N35" i="55" s="1"/>
  <c r="T34" i="55"/>
  <c r="U34" i="55" s="1"/>
  <c r="L34" i="55"/>
  <c r="H34" i="55"/>
  <c r="N34" i="55" s="1"/>
  <c r="V34" i="55" s="1"/>
  <c r="T33" i="55"/>
  <c r="U33" i="55" s="1"/>
  <c r="L33" i="55"/>
  <c r="H33" i="55"/>
  <c r="T32" i="55"/>
  <c r="U32" i="55" s="1"/>
  <c r="L32" i="55"/>
  <c r="H32" i="55"/>
  <c r="T31" i="55"/>
  <c r="L31" i="55"/>
  <c r="H31" i="55"/>
  <c r="Y30" i="55"/>
  <c r="Y38" i="55" s="1"/>
  <c r="I19" i="55" s="1"/>
  <c r="X30" i="55"/>
  <c r="S30" i="55"/>
  <c r="R30" i="55"/>
  <c r="R38" i="55" s="1"/>
  <c r="Q30" i="55"/>
  <c r="Q38" i="55" s="1"/>
  <c r="P30" i="55"/>
  <c r="P38" i="55" s="1"/>
  <c r="M30" i="55"/>
  <c r="K30" i="55"/>
  <c r="J30" i="55"/>
  <c r="I30" i="55"/>
  <c r="L30" i="55" s="1"/>
  <c r="G30" i="55"/>
  <c r="F30" i="55"/>
  <c r="E30" i="55"/>
  <c r="D30" i="55"/>
  <c r="C30" i="55"/>
  <c r="T29" i="55"/>
  <c r="L29" i="55"/>
  <c r="H29" i="55"/>
  <c r="T28" i="55"/>
  <c r="U28" i="55" s="1"/>
  <c r="L28" i="55"/>
  <c r="H28" i="55"/>
  <c r="F21" i="55"/>
  <c r="D15" i="55"/>
  <c r="G10" i="55"/>
  <c r="G6" i="55"/>
  <c r="K38" i="55" l="1"/>
  <c r="M38" i="55"/>
  <c r="T37" i="55"/>
  <c r="U37" i="55" s="1"/>
  <c r="X38" i="55"/>
  <c r="I18" i="55" s="1"/>
  <c r="C38" i="55"/>
  <c r="G14" i="58"/>
  <c r="D16" i="58"/>
  <c r="D17" i="57"/>
  <c r="F17" i="57" s="1"/>
  <c r="D14" i="57"/>
  <c r="D18" i="57"/>
  <c r="D19" i="57" s="1"/>
  <c r="V38" i="56"/>
  <c r="D14" i="56" s="1"/>
  <c r="D13" i="56"/>
  <c r="G13" i="56" s="1"/>
  <c r="I20" i="55"/>
  <c r="N33" i="55"/>
  <c r="V33" i="55" s="1"/>
  <c r="E38" i="55"/>
  <c r="N32" i="55"/>
  <c r="O32" i="55" s="1"/>
  <c r="W32" i="55" s="1"/>
  <c r="F38" i="55"/>
  <c r="D38" i="55"/>
  <c r="D22" i="55" s="1"/>
  <c r="N31" i="55"/>
  <c r="O31" i="55" s="1"/>
  <c r="G38" i="55"/>
  <c r="H37" i="55"/>
  <c r="N37" i="55" s="1"/>
  <c r="O37" i="55" s="1"/>
  <c r="W37" i="55" s="1"/>
  <c r="N29" i="55"/>
  <c r="O29" i="55" s="1"/>
  <c r="I38" i="55"/>
  <c r="L38" i="55" s="1"/>
  <c r="N28" i="55"/>
  <c r="V28" i="55" s="1"/>
  <c r="O35" i="55"/>
  <c r="W35" i="55" s="1"/>
  <c r="V35" i="55"/>
  <c r="V36" i="55"/>
  <c r="O36" i="55"/>
  <c r="W36" i="55" s="1"/>
  <c r="O33" i="55"/>
  <c r="W33" i="55" s="1"/>
  <c r="O34" i="55"/>
  <c r="W34" i="55" s="1"/>
  <c r="U31" i="55"/>
  <c r="H30" i="55"/>
  <c r="N30" i="55" s="1"/>
  <c r="O30" i="55" s="1"/>
  <c r="T30" i="55"/>
  <c r="U29" i="55"/>
  <c r="C30" i="54"/>
  <c r="C38" i="54" s="1"/>
  <c r="C37" i="54"/>
  <c r="T35" i="54"/>
  <c r="T33" i="54"/>
  <c r="T32" i="54"/>
  <c r="T29" i="54"/>
  <c r="T28" i="54"/>
  <c r="T31" i="54"/>
  <c r="S30" i="54"/>
  <c r="S37" i="54"/>
  <c r="T36" i="54"/>
  <c r="T34" i="54"/>
  <c r="V32" i="55" l="1"/>
  <c r="S38" i="54"/>
  <c r="G14" i="57"/>
  <c r="D16" i="57"/>
  <c r="D17" i="56"/>
  <c r="F17" i="56" s="1"/>
  <c r="D18" i="56"/>
  <c r="D19" i="56" s="1"/>
  <c r="G14" i="56"/>
  <c r="D16" i="56"/>
  <c r="H38" i="55"/>
  <c r="N38" i="55" s="1"/>
  <c r="O38" i="55" s="1"/>
  <c r="W31" i="55"/>
  <c r="V31" i="55"/>
  <c r="V37" i="55"/>
  <c r="D11" i="55" s="1"/>
  <c r="G11" i="55" s="1"/>
  <c r="W29" i="55"/>
  <c r="V29" i="55"/>
  <c r="O28" i="55"/>
  <c r="W28" i="55" s="1"/>
  <c r="V30" i="55"/>
  <c r="D12" i="55" s="1"/>
  <c r="G12" i="55" s="1"/>
  <c r="U30" i="55"/>
  <c r="W30" i="55" s="1"/>
  <c r="T38" i="55"/>
  <c r="Y37" i="54"/>
  <c r="X37" i="54"/>
  <c r="R37" i="54"/>
  <c r="Q37" i="54"/>
  <c r="P37" i="54"/>
  <c r="M37" i="54"/>
  <c r="K37" i="54"/>
  <c r="J37" i="54"/>
  <c r="I37" i="54"/>
  <c r="G37" i="54"/>
  <c r="F37" i="54"/>
  <c r="E37" i="54"/>
  <c r="D37" i="54"/>
  <c r="U36" i="54"/>
  <c r="L36" i="54"/>
  <c r="H36" i="54"/>
  <c r="N36" i="54" s="1"/>
  <c r="U35" i="54"/>
  <c r="L35" i="54"/>
  <c r="H35" i="54"/>
  <c r="U34" i="54"/>
  <c r="L34" i="54"/>
  <c r="H34" i="54"/>
  <c r="U33" i="54"/>
  <c r="L33" i="54"/>
  <c r="H33" i="54"/>
  <c r="U32" i="54"/>
  <c r="L32" i="54"/>
  <c r="H32" i="54"/>
  <c r="N32" i="54" s="1"/>
  <c r="U31" i="54"/>
  <c r="L31" i="54"/>
  <c r="H31" i="54"/>
  <c r="Y30" i="54"/>
  <c r="X30" i="54"/>
  <c r="R30" i="54"/>
  <c r="Q30" i="54"/>
  <c r="P30" i="54"/>
  <c r="M30" i="54"/>
  <c r="K30" i="54"/>
  <c r="J30" i="54"/>
  <c r="I30" i="54"/>
  <c r="L30" i="54" s="1"/>
  <c r="G30" i="54"/>
  <c r="F30" i="54"/>
  <c r="E30" i="54"/>
  <c r="D30" i="54"/>
  <c r="U29" i="54"/>
  <c r="N29" i="54"/>
  <c r="O29" i="54" s="1"/>
  <c r="L29" i="54"/>
  <c r="H29" i="54"/>
  <c r="L28" i="54"/>
  <c r="H28" i="54"/>
  <c r="F21" i="54"/>
  <c r="D15" i="54"/>
  <c r="G10" i="54"/>
  <c r="G6" i="54"/>
  <c r="X38" i="54" l="1"/>
  <c r="I18" i="54" s="1"/>
  <c r="Y38" i="54"/>
  <c r="I19" i="54" s="1"/>
  <c r="N31" i="54"/>
  <c r="V31" i="54" s="1"/>
  <c r="D13" i="55"/>
  <c r="G13" i="55" s="1"/>
  <c r="U38" i="55"/>
  <c r="W38" i="55" s="1"/>
  <c r="V38" i="55"/>
  <c r="N34" i="54"/>
  <c r="T37" i="54"/>
  <c r="U37" i="54" s="1"/>
  <c r="M38" i="54"/>
  <c r="K38" i="54"/>
  <c r="P38" i="54"/>
  <c r="T30" i="54"/>
  <c r="Q38" i="54"/>
  <c r="V29" i="54"/>
  <c r="N35" i="54"/>
  <c r="O35" i="54" s="1"/>
  <c r="W35" i="54" s="1"/>
  <c r="N33" i="54"/>
  <c r="O33" i="54" s="1"/>
  <c r="W33" i="54" s="1"/>
  <c r="L37" i="54"/>
  <c r="F38" i="54"/>
  <c r="G38" i="54"/>
  <c r="H37" i="54"/>
  <c r="E38" i="54"/>
  <c r="D38" i="54"/>
  <c r="R38" i="54"/>
  <c r="W29" i="54"/>
  <c r="N28" i="54"/>
  <c r="J38" i="54"/>
  <c r="O34" i="54"/>
  <c r="W34" i="54" s="1"/>
  <c r="V34" i="54"/>
  <c r="O36" i="54"/>
  <c r="W36" i="54" s="1"/>
  <c r="V36" i="54"/>
  <c r="O32" i="54"/>
  <c r="W32" i="54" s="1"/>
  <c r="V32" i="54"/>
  <c r="I38" i="54"/>
  <c r="U28" i="54"/>
  <c r="H30" i="54"/>
  <c r="N30" i="54" s="1"/>
  <c r="O30" i="54" s="1"/>
  <c r="X37" i="53"/>
  <c r="W37" i="53"/>
  <c r="R37" i="53"/>
  <c r="Q37" i="53"/>
  <c r="P37" i="53"/>
  <c r="S37" i="53" s="1"/>
  <c r="T37" i="53" s="1"/>
  <c r="M37" i="53"/>
  <c r="K37" i="53"/>
  <c r="J37" i="53"/>
  <c r="I37" i="53"/>
  <c r="G37" i="53"/>
  <c r="F37" i="53"/>
  <c r="E37" i="53"/>
  <c r="D37" i="53"/>
  <c r="C37" i="53"/>
  <c r="S36" i="53"/>
  <c r="T36" i="53" s="1"/>
  <c r="L36" i="53"/>
  <c r="H36" i="53"/>
  <c r="N36" i="53" s="1"/>
  <c r="S35" i="53"/>
  <c r="T35" i="53" s="1"/>
  <c r="L35" i="53"/>
  <c r="H35" i="53"/>
  <c r="S34" i="53"/>
  <c r="T34" i="53" s="1"/>
  <c r="L34" i="53"/>
  <c r="H34" i="53"/>
  <c r="S33" i="53"/>
  <c r="T33" i="53" s="1"/>
  <c r="L33" i="53"/>
  <c r="H33" i="53"/>
  <c r="S32" i="53"/>
  <c r="T32" i="53" s="1"/>
  <c r="L32" i="53"/>
  <c r="H32" i="53"/>
  <c r="S31" i="53"/>
  <c r="T31" i="53" s="1"/>
  <c r="L31" i="53"/>
  <c r="H31" i="53"/>
  <c r="X30" i="53"/>
  <c r="W30" i="53"/>
  <c r="R30" i="53"/>
  <c r="Q30" i="53"/>
  <c r="Q38" i="53" s="1"/>
  <c r="P30" i="53"/>
  <c r="P38" i="53" s="1"/>
  <c r="M30" i="53"/>
  <c r="M38" i="53" s="1"/>
  <c r="K30" i="53"/>
  <c r="K38" i="53" s="1"/>
  <c r="J30" i="53"/>
  <c r="I30" i="53"/>
  <c r="G30" i="53"/>
  <c r="F30" i="53"/>
  <c r="E30" i="53"/>
  <c r="D30" i="53"/>
  <c r="C30" i="53"/>
  <c r="S29" i="53"/>
  <c r="T29" i="53" s="1"/>
  <c r="L29" i="53"/>
  <c r="H29" i="53"/>
  <c r="N29" i="53" s="1"/>
  <c r="S28" i="53"/>
  <c r="T28" i="53" s="1"/>
  <c r="L28" i="53"/>
  <c r="H28" i="53"/>
  <c r="F21" i="53"/>
  <c r="D15" i="53"/>
  <c r="G10" i="53"/>
  <c r="G6" i="53"/>
  <c r="L38" i="54" l="1"/>
  <c r="O31" i="54"/>
  <c r="W31" i="54" s="1"/>
  <c r="I20" i="54"/>
  <c r="D17" i="55"/>
  <c r="F17" i="55" s="1"/>
  <c r="D14" i="55"/>
  <c r="D18" i="55"/>
  <c r="D19" i="55" s="1"/>
  <c r="V35" i="54"/>
  <c r="O28" i="54"/>
  <c r="W28" i="54" s="1"/>
  <c r="V28" i="54"/>
  <c r="V30" i="54"/>
  <c r="D12" i="54" s="1"/>
  <c r="G12" i="54" s="1"/>
  <c r="T38" i="54"/>
  <c r="U38" i="54" s="1"/>
  <c r="L30" i="53"/>
  <c r="V33" i="54"/>
  <c r="E38" i="53"/>
  <c r="H38" i="54"/>
  <c r="N38" i="54" s="1"/>
  <c r="N37" i="54"/>
  <c r="V37" i="54" s="1"/>
  <c r="D11" i="54" s="1"/>
  <c r="G11" i="54" s="1"/>
  <c r="U30" i="54"/>
  <c r="W30" i="54" s="1"/>
  <c r="X38" i="53"/>
  <c r="I19" i="53" s="1"/>
  <c r="U36" i="53"/>
  <c r="O36" i="53"/>
  <c r="V36" i="53"/>
  <c r="J38" i="53"/>
  <c r="W38" i="53"/>
  <c r="I18" i="53" s="1"/>
  <c r="I20" i="53" s="1"/>
  <c r="I38" i="53"/>
  <c r="N35" i="53"/>
  <c r="O35" i="53" s="1"/>
  <c r="V35" i="53" s="1"/>
  <c r="N34" i="53"/>
  <c r="O34" i="53" s="1"/>
  <c r="V34" i="53" s="1"/>
  <c r="N33" i="53"/>
  <c r="U33" i="53" s="1"/>
  <c r="G38" i="53"/>
  <c r="N32" i="53"/>
  <c r="U32" i="53" s="1"/>
  <c r="F38" i="53"/>
  <c r="D38" i="53"/>
  <c r="L37" i="53"/>
  <c r="N31" i="53"/>
  <c r="O31" i="53" s="1"/>
  <c r="V31" i="53" s="1"/>
  <c r="C38" i="53"/>
  <c r="H37" i="53"/>
  <c r="S30" i="53"/>
  <c r="T30" i="53" s="1"/>
  <c r="O29" i="53"/>
  <c r="V29" i="53" s="1"/>
  <c r="U29" i="53"/>
  <c r="N28" i="53"/>
  <c r="U28" i="53" s="1"/>
  <c r="H30" i="53"/>
  <c r="R38" i="53"/>
  <c r="P38" i="52"/>
  <c r="K38" i="52"/>
  <c r="X37" i="52"/>
  <c r="W37" i="52"/>
  <c r="R37" i="52"/>
  <c r="Q37" i="52"/>
  <c r="P37" i="52"/>
  <c r="M37" i="52"/>
  <c r="K37" i="52"/>
  <c r="J37" i="52"/>
  <c r="I37" i="52"/>
  <c r="L37" i="52" s="1"/>
  <c r="F37" i="52"/>
  <c r="E37" i="52"/>
  <c r="D37" i="52"/>
  <c r="S36" i="52"/>
  <c r="T36" i="52" s="1"/>
  <c r="L36" i="52"/>
  <c r="H36" i="52"/>
  <c r="S35" i="52"/>
  <c r="T35" i="52" s="1"/>
  <c r="L35" i="52"/>
  <c r="G35" i="52"/>
  <c r="C35" i="52"/>
  <c r="H35" i="52" s="1"/>
  <c r="S34" i="52"/>
  <c r="T34" i="52" s="1"/>
  <c r="L34" i="52"/>
  <c r="G34" i="52"/>
  <c r="C34" i="52"/>
  <c r="H34" i="52" s="1"/>
  <c r="N34" i="52" s="1"/>
  <c r="S33" i="52"/>
  <c r="T33" i="52" s="1"/>
  <c r="L33" i="52"/>
  <c r="G33" i="52"/>
  <c r="C33" i="52"/>
  <c r="S32" i="52"/>
  <c r="T32" i="52" s="1"/>
  <c r="L32" i="52"/>
  <c r="G32" i="52"/>
  <c r="C32" i="52"/>
  <c r="H32" i="52" s="1"/>
  <c r="T31" i="52"/>
  <c r="S31" i="52"/>
  <c r="L31" i="52"/>
  <c r="G31" i="52"/>
  <c r="G37" i="52" s="1"/>
  <c r="C31" i="52"/>
  <c r="C37" i="52" s="1"/>
  <c r="X30" i="52"/>
  <c r="W30" i="52"/>
  <c r="Q30" i="52"/>
  <c r="P30" i="52"/>
  <c r="M30" i="52"/>
  <c r="M38" i="52" s="1"/>
  <c r="K30" i="52"/>
  <c r="J30" i="52"/>
  <c r="J38" i="52" s="1"/>
  <c r="I30" i="52"/>
  <c r="I38" i="52" s="1"/>
  <c r="F30" i="52"/>
  <c r="F38" i="52" s="1"/>
  <c r="E30" i="52"/>
  <c r="E38" i="52" s="1"/>
  <c r="D30" i="52"/>
  <c r="D38" i="52" s="1"/>
  <c r="C30" i="52"/>
  <c r="R29" i="52"/>
  <c r="R30" i="52" s="1"/>
  <c r="L29" i="52"/>
  <c r="G29" i="52"/>
  <c r="H29" i="52" s="1"/>
  <c r="N29" i="52" s="1"/>
  <c r="T28" i="52"/>
  <c r="S28" i="52"/>
  <c r="L28" i="52"/>
  <c r="G28" i="52"/>
  <c r="C28" i="52"/>
  <c r="H28" i="52" s="1"/>
  <c r="N28" i="52" s="1"/>
  <c r="F21" i="52"/>
  <c r="D15" i="52"/>
  <c r="G10" i="52"/>
  <c r="G6" i="52"/>
  <c r="S37" i="52" l="1"/>
  <c r="T37" i="52" s="1"/>
  <c r="G30" i="52"/>
  <c r="Q38" i="52"/>
  <c r="L38" i="52"/>
  <c r="W38" i="52"/>
  <c r="I18" i="52" s="1"/>
  <c r="X38" i="52"/>
  <c r="I19" i="52" s="1"/>
  <c r="D16" i="55"/>
  <c r="G14" i="55"/>
  <c r="H33" i="52"/>
  <c r="N33" i="52" s="1"/>
  <c r="N36" i="52"/>
  <c r="O36" i="52" s="1"/>
  <c r="V36" i="52" s="1"/>
  <c r="H37" i="52"/>
  <c r="N37" i="52" s="1"/>
  <c r="U37" i="52" s="1"/>
  <c r="D11" i="52" s="1"/>
  <c r="H31" i="52"/>
  <c r="N31" i="52" s="1"/>
  <c r="U31" i="52" s="1"/>
  <c r="G38" i="52"/>
  <c r="N35" i="52"/>
  <c r="U35" i="52" s="1"/>
  <c r="N30" i="53"/>
  <c r="O30" i="53" s="1"/>
  <c r="V30" i="53" s="1"/>
  <c r="N32" i="52"/>
  <c r="U32" i="52" s="1"/>
  <c r="U35" i="53"/>
  <c r="C38" i="52"/>
  <c r="S29" i="52"/>
  <c r="T29" i="52" s="1"/>
  <c r="O37" i="54"/>
  <c r="W37" i="54" s="1"/>
  <c r="O38" i="54"/>
  <c r="W38" i="54" s="1"/>
  <c r="V38" i="54"/>
  <c r="D13" i="54"/>
  <c r="G13" i="54" s="1"/>
  <c r="L38" i="53"/>
  <c r="U31" i="53"/>
  <c r="O33" i="53"/>
  <c r="V33" i="53" s="1"/>
  <c r="S30" i="52"/>
  <c r="T30" i="52" s="1"/>
  <c r="O32" i="53"/>
  <c r="V32" i="53" s="1"/>
  <c r="L30" i="52"/>
  <c r="U34" i="53"/>
  <c r="H38" i="53"/>
  <c r="N37" i="53"/>
  <c r="U37" i="53" s="1"/>
  <c r="D11" i="53" s="1"/>
  <c r="G11" i="53" s="1"/>
  <c r="S38" i="53"/>
  <c r="T38" i="53" s="1"/>
  <c r="O28" i="53"/>
  <c r="V28" i="53" s="1"/>
  <c r="O34" i="52"/>
  <c r="V34" i="52" s="1"/>
  <c r="U34" i="52"/>
  <c r="I20" i="52"/>
  <c r="O29" i="52"/>
  <c r="U33" i="52"/>
  <c r="O33" i="52"/>
  <c r="V33" i="52" s="1"/>
  <c r="O28" i="52"/>
  <c r="V28" i="52" s="1"/>
  <c r="U28" i="52"/>
  <c r="H30" i="52"/>
  <c r="R38" i="52"/>
  <c r="X37" i="51"/>
  <c r="W37" i="51"/>
  <c r="R37" i="51"/>
  <c r="Q37" i="51"/>
  <c r="P37" i="51"/>
  <c r="S37" i="51" s="1"/>
  <c r="T37" i="51" s="1"/>
  <c r="M37" i="51"/>
  <c r="K37" i="51"/>
  <c r="J37" i="51"/>
  <c r="I37" i="51"/>
  <c r="L37" i="51" s="1"/>
  <c r="F37" i="51"/>
  <c r="E37" i="51"/>
  <c r="D37" i="51"/>
  <c r="D38" i="51" s="1"/>
  <c r="S36" i="51"/>
  <c r="T36" i="51" s="1"/>
  <c r="L36" i="51"/>
  <c r="H36" i="51"/>
  <c r="N36" i="51" s="1"/>
  <c r="S35" i="51"/>
  <c r="T35" i="51" s="1"/>
  <c r="L35" i="51"/>
  <c r="G35" i="51"/>
  <c r="C35" i="51"/>
  <c r="H35" i="51" s="1"/>
  <c r="N35" i="51" s="1"/>
  <c r="S34" i="51"/>
  <c r="T34" i="51" s="1"/>
  <c r="L34" i="51"/>
  <c r="G34" i="51"/>
  <c r="C34" i="51"/>
  <c r="H34" i="51" s="1"/>
  <c r="N34" i="51" s="1"/>
  <c r="S33" i="51"/>
  <c r="T33" i="51" s="1"/>
  <c r="L33" i="51"/>
  <c r="G33" i="51"/>
  <c r="C33" i="51"/>
  <c r="H33" i="51" s="1"/>
  <c r="N33" i="51" s="1"/>
  <c r="S32" i="51"/>
  <c r="T32" i="51" s="1"/>
  <c r="L32" i="51"/>
  <c r="G32" i="51"/>
  <c r="C32" i="51"/>
  <c r="S31" i="51"/>
  <c r="T31" i="51" s="1"/>
  <c r="L31" i="51"/>
  <c r="G31" i="51"/>
  <c r="C31" i="51"/>
  <c r="X30" i="51"/>
  <c r="X38" i="51" s="1"/>
  <c r="I19" i="51" s="1"/>
  <c r="W30" i="51"/>
  <c r="Q30" i="51"/>
  <c r="Q38" i="51" s="1"/>
  <c r="P30" i="51"/>
  <c r="P38" i="51" s="1"/>
  <c r="M30" i="51"/>
  <c r="M38" i="51" s="1"/>
  <c r="K30" i="51"/>
  <c r="K38" i="51" s="1"/>
  <c r="J30" i="51"/>
  <c r="J38" i="51" s="1"/>
  <c r="I30" i="51"/>
  <c r="F30" i="51"/>
  <c r="F38" i="51" s="1"/>
  <c r="E30" i="51"/>
  <c r="D30" i="51"/>
  <c r="R29" i="51"/>
  <c r="R30" i="51" s="1"/>
  <c r="L29" i="51"/>
  <c r="G29" i="51"/>
  <c r="H29" i="51" s="1"/>
  <c r="N29" i="51" s="1"/>
  <c r="O29" i="51" s="1"/>
  <c r="S28" i="51"/>
  <c r="T28" i="51" s="1"/>
  <c r="L28" i="51"/>
  <c r="G28" i="51"/>
  <c r="G30" i="51" s="1"/>
  <c r="C28" i="51"/>
  <c r="C30" i="51" s="1"/>
  <c r="F21" i="51"/>
  <c r="D15" i="51"/>
  <c r="G10" i="51"/>
  <c r="G6" i="51"/>
  <c r="O35" i="52" l="1"/>
  <c r="V35" i="52" s="1"/>
  <c r="U30" i="53"/>
  <c r="D12" i="53" s="1"/>
  <c r="G12" i="53" s="1"/>
  <c r="H28" i="51"/>
  <c r="N28" i="51" s="1"/>
  <c r="O31" i="52"/>
  <c r="V31" i="52" s="1"/>
  <c r="O32" i="52"/>
  <c r="V32" i="52" s="1"/>
  <c r="H32" i="51"/>
  <c r="N32" i="51" s="1"/>
  <c r="O37" i="52"/>
  <c r="V37" i="52" s="1"/>
  <c r="L30" i="51"/>
  <c r="U36" i="52"/>
  <c r="U29" i="52"/>
  <c r="V29" i="52"/>
  <c r="H38" i="52"/>
  <c r="N38" i="52" s="1"/>
  <c r="O38" i="52" s="1"/>
  <c r="C37" i="51"/>
  <c r="C38" i="51" s="1"/>
  <c r="H30" i="51"/>
  <c r="N30" i="51" s="1"/>
  <c r="O30" i="51" s="1"/>
  <c r="G37" i="51"/>
  <c r="H37" i="51" s="1"/>
  <c r="N37" i="51" s="1"/>
  <c r="U37" i="51" s="1"/>
  <c r="D11" i="51" s="1"/>
  <c r="D17" i="54"/>
  <c r="F17" i="54" s="1"/>
  <c r="D18" i="54"/>
  <c r="D19" i="54" s="1"/>
  <c r="D14" i="54"/>
  <c r="N38" i="53"/>
  <c r="U38" i="53" s="1"/>
  <c r="D18" i="53" s="1"/>
  <c r="D19" i="53" s="1"/>
  <c r="O34" i="51"/>
  <c r="V34" i="51" s="1"/>
  <c r="U34" i="51"/>
  <c r="S30" i="51"/>
  <c r="U30" i="51" s="1"/>
  <c r="D12" i="51" s="1"/>
  <c r="G12" i="51" s="1"/>
  <c r="R38" i="51"/>
  <c r="U36" i="51"/>
  <c r="O36" i="51"/>
  <c r="V36" i="51" s="1"/>
  <c r="U32" i="51"/>
  <c r="E38" i="51"/>
  <c r="H31" i="51"/>
  <c r="N31" i="51" s="1"/>
  <c r="U31" i="51" s="1"/>
  <c r="I38" i="51"/>
  <c r="L38" i="51" s="1"/>
  <c r="N30" i="52"/>
  <c r="O30" i="52" s="1"/>
  <c r="V30" i="52" s="1"/>
  <c r="S38" i="52"/>
  <c r="T38" i="52" s="1"/>
  <c r="S29" i="51"/>
  <c r="T29" i="51" s="1"/>
  <c r="V29" i="51" s="1"/>
  <c r="W38" i="51"/>
  <c r="I18" i="51" s="1"/>
  <c r="I20" i="51" s="1"/>
  <c r="O37" i="53"/>
  <c r="V37" i="53" s="1"/>
  <c r="D13" i="53"/>
  <c r="G13" i="53" s="1"/>
  <c r="G11" i="52"/>
  <c r="S38" i="51"/>
  <c r="T38" i="51" s="1"/>
  <c r="O28" i="51"/>
  <c r="V28" i="51" s="1"/>
  <c r="U28" i="51"/>
  <c r="U33" i="51"/>
  <c r="O33" i="51"/>
  <c r="V33" i="51" s="1"/>
  <c r="O35" i="51"/>
  <c r="V35" i="51" s="1"/>
  <c r="U35" i="51"/>
  <c r="O32" i="51"/>
  <c r="V32" i="51" s="1"/>
  <c r="X37" i="50"/>
  <c r="W37" i="50"/>
  <c r="R37" i="50"/>
  <c r="Q37" i="50"/>
  <c r="P37" i="50"/>
  <c r="M37" i="50"/>
  <c r="K37" i="50"/>
  <c r="J37" i="50"/>
  <c r="I37" i="50"/>
  <c r="L37" i="50" s="1"/>
  <c r="F37" i="50"/>
  <c r="E37" i="50"/>
  <c r="D37" i="50"/>
  <c r="S36" i="50"/>
  <c r="T36" i="50" s="1"/>
  <c r="L36" i="50"/>
  <c r="H36" i="50"/>
  <c r="S35" i="50"/>
  <c r="T35" i="50" s="1"/>
  <c r="L35" i="50"/>
  <c r="G35" i="50"/>
  <c r="C35" i="50"/>
  <c r="H35" i="50" s="1"/>
  <c r="N35" i="50" s="1"/>
  <c r="S34" i="50"/>
  <c r="T34" i="50" s="1"/>
  <c r="L34" i="50"/>
  <c r="G34" i="50"/>
  <c r="C34" i="50"/>
  <c r="S33" i="50"/>
  <c r="T33" i="50" s="1"/>
  <c r="L33" i="50"/>
  <c r="G33" i="50"/>
  <c r="C33" i="50"/>
  <c r="H33" i="50" s="1"/>
  <c r="N33" i="50" s="1"/>
  <c r="S32" i="50"/>
  <c r="T32" i="50" s="1"/>
  <c r="L32" i="50"/>
  <c r="G32" i="50"/>
  <c r="C32" i="50"/>
  <c r="S31" i="50"/>
  <c r="L31" i="50"/>
  <c r="G31" i="50"/>
  <c r="C31" i="50"/>
  <c r="X30" i="50"/>
  <c r="X38" i="50" s="1"/>
  <c r="I19" i="50" s="1"/>
  <c r="W30" i="50"/>
  <c r="Q30" i="50"/>
  <c r="Q38" i="50" s="1"/>
  <c r="P30" i="50"/>
  <c r="P38" i="50" s="1"/>
  <c r="M30" i="50"/>
  <c r="M38" i="50" s="1"/>
  <c r="K30" i="50"/>
  <c r="J30" i="50"/>
  <c r="I30" i="50"/>
  <c r="L30" i="50" s="1"/>
  <c r="G30" i="50"/>
  <c r="F30" i="50"/>
  <c r="E30" i="50"/>
  <c r="D30" i="50"/>
  <c r="R29" i="50"/>
  <c r="R30" i="50" s="1"/>
  <c r="L29" i="50"/>
  <c r="G29" i="50"/>
  <c r="H29" i="50" s="1"/>
  <c r="S28" i="50"/>
  <c r="T28" i="50" s="1"/>
  <c r="L28" i="50"/>
  <c r="G28" i="50"/>
  <c r="C28" i="50"/>
  <c r="C30" i="50" s="1"/>
  <c r="F21" i="50"/>
  <c r="D15" i="50"/>
  <c r="G10" i="50"/>
  <c r="G6" i="50"/>
  <c r="U29" i="51" l="1"/>
  <c r="T30" i="51"/>
  <c r="V30" i="51" s="1"/>
  <c r="G37" i="50"/>
  <c r="G38" i="51"/>
  <c r="S29" i="50"/>
  <c r="T29" i="50" s="1"/>
  <c r="D38" i="50"/>
  <c r="H32" i="50"/>
  <c r="N32" i="50" s="1"/>
  <c r="N36" i="50"/>
  <c r="U36" i="50" s="1"/>
  <c r="U30" i="52"/>
  <c r="D12" i="52" s="1"/>
  <c r="G12" i="52" s="1"/>
  <c r="H38" i="51"/>
  <c r="N38" i="51" s="1"/>
  <c r="O38" i="51" s="1"/>
  <c r="V38" i="51" s="1"/>
  <c r="K38" i="50"/>
  <c r="U38" i="52"/>
  <c r="D18" i="52" s="1"/>
  <c r="D19" i="52" s="1"/>
  <c r="V38" i="52"/>
  <c r="J38" i="50"/>
  <c r="O37" i="51"/>
  <c r="V37" i="51" s="1"/>
  <c r="G14" i="54"/>
  <c r="D16" i="54"/>
  <c r="O38" i="53"/>
  <c r="V38" i="53" s="1"/>
  <c r="D17" i="53"/>
  <c r="F17" i="53" s="1"/>
  <c r="I38" i="50"/>
  <c r="O31" i="51"/>
  <c r="V31" i="51" s="1"/>
  <c r="N29" i="50"/>
  <c r="O29" i="50" s="1"/>
  <c r="D14" i="53"/>
  <c r="D16" i="53" s="1"/>
  <c r="C37" i="50"/>
  <c r="H37" i="50" s="1"/>
  <c r="N37" i="50" s="1"/>
  <c r="S37" i="50"/>
  <c r="T37" i="50" s="1"/>
  <c r="E38" i="50"/>
  <c r="G38" i="50"/>
  <c r="F38" i="50"/>
  <c r="H31" i="50"/>
  <c r="N31" i="50" s="1"/>
  <c r="O31" i="50" s="1"/>
  <c r="H34" i="50"/>
  <c r="N34" i="50" s="1"/>
  <c r="O34" i="50" s="1"/>
  <c r="V34" i="50" s="1"/>
  <c r="D17" i="52"/>
  <c r="D14" i="52"/>
  <c r="G11" i="51"/>
  <c r="D13" i="51"/>
  <c r="G13" i="51" s="1"/>
  <c r="W38" i="50"/>
  <c r="I18" i="50" s="1"/>
  <c r="I20" i="50" s="1"/>
  <c r="U33" i="50"/>
  <c r="O33" i="50"/>
  <c r="V33" i="50" s="1"/>
  <c r="S30" i="50"/>
  <c r="R38" i="50"/>
  <c r="U29" i="50"/>
  <c r="U32" i="50"/>
  <c r="O32" i="50"/>
  <c r="V32" i="50" s="1"/>
  <c r="C38" i="50"/>
  <c r="H30" i="50"/>
  <c r="N30" i="50" s="1"/>
  <c r="O30" i="50" s="1"/>
  <c r="O35" i="50"/>
  <c r="V35" i="50" s="1"/>
  <c r="U35" i="50"/>
  <c r="O36" i="50"/>
  <c r="V36" i="50" s="1"/>
  <c r="T31" i="50"/>
  <c r="H28" i="50"/>
  <c r="N28" i="50" s="1"/>
  <c r="R29" i="49"/>
  <c r="R30" i="49" s="1"/>
  <c r="H36" i="49"/>
  <c r="N36" i="49" s="1"/>
  <c r="G35" i="49"/>
  <c r="G34" i="49"/>
  <c r="G33" i="49"/>
  <c r="G32" i="49"/>
  <c r="G31" i="49"/>
  <c r="G28" i="49"/>
  <c r="G29" i="49"/>
  <c r="S36" i="49"/>
  <c r="T36" i="49" s="1"/>
  <c r="S35" i="49"/>
  <c r="T35" i="49" s="1"/>
  <c r="S34" i="49"/>
  <c r="T34" i="49" s="1"/>
  <c r="L36" i="49"/>
  <c r="L35" i="49"/>
  <c r="L34" i="49"/>
  <c r="C35" i="49"/>
  <c r="C34" i="49"/>
  <c r="C33" i="49"/>
  <c r="C32" i="49"/>
  <c r="C31" i="49"/>
  <c r="L28" i="49"/>
  <c r="L29" i="49"/>
  <c r="S28" i="49"/>
  <c r="T28" i="49" s="1"/>
  <c r="C28" i="49"/>
  <c r="H28" i="49" s="1"/>
  <c r="X37" i="49"/>
  <c r="W37" i="49"/>
  <c r="R37" i="49"/>
  <c r="Q37" i="49"/>
  <c r="P37" i="49"/>
  <c r="M37" i="49"/>
  <c r="K37" i="49"/>
  <c r="J37" i="49"/>
  <c r="I37" i="49"/>
  <c r="F37" i="49"/>
  <c r="E37" i="49"/>
  <c r="D37" i="49"/>
  <c r="S33" i="49"/>
  <c r="T33" i="49" s="1"/>
  <c r="L33" i="49"/>
  <c r="S32" i="49"/>
  <c r="T32" i="49" s="1"/>
  <c r="L32" i="49"/>
  <c r="S31" i="49"/>
  <c r="T31" i="49" s="1"/>
  <c r="L31" i="49"/>
  <c r="X30" i="49"/>
  <c r="W30" i="49"/>
  <c r="Q30" i="49"/>
  <c r="P30" i="49"/>
  <c r="M30" i="49"/>
  <c r="K30" i="49"/>
  <c r="J30" i="49"/>
  <c r="J38" i="49" s="1"/>
  <c r="I30" i="49"/>
  <c r="F30" i="49"/>
  <c r="E30" i="49"/>
  <c r="D30" i="49"/>
  <c r="F21" i="49"/>
  <c r="D15" i="49"/>
  <c r="G10" i="49"/>
  <c r="G6" i="49"/>
  <c r="H32" i="49" l="1"/>
  <c r="L38" i="50"/>
  <c r="H34" i="49"/>
  <c r="N34" i="49" s="1"/>
  <c r="D13" i="52"/>
  <c r="G13" i="52" s="1"/>
  <c r="G30" i="49"/>
  <c r="V29" i="50"/>
  <c r="H33" i="49"/>
  <c r="C37" i="49"/>
  <c r="U38" i="51"/>
  <c r="H38" i="50"/>
  <c r="N38" i="50" s="1"/>
  <c r="O38" i="50" s="1"/>
  <c r="O34" i="49"/>
  <c r="V34" i="49" s="1"/>
  <c r="U34" i="49"/>
  <c r="O36" i="49"/>
  <c r="V36" i="49" s="1"/>
  <c r="U36" i="49"/>
  <c r="C30" i="49"/>
  <c r="C38" i="49" s="1"/>
  <c r="H35" i="49"/>
  <c r="N35" i="49" s="1"/>
  <c r="V31" i="50"/>
  <c r="S29" i="49"/>
  <c r="T29" i="49" s="1"/>
  <c r="U31" i="50"/>
  <c r="G37" i="49"/>
  <c r="U34" i="50"/>
  <c r="G14" i="53"/>
  <c r="D16" i="52"/>
  <c r="G14" i="52"/>
  <c r="F17" i="52"/>
  <c r="D14" i="51"/>
  <c r="D18" i="51"/>
  <c r="D19" i="51" s="1"/>
  <c r="D17" i="51"/>
  <c r="F17" i="51" s="1"/>
  <c r="U37" i="50"/>
  <c r="D11" i="50" s="1"/>
  <c r="O37" i="50"/>
  <c r="V37" i="50" s="1"/>
  <c r="U30" i="50"/>
  <c r="D12" i="50" s="1"/>
  <c r="G12" i="50" s="1"/>
  <c r="T30" i="50"/>
  <c r="V30" i="50" s="1"/>
  <c r="S38" i="50"/>
  <c r="T38" i="50" s="1"/>
  <c r="O28" i="50"/>
  <c r="V28" i="50" s="1"/>
  <c r="U28" i="50"/>
  <c r="X38" i="49"/>
  <c r="I19" i="49" s="1"/>
  <c r="W38" i="49"/>
  <c r="I18" i="49" s="1"/>
  <c r="E38" i="49"/>
  <c r="H31" i="49"/>
  <c r="N31" i="49" s="1"/>
  <c r="U31" i="49" s="1"/>
  <c r="N28" i="49"/>
  <c r="O28" i="49" s="1"/>
  <c r="V28" i="49" s="1"/>
  <c r="H29" i="49"/>
  <c r="N29" i="49" s="1"/>
  <c r="O29" i="49" s="1"/>
  <c r="V29" i="49" s="1"/>
  <c r="Q38" i="49"/>
  <c r="L37" i="49"/>
  <c r="N33" i="49"/>
  <c r="O33" i="49" s="1"/>
  <c r="V33" i="49" s="1"/>
  <c r="R38" i="49"/>
  <c r="S37" i="49"/>
  <c r="T37" i="49" s="1"/>
  <c r="M38" i="49"/>
  <c r="I38" i="49"/>
  <c r="K38" i="49"/>
  <c r="N32" i="49"/>
  <c r="U32" i="49" s="1"/>
  <c r="S30" i="49"/>
  <c r="D38" i="49"/>
  <c r="G38" i="49"/>
  <c r="L30" i="49"/>
  <c r="P38" i="49"/>
  <c r="F38" i="49"/>
  <c r="U28" i="49" l="1"/>
  <c r="H37" i="49"/>
  <c r="H30" i="49"/>
  <c r="O35" i="49"/>
  <c r="V35" i="49" s="1"/>
  <c r="U35" i="49"/>
  <c r="U33" i="49"/>
  <c r="V38" i="50"/>
  <c r="D16" i="51"/>
  <c r="G14" i="51"/>
  <c r="U38" i="50"/>
  <c r="G11" i="50"/>
  <c r="D13" i="50"/>
  <c r="G13" i="50" s="1"/>
  <c r="I20" i="49"/>
  <c r="N37" i="49"/>
  <c r="O37" i="49" s="1"/>
  <c r="V37" i="49" s="1"/>
  <c r="U29" i="49"/>
  <c r="L38" i="49"/>
  <c r="O32" i="49"/>
  <c r="V32" i="49" s="1"/>
  <c r="S38" i="49"/>
  <c r="T38" i="49" s="1"/>
  <c r="T30" i="49"/>
  <c r="O31" i="49"/>
  <c r="V31" i="49" s="1"/>
  <c r="H38" i="49"/>
  <c r="N30" i="49"/>
  <c r="O30" i="49" s="1"/>
  <c r="D14" i="50" l="1"/>
  <c r="D17" i="50"/>
  <c r="F17" i="50" s="1"/>
  <c r="D18" i="50"/>
  <c r="D19" i="50" s="1"/>
  <c r="N38" i="49"/>
  <c r="U38" i="49" s="1"/>
  <c r="U37" i="49"/>
  <c r="D11" i="49" s="1"/>
  <c r="G11" i="49" s="1"/>
  <c r="V30" i="49"/>
  <c r="O38" i="49"/>
  <c r="V38" i="49" s="1"/>
  <c r="U30" i="49"/>
  <c r="D12" i="49" s="1"/>
  <c r="D17" i="49"/>
  <c r="D18" i="49"/>
  <c r="D19" i="49" s="1"/>
  <c r="D14" i="49"/>
  <c r="D16" i="50" l="1"/>
  <c r="G14" i="50"/>
  <c r="G12" i="49"/>
  <c r="D13" i="49"/>
  <c r="G13" i="49" s="1"/>
  <c r="D16" i="49"/>
  <c r="G14" i="49"/>
  <c r="F17" i="49" l="1"/>
  <c r="Q49" i="47" l="1"/>
  <c r="E57" i="47"/>
  <c r="E58" i="47" s="1"/>
  <c r="E59" i="47" s="1"/>
  <c r="E56" i="47"/>
  <c r="F56" i="47" s="1"/>
  <c r="R49" i="47"/>
  <c r="M49" i="47"/>
  <c r="N49" i="47" s="1"/>
  <c r="K49" i="47"/>
  <c r="L49" i="47" s="1"/>
  <c r="I49" i="47"/>
  <c r="J49" i="47" s="1"/>
  <c r="O48" i="47"/>
  <c r="P48" i="47" s="1"/>
  <c r="N48" i="47"/>
  <c r="L48" i="47"/>
  <c r="J48" i="47"/>
  <c r="H48" i="47"/>
  <c r="F48" i="47"/>
  <c r="D48" i="47"/>
  <c r="O47" i="47"/>
  <c r="P47" i="47" s="1"/>
  <c r="N47" i="47"/>
  <c r="L47" i="47"/>
  <c r="J47" i="47"/>
  <c r="H47" i="47"/>
  <c r="F47" i="47"/>
  <c r="D47" i="47"/>
  <c r="O46" i="47"/>
  <c r="P46" i="47" s="1"/>
  <c r="N46" i="47"/>
  <c r="L46" i="47"/>
  <c r="J46" i="47"/>
  <c r="H46" i="47"/>
  <c r="F46" i="47"/>
  <c r="D46" i="47"/>
  <c r="O45" i="47"/>
  <c r="P45" i="47" s="1"/>
  <c r="N45" i="47"/>
  <c r="L45" i="47"/>
  <c r="J45" i="47"/>
  <c r="H45" i="47"/>
  <c r="F45" i="47"/>
  <c r="D45" i="47"/>
  <c r="N44" i="47"/>
  <c r="L44" i="47"/>
  <c r="J44" i="47"/>
  <c r="G44" i="47"/>
  <c r="H44" i="47" s="1"/>
  <c r="F44" i="47"/>
  <c r="C44" i="47"/>
  <c r="O44" i="47" s="1"/>
  <c r="P44" i="47" s="1"/>
  <c r="N43" i="47"/>
  <c r="L43" i="47"/>
  <c r="J43" i="47"/>
  <c r="G43" i="47"/>
  <c r="H43" i="47" s="1"/>
  <c r="F43" i="47"/>
  <c r="C43" i="47"/>
  <c r="D43" i="47" s="1"/>
  <c r="T42" i="47"/>
  <c r="T43" i="47" s="1"/>
  <c r="T44" i="47" s="1"/>
  <c r="N42" i="47"/>
  <c r="L42" i="47"/>
  <c r="J42" i="47"/>
  <c r="G42" i="47"/>
  <c r="H42" i="47" s="1"/>
  <c r="F42" i="47"/>
  <c r="C42" i="47"/>
  <c r="U41" i="47"/>
  <c r="U42" i="47" s="1"/>
  <c r="U43" i="47" s="1"/>
  <c r="U44" i="47" s="1"/>
  <c r="U45" i="47" s="1"/>
  <c r="U46" i="47" s="1"/>
  <c r="N41" i="47"/>
  <c r="L41" i="47"/>
  <c r="J41" i="47"/>
  <c r="G41" i="47"/>
  <c r="H41" i="47" s="1"/>
  <c r="E41" i="47"/>
  <c r="O41" i="47" s="1"/>
  <c r="P41" i="47" s="1"/>
  <c r="D41" i="47"/>
  <c r="N40" i="47"/>
  <c r="L40" i="47"/>
  <c r="J40" i="47"/>
  <c r="G40" i="47"/>
  <c r="E40" i="47"/>
  <c r="F40" i="47" s="1"/>
  <c r="D40" i="47"/>
  <c r="R39" i="47"/>
  <c r="R50" i="47" s="1"/>
  <c r="I23" i="47" s="1"/>
  <c r="Q39" i="47"/>
  <c r="Q50" i="47" s="1"/>
  <c r="I22" i="47" s="1"/>
  <c r="I24" i="47" s="1"/>
  <c r="M39" i="47"/>
  <c r="M50" i="47" s="1"/>
  <c r="N50" i="47" s="1"/>
  <c r="K39" i="47"/>
  <c r="L39" i="47" s="1"/>
  <c r="I39" i="47"/>
  <c r="J39" i="47" s="1"/>
  <c r="C39" i="47"/>
  <c r="N38" i="47"/>
  <c r="L38" i="47"/>
  <c r="J38" i="47"/>
  <c r="G38" i="47"/>
  <c r="H38" i="47" s="1"/>
  <c r="F38" i="47"/>
  <c r="D38" i="47"/>
  <c r="O37" i="47"/>
  <c r="P37" i="47" s="1"/>
  <c r="N37" i="47"/>
  <c r="L37" i="47"/>
  <c r="J37" i="47"/>
  <c r="G37" i="47"/>
  <c r="H37" i="47" s="1"/>
  <c r="E37" i="47"/>
  <c r="F37" i="47" s="1"/>
  <c r="D37" i="47"/>
  <c r="O36" i="47"/>
  <c r="P36" i="47" s="1"/>
  <c r="N36" i="47"/>
  <c r="L36" i="47"/>
  <c r="J36" i="47"/>
  <c r="H36" i="47"/>
  <c r="F36" i="47"/>
  <c r="D36" i="47"/>
  <c r="P31" i="47"/>
  <c r="Q31" i="47" s="1"/>
  <c r="N31" i="47"/>
  <c r="O31" i="47" s="1"/>
  <c r="H31" i="47"/>
  <c r="G30" i="47"/>
  <c r="D14" i="47"/>
  <c r="F13" i="47"/>
  <c r="F7" i="47"/>
  <c r="F6" i="47"/>
  <c r="F5" i="47"/>
  <c r="D8" i="47" l="1"/>
  <c r="F8" i="47" s="1"/>
  <c r="O40" i="47"/>
  <c r="P40" i="47" s="1"/>
  <c r="N39" i="47"/>
  <c r="F41" i="47"/>
  <c r="G49" i="47"/>
  <c r="H49" i="47" s="1"/>
  <c r="H40" i="47"/>
  <c r="G39" i="47"/>
  <c r="H39" i="47" s="1"/>
  <c r="C49" i="47"/>
  <c r="C50" i="47" s="1"/>
  <c r="O38" i="47"/>
  <c r="P38" i="47" s="1"/>
  <c r="T45" i="47"/>
  <c r="T46" i="47" s="1"/>
  <c r="D49" i="47"/>
  <c r="K50" i="47"/>
  <c r="L50" i="47" s="1"/>
  <c r="D39" i="47"/>
  <c r="O43" i="47"/>
  <c r="P43" i="47" s="1"/>
  <c r="E49" i="47"/>
  <c r="F49" i="47" s="1"/>
  <c r="E39" i="47"/>
  <c r="O42" i="47"/>
  <c r="P42" i="47" s="1"/>
  <c r="D42" i="47"/>
  <c r="D44" i="47"/>
  <c r="U48" i="47"/>
  <c r="I50" i="47"/>
  <c r="J50" i="47" s="1"/>
  <c r="G44" i="46"/>
  <c r="G43" i="46"/>
  <c r="G42" i="46"/>
  <c r="H42" i="46" s="1"/>
  <c r="C44" i="46"/>
  <c r="C43" i="46"/>
  <c r="D43" i="46" s="1"/>
  <c r="C42" i="46"/>
  <c r="C49" i="46" s="1"/>
  <c r="G41" i="46"/>
  <c r="H41" i="46" s="1"/>
  <c r="E41" i="46"/>
  <c r="F41" i="46" s="1"/>
  <c r="G40" i="46"/>
  <c r="E40" i="46"/>
  <c r="E49" i="46" s="1"/>
  <c r="G38" i="46"/>
  <c r="G37" i="46"/>
  <c r="H37" i="46" s="1"/>
  <c r="E37" i="46"/>
  <c r="F37" i="46" s="1"/>
  <c r="E57" i="46"/>
  <c r="E58" i="46" s="1"/>
  <c r="E59" i="46" s="1"/>
  <c r="E56" i="46"/>
  <c r="F56" i="46" s="1"/>
  <c r="R49" i="46"/>
  <c r="Q49" i="46"/>
  <c r="M49" i="46"/>
  <c r="K49" i="46"/>
  <c r="L49" i="46" s="1"/>
  <c r="I49" i="46"/>
  <c r="J49" i="46" s="1"/>
  <c r="O48" i="46"/>
  <c r="P48" i="46" s="1"/>
  <c r="N48" i="46"/>
  <c r="L48" i="46"/>
  <c r="J48" i="46"/>
  <c r="H48" i="46"/>
  <c r="F48" i="46"/>
  <c r="D48" i="46"/>
  <c r="O47" i="46"/>
  <c r="P47" i="46" s="1"/>
  <c r="N47" i="46"/>
  <c r="L47" i="46"/>
  <c r="J47" i="46"/>
  <c r="H47" i="46"/>
  <c r="F47" i="46"/>
  <c r="D47" i="46"/>
  <c r="O46" i="46"/>
  <c r="P46" i="46" s="1"/>
  <c r="N46" i="46"/>
  <c r="L46" i="46"/>
  <c r="J46" i="46"/>
  <c r="H46" i="46"/>
  <c r="F46" i="46"/>
  <c r="D46" i="46"/>
  <c r="O45" i="46"/>
  <c r="P45" i="46" s="1"/>
  <c r="N45" i="46"/>
  <c r="L45" i="46"/>
  <c r="J45" i="46"/>
  <c r="H45" i="46"/>
  <c r="F45" i="46"/>
  <c r="D45" i="46"/>
  <c r="N44" i="46"/>
  <c r="L44" i="46"/>
  <c r="J44" i="46"/>
  <c r="F44" i="46"/>
  <c r="D44" i="46"/>
  <c r="T43" i="46"/>
  <c r="T44" i="46" s="1"/>
  <c r="T45" i="46" s="1"/>
  <c r="T46" i="46" s="1"/>
  <c r="N43" i="46"/>
  <c r="L43" i="46"/>
  <c r="J43" i="46"/>
  <c r="H43" i="46"/>
  <c r="F43" i="46"/>
  <c r="T42" i="46"/>
  <c r="N42" i="46"/>
  <c r="L42" i="46"/>
  <c r="J42" i="46"/>
  <c r="F42" i="46"/>
  <c r="U41" i="46"/>
  <c r="U42" i="46" s="1"/>
  <c r="U43" i="46" s="1"/>
  <c r="N41" i="46"/>
  <c r="L41" i="46"/>
  <c r="J41" i="46"/>
  <c r="D41" i="46"/>
  <c r="N40" i="46"/>
  <c r="L40" i="46"/>
  <c r="J40" i="46"/>
  <c r="D40" i="46"/>
  <c r="R39" i="46"/>
  <c r="Q39" i="46"/>
  <c r="M39" i="46"/>
  <c r="N39" i="46" s="1"/>
  <c r="K39" i="46"/>
  <c r="I39" i="46"/>
  <c r="J39" i="46" s="1"/>
  <c r="C39" i="46"/>
  <c r="D39" i="46" s="1"/>
  <c r="N38" i="46"/>
  <c r="L38" i="46"/>
  <c r="J38" i="46"/>
  <c r="F38" i="46"/>
  <c r="D38" i="46"/>
  <c r="N37" i="46"/>
  <c r="L37" i="46"/>
  <c r="J37" i="46"/>
  <c r="D37" i="46"/>
  <c r="O36" i="46"/>
  <c r="P36" i="46" s="1"/>
  <c r="N36" i="46"/>
  <c r="L36" i="46"/>
  <c r="J36" i="46"/>
  <c r="H36" i="46"/>
  <c r="F36" i="46"/>
  <c r="D36" i="46"/>
  <c r="P31" i="46"/>
  <c r="Q31" i="46" s="1"/>
  <c r="N31" i="46"/>
  <c r="D8" i="46" s="1"/>
  <c r="F8" i="46" s="1"/>
  <c r="H31" i="46"/>
  <c r="G30" i="46"/>
  <c r="D14" i="46"/>
  <c r="F13" i="46"/>
  <c r="F7" i="46"/>
  <c r="F6" i="46"/>
  <c r="F5" i="46"/>
  <c r="O40" i="46" l="1"/>
  <c r="P40" i="46" s="1"/>
  <c r="O49" i="47"/>
  <c r="O43" i="46"/>
  <c r="P43" i="46" s="1"/>
  <c r="D42" i="46"/>
  <c r="F40" i="46"/>
  <c r="O41" i="46"/>
  <c r="P41" i="46" s="1"/>
  <c r="O31" i="46"/>
  <c r="M50" i="46"/>
  <c r="N50" i="46" s="1"/>
  <c r="C50" i="46"/>
  <c r="D50" i="46" s="1"/>
  <c r="E39" i="46"/>
  <c r="F39" i="46" s="1"/>
  <c r="G39" i="46"/>
  <c r="G50" i="46" s="1"/>
  <c r="H50" i="46" s="1"/>
  <c r="H40" i="46"/>
  <c r="N49" i="46"/>
  <c r="G50" i="47"/>
  <c r="H50" i="47" s="1"/>
  <c r="O42" i="46"/>
  <c r="P42" i="46" s="1"/>
  <c r="O37" i="46"/>
  <c r="P37" i="46" s="1"/>
  <c r="O39" i="47"/>
  <c r="G49" i="46"/>
  <c r="H49" i="46" s="1"/>
  <c r="P49" i="47"/>
  <c r="D9" i="47"/>
  <c r="D12" i="47"/>
  <c r="F39" i="47"/>
  <c r="E50" i="47"/>
  <c r="F50" i="47" s="1"/>
  <c r="D50" i="47"/>
  <c r="T48" i="47"/>
  <c r="U49" i="47" s="1"/>
  <c r="Q50" i="46"/>
  <c r="I22" i="46" s="1"/>
  <c r="K50" i="46"/>
  <c r="L50" i="46" s="1"/>
  <c r="O44" i="46"/>
  <c r="P44" i="46" s="1"/>
  <c r="H44" i="46"/>
  <c r="O49" i="46"/>
  <c r="P49" i="46" s="1"/>
  <c r="O38" i="46"/>
  <c r="P38" i="46" s="1"/>
  <c r="H38" i="46"/>
  <c r="R50" i="46"/>
  <c r="I23" i="46" s="1"/>
  <c r="I50" i="46"/>
  <c r="J50" i="46" s="1"/>
  <c r="L39" i="46"/>
  <c r="U44" i="46"/>
  <c r="U45" i="46" s="1"/>
  <c r="U46" i="46" s="1"/>
  <c r="U48" i="46" s="1"/>
  <c r="F49" i="46"/>
  <c r="T48" i="46"/>
  <c r="D49" i="46"/>
  <c r="H31" i="45"/>
  <c r="G30" i="45"/>
  <c r="E50" i="46" l="1"/>
  <c r="F50" i="46" s="1"/>
  <c r="H39" i="46"/>
  <c r="O39" i="46"/>
  <c r="T53" i="47"/>
  <c r="U53" i="47" s="1"/>
  <c r="D10" i="47"/>
  <c r="F10" i="47" s="1"/>
  <c r="P39" i="47"/>
  <c r="S50" i="47"/>
  <c r="O50" i="47"/>
  <c r="D16" i="47" s="1"/>
  <c r="P50" i="47"/>
  <c r="D22" i="47"/>
  <c r="D23" i="47" s="1"/>
  <c r="D18" i="47"/>
  <c r="U54" i="47"/>
  <c r="D15" i="47"/>
  <c r="F12" i="47"/>
  <c r="D11" i="47"/>
  <c r="F11" i="47" s="1"/>
  <c r="F9" i="47"/>
  <c r="D12" i="46"/>
  <c r="F12" i="46" s="1"/>
  <c r="D9" i="46"/>
  <c r="T53" i="46"/>
  <c r="U53" i="46" s="1"/>
  <c r="O50" i="46"/>
  <c r="D18" i="46" s="1"/>
  <c r="F9" i="46"/>
  <c r="U49" i="46"/>
  <c r="U54" i="46" s="1"/>
  <c r="S50" i="46"/>
  <c r="P39" i="46"/>
  <c r="D10" i="46"/>
  <c r="F10" i="46" s="1"/>
  <c r="D11" i="46" l="1"/>
  <c r="F11" i="46" s="1"/>
  <c r="D19" i="47"/>
  <c r="F18" i="47"/>
  <c r="D17" i="47"/>
  <c r="F16" i="47"/>
  <c r="D15" i="46"/>
  <c r="D22" i="46"/>
  <c r="D23" i="46" s="1"/>
  <c r="D16" i="46"/>
  <c r="F16" i="46" s="1"/>
  <c r="P50" i="46"/>
  <c r="F18" i="46"/>
  <c r="D19" i="46"/>
  <c r="R49" i="45"/>
  <c r="Q49" i="45"/>
  <c r="R39" i="45"/>
  <c r="Q39" i="45"/>
  <c r="R50" i="45" l="1"/>
  <c r="I23" i="45" s="1"/>
  <c r="Q50" i="45"/>
  <c r="I22" i="45" s="1"/>
  <c r="I24" i="45" s="1"/>
  <c r="D17" i="46"/>
  <c r="E57" i="45"/>
  <c r="E58" i="45" s="1"/>
  <c r="E59" i="45" s="1"/>
  <c r="E56" i="45"/>
  <c r="F56" i="45" s="1"/>
  <c r="M49" i="45"/>
  <c r="N49" i="45" s="1"/>
  <c r="K49" i="45"/>
  <c r="L49" i="45" s="1"/>
  <c r="I49" i="45"/>
  <c r="J49" i="45" s="1"/>
  <c r="O48" i="45"/>
  <c r="P48" i="45" s="1"/>
  <c r="N48" i="45"/>
  <c r="L48" i="45"/>
  <c r="J48" i="45"/>
  <c r="H48" i="45"/>
  <c r="F48" i="45"/>
  <c r="D48" i="45"/>
  <c r="O47" i="45"/>
  <c r="P47" i="45" s="1"/>
  <c r="N47" i="45"/>
  <c r="L47" i="45"/>
  <c r="J47" i="45"/>
  <c r="H47" i="45"/>
  <c r="F47" i="45"/>
  <c r="D47" i="45"/>
  <c r="O46" i="45"/>
  <c r="P46" i="45" s="1"/>
  <c r="N46" i="45"/>
  <c r="L46" i="45"/>
  <c r="J46" i="45"/>
  <c r="H46" i="45"/>
  <c r="F46" i="45"/>
  <c r="D46" i="45"/>
  <c r="O45" i="45"/>
  <c r="P45" i="45" s="1"/>
  <c r="N45" i="45"/>
  <c r="L45" i="45"/>
  <c r="J45" i="45"/>
  <c r="H45" i="45"/>
  <c r="F45" i="45"/>
  <c r="D45" i="45"/>
  <c r="N44" i="45"/>
  <c r="L44" i="45"/>
  <c r="J44" i="45"/>
  <c r="G44" i="45"/>
  <c r="H44" i="45" s="1"/>
  <c r="F44" i="45"/>
  <c r="C44" i="45"/>
  <c r="D44" i="45" s="1"/>
  <c r="T43" i="45"/>
  <c r="T44" i="45" s="1"/>
  <c r="T45" i="45" s="1"/>
  <c r="T46" i="45" s="1"/>
  <c r="N43" i="45"/>
  <c r="L43" i="45"/>
  <c r="J43" i="45"/>
  <c r="G43" i="45"/>
  <c r="H43" i="45" s="1"/>
  <c r="F43" i="45"/>
  <c r="C43" i="45"/>
  <c r="D43" i="45" s="1"/>
  <c r="T42" i="45"/>
  <c r="N42" i="45"/>
  <c r="L42" i="45"/>
  <c r="J42" i="45"/>
  <c r="G42" i="45"/>
  <c r="H42" i="45" s="1"/>
  <c r="F42" i="45"/>
  <c r="C42" i="45"/>
  <c r="U41" i="45"/>
  <c r="U42" i="45" s="1"/>
  <c r="U43" i="45" s="1"/>
  <c r="U44" i="45" s="1"/>
  <c r="U45" i="45" s="1"/>
  <c r="U46" i="45" s="1"/>
  <c r="N41" i="45"/>
  <c r="L41" i="45"/>
  <c r="J41" i="45"/>
  <c r="G41" i="45"/>
  <c r="H41" i="45" s="1"/>
  <c r="E41" i="45"/>
  <c r="F41" i="45" s="1"/>
  <c r="D41" i="45"/>
  <c r="N40" i="45"/>
  <c r="L40" i="45"/>
  <c r="J40" i="45"/>
  <c r="G40" i="45"/>
  <c r="H40" i="45" s="1"/>
  <c r="E40" i="45"/>
  <c r="F40" i="45" s="1"/>
  <c r="D40" i="45"/>
  <c r="M39" i="45"/>
  <c r="M50" i="45" s="1"/>
  <c r="N50" i="45" s="1"/>
  <c r="K39" i="45"/>
  <c r="L39" i="45" s="1"/>
  <c r="I39" i="45"/>
  <c r="J39" i="45" s="1"/>
  <c r="C39" i="45"/>
  <c r="D39" i="45" s="1"/>
  <c r="N38" i="45"/>
  <c r="L38" i="45"/>
  <c r="J38" i="45"/>
  <c r="G38" i="45"/>
  <c r="H38" i="45" s="1"/>
  <c r="F38" i="45"/>
  <c r="D38" i="45"/>
  <c r="N37" i="45"/>
  <c r="L37" i="45"/>
  <c r="J37" i="45"/>
  <c r="G37" i="45"/>
  <c r="E37" i="45"/>
  <c r="E39" i="45" s="1"/>
  <c r="D37" i="45"/>
  <c r="O36" i="45"/>
  <c r="N36" i="45"/>
  <c r="L36" i="45"/>
  <c r="J36" i="45"/>
  <c r="H36" i="45"/>
  <c r="F36" i="45"/>
  <c r="D36" i="45"/>
  <c r="P31" i="45"/>
  <c r="Q31" i="45" s="1"/>
  <c r="N31" i="45"/>
  <c r="O31" i="45" s="1"/>
  <c r="D14" i="45"/>
  <c r="F13" i="45"/>
  <c r="F7" i="45"/>
  <c r="F6" i="45"/>
  <c r="F5" i="45"/>
  <c r="C49" i="45" l="1"/>
  <c r="F37" i="45"/>
  <c r="G39" i="45"/>
  <c r="H37" i="45"/>
  <c r="I50" i="45"/>
  <c r="J50" i="45" s="1"/>
  <c r="K50" i="45"/>
  <c r="L50" i="45" s="1"/>
  <c r="H39" i="45"/>
  <c r="D49" i="45"/>
  <c r="C50" i="45"/>
  <c r="F39" i="45"/>
  <c r="T48" i="45"/>
  <c r="N39" i="45"/>
  <c r="O42" i="45"/>
  <c r="P42" i="45" s="1"/>
  <c r="O44" i="45"/>
  <c r="P44" i="45" s="1"/>
  <c r="P36" i="45"/>
  <c r="D42" i="45"/>
  <c r="U48" i="45"/>
  <c r="G49" i="45"/>
  <c r="H49" i="45" s="1"/>
  <c r="D8" i="45"/>
  <c r="F8" i="45" s="1"/>
  <c r="O37" i="45"/>
  <c r="P37" i="45" s="1"/>
  <c r="O38" i="45"/>
  <c r="P38" i="45" s="1"/>
  <c r="O40" i="45"/>
  <c r="P40" i="45" s="1"/>
  <c r="O43" i="45"/>
  <c r="P43" i="45" s="1"/>
  <c r="E49" i="45"/>
  <c r="F49" i="45" s="1"/>
  <c r="O41" i="45"/>
  <c r="P41" i="45" s="1"/>
  <c r="G44" i="44"/>
  <c r="G43" i="44"/>
  <c r="H43" i="44" s="1"/>
  <c r="G42" i="44"/>
  <c r="H42" i="44" s="1"/>
  <c r="C44" i="44"/>
  <c r="O44" i="44" s="1"/>
  <c r="P44" i="44" s="1"/>
  <c r="C43" i="44"/>
  <c r="O43" i="44" s="1"/>
  <c r="P43" i="44" s="1"/>
  <c r="C42" i="44"/>
  <c r="C49" i="44" s="1"/>
  <c r="D49" i="44" s="1"/>
  <c r="G41" i="44"/>
  <c r="E41" i="44"/>
  <c r="F41" i="44" s="1"/>
  <c r="G40" i="44"/>
  <c r="E40" i="44"/>
  <c r="F40" i="44" s="1"/>
  <c r="G38" i="44"/>
  <c r="H38" i="44" s="1"/>
  <c r="G37" i="44"/>
  <c r="H37" i="44" s="1"/>
  <c r="E37" i="44"/>
  <c r="E57" i="44"/>
  <c r="E58" i="44" s="1"/>
  <c r="E59" i="44" s="1"/>
  <c r="E56" i="44"/>
  <c r="F56" i="44" s="1"/>
  <c r="M49" i="44"/>
  <c r="N49" i="44" s="1"/>
  <c r="K49" i="44"/>
  <c r="L49" i="44" s="1"/>
  <c r="I49" i="44"/>
  <c r="J49" i="44" s="1"/>
  <c r="O48" i="44"/>
  <c r="P48" i="44" s="1"/>
  <c r="N48" i="44"/>
  <c r="L48" i="44"/>
  <c r="J48" i="44"/>
  <c r="H48" i="44"/>
  <c r="F48" i="44"/>
  <c r="D48" i="44"/>
  <c r="O47" i="44"/>
  <c r="P47" i="44" s="1"/>
  <c r="N47" i="44"/>
  <c r="L47" i="44"/>
  <c r="J47" i="44"/>
  <c r="H47" i="44"/>
  <c r="F47" i="44"/>
  <c r="D47" i="44"/>
  <c r="O46" i="44"/>
  <c r="P46" i="44" s="1"/>
  <c r="N46" i="44"/>
  <c r="L46" i="44"/>
  <c r="J46" i="44"/>
  <c r="H46" i="44"/>
  <c r="F46" i="44"/>
  <c r="D46" i="44"/>
  <c r="O45" i="44"/>
  <c r="P45" i="44" s="1"/>
  <c r="N45" i="44"/>
  <c r="L45" i="44"/>
  <c r="J45" i="44"/>
  <c r="H45" i="44"/>
  <c r="F45" i="44"/>
  <c r="D45" i="44"/>
  <c r="N44" i="44"/>
  <c r="L44" i="44"/>
  <c r="J44" i="44"/>
  <c r="H44" i="44"/>
  <c r="F44" i="44"/>
  <c r="D44" i="44"/>
  <c r="N43" i="44"/>
  <c r="L43" i="44"/>
  <c r="J43" i="44"/>
  <c r="F43" i="44"/>
  <c r="T42" i="44"/>
  <c r="N42" i="44"/>
  <c r="L42" i="44"/>
  <c r="J42" i="44"/>
  <c r="F42" i="44"/>
  <c r="U41" i="44"/>
  <c r="N41" i="44"/>
  <c r="L41" i="44"/>
  <c r="J41" i="44"/>
  <c r="D41" i="44"/>
  <c r="N40" i="44"/>
  <c r="L40" i="44"/>
  <c r="J40" i="44"/>
  <c r="D40" i="44"/>
  <c r="M39" i="44"/>
  <c r="K39" i="44"/>
  <c r="L39" i="44" s="1"/>
  <c r="I39" i="44"/>
  <c r="C39" i="44"/>
  <c r="N38" i="44"/>
  <c r="L38" i="44"/>
  <c r="J38" i="44"/>
  <c r="F38" i="44"/>
  <c r="D38" i="44"/>
  <c r="N37" i="44"/>
  <c r="L37" i="44"/>
  <c r="J37" i="44"/>
  <c r="D37" i="44"/>
  <c r="O36" i="44"/>
  <c r="N36" i="44"/>
  <c r="L36" i="44"/>
  <c r="J36" i="44"/>
  <c r="H36" i="44"/>
  <c r="F36" i="44"/>
  <c r="D36" i="44"/>
  <c r="P31" i="44"/>
  <c r="Q31" i="44" s="1"/>
  <c r="N31" i="44"/>
  <c r="O31" i="44" s="1"/>
  <c r="D14" i="44"/>
  <c r="F13" i="44"/>
  <c r="D8" i="44"/>
  <c r="F8" i="44" s="1"/>
  <c r="F7" i="44"/>
  <c r="F6" i="44"/>
  <c r="F5" i="44"/>
  <c r="D42" i="44" l="1"/>
  <c r="D43" i="44"/>
  <c r="C50" i="44"/>
  <c r="E50" i="45"/>
  <c r="F50" i="45" s="1"/>
  <c r="O37" i="44"/>
  <c r="P37" i="44" s="1"/>
  <c r="O39" i="45"/>
  <c r="M50" i="44"/>
  <c r="N50" i="44" s="1"/>
  <c r="O41" i="44"/>
  <c r="P41" i="44" s="1"/>
  <c r="E49" i="44"/>
  <c r="F49" i="44" s="1"/>
  <c r="N39" i="44"/>
  <c r="D50" i="45"/>
  <c r="D10" i="45"/>
  <c r="F10" i="45" s="1"/>
  <c r="P39" i="45"/>
  <c r="O49" i="45"/>
  <c r="U49" i="45"/>
  <c r="G50" i="45"/>
  <c r="H50" i="45" s="1"/>
  <c r="H41" i="44"/>
  <c r="O38" i="44"/>
  <c r="P38" i="44" s="1"/>
  <c r="G39" i="44"/>
  <c r="H39" i="44" s="1"/>
  <c r="G49" i="44"/>
  <c r="H49" i="44" s="1"/>
  <c r="O42" i="44"/>
  <c r="P42" i="44" s="1"/>
  <c r="I50" i="44"/>
  <c r="J50" i="44" s="1"/>
  <c r="O40" i="44"/>
  <c r="P40" i="44" s="1"/>
  <c r="H40" i="44"/>
  <c r="E39" i="44"/>
  <c r="E50" i="44" s="1"/>
  <c r="F50" i="44" s="1"/>
  <c r="F37" i="44"/>
  <c r="D50" i="44"/>
  <c r="U42" i="44"/>
  <c r="U43" i="44" s="1"/>
  <c r="U44" i="44" s="1"/>
  <c r="U45" i="44" s="1"/>
  <c r="U46" i="44" s="1"/>
  <c r="D39" i="44"/>
  <c r="T43" i="44"/>
  <c r="T44" i="44" s="1"/>
  <c r="T45" i="44" s="1"/>
  <c r="T46" i="44" s="1"/>
  <c r="K50" i="44"/>
  <c r="L50" i="44" s="1"/>
  <c r="P36" i="44"/>
  <c r="J39" i="44"/>
  <c r="E57" i="43"/>
  <c r="E58" i="43" s="1"/>
  <c r="E59" i="43" s="1"/>
  <c r="E56" i="43"/>
  <c r="F56" i="43" s="1"/>
  <c r="M49" i="43"/>
  <c r="N49" i="43" s="1"/>
  <c r="K49" i="43"/>
  <c r="L49" i="43" s="1"/>
  <c r="I49" i="43"/>
  <c r="J49" i="43" s="1"/>
  <c r="E49" i="43"/>
  <c r="F49" i="43" s="1"/>
  <c r="O48" i="43"/>
  <c r="P48" i="43" s="1"/>
  <c r="N48" i="43"/>
  <c r="L48" i="43"/>
  <c r="J48" i="43"/>
  <c r="H48" i="43"/>
  <c r="F48" i="43"/>
  <c r="D48" i="43"/>
  <c r="O47" i="43"/>
  <c r="P47" i="43" s="1"/>
  <c r="N47" i="43"/>
  <c r="L47" i="43"/>
  <c r="J47" i="43"/>
  <c r="H47" i="43"/>
  <c r="F47" i="43"/>
  <c r="D47" i="43"/>
  <c r="O46" i="43"/>
  <c r="P46" i="43" s="1"/>
  <c r="N46" i="43"/>
  <c r="L46" i="43"/>
  <c r="J46" i="43"/>
  <c r="H46" i="43"/>
  <c r="F46" i="43"/>
  <c r="D46" i="43"/>
  <c r="O45" i="43"/>
  <c r="P45" i="43" s="1"/>
  <c r="N45" i="43"/>
  <c r="L45" i="43"/>
  <c r="J45" i="43"/>
  <c r="H45" i="43"/>
  <c r="F45" i="43"/>
  <c r="D45" i="43"/>
  <c r="N44" i="43"/>
  <c r="L44" i="43"/>
  <c r="J44" i="43"/>
  <c r="H44" i="43"/>
  <c r="F44" i="43"/>
  <c r="D44" i="43"/>
  <c r="O44" i="43"/>
  <c r="P44" i="43" s="1"/>
  <c r="N43" i="43"/>
  <c r="L43" i="43"/>
  <c r="J43" i="43"/>
  <c r="H43" i="43"/>
  <c r="F43" i="43"/>
  <c r="D43" i="43"/>
  <c r="O43" i="43"/>
  <c r="P43" i="43" s="1"/>
  <c r="T42" i="43"/>
  <c r="N42" i="43"/>
  <c r="L42" i="43"/>
  <c r="J42" i="43"/>
  <c r="H42" i="43"/>
  <c r="F42" i="43"/>
  <c r="D42" i="43"/>
  <c r="C49" i="43"/>
  <c r="U41" i="43"/>
  <c r="U42" i="43" s="1"/>
  <c r="N41" i="43"/>
  <c r="L41" i="43"/>
  <c r="J41" i="43"/>
  <c r="H41" i="43"/>
  <c r="F41" i="43"/>
  <c r="D41" i="43"/>
  <c r="N40" i="43"/>
  <c r="L40" i="43"/>
  <c r="J40" i="43"/>
  <c r="H40" i="43"/>
  <c r="O40" i="43"/>
  <c r="P40" i="43" s="1"/>
  <c r="D40" i="43"/>
  <c r="M39" i="43"/>
  <c r="M50" i="43" s="1"/>
  <c r="N50" i="43" s="1"/>
  <c r="K39" i="43"/>
  <c r="I39" i="43"/>
  <c r="E39" i="43"/>
  <c r="C39" i="43"/>
  <c r="D39" i="43" s="1"/>
  <c r="O38" i="43"/>
  <c r="P38" i="43" s="1"/>
  <c r="N38" i="43"/>
  <c r="L38" i="43"/>
  <c r="J38" i="43"/>
  <c r="H38" i="43"/>
  <c r="F38" i="43"/>
  <c r="D38" i="43"/>
  <c r="N37" i="43"/>
  <c r="L37" i="43"/>
  <c r="J37" i="43"/>
  <c r="O37" i="43"/>
  <c r="F37" i="43"/>
  <c r="D37" i="43"/>
  <c r="O36" i="43"/>
  <c r="P36" i="43" s="1"/>
  <c r="N36" i="43"/>
  <c r="L36" i="43"/>
  <c r="J36" i="43"/>
  <c r="H36" i="43"/>
  <c r="F36" i="43"/>
  <c r="D36" i="43"/>
  <c r="P31" i="43"/>
  <c r="Q31" i="43" s="1"/>
  <c r="N31" i="43"/>
  <c r="O31" i="43" s="1"/>
  <c r="D14" i="43"/>
  <c r="F13" i="43"/>
  <c r="F7" i="43"/>
  <c r="F6" i="43"/>
  <c r="F5" i="43"/>
  <c r="O39" i="44" l="1"/>
  <c r="D8" i="43"/>
  <c r="F8" i="43" s="1"/>
  <c r="U48" i="44"/>
  <c r="F39" i="44"/>
  <c r="T53" i="45"/>
  <c r="U53" i="45" s="1"/>
  <c r="U54" i="45" s="1"/>
  <c r="P49" i="45"/>
  <c r="D9" i="45"/>
  <c r="D12" i="45"/>
  <c r="S50" i="45"/>
  <c r="O50" i="45"/>
  <c r="D22" i="45" s="1"/>
  <c r="D23" i="45" s="1"/>
  <c r="G50" i="44"/>
  <c r="H50" i="44" s="1"/>
  <c r="O49" i="44"/>
  <c r="D9" i="44" s="1"/>
  <c r="F9" i="44" s="1"/>
  <c r="P39" i="44"/>
  <c r="D10" i="44"/>
  <c r="F10" i="44" s="1"/>
  <c r="T48" i="44"/>
  <c r="U49" i="44" s="1"/>
  <c r="K50" i="43"/>
  <c r="L50" i="43" s="1"/>
  <c r="I50" i="43"/>
  <c r="J50" i="43" s="1"/>
  <c r="E50" i="43"/>
  <c r="F50" i="43" s="1"/>
  <c r="N39" i="43"/>
  <c r="L39" i="43"/>
  <c r="J39" i="43"/>
  <c r="F39" i="43"/>
  <c r="O39" i="43"/>
  <c r="P37" i="43"/>
  <c r="U43" i="43"/>
  <c r="U44" i="43" s="1"/>
  <c r="U45" i="43" s="1"/>
  <c r="U46" i="43" s="1"/>
  <c r="D49" i="43"/>
  <c r="G39" i="43"/>
  <c r="F40" i="43"/>
  <c r="C50" i="43"/>
  <c r="G49" i="43"/>
  <c r="H49" i="43" s="1"/>
  <c r="O42" i="43"/>
  <c r="P42" i="43" s="1"/>
  <c r="O41" i="43"/>
  <c r="P41" i="43" s="1"/>
  <c r="T43" i="43"/>
  <c r="T44" i="43" s="1"/>
  <c r="T45" i="43" s="1"/>
  <c r="T46" i="43" s="1"/>
  <c r="H37" i="43"/>
  <c r="E57" i="42"/>
  <c r="E58" i="42" s="1"/>
  <c r="E59" i="42" s="1"/>
  <c r="E56" i="42"/>
  <c r="F56" i="42" s="1"/>
  <c r="M49" i="42"/>
  <c r="N49" i="42" s="1"/>
  <c r="K49" i="42"/>
  <c r="L49" i="42" s="1"/>
  <c r="I49" i="42"/>
  <c r="J49" i="42" s="1"/>
  <c r="O48" i="42"/>
  <c r="P48" i="42" s="1"/>
  <c r="N48" i="42"/>
  <c r="L48" i="42"/>
  <c r="J48" i="42"/>
  <c r="H48" i="42"/>
  <c r="F48" i="42"/>
  <c r="D48" i="42"/>
  <c r="O47" i="42"/>
  <c r="P47" i="42" s="1"/>
  <c r="N47" i="42"/>
  <c r="L47" i="42"/>
  <c r="J47" i="42"/>
  <c r="H47" i="42"/>
  <c r="F47" i="42"/>
  <c r="D47" i="42"/>
  <c r="O46" i="42"/>
  <c r="P46" i="42" s="1"/>
  <c r="N46" i="42"/>
  <c r="L46" i="42"/>
  <c r="J46" i="42"/>
  <c r="H46" i="42"/>
  <c r="F46" i="42"/>
  <c r="D46" i="42"/>
  <c r="O45" i="42"/>
  <c r="P45" i="42" s="1"/>
  <c r="N45" i="42"/>
  <c r="L45" i="42"/>
  <c r="J45" i="42"/>
  <c r="H45" i="42"/>
  <c r="F45" i="42"/>
  <c r="D45" i="42"/>
  <c r="N44" i="42"/>
  <c r="L44" i="42"/>
  <c r="J44" i="42"/>
  <c r="G44" i="42"/>
  <c r="H44" i="42" s="1"/>
  <c r="F44" i="42"/>
  <c r="C44" i="42"/>
  <c r="D44" i="42" s="1"/>
  <c r="N43" i="42"/>
  <c r="L43" i="42"/>
  <c r="J43" i="42"/>
  <c r="G43" i="42"/>
  <c r="H43" i="42" s="1"/>
  <c r="F43" i="42"/>
  <c r="C43" i="42"/>
  <c r="D43" i="42" s="1"/>
  <c r="T42" i="42"/>
  <c r="N42" i="42"/>
  <c r="L42" i="42"/>
  <c r="J42" i="42"/>
  <c r="G42" i="42"/>
  <c r="H42" i="42" s="1"/>
  <c r="F42" i="42"/>
  <c r="C42" i="42"/>
  <c r="U41" i="42"/>
  <c r="N41" i="42"/>
  <c r="L41" i="42"/>
  <c r="J41" i="42"/>
  <c r="G41" i="42"/>
  <c r="H41" i="42" s="1"/>
  <c r="E41" i="42"/>
  <c r="F41" i="42" s="1"/>
  <c r="D41" i="42"/>
  <c r="N40" i="42"/>
  <c r="L40" i="42"/>
  <c r="J40" i="42"/>
  <c r="G40" i="42"/>
  <c r="E40" i="42"/>
  <c r="D40" i="42"/>
  <c r="M39" i="42"/>
  <c r="K39" i="42"/>
  <c r="L39" i="42" s="1"/>
  <c r="I39" i="42"/>
  <c r="E39" i="42"/>
  <c r="F39" i="42" s="1"/>
  <c r="C39" i="42"/>
  <c r="D39" i="42" s="1"/>
  <c r="O38" i="42"/>
  <c r="P38" i="42" s="1"/>
  <c r="N38" i="42"/>
  <c r="L38" i="42"/>
  <c r="J38" i="42"/>
  <c r="H38" i="42"/>
  <c r="F38" i="42"/>
  <c r="D38" i="42"/>
  <c r="N37" i="42"/>
  <c r="L37" i="42"/>
  <c r="J37" i="42"/>
  <c r="G37" i="42"/>
  <c r="O37" i="42" s="1"/>
  <c r="P37" i="42" s="1"/>
  <c r="F37" i="42"/>
  <c r="D37" i="42"/>
  <c r="O36" i="42"/>
  <c r="N36" i="42"/>
  <c r="L36" i="42"/>
  <c r="J36" i="42"/>
  <c r="H36" i="42"/>
  <c r="F36" i="42"/>
  <c r="D36" i="42"/>
  <c r="P31" i="42"/>
  <c r="Q31" i="42" s="1"/>
  <c r="N31" i="42"/>
  <c r="O31" i="42" s="1"/>
  <c r="D14" i="42"/>
  <c r="F13" i="42"/>
  <c r="F7" i="42"/>
  <c r="F6" i="42"/>
  <c r="F5" i="42"/>
  <c r="D13" i="41"/>
  <c r="I50" i="42" l="1"/>
  <c r="J50" i="42" s="1"/>
  <c r="M50" i="42"/>
  <c r="N50" i="42" s="1"/>
  <c r="D8" i="42"/>
  <c r="F8" i="42" s="1"/>
  <c r="E49" i="42"/>
  <c r="T53" i="44"/>
  <c r="U53" i="44" s="1"/>
  <c r="O50" i="44"/>
  <c r="G31" i="44" s="1"/>
  <c r="P49" i="44"/>
  <c r="H37" i="42"/>
  <c r="D12" i="44"/>
  <c r="D15" i="44" s="1"/>
  <c r="F12" i="45"/>
  <c r="D15" i="45"/>
  <c r="F9" i="45"/>
  <c r="D11" i="45"/>
  <c r="F11" i="45" s="1"/>
  <c r="D16" i="45"/>
  <c r="D18" i="45"/>
  <c r="P50" i="45"/>
  <c r="S50" i="44"/>
  <c r="D11" i="44"/>
  <c r="F11" i="44" s="1"/>
  <c r="U54" i="44"/>
  <c r="P50" i="44"/>
  <c r="O40" i="42"/>
  <c r="P40" i="42" s="1"/>
  <c r="C49" i="42"/>
  <c r="D49" i="42" s="1"/>
  <c r="O44" i="42"/>
  <c r="P44" i="42" s="1"/>
  <c r="F40" i="42"/>
  <c r="G39" i="42"/>
  <c r="H39" i="42" s="1"/>
  <c r="O43" i="42"/>
  <c r="P43" i="42" s="1"/>
  <c r="K50" i="42"/>
  <c r="L50" i="42" s="1"/>
  <c r="O41" i="42"/>
  <c r="P41" i="42" s="1"/>
  <c r="O42" i="42"/>
  <c r="P42" i="42" s="1"/>
  <c r="G50" i="43"/>
  <c r="H50" i="43" s="1"/>
  <c r="H39" i="43"/>
  <c r="O49" i="43"/>
  <c r="S50" i="43" s="1"/>
  <c r="D50" i="43"/>
  <c r="T48" i="43"/>
  <c r="U48" i="43"/>
  <c r="P39" i="43"/>
  <c r="D10" i="43"/>
  <c r="F10" i="43" s="1"/>
  <c r="O39" i="42"/>
  <c r="F49" i="42"/>
  <c r="E50" i="42"/>
  <c r="F50" i="42" s="1"/>
  <c r="P36" i="42"/>
  <c r="H40" i="42"/>
  <c r="J39" i="42"/>
  <c r="G49" i="42"/>
  <c r="H49" i="42" s="1"/>
  <c r="T43" i="42"/>
  <c r="T44" i="42" s="1"/>
  <c r="T45" i="42" s="1"/>
  <c r="T46" i="42" s="1"/>
  <c r="N39" i="42"/>
  <c r="U42" i="42"/>
  <c r="U43" i="42" s="1"/>
  <c r="U44" i="42" s="1"/>
  <c r="U45" i="42" s="1"/>
  <c r="U46" i="42" s="1"/>
  <c r="D42" i="42"/>
  <c r="E57" i="41"/>
  <c r="E58" i="41" s="1"/>
  <c r="E59" i="41" s="1"/>
  <c r="E56" i="41"/>
  <c r="F56" i="41" s="1"/>
  <c r="M49" i="41"/>
  <c r="N49" i="41" s="1"/>
  <c r="K49" i="41"/>
  <c r="L49" i="41" s="1"/>
  <c r="I49" i="41"/>
  <c r="J49" i="41" s="1"/>
  <c r="O48" i="41"/>
  <c r="P48" i="41" s="1"/>
  <c r="N48" i="41"/>
  <c r="L48" i="41"/>
  <c r="J48" i="41"/>
  <c r="H48" i="41"/>
  <c r="F48" i="41"/>
  <c r="D48" i="41"/>
  <c r="O47" i="41"/>
  <c r="P47" i="41" s="1"/>
  <c r="N47" i="41"/>
  <c r="L47" i="41"/>
  <c r="J47" i="41"/>
  <c r="H47" i="41"/>
  <c r="F47" i="41"/>
  <c r="D47" i="41"/>
  <c r="O46" i="41"/>
  <c r="P46" i="41" s="1"/>
  <c r="N46" i="41"/>
  <c r="L46" i="41"/>
  <c r="J46" i="41"/>
  <c r="H46" i="41"/>
  <c r="F46" i="41"/>
  <c r="D46" i="41"/>
  <c r="O45" i="41"/>
  <c r="P45" i="41" s="1"/>
  <c r="N45" i="41"/>
  <c r="L45" i="41"/>
  <c r="J45" i="41"/>
  <c r="H45" i="41"/>
  <c r="F45" i="41"/>
  <c r="D45" i="41"/>
  <c r="N44" i="41"/>
  <c r="L44" i="41"/>
  <c r="J44" i="41"/>
  <c r="G44" i="41"/>
  <c r="H44" i="41" s="1"/>
  <c r="F44" i="41"/>
  <c r="C44" i="41"/>
  <c r="D44" i="41" s="1"/>
  <c r="N43" i="41"/>
  <c r="L43" i="41"/>
  <c r="J43" i="41"/>
  <c r="G43" i="41"/>
  <c r="H43" i="41" s="1"/>
  <c r="F43" i="41"/>
  <c r="C43" i="41"/>
  <c r="D43" i="41" s="1"/>
  <c r="T42" i="41"/>
  <c r="T43" i="41" s="1"/>
  <c r="T44" i="41" s="1"/>
  <c r="N42" i="41"/>
  <c r="L42" i="41"/>
  <c r="J42" i="41"/>
  <c r="G42" i="41"/>
  <c r="H42" i="41" s="1"/>
  <c r="F42" i="41"/>
  <c r="C42" i="41"/>
  <c r="U41" i="41"/>
  <c r="U42" i="41" s="1"/>
  <c r="U43" i="41" s="1"/>
  <c r="U44" i="41" s="1"/>
  <c r="U45" i="41" s="1"/>
  <c r="U46" i="41" s="1"/>
  <c r="N41" i="41"/>
  <c r="L41" i="41"/>
  <c r="J41" i="41"/>
  <c r="G41" i="41"/>
  <c r="H41" i="41" s="1"/>
  <c r="E41" i="41"/>
  <c r="F41" i="41" s="1"/>
  <c r="D41" i="41"/>
  <c r="N40" i="41"/>
  <c r="L40" i="41"/>
  <c r="J40" i="41"/>
  <c r="G40" i="41"/>
  <c r="E40" i="41"/>
  <c r="D40" i="41"/>
  <c r="M39" i="41"/>
  <c r="M50" i="41" s="1"/>
  <c r="N50" i="41" s="1"/>
  <c r="K39" i="41"/>
  <c r="L39" i="41" s="1"/>
  <c r="I39" i="41"/>
  <c r="E39" i="41"/>
  <c r="C39" i="41"/>
  <c r="D39" i="41" s="1"/>
  <c r="O38" i="41"/>
  <c r="P38" i="41" s="1"/>
  <c r="N38" i="41"/>
  <c r="L38" i="41"/>
  <c r="J38" i="41"/>
  <c r="H38" i="41"/>
  <c r="F38" i="41"/>
  <c r="D38" i="41"/>
  <c r="N37" i="41"/>
  <c r="L37" i="41"/>
  <c r="J37" i="41"/>
  <c r="G37" i="41"/>
  <c r="G39" i="41" s="1"/>
  <c r="F37" i="41"/>
  <c r="D37" i="41"/>
  <c r="O36" i="41"/>
  <c r="P36" i="41" s="1"/>
  <c r="N36" i="41"/>
  <c r="L36" i="41"/>
  <c r="J36" i="41"/>
  <c r="H36" i="41"/>
  <c r="F36" i="41"/>
  <c r="D36" i="41"/>
  <c r="P31" i="41"/>
  <c r="Q31" i="41" s="1"/>
  <c r="N31" i="41"/>
  <c r="O31" i="41" s="1"/>
  <c r="D14" i="41"/>
  <c r="F13" i="41"/>
  <c r="F7" i="41"/>
  <c r="F6" i="41"/>
  <c r="F5" i="41"/>
  <c r="I50" i="41" l="1"/>
  <c r="J50" i="41" s="1"/>
  <c r="D16" i="44"/>
  <c r="D18" i="44"/>
  <c r="G50" i="42"/>
  <c r="H50" i="42" s="1"/>
  <c r="C50" i="42"/>
  <c r="O49" i="42"/>
  <c r="S50" i="42" s="1"/>
  <c r="F12" i="44"/>
  <c r="D19" i="45"/>
  <c r="F18" i="45"/>
  <c r="D17" i="45"/>
  <c r="F16" i="45"/>
  <c r="D17" i="44"/>
  <c r="F16" i="44"/>
  <c r="D19" i="44"/>
  <c r="F18" i="44"/>
  <c r="O41" i="41"/>
  <c r="P41" i="41" s="1"/>
  <c r="O37" i="41"/>
  <c r="P37" i="41" s="1"/>
  <c r="E49" i="41"/>
  <c r="F49" i="41" s="1"/>
  <c r="G49" i="41"/>
  <c r="H49" i="41" s="1"/>
  <c r="C49" i="41"/>
  <c r="O49" i="41" s="1"/>
  <c r="D8" i="41"/>
  <c r="F8" i="41" s="1"/>
  <c r="U49" i="43"/>
  <c r="O50" i="43"/>
  <c r="T53" i="43"/>
  <c r="U53" i="43" s="1"/>
  <c r="P49" i="43"/>
  <c r="D9" i="43"/>
  <c r="D12" i="43"/>
  <c r="O50" i="42"/>
  <c r="T53" i="42"/>
  <c r="U53" i="42" s="1"/>
  <c r="D50" i="42"/>
  <c r="U48" i="42"/>
  <c r="D10" i="42"/>
  <c r="F10" i="42" s="1"/>
  <c r="P39" i="42"/>
  <c r="T48" i="42"/>
  <c r="H37" i="41"/>
  <c r="O40" i="41"/>
  <c r="P40" i="41" s="1"/>
  <c r="F40" i="41"/>
  <c r="O43" i="41"/>
  <c r="P43" i="41" s="1"/>
  <c r="H40" i="41"/>
  <c r="T45" i="41"/>
  <c r="T46" i="41" s="1"/>
  <c r="E50" i="41"/>
  <c r="F50" i="41" s="1"/>
  <c r="U48" i="41"/>
  <c r="G50" i="41"/>
  <c r="H50" i="41" s="1"/>
  <c r="H39" i="41"/>
  <c r="F39" i="41"/>
  <c r="N39" i="41"/>
  <c r="O42" i="41"/>
  <c r="P42" i="41" s="1"/>
  <c r="O44" i="41"/>
  <c r="P44" i="41" s="1"/>
  <c r="O39" i="41"/>
  <c r="D42" i="41"/>
  <c r="C50" i="41"/>
  <c r="K50" i="41"/>
  <c r="L50" i="41" s="1"/>
  <c r="J39" i="41"/>
  <c r="E57" i="40"/>
  <c r="E58" i="40" s="1"/>
  <c r="E59" i="40" s="1"/>
  <c r="E56" i="40"/>
  <c r="F56" i="40" s="1"/>
  <c r="M49" i="40"/>
  <c r="N49" i="40" s="1"/>
  <c r="K49" i="40"/>
  <c r="L49" i="40" s="1"/>
  <c r="I49" i="40"/>
  <c r="J49" i="40" s="1"/>
  <c r="O48" i="40"/>
  <c r="P48" i="40" s="1"/>
  <c r="N48" i="40"/>
  <c r="L48" i="40"/>
  <c r="J48" i="40"/>
  <c r="H48" i="40"/>
  <c r="F48" i="40"/>
  <c r="D48" i="40"/>
  <c r="O47" i="40"/>
  <c r="P47" i="40" s="1"/>
  <c r="N47" i="40"/>
  <c r="L47" i="40"/>
  <c r="J47" i="40"/>
  <c r="H47" i="40"/>
  <c r="F47" i="40"/>
  <c r="D47" i="40"/>
  <c r="O46" i="40"/>
  <c r="P46" i="40" s="1"/>
  <c r="N46" i="40"/>
  <c r="L46" i="40"/>
  <c r="J46" i="40"/>
  <c r="H46" i="40"/>
  <c r="F46" i="40"/>
  <c r="D46" i="40"/>
  <c r="O45" i="40"/>
  <c r="P45" i="40" s="1"/>
  <c r="N45" i="40"/>
  <c r="L45" i="40"/>
  <c r="J45" i="40"/>
  <c r="H45" i="40"/>
  <c r="F45" i="40"/>
  <c r="D45" i="40"/>
  <c r="N44" i="40"/>
  <c r="L44" i="40"/>
  <c r="J44" i="40"/>
  <c r="G44" i="40"/>
  <c r="H44" i="40" s="1"/>
  <c r="F44" i="40"/>
  <c r="C44" i="40"/>
  <c r="D44" i="40" s="1"/>
  <c r="N43" i="40"/>
  <c r="L43" i="40"/>
  <c r="J43" i="40"/>
  <c r="G43" i="40"/>
  <c r="H43" i="40" s="1"/>
  <c r="F43" i="40"/>
  <c r="C43" i="40"/>
  <c r="D43" i="40" s="1"/>
  <c r="T42" i="40"/>
  <c r="T43" i="40" s="1"/>
  <c r="N42" i="40"/>
  <c r="L42" i="40"/>
  <c r="J42" i="40"/>
  <c r="G42" i="40"/>
  <c r="H42" i="40" s="1"/>
  <c r="F42" i="40"/>
  <c r="C42" i="40"/>
  <c r="U41" i="40"/>
  <c r="U42" i="40" s="1"/>
  <c r="U43" i="40" s="1"/>
  <c r="N41" i="40"/>
  <c r="L41" i="40"/>
  <c r="J41" i="40"/>
  <c r="G41" i="40"/>
  <c r="E41" i="40"/>
  <c r="F41" i="40" s="1"/>
  <c r="D41" i="40"/>
  <c r="N40" i="40"/>
  <c r="L40" i="40"/>
  <c r="J40" i="40"/>
  <c r="G40" i="40"/>
  <c r="H40" i="40" s="1"/>
  <c r="E40" i="40"/>
  <c r="D40" i="40"/>
  <c r="M39" i="40"/>
  <c r="K39" i="40"/>
  <c r="L39" i="40" s="1"/>
  <c r="I39" i="40"/>
  <c r="C39" i="40"/>
  <c r="D39" i="40" s="1"/>
  <c r="O38" i="40"/>
  <c r="P38" i="40" s="1"/>
  <c r="N38" i="40"/>
  <c r="L38" i="40"/>
  <c r="J38" i="40"/>
  <c r="H38" i="40"/>
  <c r="F38" i="40"/>
  <c r="D38" i="40"/>
  <c r="N37" i="40"/>
  <c r="L37" i="40"/>
  <c r="J37" i="40"/>
  <c r="G37" i="40"/>
  <c r="H37" i="40" s="1"/>
  <c r="E37" i="40"/>
  <c r="E39" i="40" s="1"/>
  <c r="D37" i="40"/>
  <c r="O36" i="40"/>
  <c r="N36" i="40"/>
  <c r="L36" i="40"/>
  <c r="J36" i="40"/>
  <c r="H36" i="40"/>
  <c r="F36" i="40"/>
  <c r="D36" i="40"/>
  <c r="P31" i="40"/>
  <c r="Q31" i="40" s="1"/>
  <c r="N31" i="40"/>
  <c r="O31" i="40" s="1"/>
  <c r="D14" i="40"/>
  <c r="F13" i="40"/>
  <c r="F7" i="40"/>
  <c r="F6" i="40"/>
  <c r="F5" i="40"/>
  <c r="U49" i="42" l="1"/>
  <c r="U54" i="42" s="1"/>
  <c r="D12" i="42"/>
  <c r="D9" i="42"/>
  <c r="P49" i="42"/>
  <c r="O42" i="40"/>
  <c r="P42" i="40" s="1"/>
  <c r="D49" i="41"/>
  <c r="M50" i="40"/>
  <c r="N50" i="40" s="1"/>
  <c r="T48" i="41"/>
  <c r="E49" i="40"/>
  <c r="F49" i="40" s="1"/>
  <c r="U54" i="43"/>
  <c r="D15" i="43"/>
  <c r="F12" i="43"/>
  <c r="F9" i="43"/>
  <c r="D11" i="43"/>
  <c r="F11" i="43" s="1"/>
  <c r="D16" i="43"/>
  <c r="D18" i="43"/>
  <c r="G31" i="43"/>
  <c r="P50" i="43"/>
  <c r="D15" i="42"/>
  <c r="F12" i="42"/>
  <c r="F9" i="42"/>
  <c r="D11" i="42"/>
  <c r="F11" i="42" s="1"/>
  <c r="D16" i="42"/>
  <c r="P50" i="42"/>
  <c r="G31" i="42"/>
  <c r="D18" i="42"/>
  <c r="F40" i="40"/>
  <c r="D8" i="40"/>
  <c r="F8" i="40" s="1"/>
  <c r="O40" i="40"/>
  <c r="P40" i="40" s="1"/>
  <c r="I50" i="40"/>
  <c r="J50" i="40" s="1"/>
  <c r="O41" i="40"/>
  <c r="P41" i="40" s="1"/>
  <c r="N39" i="40"/>
  <c r="O43" i="40"/>
  <c r="P43" i="40" s="1"/>
  <c r="S50" i="41"/>
  <c r="P39" i="41"/>
  <c r="D10" i="41"/>
  <c r="F10" i="41" s="1"/>
  <c r="P49" i="41"/>
  <c r="D12" i="41"/>
  <c r="D9" i="41"/>
  <c r="O50" i="41"/>
  <c r="D50" i="41"/>
  <c r="T53" i="41"/>
  <c r="U53" i="41" s="1"/>
  <c r="U49" i="41"/>
  <c r="T44" i="40"/>
  <c r="T45" i="40" s="1"/>
  <c r="T46" i="40" s="1"/>
  <c r="T48" i="40"/>
  <c r="U44" i="40"/>
  <c r="U45" i="40" s="1"/>
  <c r="U46" i="40" s="1"/>
  <c r="F39" i="40"/>
  <c r="E50" i="40"/>
  <c r="F50" i="40" s="1"/>
  <c r="O44" i="40"/>
  <c r="P44" i="40" s="1"/>
  <c r="P36" i="40"/>
  <c r="H41" i="40"/>
  <c r="D42" i="40"/>
  <c r="K50" i="40"/>
  <c r="L50" i="40" s="1"/>
  <c r="G39" i="40"/>
  <c r="O37" i="40"/>
  <c r="P37" i="40" s="1"/>
  <c r="C49" i="40"/>
  <c r="C50" i="40" s="1"/>
  <c r="F37" i="40"/>
  <c r="J39" i="40"/>
  <c r="G49" i="40"/>
  <c r="H49" i="40" s="1"/>
  <c r="L44" i="39"/>
  <c r="J44" i="39"/>
  <c r="G44" i="39"/>
  <c r="H44" i="39" s="1"/>
  <c r="F44" i="39"/>
  <c r="C44" i="39"/>
  <c r="D44" i="39" s="1"/>
  <c r="L43" i="39"/>
  <c r="J43" i="39"/>
  <c r="G43" i="39"/>
  <c r="H43" i="39" s="1"/>
  <c r="F43" i="39"/>
  <c r="C43" i="39"/>
  <c r="D43" i="39" s="1"/>
  <c r="L42" i="39"/>
  <c r="J42" i="39"/>
  <c r="G42" i="39"/>
  <c r="C42" i="39"/>
  <c r="D42" i="39" s="1"/>
  <c r="G41" i="39"/>
  <c r="H41" i="39" s="1"/>
  <c r="E41" i="39"/>
  <c r="F41" i="39" s="1"/>
  <c r="G37" i="39"/>
  <c r="G40" i="39"/>
  <c r="H40" i="39" s="1"/>
  <c r="E40" i="39"/>
  <c r="G38" i="39"/>
  <c r="H38" i="39" s="1"/>
  <c r="E37" i="39"/>
  <c r="E39" i="39" s="1"/>
  <c r="E57" i="39"/>
  <c r="E58" i="39" s="1"/>
  <c r="E59" i="39" s="1"/>
  <c r="E56" i="39"/>
  <c r="F56" i="39" s="1"/>
  <c r="M49" i="39"/>
  <c r="N49" i="39" s="1"/>
  <c r="K49" i="39"/>
  <c r="L49" i="39" s="1"/>
  <c r="I49" i="39"/>
  <c r="J49" i="39" s="1"/>
  <c r="O48" i="39"/>
  <c r="P48" i="39" s="1"/>
  <c r="N48" i="39"/>
  <c r="L48" i="39"/>
  <c r="J48" i="39"/>
  <c r="H48" i="39"/>
  <c r="F48" i="39"/>
  <c r="D48" i="39"/>
  <c r="O47" i="39"/>
  <c r="P47" i="39" s="1"/>
  <c r="N47" i="39"/>
  <c r="L47" i="39"/>
  <c r="J47" i="39"/>
  <c r="H47" i="39"/>
  <c r="F47" i="39"/>
  <c r="D47" i="39"/>
  <c r="O46" i="39"/>
  <c r="P46" i="39" s="1"/>
  <c r="N46" i="39"/>
  <c r="L46" i="39"/>
  <c r="J46" i="39"/>
  <c r="H46" i="39"/>
  <c r="F46" i="39"/>
  <c r="D46" i="39"/>
  <c r="O45" i="39"/>
  <c r="P45" i="39" s="1"/>
  <c r="N45" i="39"/>
  <c r="L45" i="39"/>
  <c r="J45" i="39"/>
  <c r="H45" i="39"/>
  <c r="F45" i="39"/>
  <c r="D45" i="39"/>
  <c r="N44" i="39"/>
  <c r="N43" i="39"/>
  <c r="T42" i="39"/>
  <c r="T43" i="39" s="1"/>
  <c r="T44" i="39" s="1"/>
  <c r="T45" i="39" s="1"/>
  <c r="T46" i="39" s="1"/>
  <c r="N42" i="39"/>
  <c r="F42" i="39"/>
  <c r="U41" i="39"/>
  <c r="U42" i="39" s="1"/>
  <c r="N41" i="39"/>
  <c r="L41" i="39"/>
  <c r="J41" i="39"/>
  <c r="N40" i="39"/>
  <c r="L40" i="39"/>
  <c r="J40" i="39"/>
  <c r="M39" i="39"/>
  <c r="K39" i="39"/>
  <c r="L39" i="39" s="1"/>
  <c r="I39" i="39"/>
  <c r="C39" i="39"/>
  <c r="D39" i="39" s="1"/>
  <c r="N38" i="39"/>
  <c r="L38" i="39"/>
  <c r="J38" i="39"/>
  <c r="F38" i="39"/>
  <c r="D38" i="39"/>
  <c r="N37" i="39"/>
  <c r="L37" i="39"/>
  <c r="J37" i="39"/>
  <c r="D37" i="39"/>
  <c r="O36" i="39"/>
  <c r="P36" i="39" s="1"/>
  <c r="N36" i="39"/>
  <c r="L36" i="39"/>
  <c r="J36" i="39"/>
  <c r="H36" i="39"/>
  <c r="F36" i="39"/>
  <c r="D36" i="39"/>
  <c r="P31" i="39"/>
  <c r="Q31" i="39" s="1"/>
  <c r="N31" i="39"/>
  <c r="O31" i="39" s="1"/>
  <c r="D14" i="39"/>
  <c r="F13" i="39"/>
  <c r="D8" i="39"/>
  <c r="F8" i="39" s="1"/>
  <c r="F7" i="39"/>
  <c r="F6" i="39"/>
  <c r="F5" i="39"/>
  <c r="O38" i="39" l="1"/>
  <c r="P38" i="39" s="1"/>
  <c r="U48" i="40"/>
  <c r="E49" i="39"/>
  <c r="F49" i="39" s="1"/>
  <c r="U54" i="41"/>
  <c r="D19" i="43"/>
  <c r="F18" i="43"/>
  <c r="D17" i="43"/>
  <c r="F16" i="43"/>
  <c r="D17" i="42"/>
  <c r="F16" i="42"/>
  <c r="F18" i="42"/>
  <c r="D19" i="42"/>
  <c r="M50" i="39"/>
  <c r="N50" i="39" s="1"/>
  <c r="F40" i="39"/>
  <c r="G39" i="39"/>
  <c r="H39" i="39" s="1"/>
  <c r="F9" i="41"/>
  <c r="D11" i="41"/>
  <c r="F11" i="41" s="1"/>
  <c r="F12" i="41"/>
  <c r="D15" i="41"/>
  <c r="P50" i="41"/>
  <c r="G31" i="41"/>
  <c r="D18" i="41"/>
  <c r="D16" i="41"/>
  <c r="D50" i="40"/>
  <c r="U49" i="40"/>
  <c r="G50" i="40"/>
  <c r="H50" i="40" s="1"/>
  <c r="H39" i="40"/>
  <c r="O49" i="40"/>
  <c r="D49" i="40"/>
  <c r="O39" i="40"/>
  <c r="O42" i="39"/>
  <c r="P42" i="39" s="1"/>
  <c r="C49" i="39"/>
  <c r="D49" i="39" s="1"/>
  <c r="O40" i="39"/>
  <c r="P40" i="39" s="1"/>
  <c r="O44" i="39"/>
  <c r="P44" i="39" s="1"/>
  <c r="O43" i="39"/>
  <c r="P43" i="39" s="1"/>
  <c r="H42" i="39"/>
  <c r="I50" i="39"/>
  <c r="J50" i="39" s="1"/>
  <c r="H37" i="39"/>
  <c r="O37" i="39"/>
  <c r="P37" i="39" s="1"/>
  <c r="E50" i="39"/>
  <c r="F50" i="39" s="1"/>
  <c r="F39" i="39"/>
  <c r="U43" i="39"/>
  <c r="U44" i="39" s="1"/>
  <c r="U45" i="39" s="1"/>
  <c r="U46" i="39" s="1"/>
  <c r="U48" i="39" s="1"/>
  <c r="O41" i="39"/>
  <c r="P41" i="39" s="1"/>
  <c r="K50" i="39"/>
  <c r="L50" i="39" s="1"/>
  <c r="G49" i="39"/>
  <c r="H49" i="39" s="1"/>
  <c r="J39" i="39"/>
  <c r="N39" i="39"/>
  <c r="D40" i="39"/>
  <c r="T48" i="39"/>
  <c r="D41" i="39"/>
  <c r="F37" i="39"/>
  <c r="K39" i="38"/>
  <c r="O39" i="39" l="1"/>
  <c r="C50" i="39"/>
  <c r="D17" i="41"/>
  <c r="F16" i="41"/>
  <c r="D19" i="41"/>
  <c r="F18" i="41"/>
  <c r="P49" i="40"/>
  <c r="D9" i="40"/>
  <c r="D12" i="40"/>
  <c r="T53" i="40"/>
  <c r="U53" i="40" s="1"/>
  <c r="U54" i="40" s="1"/>
  <c r="S50" i="40"/>
  <c r="D10" i="40"/>
  <c r="F10" i="40" s="1"/>
  <c r="P39" i="40"/>
  <c r="O50" i="40"/>
  <c r="U49" i="39"/>
  <c r="O49" i="39"/>
  <c r="S50" i="39" s="1"/>
  <c r="G50" i="39"/>
  <c r="H50" i="39" s="1"/>
  <c r="D10" i="39"/>
  <c r="F10" i="39" s="1"/>
  <c r="P39" i="39"/>
  <c r="D50" i="39"/>
  <c r="G38" i="38"/>
  <c r="G37" i="38"/>
  <c r="H37" i="38" s="1"/>
  <c r="E38" i="38"/>
  <c r="E37" i="38"/>
  <c r="F37" i="38" s="1"/>
  <c r="G44" i="38"/>
  <c r="H44" i="38" s="1"/>
  <c r="G43" i="38"/>
  <c r="H43" i="38" s="1"/>
  <c r="G42" i="38"/>
  <c r="H42" i="38" s="1"/>
  <c r="G41" i="38"/>
  <c r="H41" i="38" s="1"/>
  <c r="G40" i="38"/>
  <c r="C44" i="38"/>
  <c r="D44" i="38" s="1"/>
  <c r="C43" i="38"/>
  <c r="D43" i="38" s="1"/>
  <c r="C42" i="38"/>
  <c r="D42" i="38" s="1"/>
  <c r="C41" i="38"/>
  <c r="D41" i="38" s="1"/>
  <c r="C40" i="38"/>
  <c r="L37" i="38"/>
  <c r="J37" i="38"/>
  <c r="D37" i="38"/>
  <c r="L44" i="38"/>
  <c r="J44" i="38"/>
  <c r="F44" i="38"/>
  <c r="L43" i="38"/>
  <c r="J43" i="38"/>
  <c r="F43" i="38"/>
  <c r="L42" i="38"/>
  <c r="J42" i="38"/>
  <c r="F42" i="38"/>
  <c r="L41" i="38"/>
  <c r="J41" i="38"/>
  <c r="F41" i="38"/>
  <c r="D15" i="40" l="1"/>
  <c r="F12" i="40"/>
  <c r="F9" i="40"/>
  <c r="D11" i="40"/>
  <c r="F11" i="40" s="1"/>
  <c r="D16" i="40"/>
  <c r="P50" i="40"/>
  <c r="G31" i="40"/>
  <c r="D18" i="40"/>
  <c r="O50" i="39"/>
  <c r="T53" i="39"/>
  <c r="U53" i="39" s="1"/>
  <c r="U54" i="39" s="1"/>
  <c r="P49" i="39"/>
  <c r="D9" i="39"/>
  <c r="D12" i="39"/>
  <c r="L38" i="38"/>
  <c r="J38" i="38"/>
  <c r="H38" i="38"/>
  <c r="F38" i="38"/>
  <c r="D19" i="40" l="1"/>
  <c r="F18" i="40"/>
  <c r="D17" i="40"/>
  <c r="F16" i="40"/>
  <c r="F12" i="39"/>
  <c r="D15" i="39"/>
  <c r="D11" i="39"/>
  <c r="F11" i="39" s="1"/>
  <c r="F9" i="39"/>
  <c r="D18" i="39"/>
  <c r="G31" i="39"/>
  <c r="P50" i="39"/>
  <c r="D16" i="39"/>
  <c r="L46" i="38"/>
  <c r="J46" i="38"/>
  <c r="H46" i="38"/>
  <c r="F46" i="38"/>
  <c r="D46" i="38"/>
  <c r="L45" i="38"/>
  <c r="J45" i="38"/>
  <c r="H45" i="38"/>
  <c r="F45" i="38"/>
  <c r="D45" i="38"/>
  <c r="F16" i="39" l="1"/>
  <c r="D17" i="39"/>
  <c r="D19" i="39"/>
  <c r="F18" i="39"/>
  <c r="E57" i="38"/>
  <c r="E58" i="38" s="1"/>
  <c r="E59" i="38" s="1"/>
  <c r="O48" i="38"/>
  <c r="P48" i="38" s="1"/>
  <c r="N48" i="38"/>
  <c r="L48" i="38"/>
  <c r="J48" i="38"/>
  <c r="H48" i="38"/>
  <c r="F48" i="38"/>
  <c r="D48" i="38"/>
  <c r="N47" i="38"/>
  <c r="L47" i="38"/>
  <c r="J47" i="38"/>
  <c r="O47" i="38"/>
  <c r="P47" i="38" s="1"/>
  <c r="F47" i="38"/>
  <c r="D47" i="38"/>
  <c r="N46" i="38"/>
  <c r="O46" i="38"/>
  <c r="P46" i="38" s="1"/>
  <c r="N45" i="38"/>
  <c r="O45" i="38"/>
  <c r="P45" i="38" s="1"/>
  <c r="N44" i="38"/>
  <c r="O44" i="38"/>
  <c r="P44" i="38" s="1"/>
  <c r="N43" i="38"/>
  <c r="O43" i="38"/>
  <c r="P43" i="38" s="1"/>
  <c r="C49" i="38"/>
  <c r="T42" i="38"/>
  <c r="T43" i="38" s="1"/>
  <c r="N42" i="38"/>
  <c r="O42" i="38"/>
  <c r="P42" i="38" s="1"/>
  <c r="U41" i="38"/>
  <c r="U42" i="38" s="1"/>
  <c r="U43" i="38" s="1"/>
  <c r="U44" i="38" s="1"/>
  <c r="U45" i="38" s="1"/>
  <c r="U46" i="38" s="1"/>
  <c r="N41" i="38"/>
  <c r="O41" i="38"/>
  <c r="P41" i="38" s="1"/>
  <c r="N40" i="38"/>
  <c r="L40" i="38"/>
  <c r="K49" i="38"/>
  <c r="L49" i="38" s="1"/>
  <c r="J40" i="38"/>
  <c r="H40" i="38"/>
  <c r="G49" i="38"/>
  <c r="H49" i="38" s="1"/>
  <c r="O40" i="38"/>
  <c r="P40" i="38" s="1"/>
  <c r="D40" i="38"/>
  <c r="M39" i="38"/>
  <c r="N39" i="38" s="1"/>
  <c r="L39" i="38"/>
  <c r="I39" i="38"/>
  <c r="J39" i="38" s="1"/>
  <c r="G39" i="38"/>
  <c r="H39" i="38" s="1"/>
  <c r="E39" i="38"/>
  <c r="F39" i="38" s="1"/>
  <c r="C39" i="38"/>
  <c r="D39" i="38" s="1"/>
  <c r="O38" i="38"/>
  <c r="P38" i="38" s="1"/>
  <c r="N38" i="38"/>
  <c r="D38" i="38"/>
  <c r="O37" i="38"/>
  <c r="P37" i="38" s="1"/>
  <c r="N37" i="38"/>
  <c r="O36" i="38"/>
  <c r="P36" i="38" s="1"/>
  <c r="N36" i="38"/>
  <c r="L36" i="38"/>
  <c r="J36" i="38"/>
  <c r="H36" i="38"/>
  <c r="F36" i="38"/>
  <c r="D36" i="38"/>
  <c r="P31" i="38"/>
  <c r="Q31" i="38" s="1"/>
  <c r="N31" i="38"/>
  <c r="O31" i="38" s="1"/>
  <c r="D14" i="38"/>
  <c r="F13" i="38"/>
  <c r="D8" i="38"/>
  <c r="F8" i="38" s="1"/>
  <c r="F7" i="38"/>
  <c r="F6" i="38"/>
  <c r="E56" i="38"/>
  <c r="F56" i="38" s="1"/>
  <c r="O39" i="38" l="1"/>
  <c r="D10" i="38" s="1"/>
  <c r="F10" i="38" s="1"/>
  <c r="T44" i="38"/>
  <c r="T45" i="38" s="1"/>
  <c r="T46" i="38" s="1"/>
  <c r="T48" i="38" s="1"/>
  <c r="D49" i="38"/>
  <c r="E49" i="38"/>
  <c r="F49" i="38" s="1"/>
  <c r="I49" i="38"/>
  <c r="J49" i="38" s="1"/>
  <c r="M49" i="38"/>
  <c r="N49" i="38" s="1"/>
  <c r="F40" i="38"/>
  <c r="U48" i="38"/>
  <c r="C50" i="38"/>
  <c r="G50" i="38"/>
  <c r="H50" i="38" s="1"/>
  <c r="K50" i="38"/>
  <c r="L50" i="38" s="1"/>
  <c r="F5" i="38"/>
  <c r="H47" i="38"/>
  <c r="M50" i="38" l="1"/>
  <c r="N50" i="38" s="1"/>
  <c r="P39" i="38"/>
  <c r="I50" i="38"/>
  <c r="J50" i="38" s="1"/>
  <c r="D50" i="38"/>
  <c r="E50" i="38"/>
  <c r="F50" i="38" s="1"/>
  <c r="O49" i="38"/>
  <c r="U49" i="38"/>
  <c r="O50" i="38" l="1"/>
  <c r="G31" i="38" s="1"/>
  <c r="T53" i="38"/>
  <c r="U53" i="38" s="1"/>
  <c r="U54" i="38" s="1"/>
  <c r="P49" i="38"/>
  <c r="D9" i="38"/>
  <c r="D12" i="38"/>
  <c r="S50" i="38"/>
  <c r="D15" i="38" l="1"/>
  <c r="F12" i="38"/>
  <c r="P50" i="38"/>
  <c r="D16" i="38"/>
  <c r="D18" i="38"/>
  <c r="D11" i="38"/>
  <c r="F11" i="38" s="1"/>
  <c r="F9" i="38"/>
  <c r="D19" i="38" l="1"/>
  <c r="F18" i="38"/>
  <c r="F16" i="38"/>
  <c r="D17" i="38"/>
</calcChain>
</file>

<file path=xl/sharedStrings.xml><?xml version="1.0" encoding="utf-8"?>
<sst xmlns="http://schemas.openxmlformats.org/spreadsheetml/2006/main" count="2036" uniqueCount="201">
  <si>
    <t>지하1층</t>
    <phoneticPr fontId="2" type="noConversion"/>
  </si>
  <si>
    <t>1층</t>
    <phoneticPr fontId="2" type="noConversion"/>
  </si>
  <si>
    <t>2층</t>
    <phoneticPr fontId="2" type="noConversion"/>
  </si>
  <si>
    <t>3층</t>
    <phoneticPr fontId="2" type="noConversion"/>
  </si>
  <si>
    <t>㎡</t>
    <phoneticPr fontId="2" type="noConversion"/>
  </si>
  <si>
    <t>평</t>
    <phoneticPr fontId="2" type="noConversion"/>
  </si>
  <si>
    <t>계</t>
    <phoneticPr fontId="2" type="noConversion"/>
  </si>
  <si>
    <t>연면적</t>
    <phoneticPr fontId="2" type="noConversion"/>
  </si>
  <si>
    <t>대지 위치</t>
    <phoneticPr fontId="2" type="noConversion"/>
  </si>
  <si>
    <t>지역 지구</t>
    <phoneticPr fontId="2" type="noConversion"/>
  </si>
  <si>
    <t>대지 면적</t>
    <phoneticPr fontId="2" type="noConversion"/>
  </si>
  <si>
    <t>지상연면적</t>
    <phoneticPr fontId="2" type="noConversion"/>
  </si>
  <si>
    <t>지하연면적</t>
    <phoneticPr fontId="2" type="noConversion"/>
  </si>
  <si>
    <t>합계</t>
    <phoneticPr fontId="2" type="noConversion"/>
  </si>
  <si>
    <t>■토지조서목록</t>
    <phoneticPr fontId="2" type="noConversion"/>
  </si>
  <si>
    <t>소재지</t>
    <phoneticPr fontId="2" type="noConversion"/>
  </si>
  <si>
    <t>지번</t>
    <phoneticPr fontId="2" type="noConversion"/>
  </si>
  <si>
    <t>지목</t>
    <phoneticPr fontId="2" type="noConversion"/>
  </si>
  <si>
    <t>비고</t>
    <phoneticPr fontId="2" type="noConversion"/>
  </si>
  <si>
    <t>합  계</t>
    <phoneticPr fontId="2" type="noConversion"/>
  </si>
  <si>
    <t xml:space="preserve"> * 상기설계개요은 인,허가시 변경될 수 있음.</t>
    <phoneticPr fontId="2" type="noConversion"/>
  </si>
  <si>
    <t>㈜선우종합건축사사무소</t>
    <phoneticPr fontId="2" type="noConversion"/>
  </si>
  <si>
    <t>■층별면적표</t>
    <phoneticPr fontId="2" type="noConversion"/>
  </si>
  <si>
    <t>램프 경사도</t>
    <phoneticPr fontId="2" type="noConversion"/>
  </si>
  <si>
    <t>지하층 계</t>
    <phoneticPr fontId="2" type="noConversion"/>
  </si>
  <si>
    <t>지상층 계</t>
    <phoneticPr fontId="2" type="noConversion"/>
  </si>
  <si>
    <r>
      <t>지적면적(</t>
    </r>
    <r>
      <rPr>
        <sz val="10"/>
        <color theme="1"/>
        <rFont val="맑은 고딕"/>
        <family val="3"/>
        <charset val="129"/>
      </rPr>
      <t>㎡)</t>
    </r>
    <phoneticPr fontId="2" type="noConversion"/>
  </si>
  <si>
    <t>지적면적(평)</t>
    <phoneticPr fontId="2" type="noConversion"/>
  </si>
  <si>
    <t>건 축 면 적</t>
    <phoneticPr fontId="2" type="noConversion"/>
  </si>
  <si>
    <t>용적률산정 연면적</t>
    <phoneticPr fontId="2" type="noConversion"/>
  </si>
  <si>
    <t>건   폐   율</t>
    <phoneticPr fontId="2" type="noConversion"/>
  </si>
  <si>
    <t>용   적   률</t>
    <phoneticPr fontId="2" type="noConversion"/>
  </si>
  <si>
    <t>층         고</t>
    <phoneticPr fontId="2" type="noConversion"/>
  </si>
  <si>
    <t>차로 및 경사로</t>
    <phoneticPr fontId="2" type="noConversion"/>
  </si>
  <si>
    <t>이하</t>
    <phoneticPr fontId="2" type="noConversion"/>
  </si>
  <si>
    <t>편입면적(㎡)</t>
    <phoneticPr fontId="2" type="noConversion"/>
  </si>
  <si>
    <t>편입면적(평)</t>
    <phoneticPr fontId="2" type="noConversion"/>
  </si>
  <si>
    <t>지하2층</t>
    <phoneticPr fontId="2" type="noConversion"/>
  </si>
  <si>
    <t>[임대면적 / 전체면적]</t>
    <phoneticPr fontId="2" type="noConversion"/>
  </si>
  <si>
    <t>대지면적</t>
    <phoneticPr fontId="2" type="noConversion"/>
  </si>
  <si>
    <t>층</t>
    <phoneticPr fontId="2" type="noConversion"/>
  </si>
  <si>
    <t>물류창고</t>
    <phoneticPr fontId="2" type="noConversion"/>
  </si>
  <si>
    <t>지하3층</t>
    <phoneticPr fontId="2" type="noConversion"/>
  </si>
  <si>
    <t>4층</t>
    <phoneticPr fontId="2" type="noConversion"/>
  </si>
  <si>
    <t>5층</t>
    <phoneticPr fontId="2" type="noConversion"/>
  </si>
  <si>
    <t>6층</t>
    <phoneticPr fontId="2" type="noConversion"/>
  </si>
  <si>
    <t>7층</t>
    <phoneticPr fontId="2" type="noConversion"/>
  </si>
  <si>
    <t>8층</t>
    <phoneticPr fontId="2" type="noConversion"/>
  </si>
  <si>
    <t>부대시설(사무실 등)</t>
    <phoneticPr fontId="2" type="noConversion"/>
  </si>
  <si>
    <t>주차대수</t>
    <phoneticPr fontId="2" type="noConversion"/>
  </si>
  <si>
    <t>기계,전기실</t>
    <phoneticPr fontId="2" type="noConversion"/>
  </si>
  <si>
    <t>일반</t>
    <phoneticPr fontId="2" type="noConversion"/>
  </si>
  <si>
    <t>하역</t>
    <phoneticPr fontId="2" type="noConversion"/>
  </si>
  <si>
    <t>법정주차</t>
    <phoneticPr fontId="2" type="noConversion"/>
  </si>
  <si>
    <t>주차장</t>
    <phoneticPr fontId="2" type="noConversion"/>
  </si>
  <si>
    <t>상온창고</t>
    <phoneticPr fontId="2" type="noConversion"/>
  </si>
  <si>
    <t>저온창고</t>
    <phoneticPr fontId="2" type="noConversion"/>
  </si>
  <si>
    <t>임 대 비 율-1</t>
    <phoneticPr fontId="2" type="noConversion"/>
  </si>
  <si>
    <t>임 대 면 적-1</t>
    <phoneticPr fontId="2" type="noConversion"/>
  </si>
  <si>
    <t>임 대 면 적-2</t>
    <phoneticPr fontId="2" type="noConversion"/>
  </si>
  <si>
    <t>임 대 비 율-2</t>
    <phoneticPr fontId="2" type="noConversion"/>
  </si>
  <si>
    <t>(차로및경사로 제외)</t>
    <phoneticPr fontId="2" type="noConversion"/>
  </si>
  <si>
    <t>(주차장,차로및경사로 제외)</t>
    <phoneticPr fontId="2" type="noConversion"/>
  </si>
  <si>
    <t>주 차 대 수</t>
    <phoneticPr fontId="2" type="noConversion"/>
  </si>
  <si>
    <t>전체면적</t>
    <phoneticPr fontId="2" type="noConversion"/>
  </si>
  <si>
    <t>잔여부지1</t>
    <phoneticPr fontId="2" type="noConversion"/>
  </si>
  <si>
    <t>잔여부지2</t>
    <phoneticPr fontId="2" type="noConversion"/>
  </si>
  <si>
    <t>계획/농림</t>
    <phoneticPr fontId="2" type="noConversion"/>
  </si>
  <si>
    <t>농림지역</t>
    <phoneticPr fontId="2" type="noConversion"/>
  </si>
  <si>
    <t>계획관리</t>
    <phoneticPr fontId="2" type="noConversion"/>
  </si>
  <si>
    <t>법정 :  70%이하</t>
    <phoneticPr fontId="2" type="noConversion"/>
  </si>
  <si>
    <t>9층</t>
    <phoneticPr fontId="2" type="noConversion"/>
  </si>
  <si>
    <t>부대시설</t>
    <phoneticPr fontId="2" type="noConversion"/>
  </si>
  <si>
    <t>부대시설</t>
    <phoneticPr fontId="2" type="noConversion"/>
  </si>
  <si>
    <t>■설계개요</t>
    <phoneticPr fontId="2" type="noConversion"/>
  </si>
  <si>
    <t>일반공업지역, 지구단위계획구역</t>
    <phoneticPr fontId="2" type="noConversion"/>
  </si>
  <si>
    <t>법정 : 250%이하</t>
    <phoneticPr fontId="2" type="noConversion"/>
  </si>
  <si>
    <t>법정 :  5층이하</t>
    <phoneticPr fontId="2" type="noConversion"/>
  </si>
  <si>
    <t>상온창고</t>
    <phoneticPr fontId="2" type="noConversion"/>
  </si>
  <si>
    <t>저온창고</t>
    <phoneticPr fontId="2" type="noConversion"/>
  </si>
  <si>
    <t>상온창고</t>
    <phoneticPr fontId="2" type="noConversion"/>
  </si>
  <si>
    <t>000대(화물주차000대,승용주차000대)</t>
    <phoneticPr fontId="2" type="noConversion"/>
  </si>
  <si>
    <t>(법정대비 000%)</t>
    <phoneticPr fontId="2" type="noConversion"/>
  </si>
  <si>
    <t>지하1,2층 8.5M, 지상 10M</t>
    <phoneticPr fontId="2" type="noConversion"/>
  </si>
  <si>
    <t>경남 김해시 주촌면 덕암리 996번지 일원(이노비즈밸리 일반산업단지 BL3-1)</t>
    <phoneticPr fontId="2" type="noConversion"/>
  </si>
  <si>
    <t>부대시설</t>
    <phoneticPr fontId="2" type="noConversion"/>
  </si>
  <si>
    <t>저온창고</t>
    <phoneticPr fontId="2" type="noConversion"/>
  </si>
  <si>
    <t>지하2층 12.5M, 지상1~5층 10M</t>
    <phoneticPr fontId="2" type="noConversion"/>
  </si>
  <si>
    <t>계단실 및 부대시설(사무실 등)</t>
    <phoneticPr fontId="2" type="noConversion"/>
  </si>
  <si>
    <r>
      <t>1층</t>
    </r>
    <r>
      <rPr>
        <sz val="9"/>
        <color theme="1"/>
        <rFont val="맑은 고딕"/>
        <family val="3"/>
        <charset val="129"/>
        <scheme val="minor"/>
      </rPr>
      <t xml:space="preserve"> </t>
    </r>
    <r>
      <rPr>
        <b/>
        <sz val="9"/>
        <color theme="4"/>
        <rFont val="맑은 고딕"/>
        <family val="3"/>
        <charset val="129"/>
        <scheme val="minor"/>
      </rPr>
      <t>(저온창고)</t>
    </r>
    <phoneticPr fontId="2" type="noConversion"/>
  </si>
  <si>
    <r>
      <t>2층</t>
    </r>
    <r>
      <rPr>
        <sz val="9"/>
        <color theme="1"/>
        <rFont val="맑은 고딕"/>
        <family val="3"/>
        <charset val="129"/>
        <scheme val="minor"/>
      </rPr>
      <t xml:space="preserve"> </t>
    </r>
    <r>
      <rPr>
        <b/>
        <sz val="9"/>
        <color theme="4"/>
        <rFont val="맑은 고딕"/>
        <family val="3"/>
        <charset val="129"/>
        <scheme val="minor"/>
      </rPr>
      <t>(저온창고)</t>
    </r>
    <phoneticPr fontId="2" type="noConversion"/>
  </si>
  <si>
    <r>
      <t>3층</t>
    </r>
    <r>
      <rPr>
        <sz val="9"/>
        <rFont val="맑은 고딕"/>
        <family val="3"/>
        <charset val="129"/>
        <scheme val="minor"/>
      </rPr>
      <t xml:space="preserve"> </t>
    </r>
    <r>
      <rPr>
        <b/>
        <sz val="9"/>
        <color rgb="FFC00000"/>
        <rFont val="맑은 고딕"/>
        <family val="3"/>
        <charset val="129"/>
        <scheme val="minor"/>
      </rPr>
      <t>(상온창고)</t>
    </r>
    <phoneticPr fontId="2" type="noConversion"/>
  </si>
  <si>
    <r>
      <t>4층</t>
    </r>
    <r>
      <rPr>
        <sz val="9"/>
        <rFont val="맑은 고딕"/>
        <family val="3"/>
        <charset val="129"/>
        <scheme val="minor"/>
      </rPr>
      <t xml:space="preserve"> </t>
    </r>
    <r>
      <rPr>
        <b/>
        <sz val="9"/>
        <color rgb="FFC00000"/>
        <rFont val="맑은 고딕"/>
        <family val="3"/>
        <charset val="129"/>
        <scheme val="minor"/>
      </rPr>
      <t>(상온창고)</t>
    </r>
    <phoneticPr fontId="2" type="noConversion"/>
  </si>
  <si>
    <r>
      <t>5층</t>
    </r>
    <r>
      <rPr>
        <sz val="9"/>
        <rFont val="맑은 고딕"/>
        <family val="3"/>
        <charset val="129"/>
        <scheme val="minor"/>
      </rPr>
      <t xml:space="preserve"> </t>
    </r>
    <r>
      <rPr>
        <b/>
        <sz val="9"/>
        <color rgb="FFC00000"/>
        <rFont val="맑은 고딕"/>
        <family val="3"/>
        <charset val="129"/>
        <scheme val="minor"/>
      </rPr>
      <t>(상온창고)</t>
    </r>
    <phoneticPr fontId="2" type="noConversion"/>
  </si>
  <si>
    <r>
      <t xml:space="preserve">지하1층 </t>
    </r>
    <r>
      <rPr>
        <sz val="9"/>
        <color theme="1"/>
        <rFont val="맑은 고딕"/>
        <family val="3"/>
        <charset val="129"/>
        <scheme val="minor"/>
      </rPr>
      <t>(부대)</t>
    </r>
    <phoneticPr fontId="2" type="noConversion"/>
  </si>
  <si>
    <r>
      <t xml:space="preserve">지하2층 </t>
    </r>
    <r>
      <rPr>
        <b/>
        <sz val="9"/>
        <color theme="4"/>
        <rFont val="맑은 고딕"/>
        <family val="3"/>
        <charset val="129"/>
        <scheme val="minor"/>
      </rPr>
      <t>(저온창고)</t>
    </r>
    <phoneticPr fontId="2" type="noConversion"/>
  </si>
  <si>
    <t>지붕층</t>
    <phoneticPr fontId="2" type="noConversion"/>
  </si>
  <si>
    <t>일반(확장형)</t>
    <phoneticPr fontId="2" type="noConversion"/>
  </si>
  <si>
    <t>화물용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</si>
  <si>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</si>
  <si>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</si>
  <si>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</si>
  <si>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</si>
  <si>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계  획</t>
    <phoneticPr fontId="2" type="noConversion"/>
  </si>
  <si>
    <t xml:space="preserve">총 주차대수 : </t>
    <phoneticPr fontId="2" type="noConversion"/>
  </si>
  <si>
    <t xml:space="preserve">확장형 주차 : </t>
    <phoneticPr fontId="2" type="noConversion"/>
  </si>
  <si>
    <t xml:space="preserve">화물용 주차 : </t>
    <phoneticPr fontId="2" type="noConversion"/>
  </si>
  <si>
    <t>조 경 면 적</t>
    <phoneticPr fontId="2" type="noConversion"/>
  </si>
  <si>
    <t xml:space="preserve">법정(대지면적의 10%이상) : </t>
    <phoneticPr fontId="2" type="noConversion"/>
  </si>
  <si>
    <t xml:space="preserve">계획면적 : </t>
    <phoneticPr fontId="2" type="noConversion"/>
  </si>
  <si>
    <t xml:space="preserve"> </t>
    <phoneticPr fontId="2" type="noConversion"/>
  </si>
  <si>
    <r>
      <t xml:space="preserve">확장형
</t>
    </r>
    <r>
      <rPr>
        <sz val="8.5"/>
        <color theme="1"/>
        <rFont val="맑은 고딕"/>
        <family val="3"/>
        <charset val="129"/>
        <scheme val="minor"/>
      </rPr>
      <t>(장애인,전기차포함)</t>
    </r>
    <phoneticPr fontId="2" type="noConversion"/>
  </si>
  <si>
    <t xml:space="preserve">확장형 주차(장애인,전기차포함) : </t>
    <phoneticPr fontId="2" type="noConversion"/>
  </si>
  <si>
    <t>확장형 주차 :
(장애인용포함)</t>
    <phoneticPr fontId="2" type="noConversion"/>
  </si>
  <si>
    <t>사무실, 휴게실
(*냉난방)</t>
    <phoneticPr fontId="2" type="noConversion"/>
  </si>
  <si>
    <t>일반(확장형)
(장애인포함)</t>
    <phoneticPr fontId="2" type="noConversion"/>
  </si>
  <si>
    <t>지하층 계</t>
    <phoneticPr fontId="2" type="noConversion"/>
  </si>
  <si>
    <t>총   계</t>
    <phoneticPr fontId="2" type="noConversion"/>
  </si>
  <si>
    <t xml:space="preserve"> ■ 설계개요</t>
    <phoneticPr fontId="2" type="noConversion"/>
  </si>
  <si>
    <t xml:space="preserve"> ■ 위 치 도 </t>
    <phoneticPr fontId="2" type="noConversion"/>
  </si>
  <si>
    <t>대 지 위 치</t>
    <phoneticPr fontId="2" type="noConversion"/>
  </si>
  <si>
    <t>지 역 지 구</t>
    <phoneticPr fontId="2" type="noConversion"/>
  </si>
  <si>
    <t>도        로</t>
    <phoneticPr fontId="2" type="noConversion"/>
  </si>
  <si>
    <t>대 지 면 적</t>
    <phoneticPr fontId="2" type="noConversion"/>
  </si>
  <si>
    <t>건축물의 용도</t>
    <phoneticPr fontId="2" type="noConversion"/>
  </si>
  <si>
    <t>창고시설</t>
    <phoneticPr fontId="2" type="noConversion"/>
  </si>
  <si>
    <t>구         조</t>
    <phoneticPr fontId="2" type="noConversion"/>
  </si>
  <si>
    <t>건 축 면 적</t>
    <phoneticPr fontId="2" type="noConversion"/>
  </si>
  <si>
    <t>연면적</t>
    <phoneticPr fontId="2" type="noConversion"/>
  </si>
  <si>
    <t>지상연면적</t>
    <phoneticPr fontId="2" type="noConversion"/>
  </si>
  <si>
    <t>지하연면적</t>
    <phoneticPr fontId="2" type="noConversion"/>
  </si>
  <si>
    <t>합계</t>
    <phoneticPr fontId="2" type="noConversion"/>
  </si>
  <si>
    <t>용적률산정용연면적</t>
    <phoneticPr fontId="2" type="noConversion"/>
  </si>
  <si>
    <t>건   폐   율</t>
    <phoneticPr fontId="2" type="noConversion"/>
  </si>
  <si>
    <t>용   적   률</t>
    <phoneticPr fontId="2" type="noConversion"/>
  </si>
  <si>
    <t>임대면적 및 비율</t>
    <phoneticPr fontId="2" type="noConversion"/>
  </si>
  <si>
    <t>(주차장, 캐노피 제외)</t>
    <phoneticPr fontId="2" type="noConversion"/>
  </si>
  <si>
    <t>주         차</t>
    <phoneticPr fontId="2" type="noConversion"/>
  </si>
  <si>
    <t>계획</t>
    <phoneticPr fontId="2" type="noConversion"/>
  </si>
  <si>
    <t>화물용 주차 :</t>
    <phoneticPr fontId="2" type="noConversion"/>
  </si>
  <si>
    <t>총주차대수 :</t>
    <phoneticPr fontId="2" type="noConversion"/>
  </si>
  <si>
    <t>조경면적</t>
    <phoneticPr fontId="2" type="noConversion"/>
  </si>
  <si>
    <t>냉난방면적</t>
    <phoneticPr fontId="2" type="noConversion"/>
  </si>
  <si>
    <t xml:space="preserve"> ■ 층별 / 용도별 면적표</t>
    <phoneticPr fontId="2" type="noConversion"/>
  </si>
  <si>
    <t>구   분</t>
    <phoneticPr fontId="2" type="noConversion"/>
  </si>
  <si>
    <t>창  고</t>
    <phoneticPr fontId="2" type="noConversion"/>
  </si>
  <si>
    <t>부 대 시 설</t>
    <phoneticPr fontId="2" type="noConversion"/>
  </si>
  <si>
    <t>총  계</t>
    <phoneticPr fontId="2" type="noConversion"/>
  </si>
  <si>
    <t>주 차 대 수</t>
    <phoneticPr fontId="2" type="noConversion"/>
  </si>
  <si>
    <t>창고전용</t>
    <phoneticPr fontId="2" type="noConversion"/>
  </si>
  <si>
    <t>주차용</t>
    <phoneticPr fontId="2" type="noConversion"/>
  </si>
  <si>
    <t>발전기실
펌프실
전기실 외</t>
    <phoneticPr fontId="2" type="noConversion"/>
  </si>
  <si>
    <t>창 고 합 계</t>
    <phoneticPr fontId="2" type="noConversion"/>
  </si>
  <si>
    <t>주방 및 식당</t>
    <phoneticPr fontId="2" type="noConversion"/>
  </si>
  <si>
    <t>부대시설 합계</t>
    <phoneticPr fontId="2" type="noConversion"/>
  </si>
  <si>
    <t>사무실/휴게실
(*냉난방)</t>
    <phoneticPr fontId="2" type="noConversion"/>
  </si>
  <si>
    <t>락카/탈의실
(*냉난방)</t>
    <phoneticPr fontId="2" type="noConversion"/>
  </si>
  <si>
    <t>화장실</t>
    <phoneticPr fontId="2" type="noConversion"/>
  </si>
  <si>
    <t>계단실, 복도</t>
    <phoneticPr fontId="2" type="noConversion"/>
  </si>
  <si>
    <t>소  계</t>
    <phoneticPr fontId="2" type="noConversion"/>
  </si>
  <si>
    <t>주차장</t>
    <phoneticPr fontId="2" type="noConversion"/>
  </si>
  <si>
    <t>경사로</t>
    <phoneticPr fontId="2" type="noConversion"/>
  </si>
  <si>
    <t>캐노피</t>
    <phoneticPr fontId="2" type="noConversion"/>
  </si>
  <si>
    <t>㎡</t>
    <phoneticPr fontId="2" type="noConversion"/>
  </si>
  <si>
    <t>평</t>
    <phoneticPr fontId="2" type="noConversion"/>
  </si>
  <si>
    <t>주방, 창고</t>
    <phoneticPr fontId="2" type="noConversion"/>
  </si>
  <si>
    <t>식당
(*냉난방)</t>
    <phoneticPr fontId="2" type="noConversion"/>
  </si>
  <si>
    <t>평</t>
    <phoneticPr fontId="2" type="noConversion"/>
  </si>
  <si>
    <t>화물용</t>
    <phoneticPr fontId="2" type="noConversion"/>
  </si>
  <si>
    <r>
      <t>3층</t>
    </r>
    <r>
      <rPr>
        <b/>
        <sz val="10"/>
        <color theme="9" tint="-0.249977111117893"/>
        <rFont val="맑은 고딕"/>
        <family val="3"/>
        <charset val="129"/>
        <scheme val="minor"/>
      </rPr>
      <t xml:space="preserve"> (상온창고)</t>
    </r>
    <phoneticPr fontId="2" type="noConversion"/>
  </si>
  <si>
    <t>지상층 계</t>
    <phoneticPr fontId="2" type="noConversion"/>
  </si>
  <si>
    <t xml:space="preserve"> * 상기 면적은 건축인허가 진행을 위한 기본도서를 근거로 작성된 면적이며, 추후 진행 및 인허가에 따라 변경될 수 있음.</t>
    <phoneticPr fontId="2" type="noConversion"/>
  </si>
  <si>
    <t>경남 김해시 주촌면 덕암리 996번지 일원(이노비즈밸리 일반산업단지 BL3-1)</t>
    <phoneticPr fontId="2" type="noConversion"/>
  </si>
  <si>
    <t>법정 :  70%이하</t>
    <phoneticPr fontId="2" type="noConversion"/>
  </si>
  <si>
    <t>법정 : 250%이하</t>
    <phoneticPr fontId="2" type="noConversion"/>
  </si>
  <si>
    <t>지하1층 (부대)</t>
    <phoneticPr fontId="2" type="noConversion"/>
  </si>
  <si>
    <r>
      <t xml:space="preserve">지하2층 </t>
    </r>
    <r>
      <rPr>
        <b/>
        <sz val="10"/>
        <color rgb="FF0070C0"/>
        <rFont val="맑은 고딕"/>
        <family val="3"/>
        <charset val="129"/>
        <scheme val="minor"/>
      </rPr>
      <t>(저온창고)</t>
    </r>
    <phoneticPr fontId="2" type="noConversion"/>
  </si>
  <si>
    <r>
      <t xml:space="preserve">1층 </t>
    </r>
    <r>
      <rPr>
        <b/>
        <sz val="10"/>
        <color theme="4"/>
        <rFont val="맑은 고딕"/>
        <family val="3"/>
        <charset val="129"/>
        <scheme val="minor"/>
      </rPr>
      <t>(저온창고)</t>
    </r>
    <phoneticPr fontId="2" type="noConversion"/>
  </si>
  <si>
    <r>
      <t xml:space="preserve">2층 </t>
    </r>
    <r>
      <rPr>
        <b/>
        <sz val="10"/>
        <color theme="4"/>
        <rFont val="맑은 고딕"/>
        <family val="3"/>
        <charset val="129"/>
        <scheme val="minor"/>
      </rPr>
      <t>(저온창고)</t>
    </r>
    <phoneticPr fontId="2" type="noConversion"/>
  </si>
  <si>
    <r>
      <t xml:space="preserve">4층 </t>
    </r>
    <r>
      <rPr>
        <b/>
        <sz val="10"/>
        <color theme="9" tint="-0.249977111117893"/>
        <rFont val="맑은 고딕"/>
        <family val="3"/>
        <charset val="129"/>
        <scheme val="minor"/>
      </rPr>
      <t>(상온창고)</t>
    </r>
    <phoneticPr fontId="2" type="noConversion"/>
  </si>
  <si>
    <r>
      <t>5층</t>
    </r>
    <r>
      <rPr>
        <b/>
        <sz val="10"/>
        <color theme="9" tint="-0.249977111117893"/>
        <rFont val="맑은 고딕"/>
        <family val="3"/>
        <charset val="129"/>
        <scheme val="minor"/>
      </rPr>
      <t xml:space="preserve"> (상온창고)</t>
    </r>
    <phoneticPr fontId="2" type="noConversion"/>
  </si>
  <si>
    <t>지붕층</t>
    <phoneticPr fontId="2" type="noConversion"/>
  </si>
  <si>
    <t>-</t>
    <phoneticPr fontId="2" type="noConversion"/>
  </si>
  <si>
    <t>-</t>
    <phoneticPr fontId="2" type="noConversion"/>
  </si>
  <si>
    <t>(대지면적의 10% 이상)</t>
    <phoneticPr fontId="2" type="noConversion"/>
  </si>
  <si>
    <t>규         모</t>
    <phoneticPr fontId="2" type="noConversion"/>
  </si>
  <si>
    <t>지하 2층, 지상 5층 (법정 : 5층이하)</t>
    <phoneticPr fontId="2" type="noConversion"/>
  </si>
  <si>
    <t>폭 16M 도로에 접합</t>
    <phoneticPr fontId="2" type="noConversion"/>
  </si>
  <si>
    <t>일반(확장형)
(장애인포함)
(전기차포함)</t>
    <phoneticPr fontId="2" type="noConversion"/>
  </si>
  <si>
    <t>일반(확장형) 주차 :
(장애인용, 전기차 포함)</t>
    <phoneticPr fontId="2" type="noConversion"/>
  </si>
  <si>
    <t>경비실,
화재감시실,
통신실
(*냉난방)</t>
    <phoneticPr fontId="2" type="noConversion"/>
  </si>
  <si>
    <t>락카/탈의실</t>
    <phoneticPr fontId="2" type="noConversion"/>
  </si>
  <si>
    <t>지  붕</t>
    <phoneticPr fontId="2" type="noConversion"/>
  </si>
  <si>
    <t>주차장
(BERTH)</t>
    <phoneticPr fontId="2" type="noConversion"/>
  </si>
  <si>
    <t>경사로 및 통로</t>
    <phoneticPr fontId="2" type="noConversion"/>
  </si>
  <si>
    <r>
      <t xml:space="preserve">지하2층 </t>
    </r>
    <r>
      <rPr>
        <b/>
        <sz val="10"/>
        <color rgb="FF0070C0"/>
        <rFont val="맑은 고딕"/>
        <family val="3"/>
        <charset val="129"/>
      </rPr>
      <t>(저온창고)</t>
    </r>
    <phoneticPr fontId="2" type="noConversion"/>
  </si>
  <si>
    <r>
      <t xml:space="preserve">1층 </t>
    </r>
    <r>
      <rPr>
        <b/>
        <sz val="10"/>
        <color theme="4"/>
        <rFont val="맑은 고딕"/>
        <family val="3"/>
        <charset val="129"/>
      </rPr>
      <t>(저온창고)</t>
    </r>
    <phoneticPr fontId="2" type="noConversion"/>
  </si>
  <si>
    <r>
      <t xml:space="preserve">2층 </t>
    </r>
    <r>
      <rPr>
        <b/>
        <sz val="10"/>
        <color theme="4"/>
        <rFont val="맑은 고딕"/>
        <family val="3"/>
        <charset val="129"/>
      </rPr>
      <t>(저온창고)</t>
    </r>
    <phoneticPr fontId="2" type="noConversion"/>
  </si>
  <si>
    <r>
      <t>3층</t>
    </r>
    <r>
      <rPr>
        <b/>
        <sz val="10"/>
        <color theme="9" tint="-0.249977111117893"/>
        <rFont val="맑은 고딕"/>
        <family val="3"/>
        <charset val="129"/>
      </rPr>
      <t xml:space="preserve"> (상온창고)</t>
    </r>
    <phoneticPr fontId="2" type="noConversion"/>
  </si>
  <si>
    <r>
      <t xml:space="preserve">4층 </t>
    </r>
    <r>
      <rPr>
        <b/>
        <sz val="10"/>
        <color theme="9" tint="-0.249977111117893"/>
        <rFont val="맑은 고딕"/>
        <family val="3"/>
        <charset val="129"/>
      </rPr>
      <t>(상온창고)</t>
    </r>
    <phoneticPr fontId="2" type="noConversion"/>
  </si>
  <si>
    <r>
      <t>5층</t>
    </r>
    <r>
      <rPr>
        <b/>
        <sz val="10"/>
        <color theme="9" tint="-0.249977111117893"/>
        <rFont val="맑은 고딕"/>
        <family val="3"/>
        <charset val="129"/>
      </rPr>
      <t xml:space="preserve"> (상온창고)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</si>
</sst>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41" formatCode="_-* #,##0_-;\-* #,##0_-;_-* &quot;-&quot;_-;_-@_-"/>
    <numFmt numFmtId="43" formatCode="_-* #,##0.00_-;\-* #,##0.00_-;_-* &quot;-&quot;??_-;_-@_-"/>
    <numFmt numFmtId="176" formatCode="#,#00&quot;㎡&quot;"/>
    <numFmt numFmtId="177" formatCode="#,#00&quot;평&quot;"/>
    <numFmt numFmtId="178" formatCode="#,#00&quot;대&quot;"/>
    <numFmt numFmtId="179" formatCode="_-* #,##0.00_-;\-* #,##0.00_-;_-* &quot;-&quot;_-;_-@_-"/>
    <numFmt numFmtId="180" formatCode="&quot;법정 : &quot;#,#00&quot;대&quot;"/>
    <numFmt numFmtId="181" formatCode="#,###.##&quot;㎡&quot;"/>
    <numFmt numFmtId="182" formatCode="###&quot;대&quot;"/>
    <numFmt numFmtId="183" formatCode="&quot;법정 : &quot;#,###.##&quot;㎡ ÷ 400㎡&quot;"/>
    <numFmt numFmtId="184" formatCode="\=###.##&quot;대 이상&quot;"/>
    <numFmt numFmtId="185" formatCode="###.##&quot;㎡ 이상&quot;"/>
    <numFmt numFmtId="186" formatCode="###.##&quot;㎡ &quot;"/>
    <numFmt numFmtId="187" formatCode="_-* #,##0.0_-;\-* #,##0.0_-;_-* &quot;-&quot;_-;_-@_-"/>
    <numFmt numFmtId="188" formatCode="#,#00.00&quot;㎡&quot;"/>
    <numFmt numFmtId="189" formatCode="&quot;/      &quot;##.##&quot;m&quot;"/>
    <numFmt numFmtId="190" formatCode="0.000"/>
    <numFmt numFmtId="191" formatCode="#,##0.000_ "/>
    <numFmt numFmtId="192" formatCode="##,###.##\ &quot;÷ 400㎡&quot;"/>
    <numFmt numFmtId="193" formatCode="&quot;법정&quot;\ ##.##&quot;대&quot;"/>
    <numFmt numFmtId="194" formatCode="###.##&quot;대 이상&quot;"/>
    <numFmt numFmtId="195" formatCode="&quot;부속시설: &quot;##.##&quot;㎡&quot;"/>
    <numFmt numFmtId="196" formatCode="&quot;구내식당: &quot;#,###.##&quot;㎡&quot;"/>
    <numFmt numFmtId="197" formatCode="&quot;냉난방면적 합계 &quot;#,###.##&quot;㎡로 에너지절약계획서 제출 대상(500㎡초과)&quot;"/>
    <numFmt numFmtId="198" formatCode="&quot;냉난방면적 합계 &quot;###.##&quot;㎡로 에너지절약계획서 제출 대상(500㎡초과)&quot;"/>
  </numFmts>
  <fonts count="3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2"/>
      <color theme="0"/>
      <name val="HY견고딕"/>
      <family val="1"/>
      <charset val="129"/>
    </font>
    <font>
      <sz val="1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9"/>
      <color theme="4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color rgb="FFC00000"/>
      <name val="맑은 고딕"/>
      <family val="3"/>
      <charset val="129"/>
      <scheme val="minor"/>
    </font>
    <font>
      <sz val="10"/>
      <color rgb="FFC00000"/>
      <name val="맑은 고딕"/>
      <family val="3"/>
      <charset val="129"/>
      <scheme val="minor"/>
    </font>
    <font>
      <sz val="8.5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b/>
      <sz val="10"/>
      <color rgb="FF0070C0"/>
      <name val="맑은 고딕"/>
      <family val="3"/>
      <charset val="129"/>
      <scheme val="minor"/>
    </font>
    <font>
      <b/>
      <sz val="10"/>
      <color theme="9" tint="-0.249977111117893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0"/>
      <color theme="4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2"/>
      <color theme="0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name val="맑은 고딕"/>
      <family val="3"/>
      <charset val="129"/>
    </font>
    <font>
      <sz val="11"/>
      <name val="맑은 고딕"/>
      <family val="3"/>
      <charset val="129"/>
    </font>
    <font>
      <sz val="9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11"/>
      <color rgb="FFFF0000"/>
      <name val="맑은 고딕"/>
      <family val="3"/>
      <charset val="129"/>
    </font>
    <font>
      <b/>
      <sz val="10"/>
      <name val="맑은 고딕"/>
      <family val="3"/>
      <charset val="129"/>
    </font>
    <font>
      <b/>
      <sz val="10"/>
      <color theme="0"/>
      <name val="맑은 고딕"/>
      <family val="3"/>
      <charset val="129"/>
    </font>
    <font>
      <sz val="10"/>
      <color theme="0"/>
      <name val="맑은 고딕"/>
      <family val="3"/>
      <charset val="129"/>
    </font>
    <font>
      <b/>
      <sz val="10"/>
      <color rgb="FF0070C0"/>
      <name val="맑은 고딕"/>
      <family val="3"/>
      <charset val="129"/>
    </font>
    <font>
      <b/>
      <sz val="10"/>
      <color theme="4"/>
      <name val="맑은 고딕"/>
      <family val="3"/>
      <charset val="129"/>
    </font>
    <font>
      <b/>
      <sz val="10"/>
      <color theme="9" tint="-0.249977111117893"/>
      <name val="맑은 고딕"/>
      <family val="3"/>
      <charset val="129"/>
    </font>
  </fonts>
  <fills count="1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90">
    <border>
      <left/>
      <right/>
      <top/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medium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03">
    <xf numFmtId="0" fontId="0" fillId="0" borderId="0" xfId="0">
      <alignment vertical="center"/>
    </xf>
    <xf numFmtId="41" fontId="0" fillId="0" borderId="0" xfId="1" applyFo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5" fillId="2" borderId="0" xfId="0" applyFont="1" applyFill="1">
      <alignment vertical="center"/>
    </xf>
    <xf numFmtId="0" fontId="5" fillId="2" borderId="0" xfId="0" applyFont="1" applyFill="1" applyAlignment="1">
      <alignment horizontal="right" vertical="center"/>
    </xf>
    <xf numFmtId="41" fontId="0" fillId="3" borderId="0" xfId="1" applyFont="1" applyFill="1">
      <alignment vertical="center"/>
    </xf>
    <xf numFmtId="41" fontId="4" fillId="0" borderId="0" xfId="1" applyFont="1">
      <alignment vertical="center"/>
    </xf>
    <xf numFmtId="43" fontId="0" fillId="0" borderId="0" xfId="0" applyNumberFormat="1">
      <alignment vertical="center"/>
    </xf>
    <xf numFmtId="41" fontId="4" fillId="4" borderId="31" xfId="1" applyFont="1" applyFill="1" applyBorder="1">
      <alignment vertical="center"/>
    </xf>
    <xf numFmtId="41" fontId="4" fillId="4" borderId="32" xfId="1" applyFont="1" applyFill="1" applyBorder="1">
      <alignment vertical="center"/>
    </xf>
    <xf numFmtId="41" fontId="4" fillId="4" borderId="8" xfId="1" applyFont="1" applyFill="1" applyBorder="1" applyAlignment="1">
      <alignment vertical="center"/>
    </xf>
    <xf numFmtId="41" fontId="4" fillId="4" borderId="8" xfId="1" applyFont="1" applyFill="1" applyBorder="1">
      <alignment vertical="center"/>
    </xf>
    <xf numFmtId="41" fontId="4" fillId="4" borderId="7" xfId="1" applyFont="1" applyFill="1" applyBorder="1">
      <alignment vertical="center"/>
    </xf>
    <xf numFmtId="41" fontId="4" fillId="4" borderId="9" xfId="1" applyFont="1" applyFill="1" applyBorder="1">
      <alignment vertical="center"/>
    </xf>
    <xf numFmtId="41" fontId="4" fillId="4" borderId="10" xfId="1" applyFont="1" applyFill="1" applyBorder="1" applyAlignment="1">
      <alignment horizontal="center" vertical="center"/>
    </xf>
    <xf numFmtId="41" fontId="4" fillId="4" borderId="10" xfId="1" applyFont="1" applyFill="1" applyBorder="1">
      <alignment vertical="center"/>
    </xf>
    <xf numFmtId="41" fontId="4" fillId="4" borderId="19" xfId="1" applyFont="1" applyFill="1" applyBorder="1">
      <alignment vertical="center"/>
    </xf>
    <xf numFmtId="41" fontId="4" fillId="4" borderId="11" xfId="1" applyFont="1" applyFill="1" applyBorder="1">
      <alignment vertical="center"/>
    </xf>
    <xf numFmtId="0" fontId="4" fillId="5" borderId="35" xfId="1" applyNumberFormat="1" applyFont="1" applyFill="1" applyBorder="1" applyAlignment="1">
      <alignment horizontal="center" vertical="center"/>
    </xf>
    <xf numFmtId="0" fontId="4" fillId="5" borderId="36" xfId="1" applyNumberFormat="1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41" fontId="4" fillId="5" borderId="13" xfId="1" applyFont="1" applyFill="1" applyBorder="1">
      <alignment vertical="center"/>
    </xf>
    <xf numFmtId="41" fontId="4" fillId="5" borderId="14" xfId="1" applyFont="1" applyFill="1" applyBorder="1" applyAlignment="1">
      <alignment vertical="center"/>
    </xf>
    <xf numFmtId="41" fontId="4" fillId="5" borderId="14" xfId="1" applyFont="1" applyFill="1" applyBorder="1">
      <alignment vertical="center"/>
    </xf>
    <xf numFmtId="41" fontId="4" fillId="5" borderId="16" xfId="1" applyFont="1" applyFill="1" applyBorder="1">
      <alignment vertical="center"/>
    </xf>
    <xf numFmtId="41" fontId="4" fillId="5" borderId="15" xfId="1" applyFont="1" applyFill="1" applyBorder="1">
      <alignment vertical="center"/>
    </xf>
    <xf numFmtId="0" fontId="4" fillId="5" borderId="24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4" fillId="5" borderId="26" xfId="0" applyFont="1" applyFill="1" applyBorder="1" applyAlignment="1">
      <alignment horizontal="center" vertical="center"/>
    </xf>
    <xf numFmtId="0" fontId="4" fillId="5" borderId="30" xfId="1" applyNumberFormat="1" applyFont="1" applyFill="1" applyBorder="1" applyAlignment="1">
      <alignment horizontal="center" vertical="center" shrinkToFit="1"/>
    </xf>
    <xf numFmtId="0" fontId="4" fillId="5" borderId="42" xfId="0" applyFont="1" applyFill="1" applyBorder="1" applyAlignment="1">
      <alignment horizontal="center" vertical="center"/>
    </xf>
    <xf numFmtId="41" fontId="4" fillId="4" borderId="43" xfId="1" applyFont="1" applyFill="1" applyBorder="1">
      <alignment vertical="center"/>
    </xf>
    <xf numFmtId="41" fontId="4" fillId="4" borderId="44" xfId="1" applyFont="1" applyFill="1" applyBorder="1">
      <alignment vertical="center"/>
    </xf>
    <xf numFmtId="41" fontId="4" fillId="4" borderId="37" xfId="1" applyFont="1" applyFill="1" applyBorder="1">
      <alignment vertical="center"/>
    </xf>
    <xf numFmtId="41" fontId="4" fillId="4" borderId="45" xfId="1" applyFont="1" applyFill="1" applyBorder="1">
      <alignment vertical="center"/>
    </xf>
    <xf numFmtId="41" fontId="4" fillId="5" borderId="13" xfId="1" applyFont="1" applyFill="1" applyBorder="1" applyAlignment="1">
      <alignment vertical="center"/>
    </xf>
    <xf numFmtId="41" fontId="4" fillId="5" borderId="14" xfId="1" applyFont="1" applyFill="1" applyBorder="1" applyAlignment="1">
      <alignment horizontal="center" vertical="center"/>
    </xf>
    <xf numFmtId="0" fontId="4" fillId="6" borderId="21" xfId="0" applyFont="1" applyFill="1" applyBorder="1" applyAlignment="1">
      <alignment horizontal="center" vertical="center"/>
    </xf>
    <xf numFmtId="41" fontId="4" fillId="6" borderId="13" xfId="1" applyFont="1" applyFill="1" applyBorder="1">
      <alignment vertical="center"/>
    </xf>
    <xf numFmtId="41" fontId="4" fillId="6" borderId="14" xfId="1" applyFont="1" applyFill="1" applyBorder="1" applyAlignment="1">
      <alignment vertical="center"/>
    </xf>
    <xf numFmtId="41" fontId="4" fillId="6" borderId="14" xfId="1" applyFont="1" applyFill="1" applyBorder="1">
      <alignment vertical="center"/>
    </xf>
    <xf numFmtId="41" fontId="4" fillId="6" borderId="16" xfId="1" applyFont="1" applyFill="1" applyBorder="1">
      <alignment vertical="center"/>
    </xf>
    <xf numFmtId="41" fontId="4" fillId="6" borderId="15" xfId="1" applyFont="1" applyFill="1" applyBorder="1">
      <alignment vertical="center"/>
    </xf>
    <xf numFmtId="0" fontId="0" fillId="0" borderId="0" xfId="0" applyAlignment="1">
      <alignment horizontal="center" vertical="center"/>
    </xf>
    <xf numFmtId="41" fontId="0" fillId="0" borderId="0" xfId="0" applyNumberFormat="1">
      <alignment vertical="center"/>
    </xf>
    <xf numFmtId="41" fontId="4" fillId="0" borderId="28" xfId="1" applyFont="1" applyFill="1" applyBorder="1">
      <alignment vertical="center"/>
    </xf>
    <xf numFmtId="0" fontId="4" fillId="5" borderId="22" xfId="1" applyNumberFormat="1" applyFont="1" applyFill="1" applyBorder="1" applyAlignment="1">
      <alignment horizontal="center" vertical="center"/>
    </xf>
    <xf numFmtId="41" fontId="4" fillId="5" borderId="20" xfId="1" applyFont="1" applyFill="1" applyBorder="1" applyAlignment="1">
      <alignment horizontal="center" vertical="center"/>
    </xf>
    <xf numFmtId="41" fontId="4" fillId="0" borderId="0" xfId="1" applyFont="1" applyFill="1" applyBorder="1">
      <alignment vertical="center"/>
    </xf>
    <xf numFmtId="0" fontId="4" fillId="5" borderId="28" xfId="0" applyNumberFormat="1" applyFont="1" applyFill="1" applyBorder="1" applyAlignment="1">
      <alignment horizontal="center" vertical="center" shrinkToFit="1"/>
    </xf>
    <xf numFmtId="0" fontId="4" fillId="5" borderId="36" xfId="0" applyNumberFormat="1" applyFont="1" applyFill="1" applyBorder="1" applyAlignment="1">
      <alignment horizontal="center" vertical="center" shrinkToFit="1"/>
    </xf>
    <xf numFmtId="41" fontId="4" fillId="5" borderId="28" xfId="1" applyFont="1" applyFill="1" applyBorder="1" applyAlignment="1">
      <alignment horizontal="center" vertical="center"/>
    </xf>
    <xf numFmtId="0" fontId="4" fillId="6" borderId="49" xfId="0" applyFont="1" applyFill="1" applyBorder="1" applyAlignment="1">
      <alignment horizontal="center" vertical="center"/>
    </xf>
    <xf numFmtId="0" fontId="4" fillId="5" borderId="22" xfId="1" applyNumberFormat="1" applyFont="1" applyFill="1" applyBorder="1" applyAlignment="1">
      <alignment horizontal="center" vertical="center" shrinkToFit="1"/>
    </xf>
    <xf numFmtId="49" fontId="4" fillId="5" borderId="35" xfId="1" applyNumberFormat="1" applyFont="1" applyFill="1" applyBorder="1" applyAlignment="1">
      <alignment horizontal="center" vertical="center"/>
    </xf>
    <xf numFmtId="41" fontId="4" fillId="4" borderId="28" xfId="1" applyFont="1" applyFill="1" applyBorder="1" applyAlignment="1">
      <alignment horizontal="center" vertical="center"/>
    </xf>
    <xf numFmtId="0" fontId="4" fillId="5" borderId="54" xfId="0" applyFont="1" applyFill="1" applyBorder="1" applyAlignment="1">
      <alignment horizontal="center" vertical="center" shrinkToFit="1"/>
    </xf>
    <xf numFmtId="49" fontId="4" fillId="5" borderId="57" xfId="1" applyNumberFormat="1" applyFont="1" applyFill="1" applyBorder="1" applyAlignment="1">
      <alignment horizontal="center" vertical="center"/>
    </xf>
    <xf numFmtId="0" fontId="4" fillId="5" borderId="55" xfId="1" applyNumberFormat="1" applyFont="1" applyFill="1" applyBorder="1" applyAlignment="1">
      <alignment horizontal="center" vertical="center"/>
    </xf>
    <xf numFmtId="41" fontId="4" fillId="4" borderId="56" xfId="1" applyNumberFormat="1" applyFont="1" applyFill="1" applyBorder="1">
      <alignment vertical="center"/>
    </xf>
    <xf numFmtId="41" fontId="4" fillId="4" borderId="55" xfId="1" applyNumberFormat="1" applyFont="1" applyFill="1" applyBorder="1">
      <alignment vertical="center"/>
    </xf>
    <xf numFmtId="41" fontId="7" fillId="4" borderId="56" xfId="1" applyNumberFormat="1" applyFont="1" applyFill="1" applyBorder="1">
      <alignment vertical="center"/>
    </xf>
    <xf numFmtId="41" fontId="4" fillId="4" borderId="53" xfId="1" applyFont="1" applyFill="1" applyBorder="1" applyAlignment="1">
      <alignment horizontal="center" vertical="center"/>
    </xf>
    <xf numFmtId="0" fontId="4" fillId="5" borderId="42" xfId="0" applyFont="1" applyFill="1" applyBorder="1" applyAlignment="1">
      <alignment horizontal="center" vertical="center" shrinkToFit="1"/>
    </xf>
    <xf numFmtId="41" fontId="4" fillId="4" borderId="0" xfId="1" applyFont="1" applyFill="1" applyBorder="1" applyAlignment="1">
      <alignment horizontal="center" vertical="center"/>
    </xf>
    <xf numFmtId="41" fontId="4" fillId="4" borderId="53" xfId="1" applyFont="1" applyFill="1" applyBorder="1" applyAlignment="1">
      <alignment horizontal="center" vertical="center" shrinkToFit="1"/>
    </xf>
    <xf numFmtId="41" fontId="4" fillId="4" borderId="58" xfId="1" applyFont="1" applyFill="1" applyBorder="1" applyAlignment="1">
      <alignment horizontal="center" vertical="center"/>
    </xf>
    <xf numFmtId="41" fontId="8" fillId="3" borderId="0" xfId="1" applyFont="1" applyFill="1">
      <alignment vertical="center"/>
    </xf>
    <xf numFmtId="0" fontId="8" fillId="3" borderId="0" xfId="0" applyFont="1" applyFill="1">
      <alignment vertical="center"/>
    </xf>
    <xf numFmtId="41" fontId="9" fillId="4" borderId="53" xfId="1" applyFont="1" applyFill="1" applyBorder="1" applyAlignment="1">
      <alignment horizontal="center" vertical="center"/>
    </xf>
    <xf numFmtId="41" fontId="4" fillId="4" borderId="17" xfId="1" applyFont="1" applyFill="1" applyBorder="1" applyAlignment="1">
      <alignment vertical="center"/>
    </xf>
    <xf numFmtId="0" fontId="8" fillId="3" borderId="0" xfId="0" applyFont="1" applyFill="1" applyBorder="1" applyAlignment="1">
      <alignment horizontal="left" vertical="center"/>
    </xf>
    <xf numFmtId="41" fontId="4" fillId="4" borderId="31" xfId="1" applyFont="1" applyFill="1" applyBorder="1" applyAlignment="1">
      <alignment horizontal="center" vertical="center" shrinkToFit="1"/>
    </xf>
    <xf numFmtId="41" fontId="4" fillId="4" borderId="33" xfId="1" applyFont="1" applyFill="1" applyBorder="1" applyAlignment="1">
      <alignment horizontal="center" vertical="center" shrinkToFit="1"/>
    </xf>
    <xf numFmtId="41" fontId="4" fillId="4" borderId="61" xfId="1" applyFont="1" applyFill="1" applyBorder="1" applyAlignment="1">
      <alignment horizontal="center" vertical="center" shrinkToFit="1"/>
    </xf>
    <xf numFmtId="41" fontId="4" fillId="5" borderId="46" xfId="1" applyFont="1" applyFill="1" applyBorder="1" applyAlignment="1">
      <alignment horizontal="center" vertical="center" shrinkToFit="1"/>
    </xf>
    <xf numFmtId="41" fontId="4" fillId="6" borderId="46" xfId="1" applyFont="1" applyFill="1" applyBorder="1" applyAlignment="1">
      <alignment vertical="center" shrinkToFit="1"/>
    </xf>
    <xf numFmtId="179" fontId="4" fillId="4" borderId="30" xfId="1" applyNumberFormat="1" applyFont="1" applyFill="1" applyBorder="1" applyAlignment="1">
      <alignment vertical="center"/>
    </xf>
    <xf numFmtId="179" fontId="4" fillId="4" borderId="36" xfId="0" applyNumberFormat="1" applyFont="1" applyFill="1" applyBorder="1" applyAlignment="1">
      <alignment horizontal="center" vertical="center"/>
    </xf>
    <xf numFmtId="179" fontId="4" fillId="4" borderId="56" xfId="1" applyNumberFormat="1" applyFont="1" applyFill="1" applyBorder="1">
      <alignment vertical="center"/>
    </xf>
    <xf numFmtId="179" fontId="4" fillId="4" borderId="55" xfId="1" applyNumberFormat="1" applyFont="1" applyFill="1" applyBorder="1">
      <alignment vertical="center"/>
    </xf>
    <xf numFmtId="179" fontId="7" fillId="4" borderId="56" xfId="1" applyNumberFormat="1" applyFont="1" applyFill="1" applyBorder="1">
      <alignment vertical="center"/>
    </xf>
    <xf numFmtId="179" fontId="4" fillId="6" borderId="51" xfId="1" applyNumberFormat="1" applyFont="1" applyFill="1" applyBorder="1" applyAlignment="1">
      <alignment vertical="center"/>
    </xf>
    <xf numFmtId="179" fontId="4" fillId="6" borderId="52" xfId="1" applyNumberFormat="1" applyFont="1" applyFill="1" applyBorder="1" applyAlignment="1">
      <alignment vertical="center"/>
    </xf>
    <xf numFmtId="179" fontId="7" fillId="6" borderId="49" xfId="1" applyNumberFormat="1" applyFont="1" applyFill="1" applyBorder="1" applyAlignment="1">
      <alignment vertical="center"/>
    </xf>
    <xf numFmtId="179" fontId="7" fillId="6" borderId="52" xfId="1" applyNumberFormat="1" applyFont="1" applyFill="1" applyBorder="1" applyAlignment="1">
      <alignment vertical="center"/>
    </xf>
    <xf numFmtId="0" fontId="0" fillId="0" borderId="0" xfId="0" applyAlignment="1">
      <alignment horizontal="right" vertical="center"/>
    </xf>
    <xf numFmtId="10" fontId="0" fillId="0" borderId="0" xfId="2" applyNumberFormat="1" applyFont="1">
      <alignment vertical="center"/>
    </xf>
    <xf numFmtId="41" fontId="4" fillId="4" borderId="61" xfId="1" applyFont="1" applyFill="1" applyBorder="1" applyAlignment="1">
      <alignment horizontal="center" vertical="center" wrapText="1" shrinkToFit="1"/>
    </xf>
    <xf numFmtId="41" fontId="4" fillId="4" borderId="10" xfId="1" applyFont="1" applyFill="1" applyBorder="1" applyAlignment="1">
      <alignment vertical="center"/>
    </xf>
    <xf numFmtId="41" fontId="4" fillId="4" borderId="64" xfId="1" applyFont="1" applyFill="1" applyBorder="1" applyAlignment="1">
      <alignment vertical="center"/>
    </xf>
    <xf numFmtId="0" fontId="0" fillId="0" borderId="0" xfId="0" applyAlignment="1">
      <alignment vertical="center"/>
    </xf>
    <xf numFmtId="41" fontId="4" fillId="4" borderId="41" xfId="1" applyFont="1" applyFill="1" applyBorder="1" applyAlignment="1">
      <alignment horizontal="center" vertical="center"/>
    </xf>
    <xf numFmtId="180" fontId="4" fillId="4" borderId="47" xfId="0" applyNumberFormat="1" applyFont="1" applyFill="1" applyBorder="1" applyAlignment="1">
      <alignment horizontal="right" vertical="center" shrinkToFit="1"/>
    </xf>
    <xf numFmtId="0" fontId="0" fillId="3" borderId="0" xfId="0" applyFill="1" applyAlignment="1">
      <alignment vertical="center"/>
    </xf>
    <xf numFmtId="0" fontId="4" fillId="5" borderId="36" xfId="0" applyNumberFormat="1" applyFont="1" applyFill="1" applyBorder="1" applyAlignment="1">
      <alignment horizontal="center" vertical="center"/>
    </xf>
    <xf numFmtId="179" fontId="4" fillId="4" borderId="55" xfId="1" applyNumberFormat="1" applyFont="1" applyFill="1" applyBorder="1" applyAlignment="1">
      <alignment vertical="center"/>
    </xf>
    <xf numFmtId="41" fontId="7" fillId="4" borderId="55" xfId="1" applyNumberFormat="1" applyFont="1" applyFill="1" applyBorder="1" applyAlignment="1">
      <alignment vertical="center"/>
    </xf>
    <xf numFmtId="41" fontId="4" fillId="4" borderId="31" xfId="1" applyFont="1" applyFill="1" applyBorder="1" applyAlignment="1">
      <alignment horizontal="center" vertical="center"/>
    </xf>
    <xf numFmtId="41" fontId="4" fillId="4" borderId="33" xfId="1" applyFont="1" applyFill="1" applyBorder="1" applyAlignment="1">
      <alignment horizontal="center" vertical="center"/>
    </xf>
    <xf numFmtId="41" fontId="4" fillId="4" borderId="61" xfId="1" applyFont="1" applyFill="1" applyBorder="1" applyAlignment="1">
      <alignment horizontal="center" vertical="center"/>
    </xf>
    <xf numFmtId="41" fontId="4" fillId="5" borderId="46" xfId="1" applyFont="1" applyFill="1" applyBorder="1" applyAlignment="1">
      <alignment horizontal="center" vertical="center"/>
    </xf>
    <xf numFmtId="178" fontId="4" fillId="5" borderId="46" xfId="1" applyNumberFormat="1" applyFont="1" applyFill="1" applyBorder="1" applyAlignment="1">
      <alignment horizontal="center" vertical="center"/>
    </xf>
    <xf numFmtId="41" fontId="4" fillId="6" borderId="46" xfId="1" applyFont="1" applyFill="1" applyBorder="1" applyAlignment="1">
      <alignment vertical="center"/>
    </xf>
    <xf numFmtId="0" fontId="0" fillId="2" borderId="0" xfId="0" applyFill="1" applyAlignment="1">
      <alignment vertical="center"/>
    </xf>
    <xf numFmtId="41" fontId="4" fillId="4" borderId="65" xfId="1" applyFont="1" applyFill="1" applyBorder="1" applyAlignment="1">
      <alignment horizontal="center" vertical="center"/>
    </xf>
    <xf numFmtId="41" fontId="4" fillId="4" borderId="2" xfId="1" applyFont="1" applyFill="1" applyBorder="1" applyAlignment="1">
      <alignment vertical="center"/>
    </xf>
    <xf numFmtId="41" fontId="4" fillId="4" borderId="2" xfId="1" applyFont="1" applyFill="1" applyBorder="1" applyAlignment="1">
      <alignment horizontal="center" vertical="center"/>
    </xf>
    <xf numFmtId="41" fontId="4" fillId="4" borderId="2" xfId="1" applyFont="1" applyFill="1" applyBorder="1">
      <alignment vertical="center"/>
    </xf>
    <xf numFmtId="41" fontId="4" fillId="4" borderId="64" xfId="1" applyFont="1" applyFill="1" applyBorder="1" applyAlignment="1">
      <alignment horizontal="center" vertical="center"/>
    </xf>
    <xf numFmtId="41" fontId="4" fillId="4" borderId="65" xfId="1" applyFont="1" applyFill="1" applyBorder="1" applyAlignment="1">
      <alignment vertical="center"/>
    </xf>
    <xf numFmtId="41" fontId="4" fillId="4" borderId="19" xfId="1" applyFont="1" applyFill="1" applyBorder="1" applyAlignment="1">
      <alignment vertical="center"/>
    </xf>
    <xf numFmtId="41" fontId="4" fillId="4" borderId="66" xfId="1" applyFont="1" applyFill="1" applyBorder="1" applyAlignment="1">
      <alignment vertical="center"/>
    </xf>
    <xf numFmtId="41" fontId="4" fillId="4" borderId="5" xfId="1" applyFont="1" applyFill="1" applyBorder="1" applyAlignment="1">
      <alignment vertical="center"/>
    </xf>
    <xf numFmtId="41" fontId="4" fillId="4" borderId="5" xfId="1" applyFont="1" applyFill="1" applyBorder="1" applyAlignment="1">
      <alignment horizontal="center" vertical="center"/>
    </xf>
    <xf numFmtId="41" fontId="4" fillId="4" borderId="5" xfId="1" applyFont="1" applyFill="1" applyBorder="1">
      <alignment vertical="center"/>
    </xf>
    <xf numFmtId="41" fontId="4" fillId="4" borderId="18" xfId="1" applyFont="1" applyFill="1" applyBorder="1">
      <alignment vertical="center"/>
    </xf>
    <xf numFmtId="41" fontId="4" fillId="4" borderId="41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41" fontId="4" fillId="4" borderId="41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41" fontId="4" fillId="4" borderId="41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41" fontId="4" fillId="4" borderId="41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41" fontId="4" fillId="4" borderId="41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1" fillId="5" borderId="26" xfId="0" applyFont="1" applyFill="1" applyBorder="1" applyAlignment="1">
      <alignment horizontal="center" vertical="center"/>
    </xf>
    <xf numFmtId="41" fontId="4" fillId="4" borderId="41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41" fontId="4" fillId="4" borderId="41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5" borderId="24" xfId="0" applyFont="1" applyFill="1" applyBorder="1" applyAlignment="1">
      <alignment horizontal="center" vertical="center" wrapText="1"/>
    </xf>
    <xf numFmtId="0" fontId="9" fillId="5" borderId="26" xfId="0" applyFont="1" applyFill="1" applyBorder="1" applyAlignment="1">
      <alignment horizontal="center" vertical="center"/>
    </xf>
    <xf numFmtId="0" fontId="4" fillId="5" borderId="66" xfId="0" applyFont="1" applyFill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/>
    </xf>
    <xf numFmtId="41" fontId="4" fillId="4" borderId="32" xfId="1" applyFont="1" applyFill="1" applyBorder="1" applyAlignment="1">
      <alignment horizontal="center" vertical="center" shrinkToFit="1"/>
    </xf>
    <xf numFmtId="182" fontId="4" fillId="4" borderId="64" xfId="1" applyNumberFormat="1" applyFont="1" applyFill="1" applyBorder="1" applyAlignment="1">
      <alignment horizontal="center" vertical="center"/>
    </xf>
    <xf numFmtId="182" fontId="4" fillId="4" borderId="34" xfId="1" applyNumberFormat="1" applyFont="1" applyFill="1" applyBorder="1" applyAlignment="1">
      <alignment horizontal="center" vertical="center" shrinkToFit="1"/>
    </xf>
    <xf numFmtId="182" fontId="4" fillId="4" borderId="66" xfId="1" applyNumberFormat="1" applyFont="1" applyFill="1" applyBorder="1" applyAlignment="1">
      <alignment horizontal="center" vertical="center"/>
    </xf>
    <xf numFmtId="182" fontId="4" fillId="4" borderId="67" xfId="1" applyNumberFormat="1" applyFont="1" applyFill="1" applyBorder="1" applyAlignment="1">
      <alignment horizontal="center" vertical="center" wrapText="1" shrinkToFit="1"/>
    </xf>
    <xf numFmtId="182" fontId="4" fillId="5" borderId="69" xfId="1" applyNumberFormat="1" applyFont="1" applyFill="1" applyBorder="1" applyAlignment="1">
      <alignment horizontal="center" vertical="center"/>
    </xf>
    <xf numFmtId="182" fontId="4" fillId="5" borderId="68" xfId="1" applyNumberFormat="1" applyFont="1" applyFill="1" applyBorder="1" applyAlignment="1">
      <alignment horizontal="center" vertical="center" shrinkToFit="1"/>
    </xf>
    <xf numFmtId="182" fontId="4" fillId="4" borderId="65" xfId="1" applyNumberFormat="1" applyFont="1" applyFill="1" applyBorder="1" applyAlignment="1">
      <alignment horizontal="center" vertical="center"/>
    </xf>
    <xf numFmtId="182" fontId="4" fillId="4" borderId="32" xfId="1" applyNumberFormat="1" applyFont="1" applyFill="1" applyBorder="1" applyAlignment="1">
      <alignment horizontal="center" vertical="center" shrinkToFit="1"/>
    </xf>
    <xf numFmtId="182" fontId="4" fillId="4" borderId="67" xfId="1" applyNumberFormat="1" applyFont="1" applyFill="1" applyBorder="1" applyAlignment="1">
      <alignment horizontal="center" vertical="center" shrinkToFit="1"/>
    </xf>
    <xf numFmtId="182" fontId="4" fillId="6" borderId="69" xfId="1" applyNumberFormat="1" applyFont="1" applyFill="1" applyBorder="1" applyAlignment="1">
      <alignment vertical="center"/>
    </xf>
    <xf numFmtId="182" fontId="4" fillId="6" borderId="68" xfId="1" applyNumberFormat="1" applyFont="1" applyFill="1" applyBorder="1" applyAlignment="1">
      <alignment vertical="center" shrinkToFit="1"/>
    </xf>
    <xf numFmtId="176" fontId="4" fillId="4" borderId="70" xfId="1" applyNumberFormat="1" applyFont="1" applyFill="1" applyBorder="1" applyAlignment="1">
      <alignment vertical="center"/>
    </xf>
    <xf numFmtId="176" fontId="4" fillId="4" borderId="0" xfId="1" applyNumberFormat="1" applyFont="1" applyFill="1" applyBorder="1" applyAlignment="1">
      <alignment vertical="center"/>
    </xf>
    <xf numFmtId="182" fontId="4" fillId="4" borderId="34" xfId="0" applyNumberFormat="1" applyFont="1" applyFill="1" applyBorder="1" applyAlignment="1">
      <alignment horizontal="center" vertical="center"/>
    </xf>
    <xf numFmtId="41" fontId="4" fillId="4" borderId="11" xfId="1" applyFont="1" applyFill="1" applyBorder="1" applyAlignment="1">
      <alignment horizontal="center" vertical="center"/>
    </xf>
    <xf numFmtId="176" fontId="4" fillId="4" borderId="40" xfId="1" applyNumberFormat="1" applyFont="1" applyFill="1" applyBorder="1" applyAlignment="1">
      <alignment vertical="center"/>
    </xf>
    <xf numFmtId="176" fontId="4" fillId="4" borderId="72" xfId="1" applyNumberFormat="1" applyFont="1" applyFill="1" applyBorder="1" applyAlignment="1">
      <alignment vertical="center"/>
    </xf>
    <xf numFmtId="176" fontId="4" fillId="4" borderId="39" xfId="1" applyNumberFormat="1" applyFont="1" applyFill="1" applyBorder="1" applyAlignment="1">
      <alignment vertical="center"/>
    </xf>
    <xf numFmtId="176" fontId="4" fillId="4" borderId="7" xfId="1" applyNumberFormat="1" applyFont="1" applyFill="1" applyBorder="1" applyAlignment="1">
      <alignment vertical="center"/>
    </xf>
    <xf numFmtId="41" fontId="7" fillId="4" borderId="11" xfId="1" applyFont="1" applyFill="1" applyBorder="1" applyAlignment="1">
      <alignment horizontal="center" vertical="center"/>
    </xf>
    <xf numFmtId="182" fontId="7" fillId="4" borderId="34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vertical="center"/>
    </xf>
    <xf numFmtId="0" fontId="0" fillId="5" borderId="42" xfId="0" applyFill="1" applyBorder="1" applyAlignment="1">
      <alignment vertical="center"/>
    </xf>
    <xf numFmtId="176" fontId="4" fillId="4" borderId="41" xfId="1" applyNumberFormat="1" applyFont="1" applyFill="1" applyBorder="1" applyAlignment="1">
      <alignment vertical="center"/>
    </xf>
    <xf numFmtId="186" fontId="4" fillId="4" borderId="47" xfId="1" applyNumberFormat="1" applyFont="1" applyFill="1" applyBorder="1" applyAlignment="1">
      <alignment horizontal="left" vertical="center"/>
    </xf>
    <xf numFmtId="41" fontId="4" fillId="4" borderId="41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76" fontId="4" fillId="4" borderId="40" xfId="1" applyNumberFormat="1" applyFont="1" applyFill="1" applyBorder="1" applyAlignment="1">
      <alignment vertical="center"/>
    </xf>
    <xf numFmtId="0" fontId="4" fillId="5" borderId="26" xfId="0" applyFont="1" applyFill="1" applyBorder="1" applyAlignment="1">
      <alignment horizontal="center" vertical="center"/>
    </xf>
    <xf numFmtId="0" fontId="4" fillId="5" borderId="42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41" fontId="4" fillId="4" borderId="41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76" fontId="4" fillId="4" borderId="40" xfId="1" applyNumberFormat="1" applyFont="1" applyFill="1" applyBorder="1" applyAlignment="1">
      <alignment vertical="center"/>
    </xf>
    <xf numFmtId="0" fontId="4" fillId="5" borderId="26" xfId="0" applyFont="1" applyFill="1" applyBorder="1" applyAlignment="1">
      <alignment horizontal="center" vertical="center"/>
    </xf>
    <xf numFmtId="0" fontId="4" fillId="5" borderId="42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177" fontId="4" fillId="4" borderId="41" xfId="1" applyNumberFormat="1" applyFont="1" applyFill="1" applyBorder="1" applyAlignment="1">
      <alignment vertical="center"/>
    </xf>
    <xf numFmtId="0" fontId="4" fillId="5" borderId="66" xfId="0" applyFont="1" applyFill="1" applyBorder="1" applyAlignment="1">
      <alignment horizontal="center" vertical="center" wrapText="1"/>
    </xf>
    <xf numFmtId="41" fontId="0" fillId="0" borderId="0" xfId="1" applyFont="1" applyFill="1">
      <alignment vertical="center"/>
    </xf>
    <xf numFmtId="41" fontId="4" fillId="8" borderId="31" xfId="1" applyFont="1" applyFill="1" applyBorder="1" applyAlignment="1">
      <alignment horizontal="left" vertical="center" indent="1"/>
    </xf>
    <xf numFmtId="41" fontId="4" fillId="8" borderId="32" xfId="1" applyFont="1" applyFill="1" applyBorder="1">
      <alignment vertical="center"/>
    </xf>
    <xf numFmtId="0" fontId="9" fillId="0" borderId="28" xfId="1" applyNumberFormat="1" applyFont="1" applyFill="1" applyBorder="1" applyAlignment="1">
      <alignment horizontal="center" vertical="center"/>
    </xf>
    <xf numFmtId="0" fontId="9" fillId="0" borderId="28" xfId="1" applyNumberFormat="1" applyFont="1" applyFill="1" applyBorder="1" applyAlignment="1">
      <alignment horizontal="center" vertical="center" shrinkToFit="1"/>
    </xf>
    <xf numFmtId="0" fontId="9" fillId="0" borderId="28" xfId="0" applyNumberFormat="1" applyFont="1" applyFill="1" applyBorder="1" applyAlignment="1">
      <alignment horizontal="center" vertical="center" shrinkToFit="1"/>
    </xf>
    <xf numFmtId="0" fontId="0" fillId="0" borderId="28" xfId="0" applyBorder="1">
      <alignment vertical="center"/>
    </xf>
    <xf numFmtId="41" fontId="4" fillId="8" borderId="33" xfId="1" applyFont="1" applyFill="1" applyBorder="1" applyAlignment="1">
      <alignment horizontal="left" vertical="center" indent="1"/>
    </xf>
    <xf numFmtId="41" fontId="4" fillId="8" borderId="34" xfId="1" applyFont="1" applyFill="1" applyBorder="1" applyAlignment="1">
      <alignment vertical="center"/>
    </xf>
    <xf numFmtId="0" fontId="0" fillId="8" borderId="34" xfId="0" applyFill="1" applyBorder="1" applyAlignment="1">
      <alignment vertical="center"/>
    </xf>
    <xf numFmtId="0" fontId="0" fillId="8" borderId="41" xfId="0" applyFill="1" applyBorder="1" applyAlignment="1">
      <alignment vertical="center" shrinkToFit="1"/>
    </xf>
    <xf numFmtId="0" fontId="9" fillId="0" borderId="0" xfId="1" applyNumberFormat="1" applyFont="1" applyFill="1" applyBorder="1" applyAlignment="1">
      <alignment horizontal="center" vertical="center"/>
    </xf>
    <xf numFmtId="0" fontId="9" fillId="0" borderId="0" xfId="1" applyNumberFormat="1" applyFont="1" applyFill="1" applyBorder="1" applyAlignment="1">
      <alignment horizontal="center" vertical="center" shrinkToFit="1"/>
    </xf>
    <xf numFmtId="0" fontId="9" fillId="0" borderId="0" xfId="0" applyNumberFormat="1" applyFont="1" applyFill="1" applyBorder="1" applyAlignment="1">
      <alignment horizontal="center" vertical="center" shrinkToFit="1"/>
    </xf>
    <xf numFmtId="0" fontId="0" fillId="0" borderId="0" xfId="0" applyBorder="1">
      <alignment vertical="center"/>
    </xf>
    <xf numFmtId="0" fontId="13" fillId="0" borderId="0" xfId="1" applyNumberFormat="1" applyFont="1" applyFill="1" applyBorder="1" applyAlignment="1">
      <alignment vertical="center" wrapText="1"/>
    </xf>
    <xf numFmtId="0" fontId="13" fillId="0" borderId="0" xfId="1" applyNumberFormat="1" applyFont="1" applyFill="1" applyBorder="1" applyAlignment="1">
      <alignment horizontal="center" vertical="center"/>
    </xf>
    <xf numFmtId="41" fontId="13" fillId="0" borderId="0" xfId="1" applyNumberFormat="1" applyFont="1" applyFill="1" applyBorder="1" applyAlignment="1">
      <alignment vertical="center"/>
    </xf>
    <xf numFmtId="41" fontId="13" fillId="0" borderId="0" xfId="0" applyNumberFormat="1" applyFont="1" applyFill="1" applyBorder="1" applyAlignment="1">
      <alignment horizontal="center" vertical="center"/>
    </xf>
    <xf numFmtId="187" fontId="13" fillId="0" borderId="0" xfId="1" applyNumberFormat="1" applyFont="1" applyFill="1" applyBorder="1" applyAlignment="1">
      <alignment vertical="center"/>
    </xf>
    <xf numFmtId="41" fontId="4" fillId="8" borderId="41" xfId="1" applyFont="1" applyFill="1" applyBorder="1" applyAlignment="1">
      <alignment vertical="center" shrinkToFit="1"/>
    </xf>
    <xf numFmtId="0" fontId="17" fillId="0" borderId="0" xfId="0" applyFont="1" applyFill="1" applyBorder="1" applyAlignment="1">
      <alignment vertical="center"/>
    </xf>
    <xf numFmtId="41" fontId="13" fillId="0" borderId="0" xfId="1" applyNumberFormat="1" applyFont="1" applyFill="1" applyBorder="1">
      <alignment vertical="center"/>
    </xf>
    <xf numFmtId="187" fontId="13" fillId="0" borderId="0" xfId="1" applyNumberFormat="1" applyFont="1" applyFill="1" applyBorder="1">
      <alignment vertical="center"/>
    </xf>
    <xf numFmtId="0" fontId="0" fillId="4" borderId="41" xfId="0" applyFill="1" applyBorder="1" applyAlignment="1">
      <alignment vertical="center" shrinkToFit="1"/>
    </xf>
    <xf numFmtId="41" fontId="4" fillId="4" borderId="41" xfId="1" applyFont="1" applyFill="1" applyBorder="1" applyAlignment="1">
      <alignment vertical="center" shrinkToFit="1"/>
    </xf>
    <xf numFmtId="190" fontId="17" fillId="0" borderId="0" xfId="0" applyNumberFormat="1" applyFont="1" applyFill="1" applyBorder="1" applyAlignment="1">
      <alignment vertical="center"/>
    </xf>
    <xf numFmtId="41" fontId="4" fillId="9" borderId="20" xfId="1" applyFont="1" applyFill="1" applyBorder="1" applyAlignment="1">
      <alignment horizontal="center" vertical="center"/>
    </xf>
    <xf numFmtId="41" fontId="4" fillId="10" borderId="41" xfId="1" applyFont="1" applyFill="1" applyBorder="1" applyAlignment="1">
      <alignment vertical="center" shrinkToFit="1"/>
    </xf>
    <xf numFmtId="191" fontId="17" fillId="0" borderId="0" xfId="0" applyNumberFormat="1" applyFont="1" applyFill="1" applyBorder="1" applyAlignment="1">
      <alignment vertical="center"/>
    </xf>
    <xf numFmtId="10" fontId="11" fillId="10" borderId="34" xfId="1" applyNumberFormat="1" applyFont="1" applyFill="1" applyBorder="1" applyAlignment="1">
      <alignment vertical="center"/>
    </xf>
    <xf numFmtId="10" fontId="11" fillId="4" borderId="34" xfId="1" applyNumberFormat="1" applyFont="1" applyFill="1" applyBorder="1" applyAlignment="1">
      <alignment vertical="center"/>
    </xf>
    <xf numFmtId="0" fontId="9" fillId="0" borderId="75" xfId="1" applyNumberFormat="1" applyFont="1" applyFill="1" applyBorder="1" applyAlignment="1">
      <alignment vertical="center"/>
    </xf>
    <xf numFmtId="0" fontId="17" fillId="0" borderId="75" xfId="0" applyFont="1" applyFill="1" applyBorder="1" applyAlignment="1">
      <alignment vertical="center"/>
    </xf>
    <xf numFmtId="41" fontId="9" fillId="0" borderId="75" xfId="1" applyNumberFormat="1" applyFont="1" applyFill="1" applyBorder="1" applyAlignment="1">
      <alignment vertical="center"/>
    </xf>
    <xf numFmtId="0" fontId="0" fillId="0" borderId="75" xfId="0" applyBorder="1">
      <alignment vertical="center"/>
    </xf>
    <xf numFmtId="0" fontId="4" fillId="5" borderId="5" xfId="0" applyFont="1" applyFill="1" applyBorder="1" applyAlignment="1">
      <alignment horizontal="center" vertical="center" wrapText="1"/>
    </xf>
    <xf numFmtId="0" fontId="4" fillId="15" borderId="5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6" fillId="16" borderId="5" xfId="0" applyFont="1" applyFill="1" applyBorder="1" applyAlignment="1">
      <alignment horizontal="center" vertical="center"/>
    </xf>
    <xf numFmtId="0" fontId="18" fillId="12" borderId="5" xfId="0" applyFont="1" applyFill="1" applyBorder="1" applyAlignment="1">
      <alignment horizontal="center" vertical="center"/>
    </xf>
    <xf numFmtId="0" fontId="18" fillId="12" borderId="18" xfId="0" applyFont="1" applyFill="1" applyBorder="1" applyAlignment="1">
      <alignment horizontal="center" vertical="center"/>
    </xf>
    <xf numFmtId="0" fontId="9" fillId="9" borderId="66" xfId="0" applyFont="1" applyFill="1" applyBorder="1" applyAlignment="1">
      <alignment horizontal="center" vertical="center"/>
    </xf>
    <xf numFmtId="0" fontId="9" fillId="9" borderId="5" xfId="0" applyFont="1" applyFill="1" applyBorder="1" applyAlignment="1">
      <alignment horizontal="center" vertical="center" wrapText="1"/>
    </xf>
    <xf numFmtId="0" fontId="19" fillId="13" borderId="5" xfId="0" applyFont="1" applyFill="1" applyBorder="1" applyAlignment="1">
      <alignment horizontal="center" vertical="center"/>
    </xf>
    <xf numFmtId="0" fontId="19" fillId="13" borderId="6" xfId="0" applyFont="1" applyFill="1" applyBorder="1" applyAlignment="1">
      <alignment horizontal="center" vertical="center"/>
    </xf>
    <xf numFmtId="0" fontId="0" fillId="11" borderId="66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4" borderId="66" xfId="0" applyFill="1" applyBorder="1" applyAlignment="1">
      <alignment horizontal="center" vertical="center" wrapText="1"/>
    </xf>
    <xf numFmtId="0" fontId="0" fillId="14" borderId="6" xfId="0" applyFill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/>
    </xf>
    <xf numFmtId="179" fontId="4" fillId="4" borderId="77" xfId="1" applyNumberFormat="1" applyFont="1" applyFill="1" applyBorder="1" applyAlignment="1">
      <alignment vertical="center"/>
    </xf>
    <xf numFmtId="179" fontId="4" fillId="4" borderId="8" xfId="1" applyNumberFormat="1" applyFont="1" applyFill="1" applyBorder="1" applyAlignment="1">
      <alignment vertical="center"/>
    </xf>
    <xf numFmtId="179" fontId="4" fillId="4" borderId="8" xfId="1" applyNumberFormat="1" applyFont="1" applyFill="1" applyBorder="1" applyAlignment="1">
      <alignment horizontal="center" vertical="center"/>
    </xf>
    <xf numFmtId="179" fontId="4" fillId="4" borderId="8" xfId="1" applyNumberFormat="1" applyFont="1" applyFill="1" applyBorder="1">
      <alignment vertical="center"/>
    </xf>
    <xf numFmtId="179" fontId="4" fillId="15" borderId="8" xfId="1" applyNumberFormat="1" applyFont="1" applyFill="1" applyBorder="1">
      <alignment vertical="center"/>
    </xf>
    <xf numFmtId="179" fontId="4" fillId="8" borderId="8" xfId="1" applyNumberFormat="1" applyFont="1" applyFill="1" applyBorder="1">
      <alignment vertical="center"/>
    </xf>
    <xf numFmtId="179" fontId="4" fillId="16" borderId="8" xfId="1" applyNumberFormat="1" applyFont="1" applyFill="1" applyBorder="1">
      <alignment vertical="center"/>
    </xf>
    <xf numFmtId="179" fontId="4" fillId="14" borderId="8" xfId="1" applyNumberFormat="1" applyFont="1" applyFill="1" applyBorder="1">
      <alignment vertical="center"/>
    </xf>
    <xf numFmtId="179" fontId="18" fillId="17" borderId="8" xfId="1" applyNumberFormat="1" applyFont="1" applyFill="1" applyBorder="1">
      <alignment vertical="center"/>
    </xf>
    <xf numFmtId="179" fontId="18" fillId="17" borderId="78" xfId="1" applyNumberFormat="1" applyFont="1" applyFill="1" applyBorder="1">
      <alignment vertical="center"/>
    </xf>
    <xf numFmtId="179" fontId="9" fillId="10" borderId="7" xfId="1" applyNumberFormat="1" applyFont="1" applyFill="1" applyBorder="1" applyAlignment="1">
      <alignment horizontal="center" vertical="center"/>
    </xf>
    <xf numFmtId="179" fontId="9" fillId="10" borderId="8" xfId="1" applyNumberFormat="1" applyFont="1" applyFill="1" applyBorder="1" applyAlignment="1">
      <alignment horizontal="center" vertical="center"/>
    </xf>
    <xf numFmtId="179" fontId="9" fillId="9" borderId="8" xfId="1" applyNumberFormat="1" applyFont="1" applyFill="1" applyBorder="1" applyAlignment="1">
      <alignment horizontal="center" vertical="center"/>
    </xf>
    <xf numFmtId="179" fontId="9" fillId="9" borderId="9" xfId="1" applyNumberFormat="1" applyFont="1" applyFill="1" applyBorder="1" applyAlignment="1">
      <alignment horizontal="center" vertical="center"/>
    </xf>
    <xf numFmtId="179" fontId="4" fillId="0" borderId="77" xfId="0" applyNumberFormat="1" applyFont="1" applyBorder="1" applyAlignment="1">
      <alignment horizontal="center" vertical="center"/>
    </xf>
    <xf numFmtId="179" fontId="4" fillId="0" borderId="9" xfId="0" applyNumberFormat="1" applyFont="1" applyBorder="1" applyAlignment="1">
      <alignment horizontal="center" vertical="center"/>
    </xf>
    <xf numFmtId="182" fontId="4" fillId="0" borderId="77" xfId="0" applyNumberFormat="1" applyFont="1" applyBorder="1" applyAlignment="1">
      <alignment horizontal="center" vertical="center"/>
    </xf>
    <xf numFmtId="182" fontId="4" fillId="0" borderId="9" xfId="0" applyNumberFormat="1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79" fontId="4" fillId="4" borderId="79" xfId="1" applyNumberFormat="1" applyFont="1" applyFill="1" applyBorder="1" applyAlignment="1">
      <alignment vertical="center"/>
    </xf>
    <xf numFmtId="179" fontId="4" fillId="4" borderId="43" xfId="1" applyNumberFormat="1" applyFont="1" applyFill="1" applyBorder="1" applyAlignment="1">
      <alignment vertical="center"/>
    </xf>
    <xf numFmtId="179" fontId="4" fillId="4" borderId="43" xfId="1" applyNumberFormat="1" applyFont="1" applyFill="1" applyBorder="1" applyAlignment="1">
      <alignment horizontal="center" vertical="center"/>
    </xf>
    <xf numFmtId="179" fontId="4" fillId="4" borderId="43" xfId="1" applyNumberFormat="1" applyFont="1" applyFill="1" applyBorder="1">
      <alignment vertical="center"/>
    </xf>
    <xf numFmtId="179" fontId="4" fillId="15" borderId="43" xfId="1" applyNumberFormat="1" applyFont="1" applyFill="1" applyBorder="1">
      <alignment vertical="center"/>
    </xf>
    <xf numFmtId="179" fontId="4" fillId="8" borderId="43" xfId="1" applyNumberFormat="1" applyFont="1" applyFill="1" applyBorder="1">
      <alignment vertical="center"/>
    </xf>
    <xf numFmtId="179" fontId="4" fillId="16" borderId="43" xfId="1" applyNumberFormat="1" applyFont="1" applyFill="1" applyBorder="1">
      <alignment vertical="center"/>
    </xf>
    <xf numFmtId="179" fontId="4" fillId="14" borderId="43" xfId="1" applyNumberFormat="1" applyFont="1" applyFill="1" applyBorder="1">
      <alignment vertical="center"/>
    </xf>
    <xf numFmtId="179" fontId="18" fillId="17" borderId="10" xfId="1" applyNumberFormat="1" applyFont="1" applyFill="1" applyBorder="1">
      <alignment vertical="center"/>
    </xf>
    <xf numFmtId="179" fontId="18" fillId="17" borderId="19" xfId="1" applyNumberFormat="1" applyFont="1" applyFill="1" applyBorder="1">
      <alignment vertical="center"/>
    </xf>
    <xf numFmtId="179" fontId="9" fillId="10" borderId="37" xfId="1" applyNumberFormat="1" applyFont="1" applyFill="1" applyBorder="1" applyAlignment="1">
      <alignment horizontal="center" vertical="center"/>
    </xf>
    <xf numFmtId="179" fontId="9" fillId="10" borderId="43" xfId="1" applyNumberFormat="1" applyFont="1" applyFill="1" applyBorder="1" applyAlignment="1">
      <alignment horizontal="center" vertical="center"/>
    </xf>
    <xf numFmtId="179" fontId="9" fillId="9" borderId="43" xfId="1" applyNumberFormat="1" applyFont="1" applyFill="1" applyBorder="1" applyAlignment="1">
      <alignment horizontal="center" vertical="center"/>
    </xf>
    <xf numFmtId="182" fontId="4" fillId="0" borderId="79" xfId="0" applyNumberFormat="1" applyFont="1" applyBorder="1" applyAlignment="1">
      <alignment horizontal="center" vertical="center"/>
    </xf>
    <xf numFmtId="182" fontId="4" fillId="0" borderId="45" xfId="0" applyNumberFormat="1" applyFont="1" applyBorder="1" applyAlignment="1">
      <alignment horizontal="center" vertical="center"/>
    </xf>
    <xf numFmtId="0" fontId="4" fillId="14" borderId="41" xfId="0" applyFont="1" applyFill="1" applyBorder="1" applyAlignment="1">
      <alignment horizontal="center" vertical="center"/>
    </xf>
    <xf numFmtId="179" fontId="4" fillId="5" borderId="66" xfId="1" applyNumberFormat="1" applyFont="1" applyFill="1" applyBorder="1" applyAlignment="1">
      <alignment vertical="center"/>
    </xf>
    <xf numFmtId="179" fontId="4" fillId="5" borderId="5" xfId="1" applyNumberFormat="1" applyFont="1" applyFill="1" applyBorder="1" applyAlignment="1">
      <alignment vertical="center"/>
    </xf>
    <xf numFmtId="179" fontId="4" fillId="15" borderId="71" xfId="1" applyNumberFormat="1" applyFont="1" applyFill="1" applyBorder="1">
      <alignment vertical="center"/>
    </xf>
    <xf numFmtId="179" fontId="4" fillId="7" borderId="71" xfId="1" applyNumberFormat="1" applyFont="1" applyFill="1" applyBorder="1">
      <alignment vertical="center"/>
    </xf>
    <xf numFmtId="179" fontId="4" fillId="16" borderId="71" xfId="1" applyNumberFormat="1" applyFont="1" applyFill="1" applyBorder="1">
      <alignment vertical="center"/>
    </xf>
    <xf numFmtId="179" fontId="4" fillId="11" borderId="71" xfId="1" applyNumberFormat="1" applyFont="1" applyFill="1" applyBorder="1">
      <alignment vertical="center"/>
    </xf>
    <xf numFmtId="179" fontId="18" fillId="12" borderId="71" xfId="1" applyNumberFormat="1" applyFont="1" applyFill="1" applyBorder="1">
      <alignment vertical="center"/>
    </xf>
    <xf numFmtId="179" fontId="18" fillId="12" borderId="20" xfId="1" applyNumberFormat="1" applyFont="1" applyFill="1" applyBorder="1">
      <alignment vertical="center"/>
    </xf>
    <xf numFmtId="179" fontId="9" fillId="9" borderId="12" xfId="1" applyNumberFormat="1" applyFont="1" applyFill="1" applyBorder="1" applyAlignment="1">
      <alignment horizontal="center" vertical="center"/>
    </xf>
    <xf numFmtId="179" fontId="19" fillId="13" borderId="71" xfId="1" applyNumberFormat="1" applyFont="1" applyFill="1" applyBorder="1" applyAlignment="1">
      <alignment horizontal="center" vertical="center"/>
    </xf>
    <xf numFmtId="179" fontId="19" fillId="13" borderId="80" xfId="1" applyNumberFormat="1" applyFont="1" applyFill="1" applyBorder="1" applyAlignment="1">
      <alignment horizontal="center" vertical="center"/>
    </xf>
    <xf numFmtId="179" fontId="4" fillId="11" borderId="81" xfId="0" applyNumberFormat="1" applyFont="1" applyFill="1" applyBorder="1" applyAlignment="1">
      <alignment horizontal="center" vertical="center"/>
    </xf>
    <xf numFmtId="179" fontId="4" fillId="11" borderId="80" xfId="0" applyNumberFormat="1" applyFont="1" applyFill="1" applyBorder="1" applyAlignment="1">
      <alignment horizontal="center" vertical="center"/>
    </xf>
    <xf numFmtId="182" fontId="4" fillId="14" borderId="81" xfId="0" applyNumberFormat="1" applyFont="1" applyFill="1" applyBorder="1" applyAlignment="1">
      <alignment horizontal="center" vertical="center"/>
    </xf>
    <xf numFmtId="182" fontId="4" fillId="14" borderId="80" xfId="0" applyNumberFormat="1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179" fontId="9" fillId="4" borderId="65" xfId="1" applyNumberFormat="1" applyFont="1" applyFill="1" applyBorder="1" applyAlignment="1">
      <alignment vertical="center"/>
    </xf>
    <xf numFmtId="179" fontId="9" fillId="4" borderId="2" xfId="1" applyNumberFormat="1" applyFont="1" applyFill="1" applyBorder="1" applyAlignment="1">
      <alignment vertical="center"/>
    </xf>
    <xf numFmtId="179" fontId="9" fillId="4" borderId="2" xfId="1" applyNumberFormat="1" applyFont="1" applyFill="1" applyBorder="1" applyAlignment="1">
      <alignment horizontal="center" vertical="center"/>
    </xf>
    <xf numFmtId="179" fontId="9" fillId="4" borderId="2" xfId="1" applyNumberFormat="1" applyFont="1" applyFill="1" applyBorder="1">
      <alignment vertical="center"/>
    </xf>
    <xf numFmtId="179" fontId="9" fillId="15" borderId="2" xfId="1" applyNumberFormat="1" applyFont="1" applyFill="1" applyBorder="1">
      <alignment vertical="center"/>
    </xf>
    <xf numFmtId="179" fontId="9" fillId="8" borderId="2" xfId="1" applyNumberFormat="1" applyFont="1" applyFill="1" applyBorder="1">
      <alignment vertical="center"/>
    </xf>
    <xf numFmtId="179" fontId="4" fillId="16" borderId="2" xfId="1" applyNumberFormat="1" applyFont="1" applyFill="1" applyBorder="1">
      <alignment vertical="center"/>
    </xf>
    <xf numFmtId="179" fontId="4" fillId="14" borderId="2" xfId="1" applyNumberFormat="1" applyFont="1" applyFill="1" applyBorder="1">
      <alignment vertical="center"/>
    </xf>
    <xf numFmtId="179" fontId="18" fillId="17" borderId="2" xfId="1" applyNumberFormat="1" applyFont="1" applyFill="1" applyBorder="1">
      <alignment vertical="center"/>
    </xf>
    <xf numFmtId="179" fontId="18" fillId="17" borderId="17" xfId="1" applyNumberFormat="1" applyFont="1" applyFill="1" applyBorder="1">
      <alignment vertical="center"/>
    </xf>
    <xf numFmtId="179" fontId="9" fillId="10" borderId="1" xfId="1" applyNumberFormat="1" applyFont="1" applyFill="1" applyBorder="1" applyAlignment="1">
      <alignment horizontal="center" vertical="center"/>
    </xf>
    <xf numFmtId="179" fontId="9" fillId="10" borderId="2" xfId="1" applyNumberFormat="1" applyFont="1" applyFill="1" applyBorder="1" applyAlignment="1">
      <alignment horizontal="center" vertical="center"/>
    </xf>
    <xf numFmtId="179" fontId="9" fillId="9" borderId="2" xfId="1" applyNumberFormat="1" applyFont="1" applyFill="1" applyBorder="1" applyAlignment="1">
      <alignment horizontal="center" vertical="center"/>
    </xf>
    <xf numFmtId="179" fontId="9" fillId="9" borderId="3" xfId="1" applyNumberFormat="1" applyFont="1" applyFill="1" applyBorder="1" applyAlignment="1">
      <alignment horizontal="center" vertical="center"/>
    </xf>
    <xf numFmtId="179" fontId="4" fillId="0" borderId="65" xfId="0" applyNumberFormat="1" applyFont="1" applyBorder="1" applyAlignment="1">
      <alignment horizontal="center" vertical="center"/>
    </xf>
    <xf numFmtId="179" fontId="4" fillId="0" borderId="3" xfId="0" applyNumberFormat="1" applyFont="1" applyBorder="1" applyAlignment="1">
      <alignment horizontal="center" vertical="center"/>
    </xf>
    <xf numFmtId="182" fontId="4" fillId="0" borderId="65" xfId="0" applyNumberFormat="1" applyFont="1" applyBorder="1" applyAlignment="1">
      <alignment horizontal="center" vertical="center"/>
    </xf>
    <xf numFmtId="182" fontId="4" fillId="0" borderId="3" xfId="0" applyNumberFormat="1" applyFont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179" fontId="9" fillId="4" borderId="64" xfId="1" applyNumberFormat="1" applyFont="1" applyFill="1" applyBorder="1" applyAlignment="1">
      <alignment vertical="center"/>
    </xf>
    <xf numFmtId="179" fontId="9" fillId="4" borderId="10" xfId="1" applyNumberFormat="1" applyFont="1" applyFill="1" applyBorder="1" applyAlignment="1">
      <alignment vertical="center"/>
    </xf>
    <xf numFmtId="179" fontId="9" fillId="4" borderId="10" xfId="1" applyNumberFormat="1" applyFont="1" applyFill="1" applyBorder="1" applyAlignment="1">
      <alignment horizontal="center" vertical="center"/>
    </xf>
    <xf numFmtId="179" fontId="9" fillId="4" borderId="10" xfId="1" applyNumberFormat="1" applyFont="1" applyFill="1" applyBorder="1">
      <alignment vertical="center"/>
    </xf>
    <xf numFmtId="179" fontId="9" fillId="15" borderId="10" xfId="1" applyNumberFormat="1" applyFont="1" applyFill="1" applyBorder="1">
      <alignment vertical="center"/>
    </xf>
    <xf numFmtId="179" fontId="9" fillId="8" borderId="10" xfId="1" applyNumberFormat="1" applyFont="1" applyFill="1" applyBorder="1">
      <alignment vertical="center"/>
    </xf>
    <xf numFmtId="179" fontId="4" fillId="16" borderId="10" xfId="1" applyNumberFormat="1" applyFont="1" applyFill="1" applyBorder="1">
      <alignment vertical="center"/>
    </xf>
    <xf numFmtId="179" fontId="4" fillId="14" borderId="10" xfId="1" applyNumberFormat="1" applyFont="1" applyFill="1" applyBorder="1">
      <alignment vertical="center"/>
    </xf>
    <xf numFmtId="179" fontId="9" fillId="10" borderId="76" xfId="1" applyNumberFormat="1" applyFont="1" applyFill="1" applyBorder="1" applyAlignment="1">
      <alignment horizontal="center" vertical="center"/>
    </xf>
    <xf numFmtId="179" fontId="9" fillId="10" borderId="10" xfId="1" applyNumberFormat="1" applyFont="1" applyFill="1" applyBorder="1" applyAlignment="1">
      <alignment horizontal="center" vertical="center"/>
    </xf>
    <xf numFmtId="179" fontId="9" fillId="9" borderId="10" xfId="1" applyNumberFormat="1" applyFont="1" applyFill="1" applyBorder="1" applyAlignment="1">
      <alignment horizontal="center" vertical="center"/>
    </xf>
    <xf numFmtId="179" fontId="9" fillId="9" borderId="11" xfId="1" applyNumberFormat="1" applyFont="1" applyFill="1" applyBorder="1" applyAlignment="1">
      <alignment horizontal="center" vertical="center"/>
    </xf>
    <xf numFmtId="179" fontId="4" fillId="0" borderId="64" xfId="0" applyNumberFormat="1" applyFont="1" applyBorder="1" applyAlignment="1">
      <alignment horizontal="center" vertical="center"/>
    </xf>
    <xf numFmtId="179" fontId="4" fillId="0" borderId="11" xfId="0" applyNumberFormat="1" applyFont="1" applyBorder="1" applyAlignment="1">
      <alignment horizontal="center" vertical="center"/>
    </xf>
    <xf numFmtId="182" fontId="4" fillId="0" borderId="64" xfId="0" applyNumberFormat="1" applyFont="1" applyBorder="1" applyAlignment="1">
      <alignment horizontal="center" vertical="center"/>
    </xf>
    <xf numFmtId="182" fontId="4" fillId="0" borderId="11" xfId="0" applyNumberFormat="1" applyFont="1" applyBorder="1" applyAlignment="1">
      <alignment horizontal="center" vertical="center"/>
    </xf>
    <xf numFmtId="179" fontId="9" fillId="10" borderId="64" xfId="1" applyNumberFormat="1" applyFont="1" applyFill="1" applyBorder="1" applyAlignment="1">
      <alignment horizontal="center" vertical="center"/>
    </xf>
    <xf numFmtId="179" fontId="9" fillId="9" borderId="19" xfId="1" applyNumberFormat="1" applyFont="1" applyFill="1" applyBorder="1" applyAlignment="1">
      <alignment horizontal="center" vertical="center"/>
    </xf>
    <xf numFmtId="0" fontId="4" fillId="14" borderId="67" xfId="0" applyFont="1" applyFill="1" applyBorder="1" applyAlignment="1">
      <alignment horizontal="center" vertical="center"/>
    </xf>
    <xf numFmtId="179" fontId="4" fillId="5" borderId="5" xfId="1" applyNumberFormat="1" applyFont="1" applyFill="1" applyBorder="1" applyAlignment="1">
      <alignment horizontal="center" vertical="center"/>
    </xf>
    <xf numFmtId="179" fontId="4" fillId="5" borderId="5" xfId="1" applyNumberFormat="1" applyFont="1" applyFill="1" applyBorder="1">
      <alignment vertical="center"/>
    </xf>
    <xf numFmtId="179" fontId="4" fillId="15" borderId="5" xfId="1" applyNumberFormat="1" applyFont="1" applyFill="1" applyBorder="1">
      <alignment vertical="center"/>
    </xf>
    <xf numFmtId="179" fontId="4" fillId="7" borderId="5" xfId="1" applyNumberFormat="1" applyFont="1" applyFill="1" applyBorder="1">
      <alignment vertical="center"/>
    </xf>
    <xf numFmtId="179" fontId="4" fillId="16" borderId="5" xfId="1" applyNumberFormat="1" applyFont="1" applyFill="1" applyBorder="1">
      <alignment vertical="center"/>
    </xf>
    <xf numFmtId="179" fontId="4" fillId="11" borderId="5" xfId="1" applyNumberFormat="1" applyFont="1" applyFill="1" applyBorder="1">
      <alignment vertical="center"/>
    </xf>
    <xf numFmtId="179" fontId="18" fillId="12" borderId="5" xfId="1" applyNumberFormat="1" applyFont="1" applyFill="1" applyBorder="1">
      <alignment vertical="center"/>
    </xf>
    <xf numFmtId="179" fontId="18" fillId="12" borderId="18" xfId="1" applyNumberFormat="1" applyFont="1" applyFill="1" applyBorder="1">
      <alignment vertical="center"/>
    </xf>
    <xf numFmtId="179" fontId="9" fillId="9" borderId="82" xfId="1" applyNumberFormat="1" applyFont="1" applyFill="1" applyBorder="1" applyAlignment="1">
      <alignment horizontal="center" vertical="center"/>
    </xf>
    <xf numFmtId="179" fontId="19" fillId="13" borderId="83" xfId="1" applyNumberFormat="1" applyFont="1" applyFill="1" applyBorder="1" applyAlignment="1">
      <alignment horizontal="center" vertical="center"/>
    </xf>
    <xf numFmtId="179" fontId="19" fillId="13" borderId="84" xfId="1" applyNumberFormat="1" applyFont="1" applyFill="1" applyBorder="1" applyAlignment="1">
      <alignment horizontal="center" vertical="center"/>
    </xf>
    <xf numFmtId="179" fontId="4" fillId="11" borderId="66" xfId="0" applyNumberFormat="1" applyFont="1" applyFill="1" applyBorder="1" applyAlignment="1">
      <alignment horizontal="center" vertical="center"/>
    </xf>
    <xf numFmtId="179" fontId="4" fillId="11" borderId="6" xfId="0" applyNumberFormat="1" applyFont="1" applyFill="1" applyBorder="1" applyAlignment="1">
      <alignment horizontal="center" vertical="center"/>
    </xf>
    <xf numFmtId="182" fontId="4" fillId="14" borderId="66" xfId="0" applyNumberFormat="1" applyFont="1" applyFill="1" applyBorder="1" applyAlignment="1">
      <alignment horizontal="center" vertical="center"/>
    </xf>
    <xf numFmtId="182" fontId="4" fillId="14" borderId="6" xfId="0" applyNumberFormat="1" applyFont="1" applyFill="1" applyBorder="1" applyAlignment="1">
      <alignment horizontal="center" vertical="center"/>
    </xf>
    <xf numFmtId="0" fontId="4" fillId="11" borderId="75" xfId="0" applyFont="1" applyFill="1" applyBorder="1" applyAlignment="1">
      <alignment horizontal="center" vertical="center"/>
    </xf>
    <xf numFmtId="179" fontId="4" fillId="5" borderId="85" xfId="1" applyNumberFormat="1" applyFont="1" applyFill="1" applyBorder="1">
      <alignment vertical="center"/>
    </xf>
    <xf numFmtId="179" fontId="4" fillId="5" borderId="83" xfId="1" applyNumberFormat="1" applyFont="1" applyFill="1" applyBorder="1" applyAlignment="1">
      <alignment vertical="center"/>
    </xf>
    <xf numFmtId="179" fontId="4" fillId="5" borderId="83" xfId="1" applyNumberFormat="1" applyFont="1" applyFill="1" applyBorder="1">
      <alignment vertical="center"/>
    </xf>
    <xf numFmtId="179" fontId="4" fillId="15" borderId="83" xfId="1" applyNumberFormat="1" applyFont="1" applyFill="1" applyBorder="1">
      <alignment vertical="center"/>
    </xf>
    <xf numFmtId="179" fontId="4" fillId="7" borderId="83" xfId="1" applyNumberFormat="1" applyFont="1" applyFill="1" applyBorder="1">
      <alignment vertical="center"/>
    </xf>
    <xf numFmtId="179" fontId="4" fillId="16" borderId="83" xfId="1" applyNumberFormat="1" applyFont="1" applyFill="1" applyBorder="1">
      <alignment vertical="center"/>
    </xf>
    <xf numFmtId="179" fontId="4" fillId="11" borderId="83" xfId="1" applyNumberFormat="1" applyFont="1" applyFill="1" applyBorder="1">
      <alignment vertical="center"/>
    </xf>
    <xf numFmtId="179" fontId="18" fillId="12" borderId="83" xfId="1" applyNumberFormat="1" applyFont="1" applyFill="1" applyBorder="1">
      <alignment vertical="center"/>
    </xf>
    <xf numFmtId="179" fontId="18" fillId="12" borderId="86" xfId="1" applyNumberFormat="1" applyFont="1" applyFill="1" applyBorder="1">
      <alignment vertical="center"/>
    </xf>
    <xf numFmtId="179" fontId="9" fillId="9" borderId="83" xfId="1" applyNumberFormat="1" applyFont="1" applyFill="1" applyBorder="1" applyAlignment="1">
      <alignment horizontal="center" vertical="center"/>
    </xf>
    <xf numFmtId="179" fontId="4" fillId="11" borderId="85" xfId="0" applyNumberFormat="1" applyFont="1" applyFill="1" applyBorder="1" applyAlignment="1">
      <alignment horizontal="center" vertical="center"/>
    </xf>
    <xf numFmtId="179" fontId="4" fillId="11" borderId="84" xfId="0" applyNumberFormat="1" applyFont="1" applyFill="1" applyBorder="1" applyAlignment="1">
      <alignment horizontal="center" vertical="center"/>
    </xf>
    <xf numFmtId="182" fontId="4" fillId="14" borderId="85" xfId="0" applyNumberFormat="1" applyFont="1" applyFill="1" applyBorder="1" applyAlignment="1">
      <alignment horizontal="center" vertical="center"/>
    </xf>
    <xf numFmtId="182" fontId="4" fillId="14" borderId="84" xfId="0" applyNumberFormat="1" applyFont="1" applyFill="1" applyBorder="1" applyAlignment="1">
      <alignment horizontal="center" vertical="center"/>
    </xf>
    <xf numFmtId="0" fontId="19" fillId="2" borderId="0" xfId="0" applyFont="1" applyFill="1">
      <alignment vertical="center"/>
    </xf>
    <xf numFmtId="179" fontId="0" fillId="0" borderId="0" xfId="0" applyNumberFormat="1">
      <alignment vertical="center"/>
    </xf>
    <xf numFmtId="179" fontId="9" fillId="8" borderId="8" xfId="1" applyNumberFormat="1" applyFont="1" applyFill="1" applyBorder="1">
      <alignment vertical="center"/>
    </xf>
    <xf numFmtId="41" fontId="9" fillId="4" borderId="41" xfId="1" applyFont="1" applyFill="1" applyBorder="1" applyAlignment="1">
      <alignment vertical="center" shrinkToFit="1"/>
    </xf>
    <xf numFmtId="10" fontId="9" fillId="10" borderId="34" xfId="1" applyNumberFormat="1" applyFont="1" applyFill="1" applyBorder="1" applyAlignment="1">
      <alignment vertical="center"/>
    </xf>
    <xf numFmtId="193" fontId="13" fillId="4" borderId="73" xfId="0" applyNumberFormat="1" applyFont="1" applyFill="1" applyBorder="1" applyAlignment="1">
      <alignment horizontal="center" vertical="center" wrapText="1"/>
    </xf>
    <xf numFmtId="182" fontId="9" fillId="4" borderId="74" xfId="1" applyNumberFormat="1" applyFont="1" applyFill="1" applyBorder="1" applyAlignment="1">
      <alignment horizontal="center" vertical="center" shrinkToFit="1"/>
    </xf>
    <xf numFmtId="193" fontId="9" fillId="4" borderId="39" xfId="0" applyNumberFormat="1" applyFont="1" applyFill="1" applyBorder="1" applyAlignment="1">
      <alignment horizontal="center" vertical="center"/>
    </xf>
    <xf numFmtId="182" fontId="9" fillId="4" borderId="39" xfId="1" applyNumberFormat="1" applyFont="1" applyFill="1" applyBorder="1" applyAlignment="1">
      <alignment horizontal="center" vertical="center" shrinkToFit="1"/>
    </xf>
    <xf numFmtId="196" fontId="9" fillId="4" borderId="34" xfId="0" applyNumberFormat="1" applyFont="1" applyFill="1" applyBorder="1" applyAlignment="1">
      <alignment horizontal="center" vertical="center"/>
    </xf>
    <xf numFmtId="182" fontId="24" fillId="4" borderId="34" xfId="1" applyNumberFormat="1" applyFont="1" applyFill="1" applyBorder="1" applyAlignment="1">
      <alignment horizontal="center" vertical="center" shrinkToFit="1"/>
    </xf>
    <xf numFmtId="177" fontId="4" fillId="4" borderId="41" xfId="1" applyNumberFormat="1" applyFont="1" applyFill="1" applyBorder="1" applyAlignment="1">
      <alignment vertical="center"/>
    </xf>
    <xf numFmtId="177" fontId="4" fillId="4" borderId="41" xfId="1" applyNumberFormat="1" applyFont="1" applyFill="1" applyBorder="1" applyAlignment="1">
      <alignment vertical="center"/>
    </xf>
    <xf numFmtId="177" fontId="4" fillId="4" borderId="41" xfId="1" applyNumberFormat="1" applyFont="1" applyFill="1" applyBorder="1" applyAlignment="1">
      <alignment vertical="center"/>
    </xf>
    <xf numFmtId="177" fontId="4" fillId="4" borderId="41" xfId="1" applyNumberFormat="1" applyFont="1" applyFill="1" applyBorder="1" applyAlignment="1">
      <alignment vertical="center"/>
    </xf>
    <xf numFmtId="0" fontId="3" fillId="14" borderId="66" xfId="0" applyFont="1" applyFill="1" applyBorder="1" applyAlignment="1">
      <alignment horizontal="center" vertical="center" wrapText="1"/>
    </xf>
    <xf numFmtId="177" fontId="4" fillId="4" borderId="41" xfId="1" applyNumberFormat="1" applyFont="1" applyFill="1" applyBorder="1" applyAlignment="1">
      <alignment vertical="center"/>
    </xf>
    <xf numFmtId="179" fontId="9" fillId="18" borderId="8" xfId="1" applyNumberFormat="1" applyFont="1" applyFill="1" applyBorder="1" applyAlignment="1">
      <alignment horizontal="center" vertical="center"/>
    </xf>
    <xf numFmtId="179" fontId="9" fillId="18" borderId="43" xfId="1" applyNumberFormat="1" applyFont="1" applyFill="1" applyBorder="1" applyAlignment="1">
      <alignment horizontal="center" vertical="center"/>
    </xf>
    <xf numFmtId="179" fontId="9" fillId="18" borderId="2" xfId="1" applyNumberFormat="1" applyFont="1" applyFill="1" applyBorder="1" applyAlignment="1">
      <alignment horizontal="center" vertical="center"/>
    </xf>
    <xf numFmtId="179" fontId="9" fillId="18" borderId="10" xfId="1" applyNumberFormat="1" applyFont="1" applyFill="1" applyBorder="1" applyAlignment="1">
      <alignment horizontal="center" vertical="center"/>
    </xf>
    <xf numFmtId="179" fontId="9" fillId="18" borderId="83" xfId="1" applyNumberFormat="1" applyFont="1" applyFill="1" applyBorder="1" applyAlignment="1">
      <alignment horizontal="center" vertical="center"/>
    </xf>
    <xf numFmtId="0" fontId="19" fillId="13" borderId="4" xfId="0" applyFont="1" applyFill="1" applyBorder="1" applyAlignment="1">
      <alignment horizontal="center" vertical="center"/>
    </xf>
    <xf numFmtId="179" fontId="9" fillId="9" borderId="7" xfId="1" applyNumberFormat="1" applyFont="1" applyFill="1" applyBorder="1" applyAlignment="1">
      <alignment horizontal="center" vertical="center"/>
    </xf>
    <xf numFmtId="179" fontId="9" fillId="9" borderId="37" xfId="1" applyNumberFormat="1" applyFont="1" applyFill="1" applyBorder="1" applyAlignment="1">
      <alignment horizontal="center" vertical="center"/>
    </xf>
    <xf numFmtId="179" fontId="19" fillId="13" borderId="12" xfId="1" applyNumberFormat="1" applyFont="1" applyFill="1" applyBorder="1" applyAlignment="1">
      <alignment horizontal="center" vertical="center"/>
    </xf>
    <xf numFmtId="179" fontId="9" fillId="9" borderId="1" xfId="1" applyNumberFormat="1" applyFont="1" applyFill="1" applyBorder="1" applyAlignment="1">
      <alignment horizontal="center" vertical="center"/>
    </xf>
    <xf numFmtId="179" fontId="9" fillId="9" borderId="76" xfId="1" applyNumberFormat="1" applyFont="1" applyFill="1" applyBorder="1" applyAlignment="1">
      <alignment horizontal="center" vertical="center"/>
    </xf>
    <xf numFmtId="179" fontId="19" fillId="13" borderId="82" xfId="1" applyNumberFormat="1" applyFont="1" applyFill="1" applyBorder="1" applyAlignment="1">
      <alignment horizontal="center" vertical="center"/>
    </xf>
    <xf numFmtId="179" fontId="9" fillId="18" borderId="71" xfId="1" applyNumberFormat="1" applyFont="1" applyFill="1" applyBorder="1" applyAlignment="1">
      <alignment horizontal="center" vertical="center"/>
    </xf>
    <xf numFmtId="177" fontId="4" fillId="4" borderId="41" xfId="1" applyNumberFormat="1" applyFont="1" applyFill="1" applyBorder="1" applyAlignment="1">
      <alignment vertical="center"/>
    </xf>
    <xf numFmtId="177" fontId="4" fillId="4" borderId="41" xfId="1" applyNumberFormat="1" applyFont="1" applyFill="1" applyBorder="1" applyAlignment="1">
      <alignment vertical="center"/>
    </xf>
    <xf numFmtId="177" fontId="4" fillId="4" borderId="41" xfId="1" applyNumberFormat="1" applyFont="1" applyFill="1" applyBorder="1" applyAlignment="1">
      <alignment vertical="center"/>
    </xf>
    <xf numFmtId="177" fontId="4" fillId="4" borderId="41" xfId="1" applyNumberFormat="1" applyFont="1" applyFill="1" applyBorder="1" applyAlignment="1">
      <alignment vertical="center"/>
    </xf>
    <xf numFmtId="0" fontId="6" fillId="7" borderId="5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vertical="center"/>
    </xf>
    <xf numFmtId="0" fontId="4" fillId="5" borderId="62" xfId="0" applyFont="1" applyFill="1" applyBorder="1" applyAlignment="1">
      <alignment horizontal="center" vertical="center"/>
    </xf>
    <xf numFmtId="0" fontId="0" fillId="0" borderId="63" xfId="0" applyBorder="1" applyAlignment="1">
      <alignment vertical="center"/>
    </xf>
    <xf numFmtId="0" fontId="4" fillId="5" borderId="27" xfId="0" applyFont="1" applyFill="1" applyBorder="1" applyAlignment="1">
      <alignment horizontal="center" vertical="center"/>
    </xf>
    <xf numFmtId="0" fontId="0" fillId="0" borderId="29" xfId="0" applyBorder="1" applyAlignment="1">
      <alignment vertical="center"/>
    </xf>
    <xf numFmtId="176" fontId="4" fillId="4" borderId="33" xfId="1" applyNumberFormat="1" applyFont="1" applyFill="1" applyBorder="1" applyAlignment="1">
      <alignment vertical="center"/>
    </xf>
    <xf numFmtId="0" fontId="4" fillId="0" borderId="34" xfId="0" applyFont="1" applyBorder="1" applyAlignment="1">
      <alignment vertical="center"/>
    </xf>
    <xf numFmtId="178" fontId="4" fillId="4" borderId="48" xfId="1" applyNumberFormat="1" applyFont="1" applyFill="1" applyBorder="1" applyAlignment="1">
      <alignment horizontal="center" vertical="center"/>
    </xf>
    <xf numFmtId="178" fontId="4" fillId="4" borderId="47" xfId="0" applyNumberFormat="1" applyFont="1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41" fontId="4" fillId="4" borderId="47" xfId="1" applyFont="1" applyFill="1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0" fontId="4" fillId="6" borderId="49" xfId="1" applyNumberFormat="1" applyFont="1" applyFill="1" applyBorder="1" applyAlignment="1">
      <alignment horizontal="center" vertical="center"/>
    </xf>
    <xf numFmtId="0" fontId="0" fillId="6" borderId="49" xfId="0" applyFill="1" applyBorder="1" applyAlignment="1">
      <alignment horizontal="center" vertical="center"/>
    </xf>
    <xf numFmtId="0" fontId="0" fillId="6" borderId="5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4" fillId="5" borderId="23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41" fontId="4" fillId="4" borderId="41" xfId="1" applyFont="1" applyFill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5" borderId="41" xfId="0" applyFont="1" applyFill="1" applyBorder="1" applyAlignment="1">
      <alignment horizontal="center" vertical="center"/>
    </xf>
    <xf numFmtId="0" fontId="0" fillId="0" borderId="26" xfId="0" applyBorder="1" applyAlignment="1">
      <alignment vertical="center"/>
    </xf>
    <xf numFmtId="0" fontId="0" fillId="0" borderId="0" xfId="0" applyAlignment="1">
      <alignment vertical="center"/>
    </xf>
    <xf numFmtId="0" fontId="0" fillId="0" borderId="42" xfId="0" applyBorder="1" applyAlignment="1">
      <alignment vertical="center"/>
    </xf>
    <xf numFmtId="0" fontId="0" fillId="0" borderId="59" xfId="0" applyBorder="1" applyAlignment="1">
      <alignment vertical="center"/>
    </xf>
    <xf numFmtId="0" fontId="0" fillId="0" borderId="60" xfId="0" applyBorder="1" applyAlignment="1">
      <alignment vertical="center"/>
    </xf>
    <xf numFmtId="0" fontId="4" fillId="0" borderId="26" xfId="0" applyFont="1" applyBorder="1" applyAlignment="1">
      <alignment vertical="center"/>
    </xf>
    <xf numFmtId="10" fontId="4" fillId="4" borderId="40" xfId="1" applyNumberFormat="1" applyFont="1" applyFill="1" applyBorder="1" applyAlignment="1">
      <alignment horizontal="right" vertical="center"/>
    </xf>
    <xf numFmtId="0" fontId="4" fillId="4" borderId="41" xfId="0" applyFont="1" applyFill="1" applyBorder="1" applyAlignment="1">
      <alignment horizontal="right" vertical="center"/>
    </xf>
    <xf numFmtId="10" fontId="4" fillId="4" borderId="41" xfId="1" applyNumberFormat="1" applyFont="1" applyFill="1" applyBorder="1" applyAlignment="1">
      <alignment horizontal="right" vertical="center"/>
    </xf>
    <xf numFmtId="0" fontId="4" fillId="5" borderId="34" xfId="0" applyFont="1" applyFill="1" applyBorder="1" applyAlignment="1">
      <alignment horizontal="center" vertical="center"/>
    </xf>
    <xf numFmtId="0" fontId="4" fillId="0" borderId="25" xfId="0" applyFont="1" applyBorder="1" applyAlignment="1">
      <alignment vertical="center"/>
    </xf>
    <xf numFmtId="10" fontId="4" fillId="0" borderId="41" xfId="0" applyNumberFormat="1" applyFont="1" applyBorder="1" applyAlignment="1">
      <alignment horizontal="right" vertical="center"/>
    </xf>
    <xf numFmtId="41" fontId="4" fillId="4" borderId="41" xfId="1" applyFont="1" applyFill="1" applyBorder="1" applyAlignment="1">
      <alignment horizontal="left" vertical="center"/>
    </xf>
    <xf numFmtId="0" fontId="4" fillId="0" borderId="41" xfId="0" applyFont="1" applyBorder="1" applyAlignment="1">
      <alignment vertical="center"/>
    </xf>
    <xf numFmtId="176" fontId="4" fillId="4" borderId="40" xfId="1" applyNumberFormat="1" applyFont="1" applyFill="1" applyBorder="1" applyAlignment="1">
      <alignment vertical="center"/>
    </xf>
    <xf numFmtId="176" fontId="4" fillId="4" borderId="41" xfId="0" applyNumberFormat="1" applyFont="1" applyFill="1" applyBorder="1" applyAlignment="1">
      <alignment vertical="center"/>
    </xf>
    <xf numFmtId="177" fontId="4" fillId="4" borderId="41" xfId="1" applyNumberFormat="1" applyFont="1" applyFill="1" applyBorder="1" applyAlignment="1">
      <alignment vertical="center"/>
    </xf>
    <xf numFmtId="177" fontId="4" fillId="4" borderId="41" xfId="0" applyNumberFormat="1" applyFont="1" applyFill="1" applyBorder="1" applyAlignment="1">
      <alignment vertical="center"/>
    </xf>
    <xf numFmtId="41" fontId="10" fillId="4" borderId="41" xfId="1" applyFont="1" applyFill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10" fontId="4" fillId="4" borderId="40" xfId="1" applyNumberFormat="1" applyFont="1" applyFill="1" applyBorder="1" applyAlignment="1">
      <alignment vertical="center"/>
    </xf>
    <xf numFmtId="0" fontId="4" fillId="4" borderId="41" xfId="0" applyFont="1" applyFill="1" applyBorder="1" applyAlignment="1">
      <alignment vertical="center"/>
    </xf>
    <xf numFmtId="0" fontId="4" fillId="4" borderId="41" xfId="0" applyFont="1" applyFill="1" applyBorder="1" applyAlignment="1">
      <alignment horizontal="center" vertical="center"/>
    </xf>
    <xf numFmtId="0" fontId="4" fillId="5" borderId="26" xfId="0" applyFont="1" applyFill="1" applyBorder="1" applyAlignment="1">
      <alignment vertical="center"/>
    </xf>
    <xf numFmtId="0" fontId="4" fillId="5" borderId="12" xfId="0" applyFont="1" applyFill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5" borderId="17" xfId="0" applyFont="1" applyFill="1" applyBorder="1" applyAlignment="1">
      <alignment vertical="center"/>
    </xf>
    <xf numFmtId="41" fontId="4" fillId="4" borderId="40" xfId="1" applyFont="1" applyFill="1" applyBorder="1" applyAlignment="1">
      <alignment horizontal="left" vertical="center"/>
    </xf>
    <xf numFmtId="0" fontId="4" fillId="0" borderId="41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177" fontId="4" fillId="0" borderId="41" xfId="0" applyNumberFormat="1" applyFont="1" applyBorder="1" applyAlignment="1">
      <alignment vertical="center"/>
    </xf>
    <xf numFmtId="176" fontId="4" fillId="0" borderId="41" xfId="0" applyNumberFormat="1" applyFont="1" applyBorder="1" applyAlignment="1">
      <alignment vertical="center"/>
    </xf>
    <xf numFmtId="181" fontId="4" fillId="4" borderId="40" xfId="1" applyNumberFormat="1" applyFont="1" applyFill="1" applyBorder="1" applyAlignment="1">
      <alignment vertical="center"/>
    </xf>
    <xf numFmtId="181" fontId="4" fillId="4" borderId="41" xfId="0" applyNumberFormat="1" applyFont="1" applyFill="1" applyBorder="1" applyAlignment="1">
      <alignment vertical="center"/>
    </xf>
    <xf numFmtId="183" fontId="4" fillId="4" borderId="40" xfId="1" applyNumberFormat="1" applyFont="1" applyFill="1" applyBorder="1" applyAlignment="1">
      <alignment horizontal="center"/>
    </xf>
    <xf numFmtId="183" fontId="4" fillId="4" borderId="41" xfId="1" applyNumberFormat="1" applyFont="1" applyFill="1" applyBorder="1" applyAlignment="1">
      <alignment horizontal="center"/>
    </xf>
    <xf numFmtId="184" fontId="4" fillId="4" borderId="70" xfId="1" applyNumberFormat="1" applyFont="1" applyFill="1" applyBorder="1" applyAlignment="1">
      <alignment horizontal="center" vertical="center"/>
    </xf>
    <xf numFmtId="184" fontId="4" fillId="4" borderId="0" xfId="1" applyNumberFormat="1" applyFont="1" applyFill="1" applyBorder="1" applyAlignment="1">
      <alignment horizontal="center" vertical="center"/>
    </xf>
    <xf numFmtId="184" fontId="4" fillId="4" borderId="37" xfId="1" applyNumberFormat="1" applyFont="1" applyFill="1" applyBorder="1" applyAlignment="1">
      <alignment horizontal="center" vertical="center"/>
    </xf>
    <xf numFmtId="0" fontId="3" fillId="5" borderId="65" xfId="0" applyFont="1" applyFill="1" applyBorder="1" applyAlignment="1">
      <alignment horizontal="center" vertical="center"/>
    </xf>
    <xf numFmtId="0" fontId="4" fillId="5" borderId="26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4" fillId="5" borderId="42" xfId="0" applyFont="1" applyFill="1" applyBorder="1" applyAlignment="1">
      <alignment horizontal="center" vertical="center"/>
    </xf>
    <xf numFmtId="0" fontId="4" fillId="5" borderId="39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4" fillId="4" borderId="71" xfId="0" applyFont="1" applyFill="1" applyBorder="1" applyAlignment="1">
      <alignment horizontal="center" vertical="center"/>
    </xf>
    <xf numFmtId="0" fontId="4" fillId="4" borderId="43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0" fillId="5" borderId="41" xfId="0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176" fontId="4" fillId="4" borderId="48" xfId="1" applyNumberFormat="1" applyFont="1" applyFill="1" applyBorder="1" applyAlignment="1">
      <alignment horizontal="right" vertical="center"/>
    </xf>
    <xf numFmtId="176" fontId="4" fillId="4" borderId="47" xfId="1" applyNumberFormat="1" applyFont="1" applyFill="1" applyBorder="1" applyAlignment="1">
      <alignment horizontal="right" vertical="center"/>
    </xf>
    <xf numFmtId="10" fontId="15" fillId="4" borderId="47" xfId="2" applyNumberFormat="1" applyFont="1" applyFill="1" applyBorder="1" applyAlignment="1">
      <alignment horizontal="left" vertical="center"/>
    </xf>
    <xf numFmtId="0" fontId="3" fillId="5" borderId="0" xfId="0" applyFont="1" applyFill="1" applyBorder="1" applyAlignment="1">
      <alignment horizontal="center" vertical="center"/>
    </xf>
    <xf numFmtId="0" fontId="3" fillId="5" borderId="42" xfId="0" applyFont="1" applyFill="1" applyBorder="1" applyAlignment="1">
      <alignment horizontal="center" vertical="center"/>
    </xf>
    <xf numFmtId="0" fontId="3" fillId="5" borderId="59" xfId="0" applyFont="1" applyFill="1" applyBorder="1" applyAlignment="1">
      <alignment horizontal="center" vertical="center"/>
    </xf>
    <xf numFmtId="0" fontId="3" fillId="5" borderId="60" xfId="0" applyFont="1" applyFill="1" applyBorder="1" applyAlignment="1">
      <alignment horizontal="center" vertical="center"/>
    </xf>
    <xf numFmtId="176" fontId="4" fillId="4" borderId="72" xfId="1" applyNumberFormat="1" applyFont="1" applyFill="1" applyBorder="1" applyAlignment="1">
      <alignment horizontal="right" vertical="center"/>
    </xf>
    <xf numFmtId="176" fontId="4" fillId="4" borderId="39" xfId="1" applyNumberFormat="1" applyFont="1" applyFill="1" applyBorder="1" applyAlignment="1">
      <alignment horizontal="right" vertical="center"/>
    </xf>
    <xf numFmtId="185" fontId="4" fillId="4" borderId="39" xfId="1" applyNumberFormat="1" applyFont="1" applyFill="1" applyBorder="1" applyAlignment="1">
      <alignment horizontal="left" vertical="center"/>
    </xf>
    <xf numFmtId="176" fontId="4" fillId="4" borderId="72" xfId="1" applyNumberFormat="1" applyFont="1" applyFill="1" applyBorder="1" applyAlignment="1">
      <alignment horizontal="center" vertical="center"/>
    </xf>
    <xf numFmtId="176" fontId="4" fillId="4" borderId="39" xfId="1" applyNumberFormat="1" applyFont="1" applyFill="1" applyBorder="1" applyAlignment="1">
      <alignment horizontal="center" vertical="center"/>
    </xf>
    <xf numFmtId="41" fontId="4" fillId="4" borderId="11" xfId="1" applyFont="1" applyFill="1" applyBorder="1" applyAlignment="1">
      <alignment horizontal="left" vertical="center"/>
    </xf>
    <xf numFmtId="41" fontId="4" fillId="4" borderId="34" xfId="1" applyFont="1" applyFill="1" applyBorder="1" applyAlignment="1">
      <alignment horizontal="left" vertical="center"/>
    </xf>
    <xf numFmtId="41" fontId="7" fillId="4" borderId="11" xfId="1" applyFont="1" applyFill="1" applyBorder="1" applyAlignment="1">
      <alignment horizontal="left" vertical="center"/>
    </xf>
    <xf numFmtId="41" fontId="7" fillId="4" borderId="34" xfId="1" applyFont="1" applyFill="1" applyBorder="1" applyAlignment="1">
      <alignment horizontal="left" vertical="center"/>
    </xf>
    <xf numFmtId="0" fontId="4" fillId="4" borderId="40" xfId="1" applyNumberFormat="1" applyFont="1" applyFill="1" applyBorder="1" applyAlignment="1">
      <alignment horizontal="right" vertical="center"/>
    </xf>
    <xf numFmtId="0" fontId="4" fillId="4" borderId="41" xfId="1" applyNumberFormat="1" applyFont="1" applyFill="1" applyBorder="1" applyAlignment="1">
      <alignment horizontal="right" vertical="center"/>
    </xf>
    <xf numFmtId="0" fontId="4" fillId="4" borderId="41" xfId="0" applyNumberFormat="1" applyFont="1" applyFill="1" applyBorder="1" applyAlignment="1">
      <alignment horizontal="right" vertical="center"/>
    </xf>
    <xf numFmtId="189" fontId="11" fillId="4" borderId="34" xfId="1" applyNumberFormat="1" applyFont="1" applyFill="1" applyBorder="1" applyAlignment="1">
      <alignment horizontal="center" vertical="center"/>
    </xf>
    <xf numFmtId="189" fontId="22" fillId="0" borderId="34" xfId="0" applyNumberFormat="1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4" fillId="7" borderId="17" xfId="0" applyFont="1" applyFill="1" applyBorder="1" applyAlignment="1">
      <alignment vertical="center"/>
    </xf>
    <xf numFmtId="0" fontId="4" fillId="7" borderId="41" xfId="0" applyFont="1" applyFill="1" applyBorder="1" applyAlignment="1">
      <alignment horizontal="center" vertical="center"/>
    </xf>
    <xf numFmtId="0" fontId="0" fillId="7" borderId="26" xfId="0" applyFill="1" applyBorder="1" applyAlignment="1">
      <alignment vertical="center"/>
    </xf>
    <xf numFmtId="41" fontId="9" fillId="8" borderId="33" xfId="1" applyFont="1" applyFill="1" applyBorder="1" applyAlignment="1">
      <alignment horizontal="right" vertical="center"/>
    </xf>
    <xf numFmtId="41" fontId="9" fillId="8" borderId="34" xfId="1" applyFont="1" applyFill="1" applyBorder="1" applyAlignment="1">
      <alignment horizontal="right" vertical="center"/>
    </xf>
    <xf numFmtId="0" fontId="25" fillId="8" borderId="34" xfId="0" applyFont="1" applyFill="1" applyBorder="1" applyAlignment="1">
      <alignment horizontal="right" vertical="center"/>
    </xf>
    <xf numFmtId="188" fontId="4" fillId="8" borderId="40" xfId="1" applyNumberFormat="1" applyFont="1" applyFill="1" applyBorder="1" applyAlignment="1">
      <alignment vertical="center"/>
    </xf>
    <xf numFmtId="188" fontId="4" fillId="8" borderId="41" xfId="1" applyNumberFormat="1" applyFont="1" applyFill="1" applyBorder="1" applyAlignment="1">
      <alignment vertical="center"/>
    </xf>
    <xf numFmtId="188" fontId="0" fillId="8" borderId="41" xfId="0" applyNumberFormat="1" applyFill="1" applyBorder="1" applyAlignment="1">
      <alignment vertical="center"/>
    </xf>
    <xf numFmtId="177" fontId="4" fillId="8" borderId="41" xfId="1" applyNumberFormat="1" applyFont="1" applyFill="1" applyBorder="1" applyAlignment="1">
      <alignment vertical="center"/>
    </xf>
    <xf numFmtId="177" fontId="0" fillId="8" borderId="41" xfId="0" applyNumberFormat="1" applyFill="1" applyBorder="1" applyAlignment="1">
      <alignment vertical="center"/>
    </xf>
    <xf numFmtId="176" fontId="4" fillId="4" borderId="33" xfId="1" applyNumberFormat="1" applyFont="1" applyFill="1" applyBorder="1" applyAlignment="1">
      <alignment horizontal="right" vertical="center"/>
    </xf>
    <xf numFmtId="176" fontId="4" fillId="4" borderId="34" xfId="1" applyNumberFormat="1" applyFont="1" applyFill="1" applyBorder="1" applyAlignment="1">
      <alignment horizontal="right" vertical="center"/>
    </xf>
    <xf numFmtId="10" fontId="11" fillId="4" borderId="33" xfId="1" applyNumberFormat="1" applyFont="1" applyFill="1" applyBorder="1" applyAlignment="1">
      <alignment horizontal="right" vertical="center"/>
    </xf>
    <xf numFmtId="10" fontId="11" fillId="4" borderId="34" xfId="1" applyNumberFormat="1" applyFont="1" applyFill="1" applyBorder="1" applyAlignment="1">
      <alignment horizontal="right" vertical="center"/>
    </xf>
    <xf numFmtId="0" fontId="11" fillId="4" borderId="34" xfId="0" applyFont="1" applyFill="1" applyBorder="1" applyAlignment="1">
      <alignment horizontal="right" vertical="center"/>
    </xf>
    <xf numFmtId="0" fontId="3" fillId="5" borderId="41" xfId="0" applyFont="1" applyFill="1" applyBorder="1" applyAlignment="1">
      <alignment horizontal="center" vertical="center"/>
    </xf>
    <xf numFmtId="188" fontId="4" fillId="4" borderId="40" xfId="1" applyNumberFormat="1" applyFont="1" applyFill="1" applyBorder="1" applyAlignment="1">
      <alignment vertical="center"/>
    </xf>
    <xf numFmtId="188" fontId="4" fillId="4" borderId="41" xfId="1" applyNumberFormat="1" applyFont="1" applyFill="1" applyBorder="1" applyAlignment="1">
      <alignment vertical="center"/>
    </xf>
    <xf numFmtId="188" fontId="4" fillId="4" borderId="41" xfId="0" applyNumberFormat="1" applyFont="1" applyFill="1" applyBorder="1" applyAlignment="1">
      <alignment vertical="center"/>
    </xf>
    <xf numFmtId="0" fontId="4" fillId="9" borderId="12" xfId="0" applyFont="1" applyFill="1" applyBorder="1" applyAlignment="1">
      <alignment horizontal="center" vertical="center"/>
    </xf>
    <xf numFmtId="0" fontId="0" fillId="9" borderId="37" xfId="0" applyFill="1" applyBorder="1" applyAlignment="1">
      <alignment horizontal="center" vertical="center"/>
    </xf>
    <xf numFmtId="188" fontId="9" fillId="4" borderId="40" xfId="1" applyNumberFormat="1" applyFont="1" applyFill="1" applyBorder="1" applyAlignment="1">
      <alignment vertical="center"/>
    </xf>
    <xf numFmtId="188" fontId="9" fillId="4" borderId="41" xfId="1" applyNumberFormat="1" applyFont="1" applyFill="1" applyBorder="1" applyAlignment="1">
      <alignment vertical="center"/>
    </xf>
    <xf numFmtId="188" fontId="9" fillId="4" borderId="41" xfId="0" applyNumberFormat="1" applyFont="1" applyFill="1" applyBorder="1" applyAlignment="1">
      <alignment vertical="center"/>
    </xf>
    <xf numFmtId="177" fontId="9" fillId="4" borderId="41" xfId="1" applyNumberFormat="1" applyFont="1" applyFill="1" applyBorder="1" applyAlignment="1">
      <alignment vertical="center"/>
    </xf>
    <xf numFmtId="177" fontId="9" fillId="4" borderId="41" xfId="0" applyNumberFormat="1" applyFont="1" applyFill="1" applyBorder="1" applyAlignment="1">
      <alignment vertical="center"/>
    </xf>
    <xf numFmtId="188" fontId="9" fillId="10" borderId="40" xfId="1" applyNumberFormat="1" applyFont="1" applyFill="1" applyBorder="1" applyAlignment="1">
      <alignment vertical="center"/>
    </xf>
    <xf numFmtId="188" fontId="9" fillId="10" borderId="41" xfId="1" applyNumberFormat="1" applyFont="1" applyFill="1" applyBorder="1" applyAlignment="1">
      <alignment vertical="center"/>
    </xf>
    <xf numFmtId="188" fontId="9" fillId="10" borderId="41" xfId="0" applyNumberFormat="1" applyFont="1" applyFill="1" applyBorder="1" applyAlignment="1">
      <alignment vertical="center"/>
    </xf>
    <xf numFmtId="177" fontId="9" fillId="10" borderId="41" xfId="1" applyNumberFormat="1" applyFont="1" applyFill="1" applyBorder="1" applyAlignment="1">
      <alignment vertical="center"/>
    </xf>
    <xf numFmtId="177" fontId="9" fillId="10" borderId="41" xfId="0" applyNumberFormat="1" applyFont="1" applyFill="1" applyBorder="1" applyAlignment="1">
      <alignment vertical="center"/>
    </xf>
    <xf numFmtId="0" fontId="4" fillId="9" borderId="41" xfId="0" applyFont="1" applyFill="1" applyBorder="1" applyAlignment="1">
      <alignment horizontal="center" vertical="center"/>
    </xf>
    <xf numFmtId="0" fontId="0" fillId="9" borderId="26" xfId="0" applyFill="1" applyBorder="1" applyAlignment="1">
      <alignment vertical="center"/>
    </xf>
    <xf numFmtId="10" fontId="9" fillId="10" borderId="40" xfId="1" applyNumberFormat="1" applyFont="1" applyFill="1" applyBorder="1" applyAlignment="1">
      <alignment vertical="center"/>
    </xf>
    <xf numFmtId="10" fontId="9" fillId="10" borderId="41" xfId="1" applyNumberFormat="1" applyFont="1" applyFill="1" applyBorder="1" applyAlignment="1">
      <alignment vertical="center"/>
    </xf>
    <xf numFmtId="0" fontId="9" fillId="10" borderId="41" xfId="0" applyFont="1" applyFill="1" applyBorder="1" applyAlignment="1">
      <alignment vertical="center"/>
    </xf>
    <xf numFmtId="10" fontId="4" fillId="10" borderId="41" xfId="1" applyNumberFormat="1" applyFont="1" applyFill="1" applyBorder="1" applyAlignment="1">
      <alignment horizontal="right" vertical="center"/>
    </xf>
    <xf numFmtId="0" fontId="4" fillId="10" borderId="41" xfId="0" applyFont="1" applyFill="1" applyBorder="1" applyAlignment="1">
      <alignment horizontal="right" vertical="center"/>
    </xf>
    <xf numFmtId="0" fontId="4" fillId="5" borderId="25" xfId="0" applyFont="1" applyFill="1" applyBorder="1" applyAlignment="1">
      <alignment horizontal="center" vertical="center"/>
    </xf>
    <xf numFmtId="188" fontId="9" fillId="4" borderId="33" xfId="1" applyNumberFormat="1" applyFont="1" applyFill="1" applyBorder="1" applyAlignment="1">
      <alignment horizontal="right" vertical="center"/>
    </xf>
    <xf numFmtId="188" fontId="9" fillId="4" borderId="34" xfId="1" applyNumberFormat="1" applyFont="1" applyFill="1" applyBorder="1" applyAlignment="1">
      <alignment horizontal="right" vertical="center"/>
    </xf>
    <xf numFmtId="195" fontId="13" fillId="4" borderId="34" xfId="1" applyNumberFormat="1" applyFont="1" applyFill="1" applyBorder="1" applyAlignment="1">
      <alignment horizontal="center" vertical="center" wrapText="1"/>
    </xf>
    <xf numFmtId="195" fontId="13" fillId="4" borderId="34" xfId="1" applyNumberFormat="1" applyFont="1" applyFill="1" applyBorder="1" applyAlignment="1">
      <alignment horizontal="center" vertical="center"/>
    </xf>
    <xf numFmtId="10" fontId="9" fillId="10" borderId="33" xfId="1" applyNumberFormat="1" applyFont="1" applyFill="1" applyBorder="1" applyAlignment="1">
      <alignment horizontal="right" vertical="center"/>
    </xf>
    <xf numFmtId="10" fontId="9" fillId="10" borderId="34" xfId="1" applyNumberFormat="1" applyFont="1" applyFill="1" applyBorder="1" applyAlignment="1">
      <alignment horizontal="right" vertical="center"/>
    </xf>
    <xf numFmtId="0" fontId="4" fillId="9" borderId="34" xfId="0" applyFont="1" applyFill="1" applyBorder="1" applyAlignment="1">
      <alignment horizontal="center" vertical="center"/>
    </xf>
    <xf numFmtId="0" fontId="4" fillId="9" borderId="25" xfId="0" applyFont="1" applyFill="1" applyBorder="1" applyAlignment="1">
      <alignment horizontal="center" vertical="center"/>
    </xf>
    <xf numFmtId="188" fontId="9" fillId="10" borderId="33" xfId="1" applyNumberFormat="1" applyFont="1" applyFill="1" applyBorder="1" applyAlignment="1">
      <alignment horizontal="right" vertical="center"/>
    </xf>
    <xf numFmtId="188" fontId="9" fillId="10" borderId="34" xfId="1" applyNumberFormat="1" applyFont="1" applyFill="1" applyBorder="1" applyAlignment="1">
      <alignment horizontal="right" vertical="center"/>
    </xf>
    <xf numFmtId="0" fontId="4" fillId="10" borderId="34" xfId="0" applyFont="1" applyFill="1" applyBorder="1" applyAlignment="1">
      <alignment horizontal="left" vertical="center"/>
    </xf>
    <xf numFmtId="183" fontId="9" fillId="4" borderId="40" xfId="1" applyNumberFormat="1" applyFont="1" applyFill="1" applyBorder="1" applyAlignment="1">
      <alignment horizontal="center"/>
    </xf>
    <xf numFmtId="183" fontId="9" fillId="4" borderId="41" xfId="1" applyNumberFormat="1" applyFont="1" applyFill="1" applyBorder="1" applyAlignment="1">
      <alignment horizontal="center"/>
    </xf>
    <xf numFmtId="192" fontId="9" fillId="4" borderId="71" xfId="0" applyNumberFormat="1" applyFont="1" applyFill="1" applyBorder="1" applyAlignment="1">
      <alignment horizontal="center" vertical="center"/>
    </xf>
    <xf numFmtId="192" fontId="9" fillId="4" borderId="43" xfId="0" applyNumberFormat="1" applyFont="1" applyFill="1" applyBorder="1" applyAlignment="1">
      <alignment horizontal="center" vertical="center"/>
    </xf>
    <xf numFmtId="192" fontId="9" fillId="4" borderId="8" xfId="0" applyNumberFormat="1" applyFont="1" applyFill="1" applyBorder="1" applyAlignment="1">
      <alignment horizontal="center" vertical="center"/>
    </xf>
    <xf numFmtId="194" fontId="9" fillId="4" borderId="70" xfId="1" applyNumberFormat="1" applyFont="1" applyFill="1" applyBorder="1" applyAlignment="1">
      <alignment horizontal="right" vertical="center"/>
    </xf>
    <xf numFmtId="194" fontId="9" fillId="4" borderId="0" xfId="1" applyNumberFormat="1" applyFont="1" applyFill="1" applyBorder="1" applyAlignment="1">
      <alignment horizontal="right" vertical="center"/>
    </xf>
    <xf numFmtId="194" fontId="9" fillId="4" borderId="37" xfId="1" applyNumberFormat="1" applyFont="1" applyFill="1" applyBorder="1" applyAlignment="1">
      <alignment horizontal="right" vertical="center"/>
    </xf>
    <xf numFmtId="195" fontId="9" fillId="4" borderId="72" xfId="1" applyNumberFormat="1" applyFont="1" applyFill="1" applyBorder="1" applyAlignment="1">
      <alignment vertical="center"/>
    </xf>
    <xf numFmtId="195" fontId="9" fillId="4" borderId="39" xfId="1" applyNumberFormat="1" applyFont="1" applyFill="1" applyBorder="1" applyAlignment="1">
      <alignment vertical="center"/>
    </xf>
    <xf numFmtId="195" fontId="9" fillId="4" borderId="39" xfId="0" applyNumberFormat="1" applyFont="1" applyFill="1" applyBorder="1" applyAlignment="1">
      <alignment vertical="center"/>
    </xf>
    <xf numFmtId="0" fontId="4" fillId="5" borderId="59" xfId="0" applyFont="1" applyFill="1" applyBorder="1" applyAlignment="1">
      <alignment horizontal="center" vertical="center"/>
    </xf>
    <xf numFmtId="0" fontId="4" fillId="5" borderId="60" xfId="0" applyFont="1" applyFill="1" applyBorder="1" applyAlignment="1">
      <alignment horizontal="center" vertical="center"/>
    </xf>
    <xf numFmtId="197" fontId="4" fillId="4" borderId="48" xfId="1" applyNumberFormat="1" applyFont="1" applyFill="1" applyBorder="1" applyAlignment="1">
      <alignment horizontal="center" vertical="center"/>
    </xf>
    <xf numFmtId="197" fontId="4" fillId="4" borderId="47" xfId="1" applyNumberFormat="1" applyFont="1" applyFill="1" applyBorder="1" applyAlignment="1">
      <alignment horizontal="center" vertical="center"/>
    </xf>
    <xf numFmtId="0" fontId="3" fillId="11" borderId="32" xfId="0" applyFont="1" applyFill="1" applyBorder="1" applyAlignment="1">
      <alignment horizontal="center" vertical="center"/>
    </xf>
    <xf numFmtId="0" fontId="3" fillId="11" borderId="34" xfId="0" applyFont="1" applyFill="1" applyBorder="1" applyAlignment="1">
      <alignment horizontal="center" vertical="center"/>
    </xf>
    <xf numFmtId="0" fontId="4" fillId="11" borderId="67" xfId="0" applyFont="1" applyFill="1" applyBorder="1" applyAlignment="1">
      <alignment horizontal="center" vertical="center"/>
    </xf>
    <xf numFmtId="0" fontId="18" fillId="12" borderId="65" xfId="0" applyFont="1" applyFill="1" applyBorder="1" applyAlignment="1">
      <alignment horizontal="center" vertical="center"/>
    </xf>
    <xf numFmtId="0" fontId="18" fillId="12" borderId="2" xfId="0" applyFont="1" applyFill="1" applyBorder="1" applyAlignment="1">
      <alignment horizontal="center" vertical="center"/>
    </xf>
    <xf numFmtId="0" fontId="18" fillId="12" borderId="17" xfId="0" applyFont="1" applyFill="1" applyBorder="1" applyAlignment="1">
      <alignment horizontal="center" vertical="center"/>
    </xf>
    <xf numFmtId="0" fontId="19" fillId="13" borderId="31" xfId="0" applyFont="1" applyFill="1" applyBorder="1" applyAlignment="1">
      <alignment horizontal="center" vertical="center"/>
    </xf>
    <xf numFmtId="0" fontId="19" fillId="13" borderId="32" xfId="0" applyFont="1" applyFill="1" applyBorder="1" applyAlignment="1">
      <alignment horizontal="center" vertical="center"/>
    </xf>
    <xf numFmtId="0" fontId="19" fillId="13" borderId="38" xfId="0" applyFont="1" applyFill="1" applyBorder="1" applyAlignment="1">
      <alignment horizontal="center" vertical="center"/>
    </xf>
    <xf numFmtId="0" fontId="0" fillId="14" borderId="65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14" borderId="64" xfId="0" applyFill="1" applyBorder="1" applyAlignment="1">
      <alignment horizontal="center" vertical="center"/>
    </xf>
    <xf numFmtId="0" fontId="0" fillId="14" borderId="11" xfId="0" applyFill="1" applyBorder="1" applyAlignment="1">
      <alignment horizontal="center" vertical="center"/>
    </xf>
    <xf numFmtId="0" fontId="4" fillId="15" borderId="64" xfId="0" applyFont="1" applyFill="1" applyBorder="1" applyAlignment="1">
      <alignment horizontal="center" vertical="center"/>
    </xf>
    <xf numFmtId="0" fontId="4" fillId="15" borderId="10" xfId="0" applyFont="1" applyFill="1" applyBorder="1" applyAlignment="1">
      <alignment horizontal="center" vertical="center"/>
    </xf>
    <xf numFmtId="0" fontId="6" fillId="16" borderId="10" xfId="0" applyFont="1" applyFill="1" applyBorder="1" applyAlignment="1">
      <alignment horizontal="center" vertical="center"/>
    </xf>
    <xf numFmtId="0" fontId="6" fillId="11" borderId="10" xfId="0" applyFont="1" applyFill="1" applyBorder="1" applyAlignment="1">
      <alignment horizontal="center" vertical="center" wrapText="1"/>
    </xf>
    <xf numFmtId="0" fontId="6" fillId="11" borderId="5" xfId="0" applyFont="1" applyFill="1" applyBorder="1" applyAlignment="1">
      <alignment horizontal="center" vertical="center"/>
    </xf>
    <xf numFmtId="0" fontId="18" fillId="12" borderId="10" xfId="0" applyFont="1" applyFill="1" applyBorder="1" applyAlignment="1">
      <alignment horizontal="center" vertical="center"/>
    </xf>
    <xf numFmtId="0" fontId="18" fillId="12" borderId="19" xfId="0" applyFont="1" applyFill="1" applyBorder="1" applyAlignment="1">
      <alignment horizontal="center" vertical="center"/>
    </xf>
    <xf numFmtId="0" fontId="9" fillId="9" borderId="33" xfId="0" applyFont="1" applyFill="1" applyBorder="1" applyAlignment="1">
      <alignment horizontal="center" vertical="center"/>
    </xf>
    <xf numFmtId="0" fontId="9" fillId="9" borderId="34" xfId="0" applyFont="1" applyFill="1" applyBorder="1" applyAlignment="1">
      <alignment horizontal="center" vertical="center"/>
    </xf>
    <xf numFmtId="0" fontId="9" fillId="9" borderId="76" xfId="0" applyFont="1" applyFill="1" applyBorder="1" applyAlignment="1">
      <alignment horizontal="center" vertical="center"/>
    </xf>
    <xf numFmtId="0" fontId="19" fillId="13" borderId="34" xfId="0" applyFont="1" applyFill="1" applyBorder="1" applyAlignment="1">
      <alignment horizontal="center" vertical="center"/>
    </xf>
    <xf numFmtId="0" fontId="19" fillId="13" borderId="25" xfId="0" applyFont="1" applyFill="1" applyBorder="1" applyAlignment="1">
      <alignment horizontal="center" vertical="center"/>
    </xf>
    <xf numFmtId="0" fontId="0" fillId="11" borderId="65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1" borderId="64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194" fontId="9" fillId="4" borderId="70" xfId="1" applyNumberFormat="1" applyFont="1" applyFill="1" applyBorder="1" applyAlignment="1">
      <alignment horizontal="center" vertical="center"/>
    </xf>
    <xf numFmtId="194" fontId="9" fillId="4" borderId="0" xfId="1" applyNumberFormat="1" applyFont="1" applyFill="1" applyBorder="1" applyAlignment="1">
      <alignment horizontal="center" vertical="center"/>
    </xf>
    <xf numFmtId="195" fontId="9" fillId="4" borderId="72" xfId="1" applyNumberFormat="1" applyFont="1" applyFill="1" applyBorder="1" applyAlignment="1">
      <alignment horizontal="center" vertical="center"/>
    </xf>
    <xf numFmtId="195" fontId="9" fillId="4" borderId="39" xfId="1" applyNumberFormat="1" applyFont="1" applyFill="1" applyBorder="1" applyAlignment="1">
      <alignment horizontal="center" vertical="center"/>
    </xf>
    <xf numFmtId="193" fontId="13" fillId="4" borderId="73" xfId="0" applyNumberFormat="1" applyFont="1" applyFill="1" applyBorder="1" applyAlignment="1">
      <alignment horizontal="center" vertical="center" wrapText="1"/>
    </xf>
    <xf numFmtId="193" fontId="13" fillId="4" borderId="87" xfId="0" applyNumberFormat="1" applyFont="1" applyFill="1" applyBorder="1" applyAlignment="1">
      <alignment horizontal="center" vertical="center" wrapText="1"/>
    </xf>
    <xf numFmtId="193" fontId="9" fillId="4" borderId="88" xfId="0" applyNumberFormat="1" applyFont="1" applyFill="1" applyBorder="1" applyAlignment="1">
      <alignment horizontal="center" vertical="center"/>
    </xf>
    <xf numFmtId="193" fontId="9" fillId="4" borderId="89" xfId="0" applyNumberFormat="1" applyFont="1" applyFill="1" applyBorder="1" applyAlignment="1">
      <alignment horizontal="center" vertical="center"/>
    </xf>
    <xf numFmtId="196" fontId="9" fillId="4" borderId="9" xfId="0" applyNumberFormat="1" applyFont="1" applyFill="1" applyBorder="1" applyAlignment="1">
      <alignment horizontal="center" vertical="center"/>
    </xf>
    <xf numFmtId="196" fontId="9" fillId="4" borderId="7" xfId="0" applyNumberFormat="1" applyFont="1" applyFill="1" applyBorder="1" applyAlignment="1">
      <alignment horizontal="center" vertical="center"/>
    </xf>
    <xf numFmtId="0" fontId="9" fillId="18" borderId="71" xfId="0" applyFont="1" applyFill="1" applyBorder="1" applyAlignment="1">
      <alignment horizontal="center" vertical="center" wrapText="1"/>
    </xf>
    <xf numFmtId="0" fontId="9" fillId="18" borderId="83" xfId="0" applyFont="1" applyFill="1" applyBorder="1" applyAlignment="1">
      <alignment horizontal="center" vertical="center"/>
    </xf>
    <xf numFmtId="198" fontId="4" fillId="4" borderId="48" xfId="1" applyNumberFormat="1" applyFont="1" applyFill="1" applyBorder="1" applyAlignment="1">
      <alignment horizontal="center" vertical="center"/>
    </xf>
    <xf numFmtId="198" fontId="4" fillId="4" borderId="47" xfId="1" applyNumberFormat="1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left" vertical="center"/>
    </xf>
    <xf numFmtId="41" fontId="27" fillId="3" borderId="0" xfId="1" applyFont="1" applyFill="1">
      <alignment vertical="center"/>
    </xf>
    <xf numFmtId="41" fontId="27" fillId="0" borderId="0" xfId="1" applyFont="1">
      <alignment vertical="center"/>
    </xf>
    <xf numFmtId="0" fontId="6" fillId="7" borderId="1" xfId="0" applyFont="1" applyFill="1" applyBorder="1" applyAlignment="1">
      <alignment horizontal="center" vertical="center"/>
    </xf>
    <xf numFmtId="0" fontId="6" fillId="7" borderId="17" xfId="0" applyFont="1" applyFill="1" applyBorder="1" applyAlignment="1">
      <alignment vertical="center"/>
    </xf>
    <xf numFmtId="41" fontId="6" fillId="8" borderId="31" xfId="1" applyFont="1" applyFill="1" applyBorder="1" applyAlignment="1">
      <alignment horizontal="left" vertical="center" indent="1"/>
    </xf>
    <xf numFmtId="41" fontId="6" fillId="8" borderId="32" xfId="1" applyFont="1" applyFill="1" applyBorder="1">
      <alignment vertical="center"/>
    </xf>
    <xf numFmtId="41" fontId="6" fillId="0" borderId="0" xfId="1" applyFont="1">
      <alignment vertical="center"/>
    </xf>
    <xf numFmtId="0" fontId="28" fillId="0" borderId="28" xfId="1" applyNumberFormat="1" applyFont="1" applyFill="1" applyBorder="1" applyAlignment="1">
      <alignment horizontal="center" vertical="center"/>
    </xf>
    <xf numFmtId="0" fontId="28" fillId="0" borderId="28" xfId="1" applyNumberFormat="1" applyFont="1" applyFill="1" applyBorder="1" applyAlignment="1">
      <alignment horizontal="center" vertical="center" shrinkToFit="1"/>
    </xf>
    <xf numFmtId="0" fontId="28" fillId="0" borderId="28" xfId="0" applyNumberFormat="1" applyFont="1" applyFill="1" applyBorder="1" applyAlignment="1">
      <alignment horizontal="center" vertical="center" shrinkToFit="1"/>
    </xf>
    <xf numFmtId="0" fontId="27" fillId="0" borderId="28" xfId="0" applyFont="1" applyBorder="1">
      <alignment vertical="center"/>
    </xf>
    <xf numFmtId="0" fontId="6" fillId="7" borderId="41" xfId="0" applyFont="1" applyFill="1" applyBorder="1" applyAlignment="1">
      <alignment horizontal="center" vertical="center"/>
    </xf>
    <xf numFmtId="0" fontId="27" fillId="7" borderId="26" xfId="0" applyFont="1" applyFill="1" applyBorder="1" applyAlignment="1">
      <alignment vertical="center"/>
    </xf>
    <xf numFmtId="41" fontId="6" fillId="8" borderId="33" xfId="1" applyFont="1" applyFill="1" applyBorder="1" applyAlignment="1">
      <alignment horizontal="left" vertical="center" indent="1"/>
    </xf>
    <xf numFmtId="41" fontId="6" fillId="8" borderId="34" xfId="1" applyFont="1" applyFill="1" applyBorder="1" applyAlignment="1">
      <alignment vertical="center"/>
    </xf>
    <xf numFmtId="0" fontId="27" fillId="8" borderId="34" xfId="0" applyFont="1" applyFill="1" applyBorder="1" applyAlignment="1">
      <alignment vertical="center"/>
    </xf>
    <xf numFmtId="0" fontId="27" fillId="8" borderId="41" xfId="0" applyFont="1" applyFill="1" applyBorder="1" applyAlignment="1">
      <alignment vertical="center" shrinkToFit="1"/>
    </xf>
    <xf numFmtId="0" fontId="28" fillId="0" borderId="0" xfId="1" applyNumberFormat="1" applyFont="1" applyFill="1" applyBorder="1" applyAlignment="1">
      <alignment horizontal="center" vertical="center"/>
    </xf>
    <xf numFmtId="0" fontId="28" fillId="0" borderId="0" xfId="1" applyNumberFormat="1" applyFont="1" applyFill="1" applyBorder="1" applyAlignment="1">
      <alignment horizontal="center" vertical="center" shrinkToFit="1"/>
    </xf>
    <xf numFmtId="0" fontId="28" fillId="0" borderId="0" xfId="0" applyNumberFormat="1" applyFont="1" applyFill="1" applyBorder="1" applyAlignment="1">
      <alignment horizontal="center" vertical="center" shrinkToFit="1"/>
    </xf>
    <xf numFmtId="0" fontId="27" fillId="0" borderId="0" xfId="0" applyFont="1" applyBorder="1">
      <alignment vertical="center"/>
    </xf>
    <xf numFmtId="41" fontId="28" fillId="8" borderId="33" xfId="1" applyFont="1" applyFill="1" applyBorder="1" applyAlignment="1">
      <alignment horizontal="right" vertical="center"/>
    </xf>
    <xf numFmtId="41" fontId="28" fillId="8" borderId="34" xfId="1" applyFont="1" applyFill="1" applyBorder="1" applyAlignment="1">
      <alignment horizontal="right" vertical="center"/>
    </xf>
    <xf numFmtId="0" fontId="29" fillId="8" borderId="34" xfId="0" applyFont="1" applyFill="1" applyBorder="1" applyAlignment="1">
      <alignment horizontal="right" vertical="center"/>
    </xf>
    <xf numFmtId="0" fontId="30" fillId="0" borderId="0" xfId="1" applyNumberFormat="1" applyFont="1" applyFill="1" applyBorder="1" applyAlignment="1">
      <alignment vertical="center" wrapText="1"/>
    </xf>
    <xf numFmtId="0" fontId="30" fillId="0" borderId="0" xfId="1" applyNumberFormat="1" applyFont="1" applyFill="1" applyBorder="1" applyAlignment="1">
      <alignment horizontal="center" vertical="center"/>
    </xf>
    <xf numFmtId="41" fontId="30" fillId="0" borderId="0" xfId="1" applyNumberFormat="1" applyFont="1" applyFill="1" applyBorder="1" applyAlignment="1">
      <alignment vertical="center"/>
    </xf>
    <xf numFmtId="41" fontId="30" fillId="0" borderId="0" xfId="0" applyNumberFormat="1" applyFont="1" applyFill="1" applyBorder="1" applyAlignment="1">
      <alignment horizontal="center" vertical="center"/>
    </xf>
    <xf numFmtId="187" fontId="30" fillId="0" borderId="0" xfId="1" applyNumberFormat="1" applyFont="1" applyFill="1" applyBorder="1" applyAlignment="1">
      <alignment vertical="center"/>
    </xf>
    <xf numFmtId="188" fontId="6" fillId="8" borderId="40" xfId="1" applyNumberFormat="1" applyFont="1" applyFill="1" applyBorder="1" applyAlignment="1">
      <alignment vertical="center"/>
    </xf>
    <xf numFmtId="188" fontId="6" fillId="8" borderId="41" xfId="1" applyNumberFormat="1" applyFont="1" applyFill="1" applyBorder="1" applyAlignment="1">
      <alignment vertical="center"/>
    </xf>
    <xf numFmtId="188" fontId="27" fillId="8" borderId="41" xfId="0" applyNumberFormat="1" applyFont="1" applyFill="1" applyBorder="1" applyAlignment="1">
      <alignment vertical="center"/>
    </xf>
    <xf numFmtId="177" fontId="6" fillId="8" borderId="41" xfId="1" applyNumberFormat="1" applyFont="1" applyFill="1" applyBorder="1" applyAlignment="1">
      <alignment vertical="center"/>
    </xf>
    <xf numFmtId="177" fontId="27" fillId="8" borderId="41" xfId="0" applyNumberFormat="1" applyFont="1" applyFill="1" applyBorder="1" applyAlignment="1">
      <alignment vertical="center"/>
    </xf>
    <xf numFmtId="41" fontId="6" fillId="8" borderId="41" xfId="1" applyFont="1" applyFill="1" applyBorder="1" applyAlignment="1">
      <alignment vertical="center" shrinkToFit="1"/>
    </xf>
    <xf numFmtId="0" fontId="29" fillId="0" borderId="0" xfId="0" applyFont="1" applyFill="1" applyBorder="1" applyAlignment="1">
      <alignment vertical="center"/>
    </xf>
    <xf numFmtId="41" fontId="30" fillId="0" borderId="0" xfId="1" applyNumberFormat="1" applyFont="1" applyFill="1" applyBorder="1">
      <alignment vertical="center"/>
    </xf>
    <xf numFmtId="187" fontId="30" fillId="0" borderId="0" xfId="1" applyNumberFormat="1" applyFont="1" applyFill="1" applyBorder="1">
      <alignment vertical="center"/>
    </xf>
    <xf numFmtId="0" fontId="6" fillId="5" borderId="41" xfId="0" applyFont="1" applyFill="1" applyBorder="1" applyAlignment="1">
      <alignment horizontal="center" vertical="center"/>
    </xf>
    <xf numFmtId="0" fontId="27" fillId="0" borderId="26" xfId="0" applyFont="1" applyBorder="1" applyAlignment="1">
      <alignment vertical="center"/>
    </xf>
    <xf numFmtId="176" fontId="6" fillId="4" borderId="33" xfId="1" applyNumberFormat="1" applyFont="1" applyFill="1" applyBorder="1" applyAlignment="1">
      <alignment horizontal="right" vertical="center"/>
    </xf>
    <xf numFmtId="176" fontId="6" fillId="4" borderId="34" xfId="1" applyNumberFormat="1" applyFont="1" applyFill="1" applyBorder="1" applyAlignment="1">
      <alignment horizontal="right" vertical="center"/>
    </xf>
    <xf numFmtId="177" fontId="6" fillId="4" borderId="41" xfId="1" applyNumberFormat="1" applyFont="1" applyFill="1" applyBorder="1" applyAlignment="1">
      <alignment vertical="center"/>
    </xf>
    <xf numFmtId="0" fontId="27" fillId="4" borderId="41" xfId="0" applyFont="1" applyFill="1" applyBorder="1" applyAlignment="1">
      <alignment vertical="center" shrinkToFit="1"/>
    </xf>
    <xf numFmtId="41" fontId="6" fillId="4" borderId="41" xfId="1" applyFont="1" applyFill="1" applyBorder="1" applyAlignment="1">
      <alignment vertical="center" shrinkToFit="1"/>
    </xf>
    <xf numFmtId="10" fontId="31" fillId="4" borderId="33" xfId="1" applyNumberFormat="1" applyFont="1" applyFill="1" applyBorder="1" applyAlignment="1">
      <alignment horizontal="right" vertical="center"/>
    </xf>
    <xf numFmtId="10" fontId="31" fillId="4" borderId="34" xfId="1" applyNumberFormat="1" applyFont="1" applyFill="1" applyBorder="1" applyAlignment="1">
      <alignment horizontal="right" vertical="center"/>
    </xf>
    <xf numFmtId="0" fontId="31" fillId="4" borderId="34" xfId="0" applyFont="1" applyFill="1" applyBorder="1" applyAlignment="1">
      <alignment horizontal="right" vertical="center"/>
    </xf>
    <xf numFmtId="0" fontId="6" fillId="4" borderId="40" xfId="1" applyNumberFormat="1" applyFont="1" applyFill="1" applyBorder="1" applyAlignment="1">
      <alignment horizontal="right" vertical="center"/>
    </xf>
    <xf numFmtId="0" fontId="6" fillId="4" borderId="41" xfId="1" applyNumberFormat="1" applyFont="1" applyFill="1" applyBorder="1" applyAlignment="1">
      <alignment horizontal="right" vertical="center"/>
    </xf>
    <xf numFmtId="0" fontId="6" fillId="4" borderId="41" xfId="0" applyNumberFormat="1" applyFont="1" applyFill="1" applyBorder="1" applyAlignment="1">
      <alignment horizontal="right" vertical="center"/>
    </xf>
    <xf numFmtId="189" fontId="31" fillId="4" borderId="34" xfId="1" applyNumberFormat="1" applyFont="1" applyFill="1" applyBorder="1" applyAlignment="1">
      <alignment horizontal="center" vertical="center"/>
    </xf>
    <xf numFmtId="189" fontId="32" fillId="0" borderId="34" xfId="0" applyNumberFormat="1" applyFont="1" applyBorder="1" applyAlignment="1">
      <alignment horizontal="center" vertical="center"/>
    </xf>
    <xf numFmtId="0" fontId="6" fillId="5" borderId="26" xfId="0" applyFont="1" applyFill="1" applyBorder="1" applyAlignment="1">
      <alignment vertical="center"/>
    </xf>
    <xf numFmtId="188" fontId="6" fillId="4" borderId="40" xfId="1" applyNumberFormat="1" applyFont="1" applyFill="1" applyBorder="1" applyAlignment="1">
      <alignment vertical="center"/>
    </xf>
    <xf numFmtId="188" fontId="6" fillId="4" borderId="41" xfId="1" applyNumberFormat="1" applyFont="1" applyFill="1" applyBorder="1" applyAlignment="1">
      <alignment vertical="center"/>
    </xf>
    <xf numFmtId="188" fontId="6" fillId="4" borderId="41" xfId="0" applyNumberFormat="1" applyFont="1" applyFill="1" applyBorder="1" applyAlignment="1">
      <alignment vertical="center"/>
    </xf>
    <xf numFmtId="177" fontId="6" fillId="4" borderId="41" xfId="1" applyNumberFormat="1" applyFont="1" applyFill="1" applyBorder="1" applyAlignment="1">
      <alignment vertical="center"/>
    </xf>
    <xf numFmtId="177" fontId="6" fillId="4" borderId="41" xfId="0" applyNumberFormat="1" applyFont="1" applyFill="1" applyBorder="1" applyAlignment="1">
      <alignment vertical="center"/>
    </xf>
    <xf numFmtId="190" fontId="29" fillId="0" borderId="0" xfId="0" applyNumberFormat="1" applyFont="1" applyFill="1" applyBorder="1" applyAlignment="1">
      <alignment vertical="center"/>
    </xf>
    <xf numFmtId="0" fontId="6" fillId="9" borderId="12" xfId="0" applyFont="1" applyFill="1" applyBorder="1" applyAlignment="1">
      <alignment horizontal="center" vertical="center"/>
    </xf>
    <xf numFmtId="41" fontId="6" fillId="5" borderId="20" xfId="1" applyFont="1" applyFill="1" applyBorder="1" applyAlignment="1">
      <alignment horizontal="center" vertical="center"/>
    </xf>
    <xf numFmtId="188" fontId="28" fillId="4" borderId="40" xfId="1" applyNumberFormat="1" applyFont="1" applyFill="1" applyBorder="1" applyAlignment="1">
      <alignment vertical="center"/>
    </xf>
    <xf numFmtId="188" fontId="28" fillId="4" borderId="41" xfId="1" applyNumberFormat="1" applyFont="1" applyFill="1" applyBorder="1" applyAlignment="1">
      <alignment vertical="center"/>
    </xf>
    <xf numFmtId="188" fontId="28" fillId="4" borderId="41" xfId="0" applyNumberFormat="1" applyFont="1" applyFill="1" applyBorder="1" applyAlignment="1">
      <alignment vertical="center"/>
    </xf>
    <xf numFmtId="177" fontId="28" fillId="4" borderId="41" xfId="1" applyNumberFormat="1" applyFont="1" applyFill="1" applyBorder="1" applyAlignment="1">
      <alignment vertical="center"/>
    </xf>
    <xf numFmtId="177" fontId="28" fillId="4" borderId="41" xfId="0" applyNumberFormat="1" applyFont="1" applyFill="1" applyBorder="1" applyAlignment="1">
      <alignment vertical="center"/>
    </xf>
    <xf numFmtId="41" fontId="28" fillId="4" borderId="41" xfId="1" applyFont="1" applyFill="1" applyBorder="1" applyAlignment="1">
      <alignment vertical="center" shrinkToFit="1"/>
    </xf>
    <xf numFmtId="0" fontId="27" fillId="9" borderId="37" xfId="0" applyFont="1" applyFill="1" applyBorder="1" applyAlignment="1">
      <alignment horizontal="center" vertical="center"/>
    </xf>
    <xf numFmtId="41" fontId="6" fillId="9" borderId="20" xfId="1" applyFont="1" applyFill="1" applyBorder="1" applyAlignment="1">
      <alignment horizontal="center" vertical="center"/>
    </xf>
    <xf numFmtId="188" fontId="28" fillId="10" borderId="40" xfId="1" applyNumberFormat="1" applyFont="1" applyFill="1" applyBorder="1" applyAlignment="1">
      <alignment vertical="center"/>
    </xf>
    <xf numFmtId="188" fontId="28" fillId="10" borderId="41" xfId="1" applyNumberFormat="1" applyFont="1" applyFill="1" applyBorder="1" applyAlignment="1">
      <alignment vertical="center"/>
    </xf>
    <xf numFmtId="188" fontId="28" fillId="10" borderId="41" xfId="0" applyNumberFormat="1" applyFont="1" applyFill="1" applyBorder="1" applyAlignment="1">
      <alignment vertical="center"/>
    </xf>
    <xf numFmtId="177" fontId="28" fillId="10" borderId="41" xfId="1" applyNumberFormat="1" applyFont="1" applyFill="1" applyBorder="1" applyAlignment="1">
      <alignment vertical="center"/>
    </xf>
    <xf numFmtId="177" fontId="28" fillId="10" borderId="41" xfId="0" applyNumberFormat="1" applyFont="1" applyFill="1" applyBorder="1" applyAlignment="1">
      <alignment vertical="center"/>
    </xf>
    <xf numFmtId="41" fontId="6" fillId="10" borderId="41" xfId="1" applyFont="1" applyFill="1" applyBorder="1" applyAlignment="1">
      <alignment vertical="center" shrinkToFit="1"/>
    </xf>
    <xf numFmtId="191" fontId="29" fillId="0" borderId="0" xfId="0" applyNumberFormat="1" applyFont="1" applyFill="1" applyBorder="1" applyAlignment="1">
      <alignment vertical="center"/>
    </xf>
    <xf numFmtId="0" fontId="6" fillId="9" borderId="41" xfId="0" applyFont="1" applyFill="1" applyBorder="1" applyAlignment="1">
      <alignment horizontal="center" vertical="center"/>
    </xf>
    <xf numFmtId="0" fontId="27" fillId="9" borderId="26" xfId="0" applyFont="1" applyFill="1" applyBorder="1" applyAlignment="1">
      <alignment vertical="center"/>
    </xf>
    <xf numFmtId="10" fontId="28" fillId="10" borderId="40" xfId="1" applyNumberFormat="1" applyFont="1" applyFill="1" applyBorder="1" applyAlignment="1">
      <alignment vertical="center"/>
    </xf>
    <xf numFmtId="10" fontId="28" fillId="10" borderId="41" xfId="1" applyNumberFormat="1" applyFont="1" applyFill="1" applyBorder="1" applyAlignment="1">
      <alignment vertical="center"/>
    </xf>
    <xf numFmtId="0" fontId="28" fillId="10" borderId="41" xfId="0" applyFont="1" applyFill="1" applyBorder="1" applyAlignment="1">
      <alignment vertical="center"/>
    </xf>
    <xf numFmtId="10" fontId="6" fillId="10" borderId="41" xfId="1" applyNumberFormat="1" applyFont="1" applyFill="1" applyBorder="1" applyAlignment="1">
      <alignment horizontal="right" vertical="center"/>
    </xf>
    <xf numFmtId="0" fontId="6" fillId="10" borderId="41" xfId="0" applyFont="1" applyFill="1" applyBorder="1" applyAlignment="1">
      <alignment horizontal="right" vertical="center"/>
    </xf>
    <xf numFmtId="10" fontId="28" fillId="10" borderId="33" xfId="1" applyNumberFormat="1" applyFont="1" applyFill="1" applyBorder="1" applyAlignment="1">
      <alignment horizontal="right" vertical="center"/>
    </xf>
    <xf numFmtId="10" fontId="28" fillId="10" borderId="34" xfId="1" applyNumberFormat="1" applyFont="1" applyFill="1" applyBorder="1" applyAlignment="1">
      <alignment horizontal="right" vertical="center"/>
    </xf>
    <xf numFmtId="0" fontId="6" fillId="9" borderId="34" xfId="0" applyFont="1" applyFill="1" applyBorder="1" applyAlignment="1">
      <alignment horizontal="center" vertical="center"/>
    </xf>
    <xf numFmtId="0" fontId="6" fillId="9" borderId="25" xfId="0" applyFont="1" applyFill="1" applyBorder="1" applyAlignment="1">
      <alignment horizontal="center" vertical="center"/>
    </xf>
    <xf numFmtId="188" fontId="28" fillId="10" borderId="33" xfId="1" applyNumberFormat="1" applyFont="1" applyFill="1" applyBorder="1" applyAlignment="1">
      <alignment horizontal="right" vertical="center"/>
    </xf>
    <xf numFmtId="188" fontId="28" fillId="10" borderId="34" xfId="1" applyNumberFormat="1" applyFont="1" applyFill="1" applyBorder="1" applyAlignment="1">
      <alignment horizontal="right" vertical="center"/>
    </xf>
    <xf numFmtId="10" fontId="28" fillId="10" borderId="34" xfId="1" applyNumberFormat="1" applyFont="1" applyFill="1" applyBorder="1" applyAlignment="1">
      <alignment vertical="center"/>
    </xf>
    <xf numFmtId="10" fontId="31" fillId="10" borderId="34" xfId="1" applyNumberFormat="1" applyFont="1" applyFill="1" applyBorder="1" applyAlignment="1">
      <alignment vertical="center"/>
    </xf>
    <xf numFmtId="0" fontId="6" fillId="10" borderId="34" xfId="0" applyFont="1" applyFill="1" applyBorder="1" applyAlignment="1">
      <alignment horizontal="left" vertical="center"/>
    </xf>
    <xf numFmtId="0" fontId="6" fillId="5" borderId="26" xfId="0" applyFont="1" applyFill="1" applyBorder="1" applyAlignment="1">
      <alignment horizontal="center" vertical="center"/>
    </xf>
    <xf numFmtId="183" fontId="28" fillId="4" borderId="40" xfId="1" applyNumberFormat="1" applyFont="1" applyFill="1" applyBorder="1" applyAlignment="1">
      <alignment horizontal="center"/>
    </xf>
    <xf numFmtId="183" fontId="28" fillId="4" borderId="41" xfId="1" applyNumberFormat="1" applyFont="1" applyFill="1" applyBorder="1" applyAlignment="1">
      <alignment horizontal="center"/>
    </xf>
    <xf numFmtId="192" fontId="28" fillId="4" borderId="71" xfId="0" applyNumberFormat="1" applyFont="1" applyFill="1" applyBorder="1" applyAlignment="1">
      <alignment horizontal="center" vertical="center"/>
    </xf>
    <xf numFmtId="193" fontId="30" fillId="4" borderId="73" xfId="0" applyNumberFormat="1" applyFont="1" applyFill="1" applyBorder="1" applyAlignment="1">
      <alignment horizontal="center" vertical="center" wrapText="1"/>
    </xf>
    <xf numFmtId="193" fontId="30" fillId="4" borderId="87" xfId="0" applyNumberFormat="1" applyFont="1" applyFill="1" applyBorder="1" applyAlignment="1">
      <alignment horizontal="center" vertical="center" wrapText="1"/>
    </xf>
    <xf numFmtId="182" fontId="28" fillId="4" borderId="74" xfId="1" applyNumberFormat="1" applyFont="1" applyFill="1" applyBorder="1" applyAlignment="1">
      <alignment horizontal="center" vertical="center" shrinkToFit="1"/>
    </xf>
    <xf numFmtId="0" fontId="6" fillId="5" borderId="0" xfId="0" applyFont="1" applyFill="1" applyBorder="1" applyAlignment="1">
      <alignment horizontal="center" vertical="center"/>
    </xf>
    <xf numFmtId="0" fontId="6" fillId="5" borderId="42" xfId="0" applyFont="1" applyFill="1" applyBorder="1" applyAlignment="1">
      <alignment horizontal="center" vertical="center"/>
    </xf>
    <xf numFmtId="194" fontId="28" fillId="4" borderId="70" xfId="1" applyNumberFormat="1" applyFont="1" applyFill="1" applyBorder="1" applyAlignment="1">
      <alignment horizontal="center" vertical="center"/>
    </xf>
    <xf numFmtId="194" fontId="28" fillId="4" borderId="0" xfId="1" applyNumberFormat="1" applyFont="1" applyFill="1" applyBorder="1" applyAlignment="1">
      <alignment horizontal="center" vertical="center"/>
    </xf>
    <xf numFmtId="192" fontId="28" fillId="4" borderId="43" xfId="0" applyNumberFormat="1" applyFont="1" applyFill="1" applyBorder="1" applyAlignment="1">
      <alignment horizontal="center" vertical="center"/>
    </xf>
    <xf numFmtId="193" fontId="28" fillId="4" borderId="88" xfId="0" applyNumberFormat="1" applyFont="1" applyFill="1" applyBorder="1" applyAlignment="1">
      <alignment horizontal="center" vertical="center"/>
    </xf>
    <xf numFmtId="193" fontId="28" fillId="4" borderId="89" xfId="0" applyNumberFormat="1" applyFont="1" applyFill="1" applyBorder="1" applyAlignment="1">
      <alignment horizontal="center" vertical="center"/>
    </xf>
    <xf numFmtId="182" fontId="28" fillId="4" borderId="39" xfId="1" applyNumberFormat="1" applyFont="1" applyFill="1" applyBorder="1" applyAlignment="1">
      <alignment horizontal="center" vertical="center" shrinkToFit="1"/>
    </xf>
    <xf numFmtId="0" fontId="6" fillId="5" borderId="39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195" fontId="28" fillId="4" borderId="72" xfId="1" applyNumberFormat="1" applyFont="1" applyFill="1" applyBorder="1" applyAlignment="1">
      <alignment horizontal="center" vertical="center"/>
    </xf>
    <xf numFmtId="195" fontId="28" fillId="4" borderId="39" xfId="1" applyNumberFormat="1" applyFont="1" applyFill="1" applyBorder="1" applyAlignment="1">
      <alignment horizontal="center" vertical="center"/>
    </xf>
    <xf numFmtId="192" fontId="28" fillId="4" borderId="8" xfId="0" applyNumberFormat="1" applyFont="1" applyFill="1" applyBorder="1" applyAlignment="1">
      <alignment horizontal="center" vertical="center"/>
    </xf>
    <xf numFmtId="196" fontId="28" fillId="4" borderId="9" xfId="0" applyNumberFormat="1" applyFont="1" applyFill="1" applyBorder="1" applyAlignment="1">
      <alignment horizontal="center" vertical="center"/>
    </xf>
    <xf numFmtId="196" fontId="28" fillId="4" borderId="7" xfId="0" applyNumberFormat="1" applyFont="1" applyFill="1" applyBorder="1" applyAlignment="1">
      <alignment horizontal="center" vertical="center"/>
    </xf>
    <xf numFmtId="182" fontId="33" fillId="4" borderId="34" xfId="1" applyNumberFormat="1" applyFont="1" applyFill="1" applyBorder="1" applyAlignment="1">
      <alignment horizontal="center" vertical="center" shrinkToFit="1"/>
    </xf>
    <xf numFmtId="0" fontId="6" fillId="5" borderId="34" xfId="0" applyFont="1" applyFill="1" applyBorder="1" applyAlignment="1">
      <alignment horizontal="center" vertical="center"/>
    </xf>
    <xf numFmtId="0" fontId="6" fillId="5" borderId="25" xfId="0" applyFont="1" applyFill="1" applyBorder="1" applyAlignment="1">
      <alignment horizontal="center" vertical="center"/>
    </xf>
    <xf numFmtId="188" fontId="28" fillId="4" borderId="33" xfId="1" applyNumberFormat="1" applyFont="1" applyFill="1" applyBorder="1" applyAlignment="1">
      <alignment horizontal="right" vertical="center"/>
    </xf>
    <xf numFmtId="188" fontId="28" fillId="4" borderId="34" xfId="1" applyNumberFormat="1" applyFont="1" applyFill="1" applyBorder="1" applyAlignment="1">
      <alignment horizontal="right" vertical="center"/>
    </xf>
    <xf numFmtId="10" fontId="31" fillId="4" borderId="34" xfId="1" applyNumberFormat="1" applyFont="1" applyFill="1" applyBorder="1" applyAlignment="1">
      <alignment vertical="center"/>
    </xf>
    <xf numFmtId="195" fontId="30" fillId="4" borderId="34" xfId="1" applyNumberFormat="1" applyFont="1" applyFill="1" applyBorder="1" applyAlignment="1">
      <alignment horizontal="center" vertical="center" wrapText="1"/>
    </xf>
    <xf numFmtId="195" fontId="30" fillId="4" borderId="34" xfId="1" applyNumberFormat="1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6" fillId="5" borderId="60" xfId="0" applyFont="1" applyFill="1" applyBorder="1" applyAlignment="1">
      <alignment horizontal="center" vertical="center"/>
    </xf>
    <xf numFmtId="198" fontId="6" fillId="4" borderId="48" xfId="1" applyNumberFormat="1" applyFont="1" applyFill="1" applyBorder="1" applyAlignment="1">
      <alignment horizontal="center" vertical="center"/>
    </xf>
    <xf numFmtId="198" fontId="6" fillId="4" borderId="47" xfId="1" applyNumberFormat="1" applyFont="1" applyFill="1" applyBorder="1" applyAlignment="1">
      <alignment horizontal="center" vertical="center"/>
    </xf>
    <xf numFmtId="0" fontId="28" fillId="0" borderId="75" xfId="1" applyNumberFormat="1" applyFont="1" applyFill="1" applyBorder="1" applyAlignment="1">
      <alignment vertical="center"/>
    </xf>
    <xf numFmtId="0" fontId="29" fillId="0" borderId="75" xfId="0" applyFont="1" applyFill="1" applyBorder="1" applyAlignment="1">
      <alignment vertical="center"/>
    </xf>
    <xf numFmtId="41" fontId="28" fillId="0" borderId="75" xfId="1" applyNumberFormat="1" applyFont="1" applyFill="1" applyBorder="1" applyAlignment="1">
      <alignment vertical="center"/>
    </xf>
    <xf numFmtId="0" fontId="27" fillId="0" borderId="75" xfId="0" applyFont="1" applyBorder="1">
      <alignment vertical="center"/>
    </xf>
    <xf numFmtId="0" fontId="27" fillId="0" borderId="0" xfId="0" applyFont="1" applyAlignment="1">
      <alignment horizontal="center" vertical="center"/>
    </xf>
    <xf numFmtId="0" fontId="27" fillId="0" borderId="0" xfId="0" applyFont="1">
      <alignment vertical="center"/>
    </xf>
    <xf numFmtId="0" fontId="26" fillId="3" borderId="0" xfId="0" applyFont="1" applyFill="1">
      <alignment vertical="center"/>
    </xf>
    <xf numFmtId="0" fontId="27" fillId="3" borderId="0" xfId="0" applyFont="1" applyFill="1">
      <alignment vertical="center"/>
    </xf>
    <xf numFmtId="0" fontId="6" fillId="11" borderId="32" xfId="0" applyFont="1" applyFill="1" applyBorder="1" applyAlignment="1">
      <alignment horizontal="center" vertical="center"/>
    </xf>
    <xf numFmtId="0" fontId="34" fillId="12" borderId="65" xfId="0" applyFont="1" applyFill="1" applyBorder="1" applyAlignment="1">
      <alignment horizontal="center" vertical="center"/>
    </xf>
    <xf numFmtId="0" fontId="34" fillId="12" borderId="2" xfId="0" applyFont="1" applyFill="1" applyBorder="1" applyAlignment="1">
      <alignment horizontal="center" vertical="center"/>
    </xf>
    <xf numFmtId="0" fontId="34" fillId="12" borderId="17" xfId="0" applyFont="1" applyFill="1" applyBorder="1" applyAlignment="1">
      <alignment horizontal="center" vertical="center"/>
    </xf>
    <xf numFmtId="0" fontId="35" fillId="13" borderId="31" xfId="0" applyFont="1" applyFill="1" applyBorder="1" applyAlignment="1">
      <alignment horizontal="center" vertical="center"/>
    </xf>
    <xf numFmtId="0" fontId="35" fillId="13" borderId="32" xfId="0" applyFont="1" applyFill="1" applyBorder="1" applyAlignment="1">
      <alignment horizontal="center" vertical="center"/>
    </xf>
    <xf numFmtId="0" fontId="35" fillId="13" borderId="38" xfId="0" applyFont="1" applyFill="1" applyBorder="1" applyAlignment="1">
      <alignment horizontal="center" vertical="center"/>
    </xf>
    <xf numFmtId="0" fontId="27" fillId="11" borderId="65" xfId="0" applyFont="1" applyFill="1" applyBorder="1" applyAlignment="1">
      <alignment horizontal="center" vertical="center"/>
    </xf>
    <xf numFmtId="0" fontId="27" fillId="11" borderId="3" xfId="0" applyFont="1" applyFill="1" applyBorder="1" applyAlignment="1">
      <alignment horizontal="center" vertical="center"/>
    </xf>
    <xf numFmtId="0" fontId="27" fillId="14" borderId="65" xfId="0" applyFont="1" applyFill="1" applyBorder="1" applyAlignment="1">
      <alignment horizontal="center" vertical="center"/>
    </xf>
    <xf numFmtId="0" fontId="27" fillId="14" borderId="3" xfId="0" applyFont="1" applyFill="1" applyBorder="1" applyAlignment="1">
      <alignment horizontal="center" vertical="center"/>
    </xf>
    <xf numFmtId="0" fontId="6" fillId="11" borderId="34" xfId="0" applyFont="1" applyFill="1" applyBorder="1" applyAlignment="1">
      <alignment horizontal="center" vertical="center"/>
    </xf>
    <xf numFmtId="0" fontId="6" fillId="15" borderId="64" xfId="0" applyFont="1" applyFill="1" applyBorder="1" applyAlignment="1">
      <alignment horizontal="center" vertical="center"/>
    </xf>
    <xf numFmtId="0" fontId="6" fillId="15" borderId="10" xfId="0" applyFont="1" applyFill="1" applyBorder="1" applyAlignment="1">
      <alignment horizontal="center" vertical="center"/>
    </xf>
    <xf numFmtId="0" fontId="34" fillId="12" borderId="10" xfId="0" applyFont="1" applyFill="1" applyBorder="1" applyAlignment="1">
      <alignment horizontal="center" vertical="center"/>
    </xf>
    <xf numFmtId="0" fontId="34" fillId="12" borderId="19" xfId="0" applyFont="1" applyFill="1" applyBorder="1" applyAlignment="1">
      <alignment horizontal="center" vertical="center"/>
    </xf>
    <xf numFmtId="0" fontId="28" fillId="9" borderId="33" xfId="0" applyFont="1" applyFill="1" applyBorder="1" applyAlignment="1">
      <alignment horizontal="center" vertical="center"/>
    </xf>
    <xf numFmtId="0" fontId="28" fillId="9" borderId="34" xfId="0" applyFont="1" applyFill="1" applyBorder="1" applyAlignment="1">
      <alignment horizontal="center" vertical="center"/>
    </xf>
    <xf numFmtId="0" fontId="28" fillId="9" borderId="76" xfId="0" applyFont="1" applyFill="1" applyBorder="1" applyAlignment="1">
      <alignment horizontal="center" vertical="center"/>
    </xf>
    <xf numFmtId="0" fontId="28" fillId="18" borderId="71" xfId="0" applyFont="1" applyFill="1" applyBorder="1" applyAlignment="1">
      <alignment horizontal="center" vertical="center" wrapText="1"/>
    </xf>
    <xf numFmtId="0" fontId="35" fillId="13" borderId="34" xfId="0" applyFont="1" applyFill="1" applyBorder="1" applyAlignment="1">
      <alignment horizontal="center" vertical="center"/>
    </xf>
    <xf numFmtId="0" fontId="35" fillId="13" borderId="25" xfId="0" applyFont="1" applyFill="1" applyBorder="1" applyAlignment="1">
      <alignment horizontal="center" vertical="center"/>
    </xf>
    <xf numFmtId="0" fontId="27" fillId="11" borderId="64" xfId="0" applyFont="1" applyFill="1" applyBorder="1" applyAlignment="1">
      <alignment horizontal="center" vertical="center"/>
    </xf>
    <xf numFmtId="0" fontId="27" fillId="11" borderId="11" xfId="0" applyFont="1" applyFill="1" applyBorder="1" applyAlignment="1">
      <alignment horizontal="center" vertical="center"/>
    </xf>
    <xf numFmtId="0" fontId="27" fillId="14" borderId="64" xfId="0" applyFont="1" applyFill="1" applyBorder="1" applyAlignment="1">
      <alignment horizontal="center" vertical="center"/>
    </xf>
    <xf numFmtId="0" fontId="27" fillId="14" borderId="11" xfId="0" applyFont="1" applyFill="1" applyBorder="1" applyAlignment="1">
      <alignment horizontal="center" vertical="center"/>
    </xf>
    <xf numFmtId="0" fontId="6" fillId="11" borderId="67" xfId="0" applyFont="1" applyFill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 wrapText="1"/>
    </xf>
    <xf numFmtId="0" fontId="6" fillId="15" borderId="5" xfId="0" applyFont="1" applyFill="1" applyBorder="1" applyAlignment="1">
      <alignment horizontal="center" vertical="center"/>
    </xf>
    <xf numFmtId="0" fontId="34" fillId="12" borderId="5" xfId="0" applyFont="1" applyFill="1" applyBorder="1" applyAlignment="1">
      <alignment horizontal="center" vertical="center"/>
    </xf>
    <xf numFmtId="0" fontId="34" fillId="12" borderId="18" xfId="0" applyFont="1" applyFill="1" applyBorder="1" applyAlignment="1">
      <alignment horizontal="center" vertical="center"/>
    </xf>
    <xf numFmtId="0" fontId="28" fillId="9" borderId="66" xfId="0" applyFont="1" applyFill="1" applyBorder="1" applyAlignment="1">
      <alignment horizontal="center" vertical="center"/>
    </xf>
    <xf numFmtId="0" fontId="28" fillId="9" borderId="5" xfId="0" applyFont="1" applyFill="1" applyBorder="1" applyAlignment="1">
      <alignment horizontal="center" vertical="center" wrapText="1"/>
    </xf>
    <xf numFmtId="0" fontId="28" fillId="18" borderId="83" xfId="0" applyFont="1" applyFill="1" applyBorder="1" applyAlignment="1">
      <alignment horizontal="center" vertical="center"/>
    </xf>
    <xf numFmtId="0" fontId="35" fillId="13" borderId="4" xfId="0" applyFont="1" applyFill="1" applyBorder="1" applyAlignment="1">
      <alignment horizontal="center" vertical="center"/>
    </xf>
    <xf numFmtId="0" fontId="35" fillId="13" borderId="6" xfId="0" applyFont="1" applyFill="1" applyBorder="1" applyAlignment="1">
      <alignment horizontal="center" vertical="center"/>
    </xf>
    <xf numFmtId="0" fontId="27" fillId="11" borderId="66" xfId="0" applyFont="1" applyFill="1" applyBorder="1" applyAlignment="1">
      <alignment horizontal="center" vertical="center"/>
    </xf>
    <xf numFmtId="0" fontId="27" fillId="11" borderId="6" xfId="0" applyFont="1" applyFill="1" applyBorder="1" applyAlignment="1">
      <alignment horizontal="center" vertical="center"/>
    </xf>
    <xf numFmtId="0" fontId="6" fillId="14" borderId="66" xfId="0" applyFont="1" applyFill="1" applyBorder="1" applyAlignment="1">
      <alignment horizontal="center" vertical="center" wrapText="1"/>
    </xf>
    <xf numFmtId="0" fontId="27" fillId="14" borderId="6" xfId="0" applyFont="1" applyFill="1" applyBorder="1" applyAlignment="1">
      <alignment horizontal="center" vertical="center"/>
    </xf>
    <xf numFmtId="0" fontId="6" fillId="0" borderId="39" xfId="0" applyFont="1" applyFill="1" applyBorder="1" applyAlignment="1">
      <alignment horizontal="center" vertical="center"/>
    </xf>
    <xf numFmtId="179" fontId="6" fillId="4" borderId="77" xfId="1" applyNumberFormat="1" applyFont="1" applyFill="1" applyBorder="1" applyAlignment="1">
      <alignment vertical="center"/>
    </xf>
    <xf numFmtId="179" fontId="6" fillId="4" borderId="8" xfId="1" applyNumberFormat="1" applyFont="1" applyFill="1" applyBorder="1" applyAlignment="1">
      <alignment vertical="center"/>
    </xf>
    <xf numFmtId="179" fontId="6" fillId="4" borderId="8" xfId="1" applyNumberFormat="1" applyFont="1" applyFill="1" applyBorder="1" applyAlignment="1">
      <alignment horizontal="center" vertical="center"/>
    </xf>
    <xf numFmtId="179" fontId="6" fillId="4" borderId="8" xfId="1" applyNumberFormat="1" applyFont="1" applyFill="1" applyBorder="1">
      <alignment vertical="center"/>
    </xf>
    <xf numFmtId="179" fontId="6" fillId="15" borderId="8" xfId="1" applyNumberFormat="1" applyFont="1" applyFill="1" applyBorder="1">
      <alignment vertical="center"/>
    </xf>
    <xf numFmtId="179" fontId="6" fillId="8" borderId="8" xfId="1" applyNumberFormat="1" applyFont="1" applyFill="1" applyBorder="1">
      <alignment vertical="center"/>
    </xf>
    <xf numFmtId="179" fontId="6" fillId="16" borderId="8" xfId="1" applyNumberFormat="1" applyFont="1" applyFill="1" applyBorder="1">
      <alignment vertical="center"/>
    </xf>
    <xf numFmtId="179" fontId="6" fillId="14" borderId="8" xfId="1" applyNumberFormat="1" applyFont="1" applyFill="1" applyBorder="1">
      <alignment vertical="center"/>
    </xf>
    <xf numFmtId="179" fontId="34" fillId="17" borderId="8" xfId="1" applyNumberFormat="1" applyFont="1" applyFill="1" applyBorder="1">
      <alignment vertical="center"/>
    </xf>
    <xf numFmtId="179" fontId="34" fillId="17" borderId="78" xfId="1" applyNumberFormat="1" applyFont="1" applyFill="1" applyBorder="1">
      <alignment vertical="center"/>
    </xf>
    <xf numFmtId="179" fontId="28" fillId="10" borderId="7" xfId="1" applyNumberFormat="1" applyFont="1" applyFill="1" applyBorder="1" applyAlignment="1">
      <alignment horizontal="center" vertical="center"/>
    </xf>
    <xf numFmtId="179" fontId="28" fillId="10" borderId="8" xfId="1" applyNumberFormat="1" applyFont="1" applyFill="1" applyBorder="1" applyAlignment="1">
      <alignment horizontal="center" vertical="center"/>
    </xf>
    <xf numFmtId="179" fontId="28" fillId="18" borderId="8" xfId="1" applyNumberFormat="1" applyFont="1" applyFill="1" applyBorder="1" applyAlignment="1">
      <alignment horizontal="center" vertical="center"/>
    </xf>
    <xf numFmtId="179" fontId="28" fillId="9" borderId="7" xfId="1" applyNumberFormat="1" applyFont="1" applyFill="1" applyBorder="1" applyAlignment="1">
      <alignment horizontal="center" vertical="center"/>
    </xf>
    <xf numFmtId="179" fontId="28" fillId="9" borderId="9" xfId="1" applyNumberFormat="1" applyFont="1" applyFill="1" applyBorder="1" applyAlignment="1">
      <alignment horizontal="center" vertical="center"/>
    </xf>
    <xf numFmtId="179" fontId="6" fillId="0" borderId="77" xfId="0" applyNumberFormat="1" applyFont="1" applyBorder="1" applyAlignment="1">
      <alignment horizontal="center" vertical="center"/>
    </xf>
    <xf numFmtId="179" fontId="6" fillId="0" borderId="9" xfId="0" applyNumberFormat="1" applyFont="1" applyBorder="1" applyAlignment="1">
      <alignment horizontal="center" vertical="center"/>
    </xf>
    <xf numFmtId="182" fontId="6" fillId="0" borderId="77" xfId="0" applyNumberFormat="1" applyFont="1" applyBorder="1" applyAlignment="1">
      <alignment horizontal="center" vertical="center"/>
    </xf>
    <xf numFmtId="182" fontId="6" fillId="0" borderId="9" xfId="0" applyNumberFormat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79" fontId="6" fillId="4" borderId="79" xfId="1" applyNumberFormat="1" applyFont="1" applyFill="1" applyBorder="1" applyAlignment="1">
      <alignment vertical="center"/>
    </xf>
    <xf numFmtId="179" fontId="6" fillId="4" borderId="43" xfId="1" applyNumberFormat="1" applyFont="1" applyFill="1" applyBorder="1" applyAlignment="1">
      <alignment vertical="center"/>
    </xf>
    <xf numFmtId="179" fontId="6" fillId="4" borderId="43" xfId="1" applyNumberFormat="1" applyFont="1" applyFill="1" applyBorder="1" applyAlignment="1">
      <alignment horizontal="center" vertical="center"/>
    </xf>
    <xf numFmtId="179" fontId="6" fillId="4" borderId="43" xfId="1" applyNumberFormat="1" applyFont="1" applyFill="1" applyBorder="1">
      <alignment vertical="center"/>
    </xf>
    <xf numFmtId="179" fontId="6" fillId="15" borderId="43" xfId="1" applyNumberFormat="1" applyFont="1" applyFill="1" applyBorder="1">
      <alignment vertical="center"/>
    </xf>
    <xf numFmtId="179" fontId="6" fillId="8" borderId="43" xfId="1" applyNumberFormat="1" applyFont="1" applyFill="1" applyBorder="1">
      <alignment vertical="center"/>
    </xf>
    <xf numFmtId="179" fontId="6" fillId="16" borderId="43" xfId="1" applyNumberFormat="1" applyFont="1" applyFill="1" applyBorder="1">
      <alignment vertical="center"/>
    </xf>
    <xf numFmtId="179" fontId="6" fillId="14" borderId="43" xfId="1" applyNumberFormat="1" applyFont="1" applyFill="1" applyBorder="1">
      <alignment vertical="center"/>
    </xf>
    <xf numFmtId="179" fontId="34" fillId="17" borderId="10" xfId="1" applyNumberFormat="1" applyFont="1" applyFill="1" applyBorder="1">
      <alignment vertical="center"/>
    </xf>
    <xf numFmtId="179" fontId="34" fillId="17" borderId="19" xfId="1" applyNumberFormat="1" applyFont="1" applyFill="1" applyBorder="1">
      <alignment vertical="center"/>
    </xf>
    <xf numFmtId="179" fontId="28" fillId="10" borderId="37" xfId="1" applyNumberFormat="1" applyFont="1" applyFill="1" applyBorder="1" applyAlignment="1">
      <alignment horizontal="center" vertical="center"/>
    </xf>
    <xf numFmtId="179" fontId="28" fillId="10" borderId="43" xfId="1" applyNumberFormat="1" applyFont="1" applyFill="1" applyBorder="1" applyAlignment="1">
      <alignment horizontal="center" vertical="center"/>
    </xf>
    <xf numFmtId="179" fontId="28" fillId="18" borderId="43" xfId="1" applyNumberFormat="1" applyFont="1" applyFill="1" applyBorder="1" applyAlignment="1">
      <alignment horizontal="center" vertical="center"/>
    </xf>
    <xf numFmtId="179" fontId="28" fillId="9" borderId="37" xfId="1" applyNumberFormat="1" applyFont="1" applyFill="1" applyBorder="1" applyAlignment="1">
      <alignment horizontal="center" vertical="center"/>
    </xf>
    <xf numFmtId="182" fontId="6" fillId="0" borderId="79" xfId="0" applyNumberFormat="1" applyFont="1" applyBorder="1" applyAlignment="1">
      <alignment horizontal="center" vertical="center"/>
    </xf>
    <xf numFmtId="182" fontId="6" fillId="0" borderId="45" xfId="0" applyNumberFormat="1" applyFont="1" applyBorder="1" applyAlignment="1">
      <alignment horizontal="center" vertical="center"/>
    </xf>
    <xf numFmtId="0" fontId="6" fillId="14" borderId="41" xfId="0" applyFont="1" applyFill="1" applyBorder="1" applyAlignment="1">
      <alignment horizontal="center" vertical="center"/>
    </xf>
    <xf numFmtId="179" fontId="6" fillId="5" borderId="66" xfId="1" applyNumberFormat="1" applyFont="1" applyFill="1" applyBorder="1" applyAlignment="1">
      <alignment vertical="center"/>
    </xf>
    <xf numFmtId="179" fontId="6" fillId="5" borderId="5" xfId="1" applyNumberFormat="1" applyFont="1" applyFill="1" applyBorder="1" applyAlignment="1">
      <alignment vertical="center"/>
    </xf>
    <xf numFmtId="179" fontId="6" fillId="15" borderId="71" xfId="1" applyNumberFormat="1" applyFont="1" applyFill="1" applyBorder="1">
      <alignment vertical="center"/>
    </xf>
    <xf numFmtId="179" fontId="6" fillId="7" borderId="71" xfId="1" applyNumberFormat="1" applyFont="1" applyFill="1" applyBorder="1">
      <alignment vertical="center"/>
    </xf>
    <xf numFmtId="179" fontId="6" fillId="16" borderId="71" xfId="1" applyNumberFormat="1" applyFont="1" applyFill="1" applyBorder="1">
      <alignment vertical="center"/>
    </xf>
    <xf numFmtId="179" fontId="6" fillId="11" borderId="71" xfId="1" applyNumberFormat="1" applyFont="1" applyFill="1" applyBorder="1">
      <alignment vertical="center"/>
    </xf>
    <xf numFmtId="179" fontId="34" fillId="12" borderId="71" xfId="1" applyNumberFormat="1" applyFont="1" applyFill="1" applyBorder="1">
      <alignment vertical="center"/>
    </xf>
    <xf numFmtId="179" fontId="34" fillId="12" borderId="20" xfId="1" applyNumberFormat="1" applyFont="1" applyFill="1" applyBorder="1">
      <alignment vertical="center"/>
    </xf>
    <xf numFmtId="179" fontId="28" fillId="9" borderId="12" xfId="1" applyNumberFormat="1" applyFont="1" applyFill="1" applyBorder="1" applyAlignment="1">
      <alignment horizontal="center" vertical="center"/>
    </xf>
    <xf numFmtId="179" fontId="28" fillId="18" borderId="71" xfId="1" applyNumberFormat="1" applyFont="1" applyFill="1" applyBorder="1" applyAlignment="1">
      <alignment horizontal="center" vertical="center"/>
    </xf>
    <xf numFmtId="179" fontId="35" fillId="13" borderId="12" xfId="1" applyNumberFormat="1" applyFont="1" applyFill="1" applyBorder="1" applyAlignment="1">
      <alignment horizontal="center" vertical="center"/>
    </xf>
    <xf numFmtId="179" fontId="35" fillId="13" borderId="80" xfId="1" applyNumberFormat="1" applyFont="1" applyFill="1" applyBorder="1" applyAlignment="1">
      <alignment horizontal="center" vertical="center"/>
    </xf>
    <xf numFmtId="179" fontId="6" fillId="11" borderId="81" xfId="0" applyNumberFormat="1" applyFont="1" applyFill="1" applyBorder="1" applyAlignment="1">
      <alignment horizontal="center" vertical="center"/>
    </xf>
    <xf numFmtId="179" fontId="6" fillId="11" borderId="80" xfId="0" applyNumberFormat="1" applyFont="1" applyFill="1" applyBorder="1" applyAlignment="1">
      <alignment horizontal="center" vertical="center"/>
    </xf>
    <xf numFmtId="182" fontId="6" fillId="14" borderId="81" xfId="0" applyNumberFormat="1" applyFont="1" applyFill="1" applyBorder="1" applyAlignment="1">
      <alignment horizontal="center" vertical="center"/>
    </xf>
    <xf numFmtId="182" fontId="6" fillId="14" borderId="80" xfId="0" applyNumberFormat="1" applyFont="1" applyFill="1" applyBorder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179" fontId="28" fillId="4" borderId="65" xfId="1" applyNumberFormat="1" applyFont="1" applyFill="1" applyBorder="1" applyAlignment="1">
      <alignment vertical="center"/>
    </xf>
    <xf numFmtId="179" fontId="28" fillId="4" borderId="2" xfId="1" applyNumberFormat="1" applyFont="1" applyFill="1" applyBorder="1" applyAlignment="1">
      <alignment vertical="center"/>
    </xf>
    <xf numFmtId="179" fontId="28" fillId="4" borderId="2" xfId="1" applyNumberFormat="1" applyFont="1" applyFill="1" applyBorder="1" applyAlignment="1">
      <alignment horizontal="center" vertical="center"/>
    </xf>
    <xf numFmtId="179" fontId="28" fillId="4" borderId="2" xfId="1" applyNumberFormat="1" applyFont="1" applyFill="1" applyBorder="1">
      <alignment vertical="center"/>
    </xf>
    <xf numFmtId="179" fontId="28" fillId="15" borderId="2" xfId="1" applyNumberFormat="1" applyFont="1" applyFill="1" applyBorder="1">
      <alignment vertical="center"/>
    </xf>
    <xf numFmtId="179" fontId="28" fillId="8" borderId="2" xfId="1" applyNumberFormat="1" applyFont="1" applyFill="1" applyBorder="1">
      <alignment vertical="center"/>
    </xf>
    <xf numFmtId="179" fontId="6" fillId="16" borderId="2" xfId="1" applyNumberFormat="1" applyFont="1" applyFill="1" applyBorder="1">
      <alignment vertical="center"/>
    </xf>
    <xf numFmtId="179" fontId="6" fillId="14" borderId="2" xfId="1" applyNumberFormat="1" applyFont="1" applyFill="1" applyBorder="1">
      <alignment vertical="center"/>
    </xf>
    <xf numFmtId="179" fontId="34" fillId="17" borderId="2" xfId="1" applyNumberFormat="1" applyFont="1" applyFill="1" applyBorder="1">
      <alignment vertical="center"/>
    </xf>
    <xf numFmtId="179" fontId="34" fillId="17" borderId="17" xfId="1" applyNumberFormat="1" applyFont="1" applyFill="1" applyBorder="1">
      <alignment vertical="center"/>
    </xf>
    <xf numFmtId="179" fontId="28" fillId="10" borderId="1" xfId="1" applyNumberFormat="1" applyFont="1" applyFill="1" applyBorder="1" applyAlignment="1">
      <alignment horizontal="center" vertical="center"/>
    </xf>
    <xf numFmtId="179" fontId="28" fillId="10" borderId="2" xfId="1" applyNumberFormat="1" applyFont="1" applyFill="1" applyBorder="1" applyAlignment="1">
      <alignment horizontal="center" vertical="center"/>
    </xf>
    <xf numFmtId="179" fontId="28" fillId="18" borderId="2" xfId="1" applyNumberFormat="1" applyFont="1" applyFill="1" applyBorder="1" applyAlignment="1">
      <alignment horizontal="center" vertical="center"/>
    </xf>
    <xf numFmtId="179" fontId="28" fillId="9" borderId="1" xfId="1" applyNumberFormat="1" applyFont="1" applyFill="1" applyBorder="1" applyAlignment="1">
      <alignment horizontal="center" vertical="center"/>
    </xf>
    <xf numFmtId="179" fontId="28" fillId="9" borderId="3" xfId="1" applyNumberFormat="1" applyFont="1" applyFill="1" applyBorder="1" applyAlignment="1">
      <alignment horizontal="center" vertical="center"/>
    </xf>
    <xf numFmtId="179" fontId="6" fillId="0" borderId="65" xfId="0" applyNumberFormat="1" applyFont="1" applyBorder="1" applyAlignment="1">
      <alignment horizontal="center" vertical="center"/>
    </xf>
    <xf numFmtId="179" fontId="6" fillId="0" borderId="3" xfId="0" applyNumberFormat="1" applyFont="1" applyBorder="1" applyAlignment="1">
      <alignment horizontal="center" vertical="center"/>
    </xf>
    <xf numFmtId="182" fontId="6" fillId="0" borderId="65" xfId="0" applyNumberFormat="1" applyFont="1" applyBorder="1" applyAlignment="1">
      <alignment horizontal="center" vertical="center"/>
    </xf>
    <xf numFmtId="182" fontId="6" fillId="0" borderId="3" xfId="0" applyNumberFormat="1" applyFont="1" applyBorder="1" applyAlignment="1">
      <alignment horizontal="center" vertical="center"/>
    </xf>
    <xf numFmtId="0" fontId="6" fillId="0" borderId="34" xfId="0" applyFont="1" applyFill="1" applyBorder="1" applyAlignment="1">
      <alignment horizontal="center" vertical="center"/>
    </xf>
    <xf numFmtId="179" fontId="28" fillId="4" borderId="64" xfId="1" applyNumberFormat="1" applyFont="1" applyFill="1" applyBorder="1" applyAlignment="1">
      <alignment vertical="center"/>
    </xf>
    <xf numFmtId="179" fontId="28" fillId="4" borderId="10" xfId="1" applyNumberFormat="1" applyFont="1" applyFill="1" applyBorder="1" applyAlignment="1">
      <alignment vertical="center"/>
    </xf>
    <xf numFmtId="179" fontId="28" fillId="4" borderId="10" xfId="1" applyNumberFormat="1" applyFont="1" applyFill="1" applyBorder="1" applyAlignment="1">
      <alignment horizontal="center" vertical="center"/>
    </xf>
    <xf numFmtId="179" fontId="28" fillId="4" borderId="10" xfId="1" applyNumberFormat="1" applyFont="1" applyFill="1" applyBorder="1">
      <alignment vertical="center"/>
    </xf>
    <xf numFmtId="179" fontId="28" fillId="15" borderId="10" xfId="1" applyNumberFormat="1" applyFont="1" applyFill="1" applyBorder="1">
      <alignment vertical="center"/>
    </xf>
    <xf numFmtId="179" fontId="28" fillId="8" borderId="10" xfId="1" applyNumberFormat="1" applyFont="1" applyFill="1" applyBorder="1">
      <alignment vertical="center"/>
    </xf>
    <xf numFmtId="179" fontId="6" fillId="16" borderId="10" xfId="1" applyNumberFormat="1" applyFont="1" applyFill="1" applyBorder="1">
      <alignment vertical="center"/>
    </xf>
    <xf numFmtId="179" fontId="6" fillId="14" borderId="10" xfId="1" applyNumberFormat="1" applyFont="1" applyFill="1" applyBorder="1">
      <alignment vertical="center"/>
    </xf>
    <xf numFmtId="179" fontId="28" fillId="10" borderId="76" xfId="1" applyNumberFormat="1" applyFont="1" applyFill="1" applyBorder="1" applyAlignment="1">
      <alignment horizontal="center" vertical="center"/>
    </xf>
    <xf numFmtId="179" fontId="28" fillId="10" borderId="10" xfId="1" applyNumberFormat="1" applyFont="1" applyFill="1" applyBorder="1" applyAlignment="1">
      <alignment horizontal="center" vertical="center"/>
    </xf>
    <xf numFmtId="179" fontId="28" fillId="18" borderId="10" xfId="1" applyNumberFormat="1" applyFont="1" applyFill="1" applyBorder="1" applyAlignment="1">
      <alignment horizontal="center" vertical="center"/>
    </xf>
    <xf numFmtId="179" fontId="28" fillId="9" borderId="76" xfId="1" applyNumberFormat="1" applyFont="1" applyFill="1" applyBorder="1" applyAlignment="1">
      <alignment horizontal="center" vertical="center"/>
    </xf>
    <xf numFmtId="179" fontId="28" fillId="9" borderId="11" xfId="1" applyNumberFormat="1" applyFont="1" applyFill="1" applyBorder="1" applyAlignment="1">
      <alignment horizontal="center" vertical="center"/>
    </xf>
    <xf numFmtId="179" fontId="6" fillId="0" borderId="64" xfId="0" applyNumberFormat="1" applyFont="1" applyBorder="1" applyAlignment="1">
      <alignment horizontal="center" vertical="center"/>
    </xf>
    <xf numFmtId="179" fontId="6" fillId="0" borderId="11" xfId="0" applyNumberFormat="1" applyFont="1" applyBorder="1" applyAlignment="1">
      <alignment horizontal="center" vertical="center"/>
    </xf>
    <xf numFmtId="182" fontId="6" fillId="0" borderId="64" xfId="0" applyNumberFormat="1" applyFont="1" applyBorder="1" applyAlignment="1">
      <alignment horizontal="center" vertical="center"/>
    </xf>
    <xf numFmtId="182" fontId="6" fillId="0" borderId="11" xfId="0" applyNumberFormat="1" applyFont="1" applyBorder="1" applyAlignment="1">
      <alignment horizontal="center" vertical="center"/>
    </xf>
    <xf numFmtId="179" fontId="28" fillId="10" borderId="64" xfId="1" applyNumberFormat="1" applyFont="1" applyFill="1" applyBorder="1" applyAlignment="1">
      <alignment horizontal="center" vertical="center"/>
    </xf>
    <xf numFmtId="179" fontId="28" fillId="9" borderId="19" xfId="1" applyNumberFormat="1" applyFont="1" applyFill="1" applyBorder="1" applyAlignment="1">
      <alignment horizontal="center" vertical="center"/>
    </xf>
    <xf numFmtId="0" fontId="6" fillId="14" borderId="67" xfId="0" applyFont="1" applyFill="1" applyBorder="1" applyAlignment="1">
      <alignment horizontal="center" vertical="center"/>
    </xf>
    <xf numFmtId="179" fontId="6" fillId="5" borderId="5" xfId="1" applyNumberFormat="1" applyFont="1" applyFill="1" applyBorder="1" applyAlignment="1">
      <alignment horizontal="center" vertical="center"/>
    </xf>
    <xf numFmtId="179" fontId="6" fillId="5" borderId="5" xfId="1" applyNumberFormat="1" applyFont="1" applyFill="1" applyBorder="1">
      <alignment vertical="center"/>
    </xf>
    <xf numFmtId="179" fontId="6" fillId="15" borderId="5" xfId="1" applyNumberFormat="1" applyFont="1" applyFill="1" applyBorder="1">
      <alignment vertical="center"/>
    </xf>
    <xf numFmtId="179" fontId="6" fillId="7" borderId="5" xfId="1" applyNumberFormat="1" applyFont="1" applyFill="1" applyBorder="1">
      <alignment vertical="center"/>
    </xf>
    <xf numFmtId="179" fontId="6" fillId="16" borderId="5" xfId="1" applyNumberFormat="1" applyFont="1" applyFill="1" applyBorder="1">
      <alignment vertical="center"/>
    </xf>
    <xf numFmtId="179" fontId="6" fillId="11" borderId="5" xfId="1" applyNumberFormat="1" applyFont="1" applyFill="1" applyBorder="1">
      <alignment vertical="center"/>
    </xf>
    <xf numFmtId="179" fontId="34" fillId="12" borderId="5" xfId="1" applyNumberFormat="1" applyFont="1" applyFill="1" applyBorder="1">
      <alignment vertical="center"/>
    </xf>
    <xf numFmtId="179" fontId="34" fillId="12" borderId="18" xfId="1" applyNumberFormat="1" applyFont="1" applyFill="1" applyBorder="1">
      <alignment vertical="center"/>
    </xf>
    <xf numFmtId="179" fontId="28" fillId="9" borderId="82" xfId="1" applyNumberFormat="1" applyFont="1" applyFill="1" applyBorder="1" applyAlignment="1">
      <alignment horizontal="center" vertical="center"/>
    </xf>
    <xf numFmtId="179" fontId="28" fillId="18" borderId="83" xfId="1" applyNumberFormat="1" applyFont="1" applyFill="1" applyBorder="1" applyAlignment="1">
      <alignment horizontal="center" vertical="center"/>
    </xf>
    <xf numFmtId="179" fontId="35" fillId="13" borderId="82" xfId="1" applyNumberFormat="1" applyFont="1" applyFill="1" applyBorder="1" applyAlignment="1">
      <alignment horizontal="center" vertical="center"/>
    </xf>
    <xf numFmtId="179" fontId="35" fillId="13" borderId="84" xfId="1" applyNumberFormat="1" applyFont="1" applyFill="1" applyBorder="1" applyAlignment="1">
      <alignment horizontal="center" vertical="center"/>
    </xf>
    <xf numFmtId="179" fontId="6" fillId="11" borderId="66" xfId="0" applyNumberFormat="1" applyFont="1" applyFill="1" applyBorder="1" applyAlignment="1">
      <alignment horizontal="center" vertical="center"/>
    </xf>
    <xf numFmtId="179" fontId="6" fillId="11" borderId="6" xfId="0" applyNumberFormat="1" applyFont="1" applyFill="1" applyBorder="1" applyAlignment="1">
      <alignment horizontal="center" vertical="center"/>
    </xf>
    <xf numFmtId="182" fontId="6" fillId="14" borderId="66" xfId="0" applyNumberFormat="1" applyFont="1" applyFill="1" applyBorder="1" applyAlignment="1">
      <alignment horizontal="center" vertical="center"/>
    </xf>
    <xf numFmtId="182" fontId="6" fillId="14" borderId="6" xfId="0" applyNumberFormat="1" applyFont="1" applyFill="1" applyBorder="1" applyAlignment="1">
      <alignment horizontal="center" vertical="center"/>
    </xf>
    <xf numFmtId="0" fontId="6" fillId="11" borderId="75" xfId="0" applyFont="1" applyFill="1" applyBorder="1" applyAlignment="1">
      <alignment horizontal="center" vertical="center"/>
    </xf>
    <xf numFmtId="179" fontId="6" fillId="5" borderId="85" xfId="1" applyNumberFormat="1" applyFont="1" applyFill="1" applyBorder="1">
      <alignment vertical="center"/>
    </xf>
    <xf numFmtId="179" fontId="6" fillId="5" borderId="83" xfId="1" applyNumberFormat="1" applyFont="1" applyFill="1" applyBorder="1" applyAlignment="1">
      <alignment vertical="center"/>
    </xf>
    <xf numFmtId="179" fontId="6" fillId="5" borderId="83" xfId="1" applyNumberFormat="1" applyFont="1" applyFill="1" applyBorder="1">
      <alignment vertical="center"/>
    </xf>
    <xf numFmtId="179" fontId="6" fillId="15" borderId="83" xfId="1" applyNumberFormat="1" applyFont="1" applyFill="1" applyBorder="1">
      <alignment vertical="center"/>
    </xf>
    <xf numFmtId="179" fontId="6" fillId="7" borderId="83" xfId="1" applyNumberFormat="1" applyFont="1" applyFill="1" applyBorder="1">
      <alignment vertical="center"/>
    </xf>
    <xf numFmtId="179" fontId="6" fillId="16" borderId="83" xfId="1" applyNumberFormat="1" applyFont="1" applyFill="1" applyBorder="1">
      <alignment vertical="center"/>
    </xf>
    <xf numFmtId="179" fontId="6" fillId="11" borderId="83" xfId="1" applyNumberFormat="1" applyFont="1" applyFill="1" applyBorder="1">
      <alignment vertical="center"/>
    </xf>
    <xf numFmtId="179" fontId="34" fillId="12" borderId="83" xfId="1" applyNumberFormat="1" applyFont="1" applyFill="1" applyBorder="1">
      <alignment vertical="center"/>
    </xf>
    <xf numFmtId="179" fontId="34" fillId="12" borderId="86" xfId="1" applyNumberFormat="1" applyFont="1" applyFill="1" applyBorder="1">
      <alignment vertical="center"/>
    </xf>
    <xf numFmtId="179" fontId="28" fillId="9" borderId="83" xfId="1" applyNumberFormat="1" applyFont="1" applyFill="1" applyBorder="1" applyAlignment="1">
      <alignment horizontal="center" vertical="center"/>
    </xf>
    <xf numFmtId="179" fontId="6" fillId="11" borderId="85" xfId="0" applyNumberFormat="1" applyFont="1" applyFill="1" applyBorder="1" applyAlignment="1">
      <alignment horizontal="center" vertical="center"/>
    </xf>
    <xf numFmtId="179" fontId="6" fillId="11" borderId="84" xfId="0" applyNumberFormat="1" applyFont="1" applyFill="1" applyBorder="1" applyAlignment="1">
      <alignment horizontal="center" vertical="center"/>
    </xf>
    <xf numFmtId="182" fontId="6" fillId="14" borderId="85" xfId="0" applyNumberFormat="1" applyFont="1" applyFill="1" applyBorder="1" applyAlignment="1">
      <alignment horizontal="center" vertical="center"/>
    </xf>
    <xf numFmtId="182" fontId="6" fillId="14" borderId="84" xfId="0" applyNumberFormat="1" applyFont="1" applyFill="1" applyBorder="1" applyAlignment="1">
      <alignment horizontal="center" vertical="center"/>
    </xf>
    <xf numFmtId="41" fontId="27" fillId="0" borderId="0" xfId="0" applyNumberFormat="1" applyFont="1">
      <alignment vertical="center"/>
    </xf>
    <xf numFmtId="41" fontId="6" fillId="0" borderId="0" xfId="1" applyFont="1" applyFill="1" applyBorder="1">
      <alignment vertical="center"/>
    </xf>
    <xf numFmtId="0" fontId="35" fillId="2" borderId="0" xfId="0" applyFont="1" applyFill="1">
      <alignment vertical="center"/>
    </xf>
    <xf numFmtId="0" fontId="27" fillId="2" borderId="0" xfId="0" applyFont="1" applyFill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FFFFCC"/>
      <color rgb="FFFFCC99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59"/>
  <sheetViews>
    <sheetView showGridLines="0" topLeftCell="A4" zoomScale="85" zoomScaleNormal="85" workbookViewId="0">
      <selection activeCell="U31" sqref="U31"/>
    </sheetView>
  </sheetViews>
  <sheetFormatPr defaultRowHeight="16.5"/>
  <cols>
    <col min="1" max="1" width="10.625" customWidth="1"/>
    <col min="2" max="16" width="12.625" customWidth="1"/>
    <col min="17" max="17" width="12.625" style="98" customWidth="1"/>
    <col min="18" max="18" width="12.625" customWidth="1"/>
    <col min="19" max="20" width="9.875" bestFit="1" customWidth="1"/>
  </cols>
  <sheetData>
    <row r="1" spans="2:18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8" ht="24.95" customHeight="1" thickBot="1">
      <c r="B2" s="78" t="s">
        <v>74</v>
      </c>
      <c r="C2" s="6"/>
      <c r="D2" s="6"/>
      <c r="E2" s="6"/>
      <c r="F2" s="6"/>
      <c r="G2" s="6"/>
      <c r="H2" s="6"/>
      <c r="I2" s="6"/>
      <c r="J2" s="1"/>
      <c r="K2" s="74" t="s">
        <v>14</v>
      </c>
      <c r="L2" s="6"/>
      <c r="M2" s="6"/>
      <c r="N2" s="6"/>
      <c r="O2" s="3"/>
      <c r="P2" s="3"/>
      <c r="Q2" s="101"/>
      <c r="R2" s="3"/>
    </row>
    <row r="3" spans="2:18" ht="20.100000000000001" customHeight="1" thickBot="1">
      <c r="B3" s="390" t="s">
        <v>8</v>
      </c>
      <c r="C3" s="440"/>
      <c r="D3" s="9" t="s">
        <v>84</v>
      </c>
      <c r="E3" s="10"/>
      <c r="F3" s="10"/>
      <c r="G3" s="10"/>
      <c r="H3" s="10"/>
      <c r="I3" s="10"/>
      <c r="J3" s="7"/>
      <c r="K3" s="53" t="s">
        <v>15</v>
      </c>
      <c r="L3" s="19" t="s">
        <v>16</v>
      </c>
      <c r="M3" s="20" t="s">
        <v>17</v>
      </c>
      <c r="N3" s="36" t="s">
        <v>26</v>
      </c>
      <c r="O3" s="57" t="s">
        <v>27</v>
      </c>
      <c r="P3" s="56" t="s">
        <v>35</v>
      </c>
      <c r="Q3" s="102" t="s">
        <v>36</v>
      </c>
      <c r="R3" s="58" t="s">
        <v>18</v>
      </c>
    </row>
    <row r="4" spans="2:18" ht="20.100000000000001" customHeight="1">
      <c r="B4" s="413" t="s">
        <v>9</v>
      </c>
      <c r="C4" s="419"/>
      <c r="D4" s="441" t="s">
        <v>75</v>
      </c>
      <c r="E4" s="442"/>
      <c r="F4" s="442"/>
      <c r="G4" s="442"/>
      <c r="H4" s="442"/>
      <c r="I4" s="442"/>
      <c r="J4" s="7"/>
      <c r="K4" s="60"/>
      <c r="L4" s="61"/>
      <c r="M4" s="20"/>
      <c r="N4" s="84"/>
      <c r="O4" s="85"/>
      <c r="P4" s="84"/>
      <c r="Q4" s="85"/>
      <c r="R4" s="62"/>
    </row>
    <row r="5" spans="2:18" ht="20.100000000000001" customHeight="1">
      <c r="B5" s="413" t="s">
        <v>10</v>
      </c>
      <c r="C5" s="54" t="s">
        <v>39</v>
      </c>
      <c r="D5" s="428">
        <v>29799.9</v>
      </c>
      <c r="E5" s="429"/>
      <c r="F5" s="430">
        <f>D5*0.3025</f>
        <v>9014.4697500000002</v>
      </c>
      <c r="G5" s="445"/>
      <c r="H5" s="99"/>
      <c r="I5" s="99"/>
      <c r="J5" s="7"/>
      <c r="K5" s="63"/>
      <c r="L5" s="64"/>
      <c r="M5" s="65"/>
      <c r="N5" s="86"/>
      <c r="O5" s="87"/>
      <c r="P5" s="86"/>
      <c r="Q5" s="103"/>
      <c r="R5" s="69"/>
    </row>
    <row r="6" spans="2:18" ht="20.100000000000001" hidden="1" customHeight="1">
      <c r="B6" s="443"/>
      <c r="C6" s="54" t="s">
        <v>65</v>
      </c>
      <c r="D6" s="428">
        <v>0</v>
      </c>
      <c r="E6" s="446"/>
      <c r="F6" s="430">
        <f t="shared" ref="F6:F13" si="0">D6*0.3025</f>
        <v>0</v>
      </c>
      <c r="G6" s="445"/>
      <c r="H6" s="99"/>
      <c r="I6" s="99" t="s">
        <v>69</v>
      </c>
      <c r="J6" s="7"/>
      <c r="K6" s="63"/>
      <c r="L6" s="64"/>
      <c r="M6" s="65"/>
      <c r="N6" s="86"/>
      <c r="O6" s="87"/>
      <c r="P6" s="86"/>
      <c r="Q6" s="103"/>
      <c r="R6" s="69"/>
    </row>
    <row r="7" spans="2:18" ht="20.100000000000001" hidden="1" customHeight="1">
      <c r="B7" s="443"/>
      <c r="C7" s="54" t="s">
        <v>66</v>
      </c>
      <c r="D7" s="428">
        <v>0</v>
      </c>
      <c r="E7" s="446"/>
      <c r="F7" s="430">
        <f t="shared" si="0"/>
        <v>0</v>
      </c>
      <c r="G7" s="445"/>
      <c r="H7" s="99"/>
      <c r="I7" s="99" t="s">
        <v>68</v>
      </c>
      <c r="J7" s="7"/>
      <c r="K7" s="63"/>
      <c r="L7" s="64"/>
      <c r="M7" s="65"/>
      <c r="N7" s="86"/>
      <c r="O7" s="87"/>
      <c r="P7" s="86"/>
      <c r="Q7" s="103"/>
      <c r="R7" s="69"/>
    </row>
    <row r="8" spans="2:18" ht="20.100000000000001" hidden="1" customHeight="1">
      <c r="B8" s="444"/>
      <c r="C8" s="54" t="s">
        <v>64</v>
      </c>
      <c r="D8" s="428">
        <f>N31</f>
        <v>0</v>
      </c>
      <c r="E8" s="446"/>
      <c r="F8" s="430">
        <f t="shared" si="0"/>
        <v>0</v>
      </c>
      <c r="G8" s="445"/>
      <c r="H8" s="99"/>
      <c r="I8" s="99" t="s">
        <v>67</v>
      </c>
      <c r="J8" s="7"/>
      <c r="K8" s="63"/>
      <c r="L8" s="64"/>
      <c r="M8" s="65"/>
      <c r="N8" s="86"/>
      <c r="O8" s="87"/>
      <c r="P8" s="88"/>
      <c r="Q8" s="103"/>
      <c r="R8" s="69"/>
    </row>
    <row r="9" spans="2:18" ht="20.100000000000001" customHeight="1">
      <c r="B9" s="438" t="s">
        <v>7</v>
      </c>
      <c r="C9" s="54" t="s">
        <v>11</v>
      </c>
      <c r="D9" s="428">
        <f>O49</f>
        <v>98161</v>
      </c>
      <c r="E9" s="429"/>
      <c r="F9" s="430">
        <f t="shared" si="0"/>
        <v>29693.702499999999</v>
      </c>
      <c r="G9" s="431"/>
      <c r="H9" s="99"/>
      <c r="I9" s="99"/>
      <c r="J9" s="7"/>
      <c r="K9" s="63"/>
      <c r="L9" s="64"/>
      <c r="M9" s="65"/>
      <c r="N9" s="86"/>
      <c r="O9" s="87"/>
      <c r="P9" s="86"/>
      <c r="Q9" s="103"/>
      <c r="R9" s="69"/>
    </row>
    <row r="10" spans="2:18" ht="20.100000000000001" customHeight="1">
      <c r="B10" s="439"/>
      <c r="C10" s="54" t="s">
        <v>12</v>
      </c>
      <c r="D10" s="428">
        <f>O39</f>
        <v>47592</v>
      </c>
      <c r="E10" s="429"/>
      <c r="F10" s="430">
        <f t="shared" si="0"/>
        <v>14396.58</v>
      </c>
      <c r="G10" s="431"/>
      <c r="H10" s="99"/>
      <c r="I10" s="99"/>
      <c r="J10" s="7"/>
      <c r="K10" s="70"/>
      <c r="L10" s="64"/>
      <c r="M10" s="65"/>
      <c r="N10" s="86"/>
      <c r="O10" s="87"/>
      <c r="P10" s="86"/>
      <c r="Q10" s="103"/>
      <c r="R10" s="71"/>
    </row>
    <row r="11" spans="2:18" ht="20.100000000000001" customHeight="1">
      <c r="B11" s="439"/>
      <c r="C11" s="54" t="s">
        <v>13</v>
      </c>
      <c r="D11" s="428">
        <f>SUM(D9:E10)</f>
        <v>145753</v>
      </c>
      <c r="E11" s="429"/>
      <c r="F11" s="430">
        <f t="shared" si="0"/>
        <v>44090.282500000001</v>
      </c>
      <c r="G11" s="431"/>
      <c r="H11" s="99"/>
      <c r="I11" s="99"/>
      <c r="J11" s="7"/>
      <c r="K11" s="63"/>
      <c r="L11" s="64"/>
      <c r="M11" s="65"/>
      <c r="N11" s="86"/>
      <c r="O11" s="87"/>
      <c r="P11" s="88"/>
      <c r="Q11" s="103"/>
      <c r="R11" s="69"/>
    </row>
    <row r="12" spans="2:18" ht="20.100000000000001" customHeight="1">
      <c r="B12" s="413" t="s">
        <v>29</v>
      </c>
      <c r="C12" s="419"/>
      <c r="D12" s="428">
        <f>O49-K49-I49</f>
        <v>71185</v>
      </c>
      <c r="E12" s="429"/>
      <c r="F12" s="430">
        <f t="shared" si="0"/>
        <v>21533.462499999998</v>
      </c>
      <c r="G12" s="431"/>
      <c r="H12" s="99"/>
      <c r="I12" s="99"/>
      <c r="J12" s="7"/>
      <c r="K12" s="63"/>
      <c r="L12" s="64"/>
      <c r="M12" s="65"/>
      <c r="N12" s="86"/>
      <c r="O12" s="87"/>
      <c r="P12" s="88"/>
      <c r="Q12" s="103"/>
      <c r="R12" s="72"/>
    </row>
    <row r="13" spans="2:18" ht="20.100000000000001" customHeight="1">
      <c r="B13" s="413" t="s">
        <v>28</v>
      </c>
      <c r="C13" s="437"/>
      <c r="D13" s="428">
        <v>20653</v>
      </c>
      <c r="E13" s="429"/>
      <c r="F13" s="430">
        <f t="shared" si="0"/>
        <v>6247.5325000000003</v>
      </c>
      <c r="G13" s="431"/>
      <c r="H13" s="436"/>
      <c r="I13" s="436"/>
      <c r="J13" s="7"/>
      <c r="K13" s="63"/>
      <c r="L13" s="64"/>
      <c r="M13" s="65"/>
      <c r="N13" s="86"/>
      <c r="O13" s="87"/>
      <c r="P13" s="86"/>
      <c r="Q13" s="103"/>
      <c r="R13" s="69"/>
    </row>
    <row r="14" spans="2:18" ht="20.100000000000001" customHeight="1">
      <c r="B14" s="413" t="s">
        <v>30</v>
      </c>
      <c r="C14" s="419"/>
      <c r="D14" s="434">
        <f>D13/D5</f>
        <v>0.69305601696649988</v>
      </c>
      <c r="E14" s="435"/>
      <c r="F14" s="422" t="s">
        <v>70</v>
      </c>
      <c r="G14" s="421"/>
      <c r="H14" s="99"/>
      <c r="I14" s="99"/>
      <c r="J14" s="7"/>
      <c r="K14" s="63"/>
      <c r="L14" s="64"/>
      <c r="M14" s="65"/>
      <c r="N14" s="86"/>
      <c r="O14" s="87"/>
      <c r="P14" s="88"/>
      <c r="Q14" s="103"/>
      <c r="R14" s="73"/>
    </row>
    <row r="15" spans="2:18" ht="20.100000000000001" customHeight="1">
      <c r="B15" s="413" t="s">
        <v>31</v>
      </c>
      <c r="C15" s="419"/>
      <c r="D15" s="434">
        <f>D12/D5</f>
        <v>2.3887664052563933</v>
      </c>
      <c r="E15" s="435"/>
      <c r="F15" s="422" t="s">
        <v>76</v>
      </c>
      <c r="G15" s="421"/>
      <c r="H15" s="99"/>
      <c r="I15" s="99"/>
      <c r="J15" s="7"/>
      <c r="K15" s="63"/>
      <c r="L15" s="64"/>
      <c r="M15" s="65"/>
      <c r="N15" s="86"/>
      <c r="O15" s="87"/>
      <c r="P15" s="86"/>
      <c r="Q15" s="103"/>
      <c r="R15" s="76"/>
    </row>
    <row r="16" spans="2:18" ht="20.100000000000001" customHeight="1">
      <c r="B16" s="423" t="s">
        <v>58</v>
      </c>
      <c r="C16" s="424"/>
      <c r="D16" s="428">
        <f>$O$50-$K$50</f>
        <v>119131</v>
      </c>
      <c r="E16" s="429"/>
      <c r="F16" s="430">
        <f t="shared" ref="F16" si="1">D16*0.3025</f>
        <v>36037.127500000002</v>
      </c>
      <c r="G16" s="431"/>
      <c r="H16" s="432" t="s">
        <v>61</v>
      </c>
      <c r="I16" s="433"/>
      <c r="J16" s="7"/>
      <c r="K16" s="63"/>
      <c r="L16" s="64"/>
      <c r="M16" s="65"/>
      <c r="N16" s="86"/>
      <c r="O16" s="87"/>
      <c r="P16" s="86"/>
      <c r="Q16" s="103"/>
      <c r="R16" s="69"/>
    </row>
    <row r="17" spans="2:18" ht="20.100000000000001" customHeight="1">
      <c r="B17" s="413" t="s">
        <v>57</v>
      </c>
      <c r="C17" s="419"/>
      <c r="D17" s="434">
        <f>D16/$O$50</f>
        <v>0.81734852798913227</v>
      </c>
      <c r="E17" s="435"/>
      <c r="F17" s="422" t="s">
        <v>38</v>
      </c>
      <c r="G17" s="421"/>
      <c r="H17" s="99"/>
      <c r="I17" s="99"/>
      <c r="J17" s="7"/>
      <c r="K17" s="63"/>
      <c r="L17" s="64"/>
      <c r="M17" s="65"/>
      <c r="N17" s="86"/>
      <c r="O17" s="87"/>
      <c r="P17" s="88"/>
      <c r="Q17" s="103"/>
      <c r="R17" s="69"/>
    </row>
    <row r="18" spans="2:18" ht="20.100000000000001" customHeight="1">
      <c r="B18" s="423" t="s">
        <v>59</v>
      </c>
      <c r="C18" s="424"/>
      <c r="D18" s="428">
        <f>$O$50-$K$50-$I$50</f>
        <v>107127</v>
      </c>
      <c r="E18" s="429"/>
      <c r="F18" s="430">
        <f t="shared" ref="F18" si="2">D18*0.3025</f>
        <v>32405.9175</v>
      </c>
      <c r="G18" s="431"/>
      <c r="H18" s="432" t="s">
        <v>62</v>
      </c>
      <c r="I18" s="433"/>
      <c r="J18" s="7"/>
      <c r="K18" s="63"/>
      <c r="L18" s="64"/>
      <c r="M18" s="65"/>
      <c r="N18" s="86"/>
      <c r="O18" s="87"/>
      <c r="P18" s="88"/>
      <c r="Q18" s="103"/>
      <c r="R18" s="69"/>
    </row>
    <row r="19" spans="2:18" ht="20.100000000000001" customHeight="1">
      <c r="B19" s="413" t="s">
        <v>60</v>
      </c>
      <c r="C19" s="419"/>
      <c r="D19" s="434">
        <f>D18/$O$50</f>
        <v>0.7349900173581333</v>
      </c>
      <c r="E19" s="435"/>
      <c r="F19" s="422" t="s">
        <v>38</v>
      </c>
      <c r="G19" s="421"/>
      <c r="H19" s="99"/>
      <c r="I19" s="99"/>
      <c r="J19" s="7"/>
      <c r="K19" s="63"/>
      <c r="L19" s="64"/>
      <c r="M19" s="65"/>
      <c r="N19" s="86"/>
      <c r="O19" s="87"/>
      <c r="P19" s="88"/>
      <c r="Q19" s="103"/>
      <c r="R19" s="72"/>
    </row>
    <row r="20" spans="2:18" ht="20.100000000000001" customHeight="1">
      <c r="B20" s="413" t="s">
        <v>32</v>
      </c>
      <c r="C20" s="419"/>
      <c r="D20" s="420" t="s">
        <v>83</v>
      </c>
      <c r="E20" s="421"/>
      <c r="F20" s="422" t="s">
        <v>77</v>
      </c>
      <c r="G20" s="421"/>
      <c r="H20" s="99"/>
      <c r="I20" s="99"/>
      <c r="J20" s="7"/>
      <c r="K20" s="63"/>
      <c r="L20" s="64"/>
      <c r="M20" s="65"/>
      <c r="N20" s="86"/>
      <c r="O20" s="87"/>
      <c r="P20" s="88"/>
      <c r="Q20" s="103"/>
      <c r="R20" s="72"/>
    </row>
    <row r="21" spans="2:18" ht="20.100000000000001" customHeight="1" thickBot="1">
      <c r="B21" s="423" t="s">
        <v>23</v>
      </c>
      <c r="C21" s="424"/>
      <c r="D21" s="420">
        <v>8.5000000000000006E-2</v>
      </c>
      <c r="E21" s="425"/>
      <c r="F21" s="426" t="s">
        <v>34</v>
      </c>
      <c r="G21" s="427"/>
      <c r="H21" s="411"/>
      <c r="I21" s="412"/>
      <c r="J21" s="7"/>
      <c r="K21" s="63"/>
      <c r="L21" s="64"/>
      <c r="M21" s="65"/>
      <c r="N21" s="86"/>
      <c r="O21" s="87"/>
      <c r="P21" s="88"/>
      <c r="Q21" s="103"/>
      <c r="R21" s="72"/>
    </row>
    <row r="22" spans="2:18" ht="20.100000000000001" hidden="1" customHeight="1">
      <c r="B22" s="413" t="s">
        <v>63</v>
      </c>
      <c r="C22" s="414"/>
      <c r="D22" s="396"/>
      <c r="E22" s="397"/>
      <c r="F22" s="397"/>
      <c r="G22" s="397"/>
      <c r="H22" s="397"/>
      <c r="I22" s="397"/>
      <c r="J22" s="7"/>
      <c r="K22" s="63"/>
      <c r="L22" s="64"/>
      <c r="M22" s="65"/>
      <c r="N22" s="66"/>
      <c r="O22" s="67"/>
      <c r="P22" s="68"/>
      <c r="Q22" s="104"/>
      <c r="R22" s="72"/>
    </row>
    <row r="23" spans="2:18" ht="20.100000000000001" hidden="1" customHeight="1">
      <c r="B23" s="415"/>
      <c r="C23" s="416"/>
      <c r="D23" s="396"/>
      <c r="E23" s="397"/>
      <c r="F23" s="397"/>
      <c r="G23" s="397"/>
      <c r="H23" s="397"/>
      <c r="I23" s="397"/>
      <c r="J23" s="7"/>
      <c r="K23" s="63"/>
      <c r="L23" s="64"/>
      <c r="M23" s="65"/>
      <c r="N23" s="66"/>
      <c r="O23" s="67"/>
      <c r="P23" s="68"/>
      <c r="Q23" s="104"/>
      <c r="R23" s="72"/>
    </row>
    <row r="24" spans="2:18" ht="20.100000000000001" hidden="1" customHeight="1">
      <c r="B24" s="415"/>
      <c r="C24" s="416"/>
      <c r="D24" s="396"/>
      <c r="E24" s="397"/>
      <c r="F24" s="397"/>
      <c r="G24" s="397"/>
      <c r="H24" s="397"/>
      <c r="I24" s="397"/>
      <c r="J24" s="7"/>
      <c r="K24" s="63"/>
      <c r="L24" s="64"/>
      <c r="M24" s="65"/>
      <c r="N24" s="66"/>
      <c r="O24" s="67"/>
      <c r="P24" s="68"/>
      <c r="Q24" s="104"/>
      <c r="R24" s="72"/>
    </row>
    <row r="25" spans="2:18" ht="20.100000000000001" hidden="1" customHeight="1">
      <c r="B25" s="415"/>
      <c r="C25" s="416"/>
      <c r="D25" s="396"/>
      <c r="E25" s="397"/>
      <c r="F25" s="397"/>
      <c r="G25" s="397"/>
      <c r="H25" s="397"/>
      <c r="I25" s="397"/>
      <c r="J25" s="7"/>
      <c r="K25" s="63"/>
      <c r="L25" s="64"/>
      <c r="M25" s="65"/>
      <c r="N25" s="66"/>
      <c r="O25" s="67"/>
      <c r="P25" s="68"/>
      <c r="Q25" s="104"/>
      <c r="R25" s="72"/>
    </row>
    <row r="26" spans="2:18" ht="20.100000000000001" hidden="1" customHeight="1">
      <c r="B26" s="415"/>
      <c r="C26" s="416"/>
      <c r="D26" s="396"/>
      <c r="E26" s="397"/>
      <c r="F26" s="397"/>
      <c r="G26" s="397"/>
      <c r="H26" s="397"/>
      <c r="I26" s="397"/>
      <c r="J26" s="7"/>
      <c r="K26" s="63"/>
      <c r="L26" s="64"/>
      <c r="M26" s="65"/>
      <c r="N26" s="66"/>
      <c r="O26" s="67"/>
      <c r="P26" s="68"/>
      <c r="Q26" s="104"/>
      <c r="R26" s="72"/>
    </row>
    <row r="27" spans="2:18" ht="20.100000000000001" hidden="1" customHeight="1">
      <c r="B27" s="415"/>
      <c r="C27" s="416"/>
      <c r="D27" s="396"/>
      <c r="E27" s="397"/>
      <c r="F27" s="397"/>
      <c r="G27" s="397"/>
      <c r="H27" s="397"/>
      <c r="I27" s="397"/>
      <c r="J27" s="7"/>
      <c r="K27" s="63"/>
      <c r="L27" s="64"/>
      <c r="M27" s="65"/>
      <c r="N27" s="66"/>
      <c r="O27" s="67"/>
      <c r="P27" s="68"/>
      <c r="Q27" s="104"/>
      <c r="R27" s="72"/>
    </row>
    <row r="28" spans="2:18" ht="20.100000000000001" hidden="1" customHeight="1">
      <c r="B28" s="415"/>
      <c r="C28" s="416"/>
      <c r="D28" s="396"/>
      <c r="E28" s="397"/>
      <c r="F28" s="397"/>
      <c r="G28" s="397"/>
      <c r="H28" s="397"/>
      <c r="I28" s="397"/>
      <c r="J28" s="7"/>
      <c r="K28" s="63"/>
      <c r="L28" s="64"/>
      <c r="M28" s="65"/>
      <c r="N28" s="66"/>
      <c r="O28" s="67"/>
      <c r="P28" s="68"/>
      <c r="Q28" s="104"/>
      <c r="R28" s="72"/>
    </row>
    <row r="29" spans="2:18" ht="20.100000000000001" hidden="1" customHeight="1">
      <c r="B29" s="415"/>
      <c r="C29" s="416"/>
      <c r="D29" s="396"/>
      <c r="E29" s="397"/>
      <c r="F29" s="397"/>
      <c r="G29" s="397"/>
      <c r="H29" s="397"/>
      <c r="I29" s="397"/>
      <c r="J29" s="7"/>
      <c r="K29" s="63"/>
      <c r="L29" s="64"/>
      <c r="M29" s="65"/>
      <c r="N29" s="66"/>
      <c r="O29" s="67"/>
      <c r="P29" s="68"/>
      <c r="Q29" s="104"/>
      <c r="R29" s="72"/>
    </row>
    <row r="30" spans="2:18" ht="20.100000000000001" hidden="1" customHeight="1" thickBot="1">
      <c r="B30" s="415"/>
      <c r="C30" s="416"/>
      <c r="D30" s="396"/>
      <c r="E30" s="397"/>
      <c r="F30" s="397"/>
      <c r="G30" s="397"/>
      <c r="H30" s="397"/>
      <c r="I30" s="397"/>
      <c r="J30" s="7"/>
      <c r="K30" s="63"/>
      <c r="L30" s="64"/>
      <c r="M30" s="65"/>
      <c r="N30" s="66"/>
      <c r="O30" s="67"/>
      <c r="P30" s="68"/>
      <c r="Q30" s="104"/>
      <c r="R30" s="72"/>
    </row>
    <row r="31" spans="2:18" ht="20.100000000000001" customHeight="1" thickBot="1">
      <c r="B31" s="417"/>
      <c r="C31" s="418"/>
      <c r="D31" s="398" t="s">
        <v>81</v>
      </c>
      <c r="E31" s="399"/>
      <c r="F31" s="400"/>
      <c r="G31" s="100">
        <f>(O50-I50-K50)/400</f>
        <v>267.8175</v>
      </c>
      <c r="H31" s="401" t="s">
        <v>82</v>
      </c>
      <c r="I31" s="402"/>
      <c r="J31" s="7"/>
      <c r="K31" s="403" t="s">
        <v>19</v>
      </c>
      <c r="L31" s="404"/>
      <c r="M31" s="405"/>
      <c r="N31" s="89">
        <f>SUM(N4:N30)</f>
        <v>0</v>
      </c>
      <c r="O31" s="90">
        <f>N31*0.3025</f>
        <v>0</v>
      </c>
      <c r="P31" s="91">
        <f>SUM(P4:P30)</f>
        <v>0</v>
      </c>
      <c r="Q31" s="92">
        <f>P31*0.3025</f>
        <v>0</v>
      </c>
      <c r="R31" s="59"/>
    </row>
    <row r="32" spans="2:18" ht="6" customHeight="1" thickTop="1">
      <c r="B32" s="5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2:21" ht="24.95" customHeight="1" thickBot="1">
      <c r="B33" s="75" t="s">
        <v>22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101"/>
      <c r="R33" s="3"/>
    </row>
    <row r="34" spans="2:21" ht="20.100000000000001" customHeight="1">
      <c r="B34" s="407" t="s">
        <v>40</v>
      </c>
      <c r="C34" s="390" t="s">
        <v>55</v>
      </c>
      <c r="D34" s="409"/>
      <c r="E34" s="410" t="s">
        <v>56</v>
      </c>
      <c r="F34" s="409"/>
      <c r="G34" s="410" t="s">
        <v>48</v>
      </c>
      <c r="H34" s="409"/>
      <c r="I34" s="388" t="s">
        <v>54</v>
      </c>
      <c r="J34" s="406"/>
      <c r="K34" s="388" t="s">
        <v>33</v>
      </c>
      <c r="L34" s="406"/>
      <c r="M34" s="388" t="s">
        <v>50</v>
      </c>
      <c r="N34" s="389"/>
      <c r="O34" s="390" t="s">
        <v>6</v>
      </c>
      <c r="P34" s="391"/>
      <c r="Q34" s="392" t="s">
        <v>49</v>
      </c>
      <c r="R34" s="394" t="s">
        <v>18</v>
      </c>
      <c r="T34" s="50" t="s">
        <v>49</v>
      </c>
    </row>
    <row r="35" spans="2:21" ht="20.100000000000001" customHeight="1" thickBot="1">
      <c r="B35" s="408"/>
      <c r="C35" s="21" t="s">
        <v>4</v>
      </c>
      <c r="D35" s="22" t="s">
        <v>5</v>
      </c>
      <c r="E35" s="23" t="s">
        <v>4</v>
      </c>
      <c r="F35" s="22" t="s">
        <v>5</v>
      </c>
      <c r="G35" s="23" t="s">
        <v>4</v>
      </c>
      <c r="H35" s="22" t="s">
        <v>5</v>
      </c>
      <c r="I35" s="22" t="s">
        <v>4</v>
      </c>
      <c r="J35" s="22" t="s">
        <v>5</v>
      </c>
      <c r="K35" s="22" t="s">
        <v>4</v>
      </c>
      <c r="L35" s="22" t="s">
        <v>5</v>
      </c>
      <c r="M35" s="22" t="s">
        <v>4</v>
      </c>
      <c r="N35" s="24" t="s">
        <v>5</v>
      </c>
      <c r="O35" s="25" t="s">
        <v>4</v>
      </c>
      <c r="P35" s="26" t="s">
        <v>5</v>
      </c>
      <c r="Q35" s="393"/>
      <c r="R35" s="395"/>
      <c r="T35" s="50" t="s">
        <v>51</v>
      </c>
      <c r="U35" s="50" t="s">
        <v>52</v>
      </c>
    </row>
    <row r="36" spans="2:21" ht="20.100000000000001" hidden="1" customHeight="1">
      <c r="B36" s="33" t="s">
        <v>42</v>
      </c>
      <c r="C36" s="117">
        <v>0</v>
      </c>
      <c r="D36" s="113">
        <f>C36*0.3025</f>
        <v>0</v>
      </c>
      <c r="E36" s="114">
        <v>0</v>
      </c>
      <c r="F36" s="113">
        <f>E36*0.3025</f>
        <v>0</v>
      </c>
      <c r="G36" s="114">
        <v>0</v>
      </c>
      <c r="H36" s="113">
        <f>G36*0.3025</f>
        <v>0</v>
      </c>
      <c r="I36" s="115">
        <v>0</v>
      </c>
      <c r="J36" s="115">
        <f>I36*0.3025</f>
        <v>0</v>
      </c>
      <c r="K36" s="115">
        <v>0</v>
      </c>
      <c r="L36" s="113">
        <f>K36*0.3025</f>
        <v>0</v>
      </c>
      <c r="M36" s="115">
        <v>0</v>
      </c>
      <c r="N36" s="77">
        <f>M36*0.3025</f>
        <v>0</v>
      </c>
      <c r="O36" s="13">
        <f>C36+E36+G36+I36+K36+M36</f>
        <v>0</v>
      </c>
      <c r="P36" s="14">
        <f t="shared" ref="P36:P50" si="3">O36*0.3025</f>
        <v>0</v>
      </c>
      <c r="Q36" s="105"/>
      <c r="R36" s="79" t="s">
        <v>41</v>
      </c>
    </row>
    <row r="37" spans="2:21" ht="20.100000000000001" customHeight="1">
      <c r="B37" s="33" t="s">
        <v>37</v>
      </c>
      <c r="C37" s="97">
        <v>0</v>
      </c>
      <c r="D37" s="96">
        <f>C37*0.3025</f>
        <v>0</v>
      </c>
      <c r="E37" s="15">
        <f>16285-100</f>
        <v>16185</v>
      </c>
      <c r="F37" s="16">
        <f t="shared" ref="F37" si="4">E37*0.3025</f>
        <v>4895.9624999999996</v>
      </c>
      <c r="G37" s="15">
        <f>269+454-30</f>
        <v>693</v>
      </c>
      <c r="H37" s="16">
        <f t="shared" ref="H37" si="5">G37*0.3025</f>
        <v>209.63249999999999</v>
      </c>
      <c r="I37" s="16">
        <v>1802</v>
      </c>
      <c r="J37" s="16">
        <f t="shared" ref="J37" si="6">I37*0.3025</f>
        <v>545.10500000000002</v>
      </c>
      <c r="K37" s="16">
        <v>3348</v>
      </c>
      <c r="L37" s="16">
        <f t="shared" ref="L37" si="7">K37*0.3025</f>
        <v>1012.77</v>
      </c>
      <c r="M37" s="16">
        <v>2186</v>
      </c>
      <c r="N37" s="118">
        <f>M37*0.3025</f>
        <v>661.26499999999999</v>
      </c>
      <c r="O37" s="13">
        <f>C37+E37+G37+I37+K37+M37</f>
        <v>24214</v>
      </c>
      <c r="P37" s="14">
        <f t="shared" si="3"/>
        <v>7324.7349999999997</v>
      </c>
      <c r="Q37" s="106"/>
      <c r="R37" s="80" t="s">
        <v>79</v>
      </c>
    </row>
    <row r="38" spans="2:21" ht="20.100000000000001" customHeight="1" thickBot="1">
      <c r="B38" s="37" t="s">
        <v>0</v>
      </c>
      <c r="C38" s="119">
        <v>0</v>
      </c>
      <c r="D38" s="120">
        <f>C38*0.3025</f>
        <v>0</v>
      </c>
      <c r="E38" s="121">
        <f>16285-100</f>
        <v>16185</v>
      </c>
      <c r="F38" s="122">
        <f t="shared" ref="F38" si="8">E38*0.3025</f>
        <v>4895.9624999999996</v>
      </c>
      <c r="G38" s="121">
        <f>269+454-30</f>
        <v>693</v>
      </c>
      <c r="H38" s="122">
        <f t="shared" ref="H38" si="9">G38*0.3025</f>
        <v>209.63249999999999</v>
      </c>
      <c r="I38" s="122">
        <v>1802</v>
      </c>
      <c r="J38" s="122">
        <f t="shared" ref="J38" si="10">I38*0.3025</f>
        <v>545.10500000000002</v>
      </c>
      <c r="K38" s="122">
        <v>4698</v>
      </c>
      <c r="L38" s="122">
        <f t="shared" ref="L38" si="11">K38*0.3025</f>
        <v>1421.145</v>
      </c>
      <c r="M38" s="122">
        <v>0</v>
      </c>
      <c r="N38" s="123">
        <f>M38*0.3025</f>
        <v>0</v>
      </c>
      <c r="O38" s="40">
        <f>C38+E38+G38+I38+K38+M38</f>
        <v>23378</v>
      </c>
      <c r="P38" s="41">
        <f t="shared" si="3"/>
        <v>7071.8449999999993</v>
      </c>
      <c r="Q38" s="107"/>
      <c r="R38" s="95" t="s">
        <v>79</v>
      </c>
      <c r="T38" s="50">
        <v>25</v>
      </c>
      <c r="U38" s="50">
        <v>57</v>
      </c>
    </row>
    <row r="39" spans="2:21" ht="20.100000000000001" customHeight="1" thickBot="1">
      <c r="B39" s="27" t="s">
        <v>24</v>
      </c>
      <c r="C39" s="42">
        <f>SUM(C36:C38)</f>
        <v>0</v>
      </c>
      <c r="D39" s="29">
        <f>C39*0.3025</f>
        <v>0</v>
      </c>
      <c r="E39" s="43">
        <f>SUM(E36:E38)</f>
        <v>32370</v>
      </c>
      <c r="F39" s="30">
        <f>E39*0.3025</f>
        <v>9791.9249999999993</v>
      </c>
      <c r="G39" s="43">
        <f>SUM(G36:G38)</f>
        <v>1386</v>
      </c>
      <c r="H39" s="30">
        <f>G39*0.3025</f>
        <v>419.26499999999999</v>
      </c>
      <c r="I39" s="30">
        <f>SUM(I36:I38)</f>
        <v>3604</v>
      </c>
      <c r="J39" s="30">
        <f>I39*0.3025</f>
        <v>1090.21</v>
      </c>
      <c r="K39" s="30">
        <f>SUM(K36:K38)</f>
        <v>8046</v>
      </c>
      <c r="L39" s="30">
        <f>K39*0.3025</f>
        <v>2433.915</v>
      </c>
      <c r="M39" s="30">
        <f>SUM(M36:M38)</f>
        <v>2186</v>
      </c>
      <c r="N39" s="31">
        <f>M39*0.3025</f>
        <v>661.26499999999999</v>
      </c>
      <c r="O39" s="28">
        <f>SUM(O36:O38)</f>
        <v>47592</v>
      </c>
      <c r="P39" s="32">
        <f t="shared" si="3"/>
        <v>14396.58</v>
      </c>
      <c r="Q39" s="108"/>
      <c r="R39" s="82"/>
    </row>
    <row r="40" spans="2:21" ht="20.100000000000001" customHeight="1">
      <c r="B40" s="33" t="s">
        <v>1</v>
      </c>
      <c r="C40" s="112">
        <f>13600-100</f>
        <v>13500</v>
      </c>
      <c r="D40" s="113">
        <f t="shared" ref="D40:D50" si="12">C40*0.3025</f>
        <v>4083.75</v>
      </c>
      <c r="E40" s="114">
        <v>0</v>
      </c>
      <c r="F40" s="115">
        <f t="shared" ref="F40:F48" si="13">E40*0.3025</f>
        <v>0</v>
      </c>
      <c r="G40" s="114">
        <f>283+484-30</f>
        <v>737</v>
      </c>
      <c r="H40" s="115">
        <f t="shared" ref="H40:H48" si="14">G40*0.3025</f>
        <v>222.9425</v>
      </c>
      <c r="I40" s="115">
        <v>1680</v>
      </c>
      <c r="J40" s="115">
        <f t="shared" ref="J40:J50" si="15">I40*0.3025</f>
        <v>508.2</v>
      </c>
      <c r="K40" s="115">
        <v>4644</v>
      </c>
      <c r="L40" s="115">
        <f t="shared" ref="L40:L50" si="16">K40*0.3025</f>
        <v>1404.81</v>
      </c>
      <c r="M40" s="38">
        <v>0</v>
      </c>
      <c r="N40" s="39">
        <f t="shared" ref="N40:N50" si="17">M40*0.3025</f>
        <v>0</v>
      </c>
      <c r="O40" s="13">
        <f>C40+E40+G40+I40+K40+M40</f>
        <v>20561</v>
      </c>
      <c r="P40" s="14">
        <f t="shared" si="3"/>
        <v>6219.7024999999994</v>
      </c>
      <c r="Q40" s="105"/>
      <c r="R40" s="79" t="s">
        <v>80</v>
      </c>
      <c r="T40" s="50">
        <v>25</v>
      </c>
      <c r="U40" s="50">
        <v>57</v>
      </c>
    </row>
    <row r="41" spans="2:21" ht="20.100000000000001" customHeight="1">
      <c r="B41" s="34" t="s">
        <v>2</v>
      </c>
      <c r="C41" s="116">
        <f>13600-100</f>
        <v>13500</v>
      </c>
      <c r="D41" s="96">
        <f t="shared" ref="D41" si="18">C41*0.3025</f>
        <v>4083.75</v>
      </c>
      <c r="E41" s="15">
        <v>0</v>
      </c>
      <c r="F41" s="16">
        <f t="shared" ref="F41" si="19">E41*0.3025</f>
        <v>0</v>
      </c>
      <c r="G41" s="15">
        <f>283+484-30</f>
        <v>737</v>
      </c>
      <c r="H41" s="16">
        <f t="shared" ref="H41" si="20">G41*0.3025</f>
        <v>222.9425</v>
      </c>
      <c r="I41" s="16">
        <v>1680</v>
      </c>
      <c r="J41" s="16">
        <f t="shared" ref="J41" si="21">I41*0.3025</f>
        <v>508.2</v>
      </c>
      <c r="K41" s="16">
        <v>4644</v>
      </c>
      <c r="L41" s="16">
        <f t="shared" ref="L41" si="22">K41*0.3025</f>
        <v>1404.81</v>
      </c>
      <c r="M41" s="16">
        <v>0</v>
      </c>
      <c r="N41" s="17">
        <f t="shared" si="17"/>
        <v>0</v>
      </c>
      <c r="O41" s="13">
        <f t="shared" ref="O41:O48" si="23">C41+E41+G41+I41+K41+M41</f>
        <v>20561</v>
      </c>
      <c r="P41" s="18">
        <f t="shared" si="3"/>
        <v>6219.7024999999994</v>
      </c>
      <c r="Q41" s="106"/>
      <c r="R41" s="80" t="s">
        <v>78</v>
      </c>
      <c r="T41" s="50">
        <v>6</v>
      </c>
      <c r="U41" s="50">
        <f>U40</f>
        <v>57</v>
      </c>
    </row>
    <row r="42" spans="2:21" ht="20.100000000000001" customHeight="1">
      <c r="B42" s="35" t="s">
        <v>3</v>
      </c>
      <c r="C42" s="116">
        <f t="shared" ref="C42:C44" si="24">13600-100</f>
        <v>13500</v>
      </c>
      <c r="D42" s="96">
        <f t="shared" ref="D42:D44" si="25">C42*0.3025</f>
        <v>4083.75</v>
      </c>
      <c r="E42" s="15">
        <v>0</v>
      </c>
      <c r="F42" s="16">
        <f t="shared" ref="F42:F44" si="26">E42*0.3025</f>
        <v>0</v>
      </c>
      <c r="G42" s="15">
        <f t="shared" ref="G42:G44" si="27">283+484-30</f>
        <v>737</v>
      </c>
      <c r="H42" s="16">
        <f t="shared" ref="H42:H44" si="28">G42*0.3025</f>
        <v>222.9425</v>
      </c>
      <c r="I42" s="16">
        <v>1680</v>
      </c>
      <c r="J42" s="16">
        <f t="shared" ref="J42:J44" si="29">I42*0.3025</f>
        <v>508.2</v>
      </c>
      <c r="K42" s="16">
        <v>4644</v>
      </c>
      <c r="L42" s="16">
        <f t="shared" ref="L42:L44" si="30">K42*0.3025</f>
        <v>1404.81</v>
      </c>
      <c r="M42" s="16">
        <v>0</v>
      </c>
      <c r="N42" s="17">
        <f t="shared" si="17"/>
        <v>0</v>
      </c>
      <c r="O42" s="13">
        <f t="shared" si="23"/>
        <v>20561</v>
      </c>
      <c r="P42" s="18">
        <f t="shared" si="3"/>
        <v>6219.7024999999994</v>
      </c>
      <c r="Q42" s="106"/>
      <c r="R42" s="80" t="s">
        <v>78</v>
      </c>
      <c r="T42" s="50">
        <f t="shared" ref="T42:U46" si="31">T41</f>
        <v>6</v>
      </c>
      <c r="U42" s="50">
        <f t="shared" si="31"/>
        <v>57</v>
      </c>
    </row>
    <row r="43" spans="2:21" ht="20.100000000000001" customHeight="1">
      <c r="B43" s="35" t="s">
        <v>43</v>
      </c>
      <c r="C43" s="116">
        <f t="shared" si="24"/>
        <v>13500</v>
      </c>
      <c r="D43" s="96">
        <f t="shared" si="25"/>
        <v>4083.75</v>
      </c>
      <c r="E43" s="15">
        <v>0</v>
      </c>
      <c r="F43" s="16">
        <f t="shared" si="26"/>
        <v>0</v>
      </c>
      <c r="G43" s="15">
        <f t="shared" si="27"/>
        <v>737</v>
      </c>
      <c r="H43" s="16">
        <f t="shared" si="28"/>
        <v>222.9425</v>
      </c>
      <c r="I43" s="16">
        <v>1680</v>
      </c>
      <c r="J43" s="16">
        <f t="shared" si="29"/>
        <v>508.2</v>
      </c>
      <c r="K43" s="16">
        <v>4644</v>
      </c>
      <c r="L43" s="16">
        <f t="shared" si="30"/>
        <v>1404.81</v>
      </c>
      <c r="M43" s="16">
        <v>0</v>
      </c>
      <c r="N43" s="17">
        <f t="shared" si="17"/>
        <v>0</v>
      </c>
      <c r="O43" s="13">
        <f t="shared" si="23"/>
        <v>20561</v>
      </c>
      <c r="P43" s="18">
        <f t="shared" si="3"/>
        <v>6219.7024999999994</v>
      </c>
      <c r="Q43" s="106"/>
      <c r="R43" s="80" t="s">
        <v>55</v>
      </c>
      <c r="T43" s="50">
        <f t="shared" si="31"/>
        <v>6</v>
      </c>
      <c r="U43" s="50">
        <f t="shared" si="31"/>
        <v>57</v>
      </c>
    </row>
    <row r="44" spans="2:21" ht="20.100000000000001" customHeight="1" thickBot="1">
      <c r="B44" s="35" t="s">
        <v>44</v>
      </c>
      <c r="C44" s="116">
        <f t="shared" si="24"/>
        <v>13500</v>
      </c>
      <c r="D44" s="96">
        <f t="shared" si="25"/>
        <v>4083.75</v>
      </c>
      <c r="E44" s="15">
        <v>0</v>
      </c>
      <c r="F44" s="16">
        <f t="shared" si="26"/>
        <v>0</v>
      </c>
      <c r="G44" s="15">
        <f t="shared" si="27"/>
        <v>737</v>
      </c>
      <c r="H44" s="16">
        <f t="shared" si="28"/>
        <v>222.9425</v>
      </c>
      <c r="I44" s="16">
        <v>1680</v>
      </c>
      <c r="J44" s="16">
        <f t="shared" si="29"/>
        <v>508.2</v>
      </c>
      <c r="K44" s="16">
        <v>0</v>
      </c>
      <c r="L44" s="16">
        <f t="shared" si="30"/>
        <v>0</v>
      </c>
      <c r="M44" s="16">
        <v>0</v>
      </c>
      <c r="N44" s="17">
        <f t="shared" si="17"/>
        <v>0</v>
      </c>
      <c r="O44" s="13">
        <f t="shared" si="23"/>
        <v>15917</v>
      </c>
      <c r="P44" s="18">
        <f t="shared" si="3"/>
        <v>4814.8924999999999</v>
      </c>
      <c r="Q44" s="106"/>
      <c r="R44" s="80" t="s">
        <v>55</v>
      </c>
      <c r="T44" s="50">
        <f t="shared" si="31"/>
        <v>6</v>
      </c>
      <c r="U44" s="50">
        <f t="shared" si="31"/>
        <v>57</v>
      </c>
    </row>
    <row r="45" spans="2:21" ht="20.100000000000001" hidden="1" customHeight="1">
      <c r="B45" s="35" t="s">
        <v>45</v>
      </c>
      <c r="C45" s="97">
        <v>0</v>
      </c>
      <c r="D45" s="96">
        <f t="shared" ref="D45:D46" si="32">C45*0.3025</f>
        <v>0</v>
      </c>
      <c r="E45" s="15">
        <v>0</v>
      </c>
      <c r="F45" s="16">
        <f t="shared" ref="F45:F46" si="33">E45*0.3025</f>
        <v>0</v>
      </c>
      <c r="G45" s="15">
        <v>0</v>
      </c>
      <c r="H45" s="16">
        <f t="shared" ref="H45:H46" si="34">G45*0.3025</f>
        <v>0</v>
      </c>
      <c r="I45" s="16">
        <v>0</v>
      </c>
      <c r="J45" s="16">
        <f t="shared" ref="J45:J46" si="35">I45*0.3025</f>
        <v>0</v>
      </c>
      <c r="K45" s="16">
        <v>0</v>
      </c>
      <c r="L45" s="16">
        <f t="shared" ref="L45:L46" si="36">K45*0.3025</f>
        <v>0</v>
      </c>
      <c r="M45" s="16">
        <v>0</v>
      </c>
      <c r="N45" s="17">
        <f t="shared" si="17"/>
        <v>0</v>
      </c>
      <c r="O45" s="13">
        <f t="shared" si="23"/>
        <v>0</v>
      </c>
      <c r="P45" s="18">
        <f t="shared" si="3"/>
        <v>0</v>
      </c>
      <c r="Q45" s="106"/>
      <c r="R45" s="80" t="s">
        <v>55</v>
      </c>
      <c r="T45" s="50">
        <f t="shared" si="31"/>
        <v>6</v>
      </c>
      <c r="U45" s="50">
        <f t="shared" si="31"/>
        <v>57</v>
      </c>
    </row>
    <row r="46" spans="2:21" ht="20.100000000000001" hidden="1" customHeight="1">
      <c r="B46" s="35" t="s">
        <v>46</v>
      </c>
      <c r="C46" s="97">
        <v>0</v>
      </c>
      <c r="D46" s="96">
        <f t="shared" si="32"/>
        <v>0</v>
      </c>
      <c r="E46" s="15">
        <v>0</v>
      </c>
      <c r="F46" s="16">
        <f t="shared" si="33"/>
        <v>0</v>
      </c>
      <c r="G46" s="15">
        <v>0</v>
      </c>
      <c r="H46" s="16">
        <f t="shared" si="34"/>
        <v>0</v>
      </c>
      <c r="I46" s="16">
        <v>0</v>
      </c>
      <c r="J46" s="16">
        <f t="shared" si="35"/>
        <v>0</v>
      </c>
      <c r="K46" s="16">
        <v>0</v>
      </c>
      <c r="L46" s="16">
        <f t="shared" si="36"/>
        <v>0</v>
      </c>
      <c r="M46" s="16">
        <v>0</v>
      </c>
      <c r="N46" s="17">
        <f t="shared" si="17"/>
        <v>0</v>
      </c>
      <c r="O46" s="13">
        <f t="shared" si="23"/>
        <v>0</v>
      </c>
      <c r="P46" s="18">
        <f t="shared" si="3"/>
        <v>0</v>
      </c>
      <c r="Q46" s="106"/>
      <c r="R46" s="80" t="s">
        <v>55</v>
      </c>
      <c r="T46" s="50">
        <f t="shared" si="31"/>
        <v>6</v>
      </c>
      <c r="U46" s="50">
        <f t="shared" si="31"/>
        <v>57</v>
      </c>
    </row>
    <row r="47" spans="2:21" ht="20.100000000000001" hidden="1" customHeight="1">
      <c r="B47" s="35" t="s">
        <v>47</v>
      </c>
      <c r="C47" s="15">
        <v>0</v>
      </c>
      <c r="D47" s="11">
        <f t="shared" si="12"/>
        <v>0</v>
      </c>
      <c r="E47" s="12">
        <v>0</v>
      </c>
      <c r="F47" s="12">
        <f t="shared" si="13"/>
        <v>0</v>
      </c>
      <c r="G47" s="15">
        <v>0</v>
      </c>
      <c r="H47" s="16">
        <f t="shared" si="14"/>
        <v>0</v>
      </c>
      <c r="I47" s="16">
        <v>0</v>
      </c>
      <c r="J47" s="16">
        <f t="shared" si="15"/>
        <v>0</v>
      </c>
      <c r="K47" s="16">
        <v>0</v>
      </c>
      <c r="L47" s="16">
        <f t="shared" si="16"/>
        <v>0</v>
      </c>
      <c r="M47" s="16">
        <v>0</v>
      </c>
      <c r="N47" s="17">
        <f t="shared" si="17"/>
        <v>0</v>
      </c>
      <c r="O47" s="13">
        <f t="shared" si="23"/>
        <v>0</v>
      </c>
      <c r="P47" s="18">
        <f t="shared" si="3"/>
        <v>0</v>
      </c>
      <c r="Q47" s="106"/>
      <c r="R47" s="80" t="s">
        <v>73</v>
      </c>
      <c r="T47" s="50">
        <v>378</v>
      </c>
      <c r="U47" s="50"/>
    </row>
    <row r="48" spans="2:21" ht="20.100000000000001" hidden="1" customHeight="1" thickBot="1">
      <c r="B48" s="35" t="s">
        <v>71</v>
      </c>
      <c r="C48" s="15">
        <v>0</v>
      </c>
      <c r="D48" s="11">
        <f t="shared" si="12"/>
        <v>0</v>
      </c>
      <c r="E48" s="12">
        <v>0</v>
      </c>
      <c r="F48" s="12">
        <f t="shared" si="13"/>
        <v>0</v>
      </c>
      <c r="G48" s="15">
        <v>0</v>
      </c>
      <c r="H48" s="16">
        <f t="shared" si="14"/>
        <v>0</v>
      </c>
      <c r="I48" s="16">
        <v>0</v>
      </c>
      <c r="J48" s="16">
        <f t="shared" si="15"/>
        <v>0</v>
      </c>
      <c r="K48" s="16">
        <v>0</v>
      </c>
      <c r="L48" s="16">
        <f t="shared" si="16"/>
        <v>0</v>
      </c>
      <c r="M48" s="16">
        <v>0</v>
      </c>
      <c r="N48" s="17">
        <f t="shared" si="17"/>
        <v>0</v>
      </c>
      <c r="O48" s="13">
        <f t="shared" si="23"/>
        <v>0</v>
      </c>
      <c r="P48" s="18">
        <f t="shared" si="3"/>
        <v>0</v>
      </c>
      <c r="Q48" s="106"/>
      <c r="R48" s="81" t="s">
        <v>72</v>
      </c>
      <c r="T48" s="50">
        <f>SUM(T38:T47)</f>
        <v>464</v>
      </c>
      <c r="U48" s="50">
        <f>SUM(U38:U47)</f>
        <v>456</v>
      </c>
    </row>
    <row r="49" spans="2:21" ht="20.100000000000001" customHeight="1" thickBot="1">
      <c r="B49" s="27" t="s">
        <v>25</v>
      </c>
      <c r="C49" s="42">
        <f>SUM(C40:C48)</f>
        <v>67500</v>
      </c>
      <c r="D49" s="29">
        <f>C49*0.3025</f>
        <v>20418.75</v>
      </c>
      <c r="E49" s="43">
        <f>SUM(E40:E48)</f>
        <v>0</v>
      </c>
      <c r="F49" s="30">
        <f>E49*0.3025</f>
        <v>0</v>
      </c>
      <c r="G49" s="43">
        <f>SUM(G40:G48)</f>
        <v>3685</v>
      </c>
      <c r="H49" s="30">
        <f>G49*0.3025</f>
        <v>1114.7124999999999</v>
      </c>
      <c r="I49" s="30">
        <f>SUM(I40:I48)</f>
        <v>8400</v>
      </c>
      <c r="J49" s="30">
        <f>I49*0.3025</f>
        <v>2541</v>
      </c>
      <c r="K49" s="30">
        <f>SUM(K40:K48)</f>
        <v>18576</v>
      </c>
      <c r="L49" s="30">
        <f t="shared" si="16"/>
        <v>5619.24</v>
      </c>
      <c r="M49" s="30">
        <f>SUM(M40:M48)</f>
        <v>0</v>
      </c>
      <c r="N49" s="31">
        <f t="shared" si="17"/>
        <v>0</v>
      </c>
      <c r="O49" s="28">
        <f>C49+E49+G49+I49+K49+M49</f>
        <v>98161</v>
      </c>
      <c r="P49" s="32">
        <f t="shared" si="3"/>
        <v>29693.702499999999</v>
      </c>
      <c r="Q49" s="109"/>
      <c r="R49" s="82"/>
      <c r="T49" s="50" t="s">
        <v>13</v>
      </c>
      <c r="U49" s="50">
        <f>T48+U48</f>
        <v>920</v>
      </c>
    </row>
    <row r="50" spans="2:21" ht="20.100000000000001" customHeight="1" thickBot="1">
      <c r="B50" s="44" t="s">
        <v>13</v>
      </c>
      <c r="C50" s="45">
        <f>C39+C49</f>
        <v>67500</v>
      </c>
      <c r="D50" s="46">
        <f t="shared" si="12"/>
        <v>20418.75</v>
      </c>
      <c r="E50" s="47">
        <f>E39+E49</f>
        <v>32370</v>
      </c>
      <c r="F50" s="47">
        <f t="shared" ref="F50" si="37">E50*0.3025</f>
        <v>9791.9249999999993</v>
      </c>
      <c r="G50" s="47">
        <f>G39+G49</f>
        <v>5071</v>
      </c>
      <c r="H50" s="47">
        <f t="shared" ref="H50" si="38">G50*0.3025</f>
        <v>1533.9775</v>
      </c>
      <c r="I50" s="47">
        <f>I39+I49</f>
        <v>12004</v>
      </c>
      <c r="J50" s="47">
        <f t="shared" si="15"/>
        <v>3631.21</v>
      </c>
      <c r="K50" s="47">
        <f>K39+K49</f>
        <v>26622</v>
      </c>
      <c r="L50" s="47">
        <f t="shared" si="16"/>
        <v>8053.1549999999997</v>
      </c>
      <c r="M50" s="47">
        <f>M39+M49</f>
        <v>2186</v>
      </c>
      <c r="N50" s="48">
        <f t="shared" si="17"/>
        <v>661.26499999999999</v>
      </c>
      <c r="O50" s="45">
        <f>C50+E50+G50+I50+K50+M50</f>
        <v>145753</v>
      </c>
      <c r="P50" s="49">
        <f t="shared" si="3"/>
        <v>44090.282500000001</v>
      </c>
      <c r="Q50" s="110"/>
      <c r="R50" s="83"/>
      <c r="S50" s="51">
        <f>O39+O49</f>
        <v>145753</v>
      </c>
      <c r="T50" s="51"/>
    </row>
    <row r="51" spans="2:21" ht="6" customHeight="1">
      <c r="M51" s="51"/>
      <c r="N51" s="52"/>
      <c r="O51" s="55"/>
      <c r="P51" s="55"/>
    </row>
    <row r="52" spans="2:21" ht="21.95" customHeight="1">
      <c r="B52" s="4" t="s">
        <v>20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111"/>
      <c r="R52" s="5" t="s">
        <v>21</v>
      </c>
      <c r="T52" s="51"/>
    </row>
    <row r="53" spans="2:21">
      <c r="H53" s="8"/>
      <c r="S53" s="93" t="s">
        <v>53</v>
      </c>
      <c r="T53" s="51">
        <f>C50+E50+G50+M50</f>
        <v>107127</v>
      </c>
      <c r="U53" s="8">
        <f>T53/300</f>
        <v>357.09</v>
      </c>
    </row>
    <row r="54" spans="2:21">
      <c r="U54" s="94">
        <f>U49/U53</f>
        <v>2.5763813044330561</v>
      </c>
    </row>
    <row r="56" spans="2:21">
      <c r="E56">
        <f>D5*0.008</f>
        <v>238.39920000000001</v>
      </c>
      <c r="F56">
        <f>E56/7</f>
        <v>34.057028571428575</v>
      </c>
    </row>
    <row r="57" spans="2:21">
      <c r="E57">
        <f>121*8</f>
        <v>968</v>
      </c>
    </row>
    <row r="58" spans="2:21">
      <c r="E58">
        <f>E57/8</f>
        <v>121</v>
      </c>
    </row>
    <row r="59" spans="2:21">
      <c r="E59">
        <f>E58/12</f>
        <v>10.083333333333334</v>
      </c>
    </row>
  </sheetData>
  <mergeCells count="76">
    <mergeCell ref="B3:C3"/>
    <mergeCell ref="B4:C4"/>
    <mergeCell ref="D4:I4"/>
    <mergeCell ref="B5:B8"/>
    <mergeCell ref="D5:E5"/>
    <mergeCell ref="F5:G5"/>
    <mergeCell ref="D6:E6"/>
    <mergeCell ref="F6:G6"/>
    <mergeCell ref="D7:E7"/>
    <mergeCell ref="F7:G7"/>
    <mergeCell ref="D8:E8"/>
    <mergeCell ref="F8:G8"/>
    <mergeCell ref="B9:B11"/>
    <mergeCell ref="D9:E9"/>
    <mergeCell ref="F9:G9"/>
    <mergeCell ref="D10:E10"/>
    <mergeCell ref="F10:G10"/>
    <mergeCell ref="D11:E11"/>
    <mergeCell ref="F11:G11"/>
    <mergeCell ref="B12:C12"/>
    <mergeCell ref="D12:E12"/>
    <mergeCell ref="F12:G12"/>
    <mergeCell ref="B13:C13"/>
    <mergeCell ref="D13:E13"/>
    <mergeCell ref="F13:G13"/>
    <mergeCell ref="H13:I13"/>
    <mergeCell ref="B14:C14"/>
    <mergeCell ref="D14:E14"/>
    <mergeCell ref="F14:G14"/>
    <mergeCell ref="B15:C15"/>
    <mergeCell ref="D15:E15"/>
    <mergeCell ref="F15:G15"/>
    <mergeCell ref="B16:C16"/>
    <mergeCell ref="D16:E16"/>
    <mergeCell ref="F16:G16"/>
    <mergeCell ref="H16:I16"/>
    <mergeCell ref="B17:C17"/>
    <mergeCell ref="D17:E17"/>
    <mergeCell ref="F17:G17"/>
    <mergeCell ref="B18:C18"/>
    <mergeCell ref="D18:E18"/>
    <mergeCell ref="F18:G18"/>
    <mergeCell ref="H18:I18"/>
    <mergeCell ref="B19:C19"/>
    <mergeCell ref="D19:E19"/>
    <mergeCell ref="F19:G19"/>
    <mergeCell ref="B20:C20"/>
    <mergeCell ref="D20:E20"/>
    <mergeCell ref="F20:G20"/>
    <mergeCell ref="B21:C21"/>
    <mergeCell ref="D21:E21"/>
    <mergeCell ref="F21:G21"/>
    <mergeCell ref="H21:I21"/>
    <mergeCell ref="B22:C31"/>
    <mergeCell ref="D22:I22"/>
    <mergeCell ref="D23:I23"/>
    <mergeCell ref="D24:I24"/>
    <mergeCell ref="D25:I25"/>
    <mergeCell ref="D26:I26"/>
    <mergeCell ref="D27:I27"/>
    <mergeCell ref="D28:I28"/>
    <mergeCell ref="D29:I29"/>
    <mergeCell ref="B34:B35"/>
    <mergeCell ref="C34:D34"/>
    <mergeCell ref="E34:F34"/>
    <mergeCell ref="G34:H34"/>
    <mergeCell ref="I34:J34"/>
    <mergeCell ref="M34:N34"/>
    <mergeCell ref="O34:P34"/>
    <mergeCell ref="Q34:Q35"/>
    <mergeCell ref="R34:R35"/>
    <mergeCell ref="D30:I30"/>
    <mergeCell ref="D31:F31"/>
    <mergeCell ref="H31:I31"/>
    <mergeCell ref="K31:M31"/>
    <mergeCell ref="K34:L34"/>
  </mergeCells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B1:U59"/>
  <sheetViews>
    <sheetView showGridLines="0" view="pageBreakPreview" zoomScale="85" zoomScaleNormal="85" zoomScaleSheetLayoutView="85" workbookViewId="0">
      <selection activeCell="O49" sqref="O49"/>
    </sheetView>
  </sheetViews>
  <sheetFormatPr defaultRowHeight="16.5"/>
  <cols>
    <col min="1" max="1" width="10.625" customWidth="1"/>
    <col min="2" max="2" width="16.375" customWidth="1"/>
    <col min="3" max="16" width="12.625" customWidth="1"/>
    <col min="17" max="17" width="14.625" style="176" customWidth="1"/>
    <col min="18" max="18" width="12.625" customWidth="1"/>
    <col min="19" max="20" width="9.875" bestFit="1" customWidth="1"/>
  </cols>
  <sheetData>
    <row r="1" spans="2:18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8" ht="24.95" customHeight="1" thickBot="1">
      <c r="B2" s="78" t="s">
        <v>74</v>
      </c>
      <c r="C2" s="6"/>
      <c r="D2" s="6"/>
      <c r="E2" s="6"/>
      <c r="F2" s="6"/>
      <c r="G2" s="6"/>
      <c r="H2" s="6"/>
      <c r="I2" s="6"/>
      <c r="J2" s="1"/>
      <c r="K2" s="74" t="s">
        <v>14</v>
      </c>
      <c r="L2" s="6"/>
      <c r="M2" s="6"/>
      <c r="N2" s="6"/>
      <c r="O2" s="3"/>
      <c r="P2" s="3"/>
      <c r="Q2" s="101"/>
      <c r="R2" s="3"/>
    </row>
    <row r="3" spans="2:18" ht="20.100000000000001" customHeight="1" thickBot="1">
      <c r="B3" s="390" t="s">
        <v>8</v>
      </c>
      <c r="C3" s="440"/>
      <c r="D3" s="9" t="s">
        <v>84</v>
      </c>
      <c r="E3" s="10"/>
      <c r="F3" s="10"/>
      <c r="G3" s="10"/>
      <c r="H3" s="10"/>
      <c r="I3" s="10"/>
      <c r="J3" s="7"/>
      <c r="K3" s="53" t="s">
        <v>15</v>
      </c>
      <c r="L3" s="19" t="s">
        <v>16</v>
      </c>
      <c r="M3" s="20" t="s">
        <v>17</v>
      </c>
      <c r="N3" s="36" t="s">
        <v>26</v>
      </c>
      <c r="O3" s="57" t="s">
        <v>27</v>
      </c>
      <c r="P3" s="56" t="s">
        <v>35</v>
      </c>
      <c r="Q3" s="102" t="s">
        <v>36</v>
      </c>
      <c r="R3" s="58" t="s">
        <v>18</v>
      </c>
    </row>
    <row r="4" spans="2:18" ht="20.100000000000001" customHeight="1">
      <c r="B4" s="413" t="s">
        <v>9</v>
      </c>
      <c r="C4" s="419"/>
      <c r="D4" s="441" t="s">
        <v>75</v>
      </c>
      <c r="E4" s="442"/>
      <c r="F4" s="442"/>
      <c r="G4" s="442"/>
      <c r="H4" s="442"/>
      <c r="I4" s="442"/>
      <c r="J4" s="7"/>
      <c r="K4" s="60"/>
      <c r="L4" s="61"/>
      <c r="M4" s="20"/>
      <c r="N4" s="84"/>
      <c r="O4" s="85"/>
      <c r="P4" s="84"/>
      <c r="Q4" s="85"/>
      <c r="R4" s="62"/>
    </row>
    <row r="5" spans="2:18" ht="20.100000000000001" customHeight="1">
      <c r="B5" s="413" t="s">
        <v>10</v>
      </c>
      <c r="C5" s="54" t="s">
        <v>39</v>
      </c>
      <c r="D5" s="447">
        <v>29799.9</v>
      </c>
      <c r="E5" s="448"/>
      <c r="F5" s="430">
        <f>D5*0.3025</f>
        <v>9014.4697500000002</v>
      </c>
      <c r="G5" s="445"/>
      <c r="H5" s="175"/>
      <c r="I5" s="175"/>
      <c r="J5" s="7"/>
      <c r="K5" s="63"/>
      <c r="L5" s="64"/>
      <c r="M5" s="65"/>
      <c r="N5" s="86"/>
      <c r="O5" s="87"/>
      <c r="P5" s="86"/>
      <c r="Q5" s="103"/>
      <c r="R5" s="69"/>
    </row>
    <row r="6" spans="2:18" ht="20.100000000000001" hidden="1" customHeight="1">
      <c r="B6" s="443"/>
      <c r="C6" s="54" t="s">
        <v>65</v>
      </c>
      <c r="D6" s="428">
        <v>0</v>
      </c>
      <c r="E6" s="446"/>
      <c r="F6" s="430">
        <f t="shared" ref="F6:F13" si="0">D6*0.3025</f>
        <v>0</v>
      </c>
      <c r="G6" s="445"/>
      <c r="H6" s="175"/>
      <c r="I6" s="175" t="s">
        <v>69</v>
      </c>
      <c r="J6" s="7"/>
      <c r="K6" s="63"/>
      <c r="L6" s="64"/>
      <c r="M6" s="65"/>
      <c r="N6" s="86"/>
      <c r="O6" s="87"/>
      <c r="P6" s="86"/>
      <c r="Q6" s="103"/>
      <c r="R6" s="69"/>
    </row>
    <row r="7" spans="2:18" ht="20.100000000000001" hidden="1" customHeight="1">
      <c r="B7" s="443"/>
      <c r="C7" s="54" t="s">
        <v>66</v>
      </c>
      <c r="D7" s="428">
        <v>0</v>
      </c>
      <c r="E7" s="446"/>
      <c r="F7" s="430">
        <f t="shared" si="0"/>
        <v>0</v>
      </c>
      <c r="G7" s="445"/>
      <c r="H7" s="175"/>
      <c r="I7" s="175" t="s">
        <v>68</v>
      </c>
      <c r="J7" s="7"/>
      <c r="K7" s="63"/>
      <c r="L7" s="64"/>
      <c r="M7" s="65"/>
      <c r="N7" s="86"/>
      <c r="O7" s="87"/>
      <c r="P7" s="86"/>
      <c r="Q7" s="103"/>
      <c r="R7" s="69"/>
    </row>
    <row r="8" spans="2:18" ht="20.100000000000001" hidden="1" customHeight="1">
      <c r="B8" s="444"/>
      <c r="C8" s="54" t="s">
        <v>64</v>
      </c>
      <c r="D8" s="428">
        <f>N31</f>
        <v>0</v>
      </c>
      <c r="E8" s="446"/>
      <c r="F8" s="430">
        <f t="shared" si="0"/>
        <v>0</v>
      </c>
      <c r="G8" s="445"/>
      <c r="H8" s="175"/>
      <c r="I8" s="175" t="s">
        <v>67</v>
      </c>
      <c r="J8" s="7"/>
      <c r="K8" s="63"/>
      <c r="L8" s="64"/>
      <c r="M8" s="65"/>
      <c r="N8" s="86"/>
      <c r="O8" s="87"/>
      <c r="P8" s="88"/>
      <c r="Q8" s="103"/>
      <c r="R8" s="69"/>
    </row>
    <row r="9" spans="2:18" ht="20.100000000000001" customHeight="1">
      <c r="B9" s="438" t="s">
        <v>7</v>
      </c>
      <c r="C9" s="54" t="s">
        <v>11</v>
      </c>
      <c r="D9" s="428">
        <f>O49</f>
        <v>104631.46999999997</v>
      </c>
      <c r="E9" s="429"/>
      <c r="F9" s="430">
        <f t="shared" si="0"/>
        <v>31651.019674999992</v>
      </c>
      <c r="G9" s="431"/>
      <c r="H9" s="175"/>
      <c r="I9" s="175"/>
      <c r="J9" s="7"/>
      <c r="K9" s="63"/>
      <c r="L9" s="64"/>
      <c r="M9" s="65"/>
      <c r="N9" s="86"/>
      <c r="O9" s="87"/>
      <c r="P9" s="86"/>
      <c r="Q9" s="103"/>
      <c r="R9" s="69"/>
    </row>
    <row r="10" spans="2:18" ht="20.100000000000001" customHeight="1">
      <c r="B10" s="439"/>
      <c r="C10" s="54" t="s">
        <v>12</v>
      </c>
      <c r="D10" s="428">
        <f>O39</f>
        <v>27687.68</v>
      </c>
      <c r="E10" s="429"/>
      <c r="F10" s="430">
        <f t="shared" si="0"/>
        <v>8375.5231999999996</v>
      </c>
      <c r="G10" s="431"/>
      <c r="H10" s="175"/>
      <c r="I10" s="175"/>
      <c r="J10" s="7"/>
      <c r="K10" s="70"/>
      <c r="L10" s="64"/>
      <c r="M10" s="65"/>
      <c r="N10" s="86"/>
      <c r="O10" s="87"/>
      <c r="P10" s="86"/>
      <c r="Q10" s="103"/>
      <c r="R10" s="71"/>
    </row>
    <row r="11" spans="2:18" ht="20.100000000000001" customHeight="1">
      <c r="B11" s="439"/>
      <c r="C11" s="54" t="s">
        <v>13</v>
      </c>
      <c r="D11" s="428">
        <f>SUM(D9:E10)</f>
        <v>132319.14999999997</v>
      </c>
      <c r="E11" s="429"/>
      <c r="F11" s="430">
        <f t="shared" si="0"/>
        <v>40026.542874999985</v>
      </c>
      <c r="G11" s="431"/>
      <c r="H11" s="175"/>
      <c r="I11" s="175"/>
      <c r="J11" s="7"/>
      <c r="K11" s="63"/>
      <c r="L11" s="64"/>
      <c r="M11" s="65"/>
      <c r="N11" s="86"/>
      <c r="O11" s="87"/>
      <c r="P11" s="88"/>
      <c r="Q11" s="103"/>
      <c r="R11" s="69"/>
    </row>
    <row r="12" spans="2:18" ht="20.100000000000001" customHeight="1">
      <c r="B12" s="413" t="s">
        <v>29</v>
      </c>
      <c r="C12" s="419"/>
      <c r="D12" s="428">
        <f>O49-K49-I49</f>
        <v>72536.669999999969</v>
      </c>
      <c r="E12" s="429"/>
      <c r="F12" s="430">
        <f t="shared" si="0"/>
        <v>21942.342674999989</v>
      </c>
      <c r="G12" s="431"/>
      <c r="H12" s="175"/>
      <c r="I12" s="175"/>
      <c r="J12" s="7"/>
      <c r="K12" s="63"/>
      <c r="L12" s="64"/>
      <c r="M12" s="65"/>
      <c r="N12" s="86"/>
      <c r="O12" s="87"/>
      <c r="P12" s="88"/>
      <c r="Q12" s="103"/>
      <c r="R12" s="72"/>
    </row>
    <row r="13" spans="2:18" ht="20.100000000000001" customHeight="1">
      <c r="B13" s="413" t="s">
        <v>28</v>
      </c>
      <c r="C13" s="437"/>
      <c r="D13" s="428">
        <v>20844.23</v>
      </c>
      <c r="E13" s="429"/>
      <c r="F13" s="430">
        <f t="shared" si="0"/>
        <v>6305.3795749999999</v>
      </c>
      <c r="G13" s="431"/>
      <c r="H13" s="436"/>
      <c r="I13" s="436"/>
      <c r="J13" s="7"/>
      <c r="K13" s="63"/>
      <c r="L13" s="64"/>
      <c r="M13" s="65"/>
      <c r="N13" s="86"/>
      <c r="O13" s="87"/>
      <c r="P13" s="86"/>
      <c r="Q13" s="103"/>
      <c r="R13" s="69"/>
    </row>
    <row r="14" spans="2:18" ht="20.100000000000001" customHeight="1">
      <c r="B14" s="413" t="s">
        <v>30</v>
      </c>
      <c r="C14" s="419"/>
      <c r="D14" s="434">
        <f>D13/D5</f>
        <v>0.69947315259447174</v>
      </c>
      <c r="E14" s="435"/>
      <c r="F14" s="422" t="s">
        <v>70</v>
      </c>
      <c r="G14" s="421"/>
      <c r="H14" s="175"/>
      <c r="I14" s="175"/>
      <c r="J14" s="7"/>
      <c r="K14" s="63"/>
      <c r="L14" s="64"/>
      <c r="M14" s="65"/>
      <c r="N14" s="86"/>
      <c r="O14" s="87"/>
      <c r="P14" s="88"/>
      <c r="Q14" s="103"/>
      <c r="R14" s="73"/>
    </row>
    <row r="15" spans="2:18" ht="20.100000000000001" customHeight="1">
      <c r="B15" s="413" t="s">
        <v>31</v>
      </c>
      <c r="C15" s="419"/>
      <c r="D15" s="434">
        <f>D12/D5</f>
        <v>2.4341246111564123</v>
      </c>
      <c r="E15" s="435"/>
      <c r="F15" s="422" t="s">
        <v>76</v>
      </c>
      <c r="G15" s="421"/>
      <c r="H15" s="175"/>
      <c r="I15" s="175"/>
      <c r="J15" s="7"/>
      <c r="K15" s="63"/>
      <c r="L15" s="64"/>
      <c r="M15" s="65"/>
      <c r="N15" s="86"/>
      <c r="O15" s="87"/>
      <c r="P15" s="86"/>
      <c r="Q15" s="103"/>
      <c r="R15" s="76"/>
    </row>
    <row r="16" spans="2:18" ht="20.100000000000001" customHeight="1">
      <c r="B16" s="423" t="s">
        <v>58</v>
      </c>
      <c r="C16" s="424"/>
      <c r="D16" s="428">
        <f>$O$50-$K$50</f>
        <v>105572.56</v>
      </c>
      <c r="E16" s="429"/>
      <c r="F16" s="430">
        <f t="shared" ref="F16" si="1">D16*0.3025</f>
        <v>31935.699399999998</v>
      </c>
      <c r="G16" s="431"/>
      <c r="H16" s="432" t="s">
        <v>61</v>
      </c>
      <c r="I16" s="433"/>
      <c r="J16" s="7"/>
      <c r="K16" s="63"/>
      <c r="L16" s="64"/>
      <c r="M16" s="65"/>
      <c r="N16" s="86"/>
      <c r="O16" s="87"/>
      <c r="P16" s="86"/>
      <c r="Q16" s="103"/>
      <c r="R16" s="69"/>
    </row>
    <row r="17" spans="2:18" ht="20.100000000000001" customHeight="1">
      <c r="B17" s="413" t="s">
        <v>57</v>
      </c>
      <c r="C17" s="419"/>
      <c r="D17" s="434">
        <f>D16/$O$50</f>
        <v>0.79786304552288922</v>
      </c>
      <c r="E17" s="435"/>
      <c r="F17" s="422" t="s">
        <v>38</v>
      </c>
      <c r="G17" s="421"/>
      <c r="H17" s="175"/>
      <c r="I17" s="175"/>
      <c r="J17" s="7"/>
      <c r="K17" s="63"/>
      <c r="L17" s="64"/>
      <c r="M17" s="65"/>
      <c r="N17" s="86"/>
      <c r="O17" s="87"/>
      <c r="P17" s="88"/>
      <c r="Q17" s="103"/>
      <c r="R17" s="69"/>
    </row>
    <row r="18" spans="2:18" ht="20.100000000000001" customHeight="1">
      <c r="B18" s="423" t="s">
        <v>59</v>
      </c>
      <c r="C18" s="424"/>
      <c r="D18" s="428">
        <f>$O$50-$K$50-$I$50</f>
        <v>95587.48</v>
      </c>
      <c r="E18" s="429"/>
      <c r="F18" s="430">
        <f t="shared" ref="F18" si="2">D18*0.3025</f>
        <v>28915.212699999996</v>
      </c>
      <c r="G18" s="431"/>
      <c r="H18" s="432" t="s">
        <v>62</v>
      </c>
      <c r="I18" s="433"/>
      <c r="J18" s="7"/>
      <c r="K18" s="63"/>
      <c r="L18" s="64"/>
      <c r="M18" s="65"/>
      <c r="N18" s="86"/>
      <c r="O18" s="87"/>
      <c r="P18" s="88"/>
      <c r="Q18" s="103"/>
      <c r="R18" s="69"/>
    </row>
    <row r="19" spans="2:18" ht="20.100000000000001" customHeight="1">
      <c r="B19" s="413" t="s">
        <v>60</v>
      </c>
      <c r="C19" s="419"/>
      <c r="D19" s="434">
        <f>D18/$O$50</f>
        <v>0.7224009525454177</v>
      </c>
      <c r="E19" s="435"/>
      <c r="F19" s="422" t="s">
        <v>38</v>
      </c>
      <c r="G19" s="421"/>
      <c r="H19" s="175"/>
      <c r="I19" s="175"/>
      <c r="J19" s="7"/>
      <c r="K19" s="63"/>
      <c r="L19" s="64"/>
      <c r="M19" s="65"/>
      <c r="N19" s="86"/>
      <c r="O19" s="87"/>
      <c r="P19" s="88"/>
      <c r="Q19" s="103"/>
      <c r="R19" s="72"/>
    </row>
    <row r="20" spans="2:18" ht="20.100000000000001" customHeight="1">
      <c r="B20" s="413" t="s">
        <v>32</v>
      </c>
      <c r="C20" s="419"/>
      <c r="D20" s="420" t="s">
        <v>87</v>
      </c>
      <c r="E20" s="421"/>
      <c r="F20" s="422" t="s">
        <v>77</v>
      </c>
      <c r="G20" s="421"/>
      <c r="H20" s="175"/>
      <c r="I20" s="175"/>
      <c r="J20" s="7"/>
      <c r="K20" s="63"/>
      <c r="L20" s="64"/>
      <c r="M20" s="65"/>
      <c r="N20" s="86"/>
      <c r="O20" s="87"/>
      <c r="P20" s="88"/>
      <c r="Q20" s="103"/>
      <c r="R20" s="72"/>
    </row>
    <row r="21" spans="2:18" ht="20.100000000000001" customHeight="1">
      <c r="B21" s="423" t="s">
        <v>23</v>
      </c>
      <c r="C21" s="424"/>
      <c r="D21" s="420">
        <v>8.5000000000000006E-2</v>
      </c>
      <c r="E21" s="425"/>
      <c r="F21" s="426" t="s">
        <v>34</v>
      </c>
      <c r="G21" s="427"/>
      <c r="H21" s="411"/>
      <c r="I21" s="412"/>
      <c r="J21" s="7"/>
      <c r="K21" s="63"/>
      <c r="L21" s="64"/>
      <c r="M21" s="65"/>
      <c r="N21" s="86"/>
      <c r="O21" s="87"/>
      <c r="P21" s="88"/>
      <c r="Q21" s="103"/>
      <c r="R21" s="72"/>
    </row>
    <row r="22" spans="2:18" ht="20.100000000000001" customHeight="1">
      <c r="B22" s="413" t="s">
        <v>63</v>
      </c>
      <c r="C22" s="455"/>
      <c r="D22" s="449">
        <f>(O50-I50-K50)</f>
        <v>95587.48</v>
      </c>
      <c r="E22" s="450"/>
      <c r="F22" s="460" t="s">
        <v>103</v>
      </c>
      <c r="G22" s="477" t="s">
        <v>112</v>
      </c>
      <c r="H22" s="478"/>
      <c r="I22" s="157">
        <f>Q50</f>
        <v>320</v>
      </c>
      <c r="J22" s="7"/>
      <c r="K22" s="63"/>
      <c r="L22" s="64"/>
      <c r="M22" s="65"/>
      <c r="N22" s="66"/>
      <c r="O22" s="67"/>
      <c r="P22" s="68"/>
      <c r="Q22" s="104"/>
      <c r="R22" s="72"/>
    </row>
    <row r="23" spans="2:18" ht="20.100000000000001" customHeight="1">
      <c r="B23" s="456"/>
      <c r="C23" s="457"/>
      <c r="D23" s="451">
        <f>D22/400</f>
        <v>238.96869999999998</v>
      </c>
      <c r="E23" s="452"/>
      <c r="F23" s="461"/>
      <c r="G23" s="477" t="s">
        <v>106</v>
      </c>
      <c r="H23" s="478"/>
      <c r="I23" s="157">
        <f>R50</f>
        <v>228</v>
      </c>
      <c r="J23" s="7"/>
      <c r="K23" s="63"/>
      <c r="L23" s="64"/>
      <c r="M23" s="65"/>
      <c r="N23" s="66"/>
      <c r="O23" s="67"/>
      <c r="P23" s="68"/>
      <c r="Q23" s="104"/>
      <c r="R23" s="72"/>
    </row>
    <row r="24" spans="2:18" ht="20.100000000000001" customHeight="1">
      <c r="B24" s="458"/>
      <c r="C24" s="459"/>
      <c r="D24" s="475"/>
      <c r="E24" s="476"/>
      <c r="F24" s="462"/>
      <c r="G24" s="479" t="s">
        <v>104</v>
      </c>
      <c r="H24" s="480"/>
      <c r="I24" s="164">
        <f>I22+I23</f>
        <v>548</v>
      </c>
      <c r="J24" s="7"/>
      <c r="K24" s="63"/>
      <c r="L24" s="64"/>
      <c r="M24" s="65"/>
      <c r="N24" s="66"/>
      <c r="O24" s="67"/>
      <c r="P24" s="68"/>
      <c r="Q24" s="104"/>
      <c r="R24" s="72"/>
    </row>
    <row r="25" spans="2:18" ht="20.100000000000001" hidden="1" customHeight="1">
      <c r="B25" s="463"/>
      <c r="C25" s="464"/>
      <c r="D25" s="177"/>
      <c r="E25" s="167"/>
      <c r="F25" s="167"/>
      <c r="G25" s="167"/>
      <c r="H25" s="167"/>
      <c r="I25" s="167"/>
      <c r="J25" s="7"/>
      <c r="K25" s="63"/>
      <c r="L25" s="64"/>
      <c r="M25" s="65"/>
      <c r="N25" s="66"/>
      <c r="O25" s="67"/>
      <c r="P25" s="68"/>
      <c r="Q25" s="104"/>
      <c r="R25" s="72"/>
    </row>
    <row r="26" spans="2:18" ht="20.100000000000001" hidden="1" customHeight="1">
      <c r="B26" s="165"/>
      <c r="C26" s="166"/>
      <c r="D26" s="155"/>
      <c r="E26" s="156"/>
      <c r="F26" s="156"/>
      <c r="G26" s="156"/>
      <c r="H26" s="156"/>
      <c r="I26" s="156"/>
      <c r="J26" s="7"/>
      <c r="K26" s="63"/>
      <c r="L26" s="64"/>
      <c r="M26" s="65"/>
      <c r="N26" s="66"/>
      <c r="O26" s="67"/>
      <c r="P26" s="68"/>
      <c r="Q26" s="104"/>
      <c r="R26" s="72"/>
    </row>
    <row r="27" spans="2:18" ht="20.100000000000001" hidden="1" customHeight="1">
      <c r="B27" s="165"/>
      <c r="C27" s="166"/>
      <c r="D27" s="155"/>
      <c r="E27" s="156"/>
      <c r="F27" s="156"/>
      <c r="G27" s="156"/>
      <c r="H27" s="156"/>
      <c r="I27" s="156"/>
      <c r="J27" s="7"/>
      <c r="K27" s="63"/>
      <c r="L27" s="64"/>
      <c r="M27" s="65"/>
      <c r="N27" s="66"/>
      <c r="O27" s="67"/>
      <c r="P27" s="68"/>
      <c r="Q27" s="104"/>
      <c r="R27" s="72"/>
    </row>
    <row r="28" spans="2:18" ht="20.100000000000001" hidden="1" customHeight="1">
      <c r="B28" s="165"/>
      <c r="C28" s="166"/>
      <c r="D28" s="155"/>
      <c r="E28" s="156"/>
      <c r="F28" s="156"/>
      <c r="G28" s="156"/>
      <c r="H28" s="156"/>
      <c r="I28" s="156"/>
      <c r="J28" s="7"/>
      <c r="K28" s="63"/>
      <c r="L28" s="64"/>
      <c r="M28" s="65"/>
      <c r="N28" s="66"/>
      <c r="O28" s="67"/>
      <c r="P28" s="68"/>
      <c r="Q28" s="104"/>
      <c r="R28" s="72"/>
    </row>
    <row r="29" spans="2:18" ht="20.100000000000001" hidden="1" customHeight="1">
      <c r="B29" s="165"/>
      <c r="C29" s="166"/>
      <c r="D29" s="155"/>
      <c r="E29" s="156"/>
      <c r="F29" s="156"/>
      <c r="G29" s="156"/>
      <c r="H29" s="156"/>
      <c r="I29" s="156"/>
      <c r="J29" s="7"/>
      <c r="K29" s="63"/>
      <c r="L29" s="64"/>
      <c r="M29" s="65"/>
      <c r="N29" s="66"/>
      <c r="O29" s="67"/>
      <c r="P29" s="68"/>
      <c r="Q29" s="104"/>
      <c r="R29" s="72"/>
    </row>
    <row r="30" spans="2:18" ht="20.100000000000001" customHeight="1" thickBot="1">
      <c r="B30" s="468" t="s">
        <v>107</v>
      </c>
      <c r="C30" s="469"/>
      <c r="D30" s="472" t="s">
        <v>108</v>
      </c>
      <c r="E30" s="473"/>
      <c r="F30" s="473"/>
      <c r="G30" s="474">
        <f>D5*0.1</f>
        <v>2979.9900000000002</v>
      </c>
      <c r="H30" s="474"/>
      <c r="I30" s="474"/>
      <c r="J30" s="7"/>
      <c r="K30" s="63"/>
      <c r="L30" s="64"/>
      <c r="M30" s="65"/>
      <c r="N30" s="66"/>
      <c r="O30" s="67"/>
      <c r="P30" s="68"/>
      <c r="Q30" s="104"/>
      <c r="R30" s="72"/>
    </row>
    <row r="31" spans="2:18" ht="20.100000000000001" customHeight="1" thickBot="1">
      <c r="B31" s="470"/>
      <c r="C31" s="471"/>
      <c r="D31" s="465" t="s">
        <v>109</v>
      </c>
      <c r="E31" s="466"/>
      <c r="F31" s="466"/>
      <c r="G31" s="168">
        <v>3283.0675999999999</v>
      </c>
      <c r="H31" s="467">
        <f>G31/D5</f>
        <v>0.1101704233906825</v>
      </c>
      <c r="I31" s="467"/>
      <c r="J31" s="7"/>
      <c r="K31" s="403" t="s">
        <v>19</v>
      </c>
      <c r="L31" s="404"/>
      <c r="M31" s="405"/>
      <c r="N31" s="89">
        <f>SUM(N4:N30)</f>
        <v>0</v>
      </c>
      <c r="O31" s="90">
        <f>N31*0.3025</f>
        <v>0</v>
      </c>
      <c r="P31" s="91">
        <f>SUM(P4:P30)</f>
        <v>0</v>
      </c>
      <c r="Q31" s="92">
        <f>P31*0.3025</f>
        <v>0</v>
      </c>
      <c r="R31" s="59"/>
    </row>
    <row r="32" spans="2:18" ht="6" customHeight="1" thickTop="1">
      <c r="B32" s="5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2:21" ht="24.95" customHeight="1" thickBot="1">
      <c r="B33" s="75" t="s">
        <v>22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101"/>
      <c r="R33" s="3"/>
    </row>
    <row r="34" spans="2:21" ht="24.95" customHeight="1">
      <c r="B34" s="407" t="s">
        <v>40</v>
      </c>
      <c r="C34" s="390" t="s">
        <v>55</v>
      </c>
      <c r="D34" s="409"/>
      <c r="E34" s="410" t="s">
        <v>56</v>
      </c>
      <c r="F34" s="409"/>
      <c r="G34" s="410" t="s">
        <v>88</v>
      </c>
      <c r="H34" s="409"/>
      <c r="I34" s="388" t="s">
        <v>54</v>
      </c>
      <c r="J34" s="406"/>
      <c r="K34" s="388" t="s">
        <v>33</v>
      </c>
      <c r="L34" s="406"/>
      <c r="M34" s="388" t="s">
        <v>50</v>
      </c>
      <c r="N34" s="389"/>
      <c r="O34" s="454" t="s">
        <v>117</v>
      </c>
      <c r="P34" s="440"/>
      <c r="Q34" s="390" t="s">
        <v>49</v>
      </c>
      <c r="R34" s="391"/>
      <c r="T34" s="50" t="s">
        <v>49</v>
      </c>
    </row>
    <row r="35" spans="2:21" ht="35.25" customHeight="1" thickBot="1">
      <c r="B35" s="408"/>
      <c r="C35" s="21" t="s">
        <v>4</v>
      </c>
      <c r="D35" s="22" t="s">
        <v>5</v>
      </c>
      <c r="E35" s="23" t="s">
        <v>4</v>
      </c>
      <c r="F35" s="22" t="s">
        <v>5</v>
      </c>
      <c r="G35" s="23" t="s">
        <v>4</v>
      </c>
      <c r="H35" s="22" t="s">
        <v>5</v>
      </c>
      <c r="I35" s="22" t="s">
        <v>4</v>
      </c>
      <c r="J35" s="22" t="s">
        <v>5</v>
      </c>
      <c r="K35" s="22" t="s">
        <v>4</v>
      </c>
      <c r="L35" s="22" t="s">
        <v>5</v>
      </c>
      <c r="M35" s="22" t="s">
        <v>4</v>
      </c>
      <c r="N35" s="24" t="s">
        <v>5</v>
      </c>
      <c r="O35" s="141" t="s">
        <v>4</v>
      </c>
      <c r="P35" s="24" t="s">
        <v>5</v>
      </c>
      <c r="Q35" s="182" t="s">
        <v>111</v>
      </c>
      <c r="R35" s="142" t="s">
        <v>98</v>
      </c>
      <c r="T35" s="50" t="s">
        <v>51</v>
      </c>
      <c r="U35" s="50" t="s">
        <v>52</v>
      </c>
    </row>
    <row r="36" spans="2:21" ht="20.100000000000001" hidden="1" customHeight="1">
      <c r="B36" s="180" t="s">
        <v>42</v>
      </c>
      <c r="C36" s="117">
        <v>0</v>
      </c>
      <c r="D36" s="113">
        <f>C36*0.3025</f>
        <v>0</v>
      </c>
      <c r="E36" s="114">
        <v>0</v>
      </c>
      <c r="F36" s="113">
        <f>E36*0.3025</f>
        <v>0</v>
      </c>
      <c r="G36" s="114">
        <v>0</v>
      </c>
      <c r="H36" s="113">
        <f>G36*0.3025</f>
        <v>0</v>
      </c>
      <c r="I36" s="115">
        <v>0</v>
      </c>
      <c r="J36" s="115">
        <f>I36*0.3025</f>
        <v>0</v>
      </c>
      <c r="K36" s="115">
        <v>0</v>
      </c>
      <c r="L36" s="113">
        <f>K36*0.3025</f>
        <v>0</v>
      </c>
      <c r="M36" s="115">
        <v>0</v>
      </c>
      <c r="N36" s="77">
        <f>M36*0.3025</f>
        <v>0</v>
      </c>
      <c r="O36" s="13">
        <f>C36+E36+G36+I36+K36+M36</f>
        <v>0</v>
      </c>
      <c r="P36" s="14">
        <f t="shared" ref="P36:P50" si="3">O36*0.3025</f>
        <v>0</v>
      </c>
      <c r="Q36" s="112"/>
      <c r="R36" s="143"/>
    </row>
    <row r="37" spans="2:21" ht="24.95" customHeight="1">
      <c r="B37" s="139" t="s">
        <v>95</v>
      </c>
      <c r="C37" s="97">
        <v>0</v>
      </c>
      <c r="D37" s="96">
        <f>C37*0.3025</f>
        <v>0</v>
      </c>
      <c r="E37" s="15">
        <f>15290.17-18</f>
        <v>15272.17</v>
      </c>
      <c r="F37" s="16">
        <f t="shared" ref="F37:F38" si="4">E37*0.3025</f>
        <v>4619.8314250000003</v>
      </c>
      <c r="G37" s="15">
        <f>234.66+492.48-18</f>
        <v>709.14</v>
      </c>
      <c r="H37" s="16">
        <f t="shared" ref="H37:H38" si="5">G37*0.3025</f>
        <v>214.51485</v>
      </c>
      <c r="I37" s="16">
        <v>1719.38</v>
      </c>
      <c r="J37" s="16">
        <f t="shared" ref="J37:J38" si="6">I37*0.3025</f>
        <v>520.11244999999997</v>
      </c>
      <c r="K37" s="16">
        <v>2917.49</v>
      </c>
      <c r="L37" s="16">
        <f t="shared" ref="L37:L38" si="7">K37*0.3025</f>
        <v>882.54072499999995</v>
      </c>
      <c r="M37" s="16">
        <v>1584.36</v>
      </c>
      <c r="N37" s="118">
        <f>M37*0.3025</f>
        <v>479.26889999999997</v>
      </c>
      <c r="O37" s="13">
        <f>C37+E37+G37+I37+K37+M37</f>
        <v>22202.54</v>
      </c>
      <c r="P37" s="14">
        <f t="shared" si="3"/>
        <v>6716.2683500000003</v>
      </c>
      <c r="Q37" s="144">
        <v>1</v>
      </c>
      <c r="R37" s="145">
        <v>39</v>
      </c>
    </row>
    <row r="38" spans="2:21" ht="24.95" customHeight="1" thickBot="1">
      <c r="B38" s="179" t="s">
        <v>94</v>
      </c>
      <c r="C38" s="119">
        <v>0</v>
      </c>
      <c r="D38" s="120">
        <f>C38*0.3025</f>
        <v>0</v>
      </c>
      <c r="E38" s="121">
        <v>0</v>
      </c>
      <c r="F38" s="122">
        <f t="shared" si="4"/>
        <v>0</v>
      </c>
      <c r="G38" s="121">
        <f>4195.57+1319.57-30</f>
        <v>5485.1399999999994</v>
      </c>
      <c r="H38" s="122">
        <f t="shared" si="5"/>
        <v>1659.2548499999998</v>
      </c>
      <c r="I38" s="122">
        <v>0</v>
      </c>
      <c r="J38" s="122">
        <f t="shared" si="6"/>
        <v>0</v>
      </c>
      <c r="K38" s="122">
        <v>0</v>
      </c>
      <c r="L38" s="122">
        <f t="shared" si="7"/>
        <v>0</v>
      </c>
      <c r="M38" s="122">
        <v>0</v>
      </c>
      <c r="N38" s="123">
        <f>M38*0.3025</f>
        <v>0</v>
      </c>
      <c r="O38" s="40">
        <f>C38+E38+G38+I38+K38+M38</f>
        <v>5485.1399999999994</v>
      </c>
      <c r="P38" s="41">
        <f t="shared" si="3"/>
        <v>1659.2548499999998</v>
      </c>
      <c r="Q38" s="146" t="s">
        <v>99</v>
      </c>
      <c r="R38" s="147" t="s">
        <v>99</v>
      </c>
      <c r="T38" s="50">
        <v>25</v>
      </c>
      <c r="U38" s="50">
        <v>57</v>
      </c>
    </row>
    <row r="39" spans="2:21" ht="24.95" customHeight="1" thickBot="1">
      <c r="B39" s="27" t="s">
        <v>24</v>
      </c>
      <c r="C39" s="42">
        <f>SUM(C36:C38)</f>
        <v>0</v>
      </c>
      <c r="D39" s="29">
        <f>C39*0.3025</f>
        <v>0</v>
      </c>
      <c r="E39" s="43">
        <f>SUM(E36:E38)</f>
        <v>15272.17</v>
      </c>
      <c r="F39" s="30">
        <f>E39*0.3025</f>
        <v>4619.8314250000003</v>
      </c>
      <c r="G39" s="43">
        <f>SUM(G36:G38)</f>
        <v>6194.28</v>
      </c>
      <c r="H39" s="30">
        <f>G39*0.3025</f>
        <v>1873.7696999999998</v>
      </c>
      <c r="I39" s="30">
        <f>SUM(I36:I38)</f>
        <v>1719.38</v>
      </c>
      <c r="J39" s="30">
        <f>I39*0.3025</f>
        <v>520.11244999999997</v>
      </c>
      <c r="K39" s="30">
        <f>SUM(K36:K38)</f>
        <v>2917.49</v>
      </c>
      <c r="L39" s="30">
        <f>K39*0.3025</f>
        <v>882.54072499999995</v>
      </c>
      <c r="M39" s="30">
        <f>SUM(M36:M38)</f>
        <v>1584.36</v>
      </c>
      <c r="N39" s="31">
        <f>M39*0.3025</f>
        <v>479.26889999999997</v>
      </c>
      <c r="O39" s="28">
        <f>SUM(O36:O38)</f>
        <v>27687.68</v>
      </c>
      <c r="P39" s="32">
        <f t="shared" si="3"/>
        <v>8375.5231999999996</v>
      </c>
      <c r="Q39" s="148">
        <f>SUM(Q37:Q38)</f>
        <v>1</v>
      </c>
      <c r="R39" s="149">
        <f>SUM(R37:R38)</f>
        <v>39</v>
      </c>
    </row>
    <row r="40" spans="2:21" ht="24.95" customHeight="1">
      <c r="B40" s="180" t="s">
        <v>89</v>
      </c>
      <c r="C40" s="112">
        <v>0</v>
      </c>
      <c r="D40" s="113">
        <f t="shared" ref="D40:D50" si="8">C40*0.3025</f>
        <v>0</v>
      </c>
      <c r="E40" s="114">
        <f>13452.21-18</f>
        <v>13434.21</v>
      </c>
      <c r="F40" s="115">
        <f t="shared" ref="F40:F48" si="9">E40*0.3025</f>
        <v>4063.8485249999994</v>
      </c>
      <c r="G40" s="114">
        <f>357.09+825.93-18</f>
        <v>1165.02</v>
      </c>
      <c r="H40" s="115">
        <f t="shared" ref="H40:H48" si="10">G40*0.3025</f>
        <v>352.41854999999998</v>
      </c>
      <c r="I40" s="115">
        <v>1653.14</v>
      </c>
      <c r="J40" s="115">
        <f t="shared" ref="J40:J50" si="11">I40*0.3025</f>
        <v>500.07485000000003</v>
      </c>
      <c r="K40" s="115">
        <v>4765.82</v>
      </c>
      <c r="L40" s="115">
        <f t="shared" ref="L40:L50" si="12">K40*0.3025</f>
        <v>1441.6605499999998</v>
      </c>
      <c r="M40" s="38">
        <v>0</v>
      </c>
      <c r="N40" s="39">
        <f t="shared" ref="N40:N50" si="13">M40*0.3025</f>
        <v>0</v>
      </c>
      <c r="O40" s="13">
        <f>C40+E40+G40+I40+K40+M40</f>
        <v>21018.19</v>
      </c>
      <c r="P40" s="14">
        <f t="shared" si="3"/>
        <v>6358.0024749999993</v>
      </c>
      <c r="Q40" s="150">
        <v>26</v>
      </c>
      <c r="R40" s="151">
        <v>37</v>
      </c>
      <c r="T40" s="50">
        <v>25</v>
      </c>
      <c r="U40" s="50">
        <v>57</v>
      </c>
    </row>
    <row r="41" spans="2:21" ht="24.95" customHeight="1">
      <c r="B41" s="34" t="s">
        <v>90</v>
      </c>
      <c r="C41" s="116">
        <v>0</v>
      </c>
      <c r="D41" s="96">
        <f t="shared" si="8"/>
        <v>0</v>
      </c>
      <c r="E41" s="15">
        <f>13452.21-18</f>
        <v>13434.21</v>
      </c>
      <c r="F41" s="16">
        <f t="shared" si="9"/>
        <v>4063.8485249999994</v>
      </c>
      <c r="G41" s="15">
        <f>242.22+825.93-18</f>
        <v>1050.1499999999999</v>
      </c>
      <c r="H41" s="16">
        <f t="shared" si="10"/>
        <v>317.67037499999992</v>
      </c>
      <c r="I41" s="16">
        <v>1653.14</v>
      </c>
      <c r="J41" s="16">
        <f t="shared" si="11"/>
        <v>500.07485000000003</v>
      </c>
      <c r="K41" s="16">
        <v>4765.82</v>
      </c>
      <c r="L41" s="16">
        <f t="shared" si="12"/>
        <v>1441.6605499999998</v>
      </c>
      <c r="M41" s="16">
        <v>0</v>
      </c>
      <c r="N41" s="17">
        <f t="shared" si="13"/>
        <v>0</v>
      </c>
      <c r="O41" s="13">
        <f>C41+E41+G41+I41+K41+M41</f>
        <v>20903.32</v>
      </c>
      <c r="P41" s="18">
        <f t="shared" si="3"/>
        <v>6323.2542999999996</v>
      </c>
      <c r="Q41" s="144" t="s">
        <v>99</v>
      </c>
      <c r="R41" s="145">
        <v>38</v>
      </c>
      <c r="T41" s="50">
        <v>6</v>
      </c>
      <c r="U41" s="50">
        <f>U40</f>
        <v>57</v>
      </c>
    </row>
    <row r="42" spans="2:21" ht="24.95" customHeight="1">
      <c r="B42" s="140" t="s">
        <v>91</v>
      </c>
      <c r="C42" s="116">
        <f>13452.21-18</f>
        <v>13434.21</v>
      </c>
      <c r="D42" s="96">
        <f t="shared" si="8"/>
        <v>4063.8485249999994</v>
      </c>
      <c r="E42" s="15">
        <v>0</v>
      </c>
      <c r="F42" s="16">
        <f t="shared" si="9"/>
        <v>0</v>
      </c>
      <c r="G42" s="15">
        <f>242.22+825.93-18</f>
        <v>1050.1499999999999</v>
      </c>
      <c r="H42" s="16">
        <f t="shared" si="10"/>
        <v>317.67037499999992</v>
      </c>
      <c r="I42" s="16">
        <v>1653.14</v>
      </c>
      <c r="J42" s="16">
        <f t="shared" si="11"/>
        <v>500.07485000000003</v>
      </c>
      <c r="K42" s="16">
        <v>4765.82</v>
      </c>
      <c r="L42" s="16">
        <f t="shared" si="12"/>
        <v>1441.6605499999998</v>
      </c>
      <c r="M42" s="16">
        <v>0</v>
      </c>
      <c r="N42" s="17">
        <f t="shared" si="13"/>
        <v>0</v>
      </c>
      <c r="O42" s="13">
        <f t="shared" ref="O42:O48" si="14">C42+E42+G42+I42+K42+M42</f>
        <v>20903.32</v>
      </c>
      <c r="P42" s="18">
        <f t="shared" si="3"/>
        <v>6323.2542999999996</v>
      </c>
      <c r="Q42" s="144" t="s">
        <v>99</v>
      </c>
      <c r="R42" s="145">
        <v>38</v>
      </c>
      <c r="T42" s="50">
        <f t="shared" ref="T42:U46" si="15">T41</f>
        <v>6</v>
      </c>
      <c r="U42" s="50">
        <f t="shared" si="15"/>
        <v>57</v>
      </c>
    </row>
    <row r="43" spans="2:21" ht="24.95" customHeight="1">
      <c r="B43" s="140" t="s">
        <v>92</v>
      </c>
      <c r="C43" s="116">
        <f>13452.21-18</f>
        <v>13434.21</v>
      </c>
      <c r="D43" s="96">
        <f t="shared" si="8"/>
        <v>4063.8485249999994</v>
      </c>
      <c r="E43" s="15">
        <v>0</v>
      </c>
      <c r="F43" s="16">
        <f t="shared" si="9"/>
        <v>0</v>
      </c>
      <c r="G43" s="15">
        <f>242.22+825.93-18</f>
        <v>1050.1499999999999</v>
      </c>
      <c r="H43" s="16">
        <f t="shared" si="10"/>
        <v>317.67037499999992</v>
      </c>
      <c r="I43" s="16">
        <v>1653.14</v>
      </c>
      <c r="J43" s="16">
        <f t="shared" si="11"/>
        <v>500.07485000000003</v>
      </c>
      <c r="K43" s="16">
        <v>4765.82</v>
      </c>
      <c r="L43" s="16">
        <f t="shared" si="12"/>
        <v>1441.6605499999998</v>
      </c>
      <c r="M43" s="16">
        <v>0</v>
      </c>
      <c r="N43" s="17">
        <f t="shared" si="13"/>
        <v>0</v>
      </c>
      <c r="O43" s="13">
        <f t="shared" si="14"/>
        <v>20903.32</v>
      </c>
      <c r="P43" s="18">
        <f t="shared" si="3"/>
        <v>6323.2542999999996</v>
      </c>
      <c r="Q43" s="144" t="s">
        <v>99</v>
      </c>
      <c r="R43" s="145">
        <v>38</v>
      </c>
      <c r="T43" s="50">
        <f t="shared" si="15"/>
        <v>6</v>
      </c>
      <c r="U43" s="50">
        <f t="shared" si="15"/>
        <v>57</v>
      </c>
    </row>
    <row r="44" spans="2:21" ht="24.95" customHeight="1">
      <c r="B44" s="140" t="s">
        <v>93</v>
      </c>
      <c r="C44" s="116">
        <f>13452.21-18</f>
        <v>13434.21</v>
      </c>
      <c r="D44" s="96">
        <f t="shared" si="8"/>
        <v>4063.8485249999994</v>
      </c>
      <c r="E44" s="15">
        <v>0</v>
      </c>
      <c r="F44" s="16">
        <f t="shared" si="9"/>
        <v>0</v>
      </c>
      <c r="G44" s="15">
        <f>242.22+825.93-18</f>
        <v>1050.1499999999999</v>
      </c>
      <c r="H44" s="16">
        <f t="shared" si="10"/>
        <v>317.67037499999992</v>
      </c>
      <c r="I44" s="16">
        <v>1653.14</v>
      </c>
      <c r="J44" s="16">
        <f t="shared" si="11"/>
        <v>500.07485000000003</v>
      </c>
      <c r="K44" s="16">
        <v>4765.82</v>
      </c>
      <c r="L44" s="16">
        <f t="shared" si="12"/>
        <v>1441.6605499999998</v>
      </c>
      <c r="M44" s="16">
        <v>0</v>
      </c>
      <c r="N44" s="17">
        <f t="shared" si="13"/>
        <v>0</v>
      </c>
      <c r="O44" s="13">
        <f t="shared" si="14"/>
        <v>20903.32</v>
      </c>
      <c r="P44" s="18">
        <f t="shared" si="3"/>
        <v>6323.2542999999996</v>
      </c>
      <c r="Q44" s="144" t="s">
        <v>99</v>
      </c>
      <c r="R44" s="145">
        <v>38</v>
      </c>
      <c r="T44" s="50">
        <f t="shared" si="15"/>
        <v>6</v>
      </c>
      <c r="U44" s="50">
        <f t="shared" si="15"/>
        <v>57</v>
      </c>
    </row>
    <row r="45" spans="2:21" ht="24.95" customHeight="1" thickBot="1">
      <c r="B45" s="178" t="s">
        <v>96</v>
      </c>
      <c r="C45" s="97">
        <v>0</v>
      </c>
      <c r="D45" s="96">
        <f t="shared" si="8"/>
        <v>0</v>
      </c>
      <c r="E45" s="15">
        <v>0</v>
      </c>
      <c r="F45" s="16">
        <f t="shared" si="9"/>
        <v>0</v>
      </c>
      <c r="G45" s="15">
        <v>0</v>
      </c>
      <c r="H45" s="16">
        <f t="shared" si="10"/>
        <v>0</v>
      </c>
      <c r="I45" s="16">
        <v>0</v>
      </c>
      <c r="J45" s="16">
        <f t="shared" si="11"/>
        <v>0</v>
      </c>
      <c r="K45" s="16">
        <v>0</v>
      </c>
      <c r="L45" s="16">
        <f t="shared" si="12"/>
        <v>0</v>
      </c>
      <c r="M45" s="16">
        <v>0</v>
      </c>
      <c r="N45" s="17">
        <f t="shared" si="13"/>
        <v>0</v>
      </c>
      <c r="O45" s="13">
        <f t="shared" si="14"/>
        <v>0</v>
      </c>
      <c r="P45" s="18">
        <f t="shared" si="3"/>
        <v>0</v>
      </c>
      <c r="Q45" s="144">
        <v>293</v>
      </c>
      <c r="R45" s="145" t="s">
        <v>99</v>
      </c>
      <c r="T45" s="50">
        <f t="shared" si="15"/>
        <v>6</v>
      </c>
      <c r="U45" s="50">
        <f t="shared" si="15"/>
        <v>57</v>
      </c>
    </row>
    <row r="46" spans="2:21" ht="20.100000000000001" hidden="1" customHeight="1">
      <c r="B46" s="178" t="s">
        <v>46</v>
      </c>
      <c r="C46" s="97">
        <v>0</v>
      </c>
      <c r="D46" s="96">
        <f t="shared" si="8"/>
        <v>0</v>
      </c>
      <c r="E46" s="15">
        <v>0</v>
      </c>
      <c r="F46" s="16">
        <f t="shared" si="9"/>
        <v>0</v>
      </c>
      <c r="G46" s="15">
        <v>0</v>
      </c>
      <c r="H46" s="16">
        <f t="shared" si="10"/>
        <v>0</v>
      </c>
      <c r="I46" s="16">
        <v>0</v>
      </c>
      <c r="J46" s="16">
        <f t="shared" si="11"/>
        <v>0</v>
      </c>
      <c r="K46" s="16">
        <v>0</v>
      </c>
      <c r="L46" s="16">
        <f t="shared" si="12"/>
        <v>0</v>
      </c>
      <c r="M46" s="16">
        <v>0</v>
      </c>
      <c r="N46" s="17">
        <f t="shared" si="13"/>
        <v>0</v>
      </c>
      <c r="O46" s="13">
        <f t="shared" si="14"/>
        <v>0</v>
      </c>
      <c r="P46" s="18">
        <f t="shared" si="3"/>
        <v>0</v>
      </c>
      <c r="Q46" s="144"/>
      <c r="R46" s="145"/>
      <c r="T46" s="50">
        <f t="shared" si="15"/>
        <v>6</v>
      </c>
      <c r="U46" s="50">
        <f t="shared" si="15"/>
        <v>57</v>
      </c>
    </row>
    <row r="47" spans="2:21" ht="20.100000000000001" hidden="1" customHeight="1">
      <c r="B47" s="178" t="s">
        <v>47</v>
      </c>
      <c r="C47" s="15">
        <v>0</v>
      </c>
      <c r="D47" s="11">
        <f t="shared" si="8"/>
        <v>0</v>
      </c>
      <c r="E47" s="12">
        <v>0</v>
      </c>
      <c r="F47" s="12">
        <f t="shared" si="9"/>
        <v>0</v>
      </c>
      <c r="G47" s="15">
        <v>0</v>
      </c>
      <c r="H47" s="16">
        <f t="shared" si="10"/>
        <v>0</v>
      </c>
      <c r="I47" s="16">
        <v>0</v>
      </c>
      <c r="J47" s="16">
        <f t="shared" si="11"/>
        <v>0</v>
      </c>
      <c r="K47" s="16">
        <v>0</v>
      </c>
      <c r="L47" s="16">
        <f t="shared" si="12"/>
        <v>0</v>
      </c>
      <c r="M47" s="16">
        <v>0</v>
      </c>
      <c r="N47" s="17">
        <f t="shared" si="13"/>
        <v>0</v>
      </c>
      <c r="O47" s="13">
        <f t="shared" si="14"/>
        <v>0</v>
      </c>
      <c r="P47" s="18">
        <f t="shared" si="3"/>
        <v>0</v>
      </c>
      <c r="Q47" s="144"/>
      <c r="R47" s="145"/>
      <c r="T47" s="50">
        <v>378</v>
      </c>
      <c r="U47" s="50"/>
    </row>
    <row r="48" spans="2:21" ht="20.100000000000001" hidden="1" customHeight="1" thickBot="1">
      <c r="B48" s="178" t="s">
        <v>71</v>
      </c>
      <c r="C48" s="15">
        <v>0</v>
      </c>
      <c r="D48" s="11">
        <f t="shared" si="8"/>
        <v>0</v>
      </c>
      <c r="E48" s="12">
        <v>0</v>
      </c>
      <c r="F48" s="12">
        <f t="shared" si="9"/>
        <v>0</v>
      </c>
      <c r="G48" s="15">
        <v>0</v>
      </c>
      <c r="H48" s="16">
        <f t="shared" si="10"/>
        <v>0</v>
      </c>
      <c r="I48" s="16">
        <v>0</v>
      </c>
      <c r="J48" s="16">
        <f t="shared" si="11"/>
        <v>0</v>
      </c>
      <c r="K48" s="16">
        <v>0</v>
      </c>
      <c r="L48" s="16">
        <f t="shared" si="12"/>
        <v>0</v>
      </c>
      <c r="M48" s="16">
        <v>0</v>
      </c>
      <c r="N48" s="17">
        <f t="shared" si="13"/>
        <v>0</v>
      </c>
      <c r="O48" s="13">
        <f t="shared" si="14"/>
        <v>0</v>
      </c>
      <c r="P48" s="18">
        <f t="shared" si="3"/>
        <v>0</v>
      </c>
      <c r="Q48" s="144"/>
      <c r="R48" s="152"/>
      <c r="T48" s="50">
        <f>SUM(T38:T47)</f>
        <v>464</v>
      </c>
      <c r="U48" s="50">
        <f>SUM(U38:U47)</f>
        <v>456</v>
      </c>
    </row>
    <row r="49" spans="2:21" ht="24.95" customHeight="1" thickBot="1">
      <c r="B49" s="27" t="s">
        <v>25</v>
      </c>
      <c r="C49" s="42">
        <f>SUM(C40:C48)</f>
        <v>40302.629999999997</v>
      </c>
      <c r="D49" s="29">
        <f>C49*0.3025</f>
        <v>12191.545574999998</v>
      </c>
      <c r="E49" s="43">
        <f>SUM(E40:E48)</f>
        <v>26868.42</v>
      </c>
      <c r="F49" s="30">
        <f>E49*0.3025</f>
        <v>8127.6970499999989</v>
      </c>
      <c r="G49" s="43">
        <f>SUM(G40:G48)</f>
        <v>5365.619999999999</v>
      </c>
      <c r="H49" s="30">
        <f>G49*0.3025</f>
        <v>1623.1000499999996</v>
      </c>
      <c r="I49" s="30">
        <f>SUM(I40:I48)</f>
        <v>8265.7000000000007</v>
      </c>
      <c r="J49" s="30">
        <f>I49*0.3025</f>
        <v>2500.3742500000003</v>
      </c>
      <c r="K49" s="30">
        <f>SUM(K40:K48)</f>
        <v>23829.1</v>
      </c>
      <c r="L49" s="30">
        <f t="shared" si="12"/>
        <v>7208.3027499999989</v>
      </c>
      <c r="M49" s="30">
        <f>SUM(M40:M48)</f>
        <v>0</v>
      </c>
      <c r="N49" s="31">
        <f t="shared" si="13"/>
        <v>0</v>
      </c>
      <c r="O49" s="28">
        <f>C49+E49+G49+I49+K49+M49</f>
        <v>104631.46999999997</v>
      </c>
      <c r="P49" s="32">
        <f t="shared" si="3"/>
        <v>31651.019674999992</v>
      </c>
      <c r="Q49" s="148">
        <f>SUM(Q40:Q45)</f>
        <v>319</v>
      </c>
      <c r="R49" s="149">
        <f>SUM(R40:R45)</f>
        <v>189</v>
      </c>
      <c r="T49" s="50" t="s">
        <v>13</v>
      </c>
      <c r="U49" s="50">
        <f>T48+U48</f>
        <v>920</v>
      </c>
    </row>
    <row r="50" spans="2:21" ht="24.95" customHeight="1" thickBot="1">
      <c r="B50" s="44" t="s">
        <v>13</v>
      </c>
      <c r="C50" s="45">
        <f>C39+C49</f>
        <v>40302.629999999997</v>
      </c>
      <c r="D50" s="46">
        <f t="shared" si="8"/>
        <v>12191.545574999998</v>
      </c>
      <c r="E50" s="47">
        <f>E39+E49</f>
        <v>42140.59</v>
      </c>
      <c r="F50" s="47">
        <f t="shared" ref="F50" si="16">E50*0.3025</f>
        <v>12747.528474999999</v>
      </c>
      <c r="G50" s="47">
        <f>G39+G49</f>
        <v>11559.899999999998</v>
      </c>
      <c r="H50" s="47">
        <f t="shared" ref="H50" si="17">G50*0.3025</f>
        <v>3496.8697499999994</v>
      </c>
      <c r="I50" s="47">
        <f>I39+I49</f>
        <v>9985.0800000000017</v>
      </c>
      <c r="J50" s="47">
        <f t="shared" si="11"/>
        <v>3020.4867000000004</v>
      </c>
      <c r="K50" s="47">
        <f>K39+K49</f>
        <v>26746.589999999997</v>
      </c>
      <c r="L50" s="47">
        <f t="shared" si="12"/>
        <v>8090.8434749999988</v>
      </c>
      <c r="M50" s="47">
        <f>M39+M49</f>
        <v>1584.36</v>
      </c>
      <c r="N50" s="48">
        <f t="shared" si="13"/>
        <v>479.26889999999997</v>
      </c>
      <c r="O50" s="45">
        <f>C50+E50+G50+I50+K50+M50</f>
        <v>132319.15</v>
      </c>
      <c r="P50" s="49">
        <f t="shared" si="3"/>
        <v>40026.542874999999</v>
      </c>
      <c r="Q50" s="153">
        <f>Q39+Q49</f>
        <v>320</v>
      </c>
      <c r="R50" s="154">
        <f>R39+R49</f>
        <v>228</v>
      </c>
      <c r="S50" s="51">
        <f>O39+O49</f>
        <v>132319.14999999997</v>
      </c>
      <c r="T50" s="51"/>
    </row>
    <row r="51" spans="2:21" ht="6" customHeight="1">
      <c r="M51" s="51"/>
      <c r="N51" s="52"/>
      <c r="O51" s="55"/>
      <c r="P51" s="55"/>
    </row>
    <row r="52" spans="2:21" ht="21.95" customHeight="1">
      <c r="B52" s="4" t="s">
        <v>20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111"/>
      <c r="R52" s="5" t="s">
        <v>21</v>
      </c>
      <c r="T52" s="51"/>
    </row>
    <row r="53" spans="2:21">
      <c r="H53" s="8"/>
      <c r="S53" s="93" t="s">
        <v>53</v>
      </c>
      <c r="T53" s="51">
        <f>C50+E50+G50+M50</f>
        <v>95587.48</v>
      </c>
      <c r="U53" s="8">
        <f>T53/300</f>
        <v>318.62493333333333</v>
      </c>
    </row>
    <row r="54" spans="2:21">
      <c r="U54" s="94">
        <f>U49/U53</f>
        <v>2.8874074303454802</v>
      </c>
    </row>
    <row r="56" spans="2:21">
      <c r="E56">
        <f>D5*0.008</f>
        <v>238.39920000000001</v>
      </c>
      <c r="F56">
        <f>E56/7</f>
        <v>34.057028571428575</v>
      </c>
    </row>
    <row r="57" spans="2:21">
      <c r="E57">
        <f>121*8</f>
        <v>968</v>
      </c>
    </row>
    <row r="58" spans="2:21">
      <c r="E58">
        <f>E57/8</f>
        <v>121</v>
      </c>
    </row>
    <row r="59" spans="2:21">
      <c r="E59">
        <f>E58/12</f>
        <v>10.083333333333334</v>
      </c>
    </row>
  </sheetData>
  <mergeCells count="77">
    <mergeCell ref="B3:C3"/>
    <mergeCell ref="B4:C4"/>
    <mergeCell ref="D4:I4"/>
    <mergeCell ref="B5:B8"/>
    <mergeCell ref="D5:E5"/>
    <mergeCell ref="F5:G5"/>
    <mergeCell ref="D6:E6"/>
    <mergeCell ref="F6:G6"/>
    <mergeCell ref="D7:E7"/>
    <mergeCell ref="F7:G7"/>
    <mergeCell ref="D8:E8"/>
    <mergeCell ref="F8:G8"/>
    <mergeCell ref="B9:B11"/>
    <mergeCell ref="D9:E9"/>
    <mergeCell ref="F9:G9"/>
    <mergeCell ref="D10:E10"/>
    <mergeCell ref="F10:G10"/>
    <mergeCell ref="D11:E11"/>
    <mergeCell ref="F11:G11"/>
    <mergeCell ref="B12:C12"/>
    <mergeCell ref="D12:E12"/>
    <mergeCell ref="F12:G12"/>
    <mergeCell ref="B13:C13"/>
    <mergeCell ref="D13:E13"/>
    <mergeCell ref="F13:G13"/>
    <mergeCell ref="H13:I13"/>
    <mergeCell ref="B14:C14"/>
    <mergeCell ref="D14:E14"/>
    <mergeCell ref="F14:G14"/>
    <mergeCell ref="B15:C15"/>
    <mergeCell ref="D15:E15"/>
    <mergeCell ref="F15:G15"/>
    <mergeCell ref="B16:C16"/>
    <mergeCell ref="D16:E16"/>
    <mergeCell ref="F16:G16"/>
    <mergeCell ref="H16:I16"/>
    <mergeCell ref="B17:C17"/>
    <mergeCell ref="D17:E17"/>
    <mergeCell ref="F17:G17"/>
    <mergeCell ref="B18:C18"/>
    <mergeCell ref="D18:E18"/>
    <mergeCell ref="F18:G18"/>
    <mergeCell ref="H18:I18"/>
    <mergeCell ref="B19:C19"/>
    <mergeCell ref="D19:E19"/>
    <mergeCell ref="F19:G19"/>
    <mergeCell ref="H21:I21"/>
    <mergeCell ref="B22:C24"/>
    <mergeCell ref="B25:C25"/>
    <mergeCell ref="B20:C20"/>
    <mergeCell ref="D20:E20"/>
    <mergeCell ref="F20:G20"/>
    <mergeCell ref="B21:C21"/>
    <mergeCell ref="D21:E21"/>
    <mergeCell ref="F21:G21"/>
    <mergeCell ref="B30:C31"/>
    <mergeCell ref="D30:F30"/>
    <mergeCell ref="G30:I30"/>
    <mergeCell ref="D31:F31"/>
    <mergeCell ref="H31:I31"/>
    <mergeCell ref="B34:B35"/>
    <mergeCell ref="C34:D34"/>
    <mergeCell ref="E34:F34"/>
    <mergeCell ref="G34:H34"/>
    <mergeCell ref="I34:J34"/>
    <mergeCell ref="M34:N34"/>
    <mergeCell ref="O34:P34"/>
    <mergeCell ref="Q34:R34"/>
    <mergeCell ref="D22:E22"/>
    <mergeCell ref="D23:E23"/>
    <mergeCell ref="D24:E24"/>
    <mergeCell ref="F22:F24"/>
    <mergeCell ref="G22:H22"/>
    <mergeCell ref="G23:H23"/>
    <mergeCell ref="G24:H24"/>
    <mergeCell ref="K34:L34"/>
    <mergeCell ref="K31:M31"/>
  </mergeCells>
  <phoneticPr fontId="2" type="noConversion"/>
  <pageMargins left="0.7" right="0.7" top="0.75" bottom="0.75" header="0.3" footer="0.3"/>
  <pageSetup paperSize="8" scale="8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B1:Z46"/>
  <sheetViews>
    <sheetView showGridLines="0" topLeftCell="A13" zoomScale="70" zoomScaleNormal="70" workbookViewId="0">
      <selection activeCell="J36" sqref="J36"/>
    </sheetView>
  </sheetViews>
  <sheetFormatPr defaultRowHeight="16.5"/>
  <cols>
    <col min="1" max="1" width="3.625" customWidth="1"/>
    <col min="2" max="2" width="15.625" customWidth="1"/>
    <col min="3" max="24" width="11.625" customWidth="1"/>
    <col min="25" max="25" width="3.25" customWidth="1"/>
  </cols>
  <sheetData>
    <row r="1" spans="2:26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2:26" ht="35.1" customHeight="1" thickBot="1">
      <c r="B2" s="78" t="s">
        <v>118</v>
      </c>
      <c r="C2" s="6"/>
      <c r="D2" s="6"/>
      <c r="E2" s="6"/>
      <c r="F2" s="6"/>
      <c r="G2" s="6"/>
      <c r="H2" s="6"/>
      <c r="I2" s="6"/>
      <c r="J2" s="1"/>
      <c r="K2" s="78" t="s">
        <v>119</v>
      </c>
      <c r="L2" s="78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183"/>
      <c r="Z2" s="183"/>
    </row>
    <row r="3" spans="2:26" ht="32.1" customHeight="1">
      <c r="B3" s="486" t="s">
        <v>120</v>
      </c>
      <c r="C3" s="487"/>
      <c r="D3" s="184" t="s">
        <v>172</v>
      </c>
      <c r="E3" s="185"/>
      <c r="F3" s="185"/>
      <c r="G3" s="185"/>
      <c r="H3" s="185"/>
      <c r="I3" s="185"/>
      <c r="J3" s="7"/>
      <c r="K3" s="186"/>
      <c r="L3" s="186"/>
      <c r="M3" s="186"/>
      <c r="N3" s="187"/>
      <c r="O3" s="188"/>
      <c r="P3" s="187"/>
      <c r="Q3" s="188"/>
      <c r="R3" s="188"/>
      <c r="S3" s="189"/>
      <c r="T3" s="189"/>
      <c r="U3" s="189"/>
      <c r="V3" s="189"/>
      <c r="W3" s="189"/>
      <c r="X3" s="189"/>
    </row>
    <row r="4" spans="2:26" ht="32.1" customHeight="1">
      <c r="B4" s="488" t="s">
        <v>121</v>
      </c>
      <c r="C4" s="489"/>
      <c r="D4" s="190" t="s">
        <v>75</v>
      </c>
      <c r="E4" s="191"/>
      <c r="F4" s="192"/>
      <c r="G4" s="193"/>
      <c r="H4" s="193"/>
      <c r="I4" s="193"/>
      <c r="J4" s="7"/>
      <c r="K4" s="194"/>
      <c r="L4" s="194"/>
      <c r="M4" s="194"/>
      <c r="N4" s="195"/>
      <c r="O4" s="196"/>
      <c r="P4" s="195"/>
      <c r="Q4" s="196"/>
      <c r="R4" s="196"/>
      <c r="S4" s="197"/>
      <c r="T4" s="197"/>
      <c r="U4" s="197"/>
      <c r="V4" s="197"/>
      <c r="W4" s="197"/>
      <c r="X4" s="197"/>
    </row>
    <row r="5" spans="2:26" ht="32.1" customHeight="1">
      <c r="B5" s="488" t="s">
        <v>122</v>
      </c>
      <c r="C5" s="489"/>
      <c r="D5" s="490" t="s">
        <v>187</v>
      </c>
      <c r="E5" s="491"/>
      <c r="F5" s="492"/>
      <c r="G5" s="193"/>
      <c r="H5" s="193"/>
      <c r="I5" s="193"/>
      <c r="J5" s="7"/>
      <c r="K5" s="198"/>
      <c r="L5" s="198"/>
      <c r="M5" s="199"/>
      <c r="N5" s="200"/>
      <c r="O5" s="201"/>
      <c r="P5" s="202"/>
      <c r="Q5" s="201"/>
      <c r="R5" s="201"/>
      <c r="S5" s="197"/>
      <c r="T5" s="197"/>
      <c r="U5" s="197"/>
      <c r="V5" s="197"/>
      <c r="W5" s="197"/>
      <c r="X5" s="197"/>
    </row>
    <row r="6" spans="2:26" ht="32.1" customHeight="1">
      <c r="B6" s="488" t="s">
        <v>123</v>
      </c>
      <c r="C6" s="489"/>
      <c r="D6" s="493">
        <v>29799.9</v>
      </c>
      <c r="E6" s="494"/>
      <c r="F6" s="495"/>
      <c r="G6" s="496">
        <f>D6*0.3025</f>
        <v>9014.4697500000002</v>
      </c>
      <c r="H6" s="497"/>
      <c r="I6" s="203"/>
      <c r="J6" s="7"/>
      <c r="K6" s="204"/>
      <c r="L6" s="204"/>
      <c r="M6" s="199"/>
      <c r="N6" s="205"/>
      <c r="O6" s="205"/>
      <c r="P6" s="206"/>
      <c r="Q6" s="205"/>
      <c r="R6" s="205"/>
      <c r="S6" s="197"/>
      <c r="T6" s="197"/>
      <c r="U6" s="197"/>
      <c r="V6" s="197"/>
      <c r="W6" s="197"/>
      <c r="X6" s="197"/>
    </row>
    <row r="7" spans="2:26" ht="32.1" customHeight="1">
      <c r="B7" s="413" t="s">
        <v>124</v>
      </c>
      <c r="C7" s="414"/>
      <c r="D7" s="498" t="s">
        <v>125</v>
      </c>
      <c r="E7" s="499"/>
      <c r="F7" s="499"/>
      <c r="G7" s="181"/>
      <c r="H7" s="207"/>
      <c r="I7" s="208"/>
      <c r="J7" s="7"/>
      <c r="K7" s="204"/>
      <c r="L7" s="204"/>
      <c r="M7" s="199"/>
      <c r="N7" s="205"/>
      <c r="O7" s="205"/>
      <c r="P7" s="206"/>
      <c r="Q7" s="205"/>
      <c r="R7" s="205"/>
      <c r="S7" s="197"/>
      <c r="T7" s="197"/>
      <c r="U7" s="197"/>
      <c r="V7" s="197"/>
      <c r="W7" s="197"/>
      <c r="X7" s="197"/>
    </row>
    <row r="8" spans="2:26" ht="32.1" hidden="1" customHeight="1">
      <c r="B8" s="413" t="s">
        <v>126</v>
      </c>
      <c r="C8" s="414"/>
      <c r="D8" s="500">
        <v>0</v>
      </c>
      <c r="E8" s="501"/>
      <c r="F8" s="502"/>
      <c r="G8" s="181"/>
      <c r="H8" s="207"/>
      <c r="I8" s="208"/>
      <c r="J8" s="7"/>
      <c r="K8" s="204"/>
      <c r="L8" s="204"/>
      <c r="M8" s="199"/>
      <c r="N8" s="205"/>
      <c r="O8" s="205"/>
      <c r="P8" s="206"/>
      <c r="Q8" s="205"/>
      <c r="R8" s="205"/>
      <c r="S8" s="197"/>
      <c r="T8" s="197"/>
      <c r="U8" s="197"/>
      <c r="V8" s="197"/>
      <c r="W8" s="197"/>
      <c r="X8" s="197"/>
    </row>
    <row r="9" spans="2:26" ht="32.1" customHeight="1">
      <c r="B9" s="413" t="s">
        <v>185</v>
      </c>
      <c r="C9" s="414"/>
      <c r="D9" s="481" t="s">
        <v>186</v>
      </c>
      <c r="E9" s="482"/>
      <c r="F9" s="483"/>
      <c r="G9" s="484"/>
      <c r="H9" s="485"/>
      <c r="I9" s="208"/>
      <c r="J9" s="7"/>
      <c r="K9" s="204"/>
      <c r="L9" s="204"/>
      <c r="M9" s="199"/>
      <c r="N9" s="205"/>
      <c r="O9" s="205"/>
      <c r="P9" s="206"/>
      <c r="Q9" s="205"/>
      <c r="R9" s="205"/>
      <c r="S9" s="197"/>
      <c r="T9" s="197"/>
      <c r="U9" s="197"/>
      <c r="V9" s="197"/>
      <c r="W9" s="197"/>
      <c r="X9" s="197"/>
    </row>
    <row r="10" spans="2:26" ht="32.1" customHeight="1">
      <c r="B10" s="503" t="s">
        <v>127</v>
      </c>
      <c r="C10" s="437"/>
      <c r="D10" s="504">
        <v>20844.23</v>
      </c>
      <c r="E10" s="505"/>
      <c r="F10" s="506"/>
      <c r="G10" s="430">
        <f t="shared" ref="G10:G14" si="0">D10*0.3025</f>
        <v>6305.3795749999999</v>
      </c>
      <c r="H10" s="431"/>
      <c r="I10" s="207"/>
      <c r="J10" s="7"/>
      <c r="K10" s="209"/>
      <c r="L10" s="204"/>
      <c r="M10" s="199"/>
      <c r="N10" s="205"/>
      <c r="O10" s="205"/>
      <c r="P10" s="206"/>
      <c r="Q10" s="205"/>
      <c r="R10" s="205"/>
      <c r="S10" s="197"/>
      <c r="T10" s="197"/>
      <c r="U10" s="197"/>
      <c r="V10" s="197"/>
      <c r="W10" s="197"/>
      <c r="X10" s="197"/>
    </row>
    <row r="11" spans="2:26" ht="32.1" customHeight="1">
      <c r="B11" s="507" t="s">
        <v>128</v>
      </c>
      <c r="C11" s="54" t="s">
        <v>129</v>
      </c>
      <c r="D11" s="509">
        <f>U37</f>
        <v>104631.46999999999</v>
      </c>
      <c r="E11" s="510"/>
      <c r="F11" s="511"/>
      <c r="G11" s="512">
        <f t="shared" si="0"/>
        <v>31651.019674999996</v>
      </c>
      <c r="H11" s="513"/>
      <c r="I11" s="356"/>
      <c r="J11" s="7"/>
      <c r="K11" s="204"/>
      <c r="L11" s="204"/>
      <c r="M11" s="199"/>
      <c r="N11" s="205"/>
      <c r="O11" s="205"/>
      <c r="P11" s="206"/>
      <c r="Q11" s="205"/>
      <c r="R11" s="205"/>
      <c r="S11" s="197"/>
      <c r="T11" s="197"/>
      <c r="U11" s="197"/>
      <c r="V11" s="197"/>
      <c r="W11" s="197"/>
      <c r="X11" s="197"/>
    </row>
    <row r="12" spans="2:26" ht="32.1" customHeight="1">
      <c r="B12" s="508"/>
      <c r="C12" s="54" t="s">
        <v>130</v>
      </c>
      <c r="D12" s="509">
        <f>U30</f>
        <v>27687.68</v>
      </c>
      <c r="E12" s="510"/>
      <c r="F12" s="511"/>
      <c r="G12" s="512">
        <f t="shared" si="0"/>
        <v>8375.5231999999996</v>
      </c>
      <c r="H12" s="513"/>
      <c r="I12" s="356"/>
      <c r="J12" s="7"/>
      <c r="K12" s="204"/>
      <c r="L12" s="204"/>
      <c r="M12" s="199"/>
      <c r="N12" s="205"/>
      <c r="O12" s="205"/>
      <c r="P12" s="206"/>
      <c r="Q12" s="205"/>
      <c r="R12" s="205"/>
      <c r="S12" s="197"/>
      <c r="T12" s="197"/>
      <c r="U12" s="197"/>
      <c r="V12" s="197"/>
      <c r="W12" s="197"/>
      <c r="X12" s="197"/>
    </row>
    <row r="13" spans="2:26" ht="32.1" customHeight="1">
      <c r="B13" s="508"/>
      <c r="C13" s="210" t="s">
        <v>131</v>
      </c>
      <c r="D13" s="514">
        <f>SUM(D11:F12)</f>
        <v>132319.15</v>
      </c>
      <c r="E13" s="515"/>
      <c r="F13" s="516"/>
      <c r="G13" s="517">
        <f t="shared" si="0"/>
        <v>40026.542874999999</v>
      </c>
      <c r="H13" s="518"/>
      <c r="I13" s="211"/>
      <c r="J13" s="7"/>
      <c r="K13" s="204"/>
      <c r="L13" s="204"/>
      <c r="M13" s="199"/>
      <c r="N13" s="205"/>
      <c r="O13" s="205"/>
      <c r="P13" s="206"/>
      <c r="Q13" s="205"/>
      <c r="R13" s="205"/>
      <c r="S13" s="197"/>
      <c r="T13" s="197"/>
      <c r="U13" s="197"/>
      <c r="V13" s="197"/>
      <c r="W13" s="197"/>
      <c r="X13" s="197"/>
    </row>
    <row r="14" spans="2:26" ht="32.1" customHeight="1">
      <c r="B14" s="413" t="s">
        <v>132</v>
      </c>
      <c r="C14" s="414"/>
      <c r="D14" s="509">
        <f>U38-H30-L30-M30-S30-L37</f>
        <v>72536.67</v>
      </c>
      <c r="E14" s="510"/>
      <c r="F14" s="511"/>
      <c r="G14" s="512">
        <f t="shared" si="0"/>
        <v>21942.342675</v>
      </c>
      <c r="H14" s="513"/>
      <c r="I14" s="208"/>
      <c r="J14" s="7"/>
      <c r="K14" s="204"/>
      <c r="L14" s="212"/>
      <c r="M14" s="199"/>
      <c r="N14" s="205"/>
      <c r="O14" s="205"/>
      <c r="P14" s="206"/>
      <c r="Q14" s="205"/>
      <c r="R14" s="205"/>
      <c r="S14" s="197"/>
      <c r="T14" s="197"/>
      <c r="U14" s="197"/>
      <c r="V14" s="197"/>
      <c r="W14" s="197"/>
      <c r="X14" s="197"/>
    </row>
    <row r="15" spans="2:26" ht="32.1" customHeight="1">
      <c r="B15" s="519" t="s">
        <v>133</v>
      </c>
      <c r="C15" s="520"/>
      <c r="D15" s="521">
        <f>D10/D6</f>
        <v>0.69947315259447174</v>
      </c>
      <c r="E15" s="522"/>
      <c r="F15" s="523"/>
      <c r="G15" s="524" t="s">
        <v>173</v>
      </c>
      <c r="H15" s="525"/>
      <c r="I15" s="211"/>
      <c r="J15" s="7"/>
      <c r="K15" s="204"/>
      <c r="L15" s="204"/>
      <c r="M15" s="199"/>
      <c r="N15" s="205"/>
      <c r="O15" s="205"/>
      <c r="P15" s="206"/>
      <c r="Q15" s="205"/>
      <c r="R15" s="205"/>
      <c r="S15" s="197"/>
      <c r="T15" s="197"/>
      <c r="U15" s="197"/>
      <c r="V15" s="197"/>
      <c r="W15" s="197"/>
      <c r="X15" s="197"/>
    </row>
    <row r="16" spans="2:26" ht="32.1" customHeight="1">
      <c r="B16" s="519" t="s">
        <v>134</v>
      </c>
      <c r="C16" s="520"/>
      <c r="D16" s="531">
        <f>D14/D6</f>
        <v>2.4341246111564132</v>
      </c>
      <c r="E16" s="532"/>
      <c r="F16" s="532"/>
      <c r="G16" s="524" t="s">
        <v>174</v>
      </c>
      <c r="H16" s="525"/>
      <c r="I16" s="211"/>
      <c r="J16" s="7"/>
      <c r="K16" s="204"/>
      <c r="L16" s="204"/>
      <c r="M16" s="199"/>
      <c r="N16" s="205"/>
      <c r="O16" s="205"/>
      <c r="P16" s="206"/>
      <c r="Q16" s="205"/>
      <c r="R16" s="205"/>
      <c r="S16" s="197"/>
      <c r="T16" s="197"/>
      <c r="U16" s="197"/>
      <c r="V16" s="197"/>
      <c r="W16" s="197"/>
      <c r="X16" s="197"/>
    </row>
    <row r="17" spans="2:24" ht="32.1" customHeight="1">
      <c r="B17" s="533" t="s">
        <v>135</v>
      </c>
      <c r="C17" s="534"/>
      <c r="D17" s="535">
        <f>U38-L38</f>
        <v>95587.48</v>
      </c>
      <c r="E17" s="536"/>
      <c r="F17" s="357">
        <f>D17/D13</f>
        <v>0.7224009525454177</v>
      </c>
      <c r="G17" s="213"/>
      <c r="H17" s="537" t="s">
        <v>136</v>
      </c>
      <c r="I17" s="537"/>
      <c r="J17" s="7"/>
      <c r="K17" s="204"/>
      <c r="L17" s="204"/>
      <c r="M17" s="199"/>
      <c r="N17" s="205"/>
      <c r="O17" s="205"/>
      <c r="P17" s="206"/>
      <c r="Q17" s="205"/>
      <c r="R17" s="205"/>
      <c r="S17" s="197"/>
      <c r="T17" s="197"/>
      <c r="U17" s="197"/>
      <c r="V17" s="197"/>
      <c r="W17" s="197"/>
      <c r="X17" s="197"/>
    </row>
    <row r="18" spans="2:24" ht="32.1" customHeight="1">
      <c r="B18" s="413" t="s">
        <v>137</v>
      </c>
      <c r="C18" s="455"/>
      <c r="D18" s="538">
        <f>U38-L38</f>
        <v>95587.48</v>
      </c>
      <c r="E18" s="539"/>
      <c r="F18" s="539"/>
      <c r="G18" s="540" t="s">
        <v>138</v>
      </c>
      <c r="H18" s="358" t="s">
        <v>113</v>
      </c>
      <c r="I18" s="359">
        <f>W38</f>
        <v>320</v>
      </c>
      <c r="J18" s="7"/>
      <c r="K18" s="204"/>
      <c r="L18" s="204"/>
      <c r="M18" s="199"/>
      <c r="N18" s="205"/>
      <c r="O18" s="205"/>
      <c r="P18" s="205"/>
      <c r="Q18" s="205"/>
      <c r="R18" s="205"/>
      <c r="S18" s="197"/>
      <c r="T18" s="197"/>
      <c r="U18" s="197"/>
      <c r="V18" s="197"/>
      <c r="W18" s="197"/>
      <c r="X18" s="197"/>
    </row>
    <row r="19" spans="2:24" ht="32.1" customHeight="1">
      <c r="B19" s="456"/>
      <c r="C19" s="457"/>
      <c r="D19" s="543">
        <f>D18/400</f>
        <v>238.96869999999998</v>
      </c>
      <c r="E19" s="544"/>
      <c r="F19" s="545"/>
      <c r="G19" s="541"/>
      <c r="H19" s="360" t="s">
        <v>139</v>
      </c>
      <c r="I19" s="361">
        <f>X38</f>
        <v>228</v>
      </c>
      <c r="J19" s="7"/>
      <c r="K19" s="204"/>
      <c r="L19" s="204"/>
      <c r="M19" s="199"/>
      <c r="N19" s="205"/>
      <c r="O19" s="205"/>
      <c r="P19" s="205"/>
      <c r="Q19" s="205"/>
      <c r="R19" s="205"/>
      <c r="S19" s="197"/>
      <c r="T19" s="197"/>
      <c r="U19" s="197"/>
      <c r="V19" s="197"/>
      <c r="W19" s="197"/>
      <c r="X19" s="197"/>
    </row>
    <row r="20" spans="2:24" ht="32.1" customHeight="1">
      <c r="B20" s="458"/>
      <c r="C20" s="459"/>
      <c r="D20" s="546"/>
      <c r="E20" s="547"/>
      <c r="F20" s="548"/>
      <c r="G20" s="542"/>
      <c r="H20" s="362" t="s">
        <v>140</v>
      </c>
      <c r="I20" s="363">
        <f>I18+I19</f>
        <v>548</v>
      </c>
      <c r="J20" s="7"/>
      <c r="K20" s="204"/>
      <c r="L20" s="204"/>
      <c r="M20" s="199"/>
      <c r="N20" s="205"/>
      <c r="O20" s="205"/>
      <c r="P20" s="205"/>
      <c r="Q20" s="205"/>
      <c r="R20" s="205"/>
      <c r="S20" s="197"/>
      <c r="T20" s="197"/>
      <c r="U20" s="197"/>
      <c r="V20" s="197"/>
      <c r="W20" s="197"/>
      <c r="X20" s="197"/>
    </row>
    <row r="21" spans="2:24" ht="52.5" customHeight="1">
      <c r="B21" s="423" t="s">
        <v>141</v>
      </c>
      <c r="C21" s="526"/>
      <c r="D21" s="527">
        <v>3791.95</v>
      </c>
      <c r="E21" s="528"/>
      <c r="F21" s="214">
        <f>D21/D6</f>
        <v>0.12724707129889695</v>
      </c>
      <c r="G21" s="529" t="s">
        <v>184</v>
      </c>
      <c r="H21" s="530"/>
      <c r="I21" s="530"/>
      <c r="J21" s="7"/>
      <c r="K21" s="204"/>
      <c r="L21" s="204"/>
      <c r="M21" s="199"/>
      <c r="N21" s="205"/>
      <c r="O21" s="205"/>
      <c r="P21" s="205"/>
      <c r="Q21" s="205"/>
      <c r="R21" s="205"/>
      <c r="S21" s="197"/>
      <c r="T21" s="197"/>
      <c r="U21" s="197"/>
      <c r="V21" s="197"/>
      <c r="W21" s="197"/>
      <c r="X21" s="197"/>
    </row>
    <row r="22" spans="2:24" ht="32.1" customHeight="1" thickBot="1">
      <c r="B22" s="549" t="s">
        <v>142</v>
      </c>
      <c r="C22" s="550"/>
      <c r="D22" s="551" t="s">
        <v>99</v>
      </c>
      <c r="E22" s="552"/>
      <c r="F22" s="552"/>
      <c r="G22" s="552"/>
      <c r="H22" s="552"/>
      <c r="I22" s="552"/>
      <c r="J22" s="7"/>
      <c r="K22" s="215"/>
      <c r="L22" s="215"/>
      <c r="M22" s="216"/>
      <c r="N22" s="217"/>
      <c r="O22" s="217"/>
      <c r="P22" s="217"/>
      <c r="Q22" s="217"/>
      <c r="R22" s="217"/>
      <c r="S22" s="218"/>
      <c r="T22" s="218"/>
      <c r="U22" s="218"/>
      <c r="V22" s="218"/>
      <c r="W22" s="218"/>
      <c r="X22" s="218"/>
    </row>
    <row r="23" spans="2:24" ht="35.1" customHeight="1" thickTop="1">
      <c r="B23" s="5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2:24" ht="35.1" customHeight="1" thickBot="1">
      <c r="B24" s="75" t="s">
        <v>143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2:24" ht="32.1" customHeight="1">
      <c r="B25" s="553" t="s">
        <v>144</v>
      </c>
      <c r="C25" s="556" t="s">
        <v>145</v>
      </c>
      <c r="D25" s="557"/>
      <c r="E25" s="557"/>
      <c r="F25" s="557"/>
      <c r="G25" s="557"/>
      <c r="H25" s="557"/>
      <c r="I25" s="557"/>
      <c r="J25" s="557"/>
      <c r="K25" s="557"/>
      <c r="L25" s="557"/>
      <c r="M25" s="557"/>
      <c r="N25" s="557"/>
      <c r="O25" s="558"/>
      <c r="P25" s="559" t="s">
        <v>146</v>
      </c>
      <c r="Q25" s="560"/>
      <c r="R25" s="560"/>
      <c r="S25" s="560"/>
      <c r="T25" s="561"/>
      <c r="U25" s="578" t="s">
        <v>147</v>
      </c>
      <c r="V25" s="579"/>
      <c r="W25" s="562" t="s">
        <v>148</v>
      </c>
      <c r="X25" s="563"/>
    </row>
    <row r="26" spans="2:24" ht="32.1" customHeight="1">
      <c r="B26" s="554"/>
      <c r="C26" s="566" t="s">
        <v>149</v>
      </c>
      <c r="D26" s="567"/>
      <c r="E26" s="567"/>
      <c r="F26" s="567"/>
      <c r="G26" s="567"/>
      <c r="H26" s="567"/>
      <c r="I26" s="568" t="s">
        <v>150</v>
      </c>
      <c r="J26" s="568"/>
      <c r="K26" s="568"/>
      <c r="L26" s="568"/>
      <c r="M26" s="569" t="s">
        <v>151</v>
      </c>
      <c r="N26" s="571" t="s">
        <v>152</v>
      </c>
      <c r="O26" s="572"/>
      <c r="P26" s="573" t="s">
        <v>153</v>
      </c>
      <c r="Q26" s="574"/>
      <c r="R26" s="575"/>
      <c r="S26" s="576" t="s">
        <v>154</v>
      </c>
      <c r="T26" s="577"/>
      <c r="U26" s="580"/>
      <c r="V26" s="581"/>
      <c r="W26" s="564"/>
      <c r="X26" s="565"/>
    </row>
    <row r="27" spans="2:24" ht="41.25" customHeight="1" thickBot="1">
      <c r="B27" s="555"/>
      <c r="C27" s="141" t="s">
        <v>125</v>
      </c>
      <c r="D27" s="219" t="s">
        <v>155</v>
      </c>
      <c r="E27" s="219" t="s">
        <v>156</v>
      </c>
      <c r="F27" s="23" t="s">
        <v>157</v>
      </c>
      <c r="G27" s="22" t="s">
        <v>158</v>
      </c>
      <c r="H27" s="220" t="s">
        <v>159</v>
      </c>
      <c r="I27" s="221" t="s">
        <v>160</v>
      </c>
      <c r="J27" s="221" t="s">
        <v>161</v>
      </c>
      <c r="K27" s="221" t="s">
        <v>162</v>
      </c>
      <c r="L27" s="222" t="s">
        <v>159</v>
      </c>
      <c r="M27" s="570"/>
      <c r="N27" s="223" t="s">
        <v>163</v>
      </c>
      <c r="O27" s="224" t="s">
        <v>164</v>
      </c>
      <c r="P27" s="225" t="s">
        <v>165</v>
      </c>
      <c r="Q27" s="226" t="s">
        <v>166</v>
      </c>
      <c r="R27" s="226" t="s">
        <v>114</v>
      </c>
      <c r="S27" s="227" t="s">
        <v>163</v>
      </c>
      <c r="T27" s="228" t="s">
        <v>167</v>
      </c>
      <c r="U27" s="229" t="s">
        <v>163</v>
      </c>
      <c r="V27" s="230" t="s">
        <v>164</v>
      </c>
      <c r="W27" s="231" t="s">
        <v>115</v>
      </c>
      <c r="X27" s="232" t="s">
        <v>168</v>
      </c>
    </row>
    <row r="28" spans="2:24" ht="32.1" customHeight="1">
      <c r="B28" s="233" t="s">
        <v>176</v>
      </c>
      <c r="C28" s="234">
        <f>15290.17-18</f>
        <v>15272.17</v>
      </c>
      <c r="D28" s="235">
        <v>234.66</v>
      </c>
      <c r="E28" s="235">
        <v>0</v>
      </c>
      <c r="F28" s="236">
        <v>0</v>
      </c>
      <c r="G28" s="237">
        <f>492.48-18</f>
        <v>474.48</v>
      </c>
      <c r="H28" s="238">
        <f t="shared" ref="H28:H36" si="1">SUM(C28:G28)</f>
        <v>15981.31</v>
      </c>
      <c r="I28" s="239">
        <v>1719.38</v>
      </c>
      <c r="J28" s="239">
        <v>2917.49</v>
      </c>
      <c r="K28" s="239">
        <v>0</v>
      </c>
      <c r="L28" s="240">
        <f>SUM(I28:K28)</f>
        <v>4636.87</v>
      </c>
      <c r="M28" s="241">
        <v>1584.36</v>
      </c>
      <c r="N28" s="242">
        <f>M28+L28+H28</f>
        <v>22202.54</v>
      </c>
      <c r="O28" s="243">
        <f>N28*0.3025</f>
        <v>6716.2683500000003</v>
      </c>
      <c r="P28" s="244">
        <v>0</v>
      </c>
      <c r="Q28" s="245">
        <v>0</v>
      </c>
      <c r="R28" s="245">
        <v>0</v>
      </c>
      <c r="S28" s="246">
        <f t="shared" ref="S28:S36" si="2">SUM(P28:R28)</f>
        <v>0</v>
      </c>
      <c r="T28" s="247">
        <f>S28*0.3025</f>
        <v>0</v>
      </c>
      <c r="U28" s="248">
        <f t="shared" ref="U28:V31" si="3">S28+N28</f>
        <v>22202.54</v>
      </c>
      <c r="V28" s="249">
        <f t="shared" si="3"/>
        <v>6716.2683500000003</v>
      </c>
      <c r="W28" s="250">
        <v>1</v>
      </c>
      <c r="X28" s="251">
        <v>39</v>
      </c>
    </row>
    <row r="29" spans="2:24" ht="32.1" customHeight="1">
      <c r="B29" s="252" t="s">
        <v>175</v>
      </c>
      <c r="C29" s="253">
        <v>0</v>
      </c>
      <c r="D29" s="254">
        <v>0</v>
      </c>
      <c r="E29" s="254">
        <v>0</v>
      </c>
      <c r="F29" s="255">
        <v>0</v>
      </c>
      <c r="G29" s="256">
        <f>1319.57-18</f>
        <v>1301.57</v>
      </c>
      <c r="H29" s="257">
        <f t="shared" si="1"/>
        <v>1301.57</v>
      </c>
      <c r="I29" s="258">
        <v>0</v>
      </c>
      <c r="J29" s="258">
        <v>0</v>
      </c>
      <c r="K29" s="258">
        <v>0</v>
      </c>
      <c r="L29" s="259">
        <f>SUM(I29:K29)</f>
        <v>0</v>
      </c>
      <c r="M29" s="260">
        <v>0</v>
      </c>
      <c r="N29" s="261">
        <f>M29+L29+H29</f>
        <v>1301.57</v>
      </c>
      <c r="O29" s="262">
        <f>N29*0.3025</f>
        <v>393.72492499999998</v>
      </c>
      <c r="P29" s="263">
        <v>0</v>
      </c>
      <c r="Q29" s="264">
        <v>882.94</v>
      </c>
      <c r="R29" s="264">
        <f>3312.63-12</f>
        <v>3300.63</v>
      </c>
      <c r="S29" s="265">
        <f>SUM(P29:R29)</f>
        <v>4183.57</v>
      </c>
      <c r="T29" s="247">
        <f>S29*0.3025</f>
        <v>1265.5299249999998</v>
      </c>
      <c r="U29" s="248">
        <f t="shared" si="3"/>
        <v>5485.1399999999994</v>
      </c>
      <c r="V29" s="249">
        <f t="shared" si="3"/>
        <v>1659.2548499999998</v>
      </c>
      <c r="W29" s="266" t="s">
        <v>99</v>
      </c>
      <c r="X29" s="267" t="s">
        <v>99</v>
      </c>
    </row>
    <row r="30" spans="2:24" ht="32.1" customHeight="1" thickBot="1">
      <c r="B30" s="268" t="s">
        <v>116</v>
      </c>
      <c r="C30" s="269">
        <f>C28+C29</f>
        <v>15272.17</v>
      </c>
      <c r="D30" s="270">
        <f t="shared" ref="D30:G30" si="4">D28+D29</f>
        <v>234.66</v>
      </c>
      <c r="E30" s="270">
        <f t="shared" si="4"/>
        <v>0</v>
      </c>
      <c r="F30" s="270">
        <f t="shared" si="4"/>
        <v>0</v>
      </c>
      <c r="G30" s="270">
        <f t="shared" si="4"/>
        <v>1776.05</v>
      </c>
      <c r="H30" s="271">
        <f t="shared" si="1"/>
        <v>17282.88</v>
      </c>
      <c r="I30" s="272">
        <f>SUM(I28:I29)</f>
        <v>1719.38</v>
      </c>
      <c r="J30" s="272">
        <f t="shared" ref="J30:K30" si="5">SUM(J28:J29)</f>
        <v>2917.49</v>
      </c>
      <c r="K30" s="272">
        <f t="shared" si="5"/>
        <v>0</v>
      </c>
      <c r="L30" s="273">
        <f>SUM(I30:K30)</f>
        <v>4636.87</v>
      </c>
      <c r="M30" s="274">
        <f>SUM(M28:M29)</f>
        <v>1584.36</v>
      </c>
      <c r="N30" s="275">
        <f>H30+L30+M30</f>
        <v>23504.11</v>
      </c>
      <c r="O30" s="276">
        <f>N30*0.3025</f>
        <v>7109.9932749999998</v>
      </c>
      <c r="P30" s="277">
        <f>SUM(P28:P29)</f>
        <v>0</v>
      </c>
      <c r="Q30" s="277">
        <f t="shared" ref="Q30:R30" si="6">SUM(Q28:Q29)</f>
        <v>882.94</v>
      </c>
      <c r="R30" s="277">
        <f t="shared" si="6"/>
        <v>3300.63</v>
      </c>
      <c r="S30" s="278">
        <f>SUM(P30:R30)</f>
        <v>4183.57</v>
      </c>
      <c r="T30" s="279">
        <f>S30*0.3025</f>
        <v>1265.5299249999998</v>
      </c>
      <c r="U30" s="280">
        <f t="shared" si="3"/>
        <v>27687.68</v>
      </c>
      <c r="V30" s="281">
        <f t="shared" si="3"/>
        <v>8375.5231999999996</v>
      </c>
      <c r="W30" s="282">
        <f>SUM(W28:W29)</f>
        <v>1</v>
      </c>
      <c r="X30" s="283">
        <f>SUM(X28:X29)</f>
        <v>39</v>
      </c>
    </row>
    <row r="31" spans="2:24" ht="32.1" customHeight="1">
      <c r="B31" s="284" t="s">
        <v>177</v>
      </c>
      <c r="C31" s="285">
        <f>13452.21-18</f>
        <v>13434.21</v>
      </c>
      <c r="D31" s="286">
        <v>357.09</v>
      </c>
      <c r="E31" s="286">
        <v>0</v>
      </c>
      <c r="F31" s="287">
        <v>0</v>
      </c>
      <c r="G31" s="288">
        <f>825.93-18</f>
        <v>807.93</v>
      </c>
      <c r="H31" s="289">
        <f>SUM(C31:G31)</f>
        <v>14599.23</v>
      </c>
      <c r="I31" s="290">
        <v>1653.14</v>
      </c>
      <c r="J31" s="290">
        <v>4765.82</v>
      </c>
      <c r="K31" s="290">
        <v>0</v>
      </c>
      <c r="L31" s="291">
        <f>SUM(I31:K31)</f>
        <v>6418.96</v>
      </c>
      <c r="M31" s="292">
        <v>0</v>
      </c>
      <c r="N31" s="293">
        <f>H31+L31+M31</f>
        <v>21018.19</v>
      </c>
      <c r="O31" s="294">
        <f>N31*0.3025</f>
        <v>6358.0024749999993</v>
      </c>
      <c r="P31" s="295">
        <v>0</v>
      </c>
      <c r="Q31" s="296">
        <v>0</v>
      </c>
      <c r="R31" s="296">
        <v>0</v>
      </c>
      <c r="S31" s="297">
        <f t="shared" si="2"/>
        <v>0</v>
      </c>
      <c r="T31" s="298">
        <f>S31*0.3025</f>
        <v>0</v>
      </c>
      <c r="U31" s="299">
        <f>S31+N31</f>
        <v>21018.19</v>
      </c>
      <c r="V31" s="300">
        <f t="shared" si="3"/>
        <v>6358.0024749999993</v>
      </c>
      <c r="W31" s="301">
        <v>26</v>
      </c>
      <c r="X31" s="302">
        <v>37</v>
      </c>
    </row>
    <row r="32" spans="2:24" ht="32.1" customHeight="1">
      <c r="B32" s="303" t="s">
        <v>178</v>
      </c>
      <c r="C32" s="304">
        <f>13452.21-18</f>
        <v>13434.21</v>
      </c>
      <c r="D32" s="305">
        <v>242.22</v>
      </c>
      <c r="E32" s="305">
        <v>0</v>
      </c>
      <c r="F32" s="306">
        <v>0</v>
      </c>
      <c r="G32" s="307">
        <f>825.93-18</f>
        <v>807.93</v>
      </c>
      <c r="H32" s="308">
        <f t="shared" si="1"/>
        <v>14484.359999999999</v>
      </c>
      <c r="I32" s="309">
        <v>1653.14</v>
      </c>
      <c r="J32" s="309">
        <v>4765.82</v>
      </c>
      <c r="K32" s="309">
        <v>0</v>
      </c>
      <c r="L32" s="310">
        <f>SUM(I32:K32)</f>
        <v>6418.96</v>
      </c>
      <c r="M32" s="311">
        <v>0</v>
      </c>
      <c r="N32" s="261">
        <f>H32+L32+M32</f>
        <v>20903.32</v>
      </c>
      <c r="O32" s="262">
        <f>N32*0.3025</f>
        <v>6323.2542999999996</v>
      </c>
      <c r="P32" s="312">
        <v>0</v>
      </c>
      <c r="Q32" s="313">
        <v>0</v>
      </c>
      <c r="R32" s="313">
        <v>0</v>
      </c>
      <c r="S32" s="314">
        <f t="shared" si="2"/>
        <v>0</v>
      </c>
      <c r="T32" s="315">
        <f>S32*0.3025</f>
        <v>0</v>
      </c>
      <c r="U32" s="316">
        <f>N32+S32</f>
        <v>20903.32</v>
      </c>
      <c r="V32" s="317">
        <f>O32+T32</f>
        <v>6323.2542999999996</v>
      </c>
      <c r="W32" s="318" t="s">
        <v>182</v>
      </c>
      <c r="X32" s="319">
        <v>38</v>
      </c>
    </row>
    <row r="33" spans="2:24" ht="32.1" customHeight="1">
      <c r="B33" s="303" t="s">
        <v>169</v>
      </c>
      <c r="C33" s="304">
        <f>13452.21-18</f>
        <v>13434.21</v>
      </c>
      <c r="D33" s="305">
        <v>242.22</v>
      </c>
      <c r="E33" s="305">
        <v>0</v>
      </c>
      <c r="F33" s="306">
        <v>0</v>
      </c>
      <c r="G33" s="307">
        <f>825.93-18</f>
        <v>807.93</v>
      </c>
      <c r="H33" s="308">
        <f t="shared" si="1"/>
        <v>14484.359999999999</v>
      </c>
      <c r="I33" s="309">
        <v>1653.14</v>
      </c>
      <c r="J33" s="309">
        <v>4765.82</v>
      </c>
      <c r="K33" s="309">
        <v>0</v>
      </c>
      <c r="L33" s="310">
        <f t="shared" ref="L33:L37" si="7">SUM(I33:K33)</f>
        <v>6418.96</v>
      </c>
      <c r="M33" s="311">
        <v>0</v>
      </c>
      <c r="N33" s="261">
        <f t="shared" ref="N33" si="8">H33+L33+M33</f>
        <v>20903.32</v>
      </c>
      <c r="O33" s="262">
        <f t="shared" ref="O33:O38" si="9">N33*0.3025</f>
        <v>6323.2542999999996</v>
      </c>
      <c r="P33" s="312">
        <v>0</v>
      </c>
      <c r="Q33" s="313">
        <v>0</v>
      </c>
      <c r="R33" s="313">
        <v>0</v>
      </c>
      <c r="S33" s="314">
        <f t="shared" si="2"/>
        <v>0</v>
      </c>
      <c r="T33" s="315">
        <f t="shared" ref="T33:T36" si="10">S33*0.3025</f>
        <v>0</v>
      </c>
      <c r="U33" s="316">
        <f>N33+S33</f>
        <v>20903.32</v>
      </c>
      <c r="V33" s="317">
        <f>O33+T33</f>
        <v>6323.2542999999996</v>
      </c>
      <c r="W33" s="318" t="s">
        <v>99</v>
      </c>
      <c r="X33" s="319">
        <v>38</v>
      </c>
    </row>
    <row r="34" spans="2:24" ht="32.1" customHeight="1">
      <c r="B34" s="303" t="s">
        <v>179</v>
      </c>
      <c r="C34" s="304">
        <f>13452.21-18</f>
        <v>13434.21</v>
      </c>
      <c r="D34" s="305">
        <v>242.22</v>
      </c>
      <c r="E34" s="305">
        <v>0</v>
      </c>
      <c r="F34" s="306">
        <v>0</v>
      </c>
      <c r="G34" s="307">
        <f>825.93-18</f>
        <v>807.93</v>
      </c>
      <c r="H34" s="308">
        <f t="shared" si="1"/>
        <v>14484.359999999999</v>
      </c>
      <c r="I34" s="309">
        <v>1653.14</v>
      </c>
      <c r="J34" s="355">
        <v>4765.82</v>
      </c>
      <c r="K34" s="355">
        <v>0</v>
      </c>
      <c r="L34" s="240">
        <f t="shared" si="7"/>
        <v>6418.96</v>
      </c>
      <c r="M34" s="241">
        <v>0</v>
      </c>
      <c r="N34" s="261">
        <f t="shared" ref="N34:N35" si="11">H34+L34+M34</f>
        <v>20903.32</v>
      </c>
      <c r="O34" s="262">
        <f t="shared" ref="O34:O35" si="12">N34*0.3025</f>
        <v>6323.2542999999996</v>
      </c>
      <c r="P34" s="312">
        <v>0</v>
      </c>
      <c r="Q34" s="313">
        <v>0</v>
      </c>
      <c r="R34" s="313">
        <v>0</v>
      </c>
      <c r="S34" s="314">
        <f t="shared" si="2"/>
        <v>0</v>
      </c>
      <c r="T34" s="315">
        <f t="shared" si="10"/>
        <v>0</v>
      </c>
      <c r="U34" s="316">
        <f t="shared" ref="U34:U36" si="13">N34+S34</f>
        <v>20903.32</v>
      </c>
      <c r="V34" s="317">
        <f t="shared" ref="V34:V36" si="14">O34+T34</f>
        <v>6323.2542999999996</v>
      </c>
      <c r="W34" s="250" t="s">
        <v>99</v>
      </c>
      <c r="X34" s="251">
        <v>38</v>
      </c>
    </row>
    <row r="35" spans="2:24" ht="32.1" customHeight="1">
      <c r="B35" s="303" t="s">
        <v>180</v>
      </c>
      <c r="C35" s="304">
        <f>13452.21-18</f>
        <v>13434.21</v>
      </c>
      <c r="D35" s="305">
        <v>242.22</v>
      </c>
      <c r="E35" s="305">
        <v>0</v>
      </c>
      <c r="F35" s="306">
        <v>0</v>
      </c>
      <c r="G35" s="307">
        <f>825.93-18</f>
        <v>807.93</v>
      </c>
      <c r="H35" s="308">
        <f t="shared" si="1"/>
        <v>14484.359999999999</v>
      </c>
      <c r="I35" s="309">
        <v>1653.14</v>
      </c>
      <c r="J35" s="355">
        <v>4765.82</v>
      </c>
      <c r="K35" s="355">
        <v>0</v>
      </c>
      <c r="L35" s="240">
        <f t="shared" si="7"/>
        <v>6418.96</v>
      </c>
      <c r="M35" s="241">
        <v>0</v>
      </c>
      <c r="N35" s="261">
        <f t="shared" si="11"/>
        <v>20903.32</v>
      </c>
      <c r="O35" s="262">
        <f t="shared" si="12"/>
        <v>6323.2542999999996</v>
      </c>
      <c r="P35" s="312">
        <v>0</v>
      </c>
      <c r="Q35" s="313">
        <v>0</v>
      </c>
      <c r="R35" s="313">
        <v>0</v>
      </c>
      <c r="S35" s="314">
        <f t="shared" si="2"/>
        <v>0</v>
      </c>
      <c r="T35" s="315">
        <f t="shared" si="10"/>
        <v>0</v>
      </c>
      <c r="U35" s="316">
        <f t="shared" si="13"/>
        <v>20903.32</v>
      </c>
      <c r="V35" s="317">
        <f t="shared" si="14"/>
        <v>6323.2542999999996</v>
      </c>
      <c r="W35" s="250" t="s">
        <v>183</v>
      </c>
      <c r="X35" s="251">
        <v>38</v>
      </c>
    </row>
    <row r="36" spans="2:24" ht="32.1" customHeight="1">
      <c r="B36" s="303" t="s">
        <v>181</v>
      </c>
      <c r="C36" s="234">
        <v>0</v>
      </c>
      <c r="D36" s="235">
        <v>0</v>
      </c>
      <c r="E36" s="235">
        <v>0</v>
      </c>
      <c r="F36" s="236">
        <v>0</v>
      </c>
      <c r="G36" s="237">
        <v>0</v>
      </c>
      <c r="H36" s="308">
        <f t="shared" si="1"/>
        <v>0</v>
      </c>
      <c r="I36" s="239">
        <v>0</v>
      </c>
      <c r="J36" s="239">
        <v>0</v>
      </c>
      <c r="K36" s="239">
        <v>0</v>
      </c>
      <c r="L36" s="240">
        <f t="shared" si="7"/>
        <v>0</v>
      </c>
      <c r="M36" s="241">
        <v>0</v>
      </c>
      <c r="N36" s="261">
        <f t="shared" ref="N36" si="15">H36+L36+M36</f>
        <v>0</v>
      </c>
      <c r="O36" s="262">
        <f t="shared" ref="O36" si="16">N36*0.3025</f>
        <v>0</v>
      </c>
      <c r="P36" s="320">
        <v>0</v>
      </c>
      <c r="Q36" s="313">
        <v>0</v>
      </c>
      <c r="R36" s="313">
        <v>0</v>
      </c>
      <c r="S36" s="314">
        <f t="shared" si="2"/>
        <v>0</v>
      </c>
      <c r="T36" s="321">
        <f t="shared" si="10"/>
        <v>0</v>
      </c>
      <c r="U36" s="316">
        <f t="shared" si="13"/>
        <v>0</v>
      </c>
      <c r="V36" s="317">
        <f t="shared" si="14"/>
        <v>0</v>
      </c>
      <c r="W36" s="250">
        <v>293</v>
      </c>
      <c r="X36" s="251" t="s">
        <v>99</v>
      </c>
    </row>
    <row r="37" spans="2:24" ht="32.1" customHeight="1" thickBot="1">
      <c r="B37" s="322" t="s">
        <v>170</v>
      </c>
      <c r="C37" s="269">
        <f>SUM(C31:C36)</f>
        <v>67171.049999999988</v>
      </c>
      <c r="D37" s="270">
        <f>SUM(D31:D36)</f>
        <v>1325.97</v>
      </c>
      <c r="E37" s="270">
        <f>SUM(E31:E36)</f>
        <v>0</v>
      </c>
      <c r="F37" s="323">
        <f>SUM(F31:F36)</f>
        <v>0</v>
      </c>
      <c r="G37" s="324">
        <f>SUM(G31:G36)</f>
        <v>4039.6499999999996</v>
      </c>
      <c r="H37" s="325">
        <f>SUM(C37:G37)</f>
        <v>72536.669999999984</v>
      </c>
      <c r="I37" s="326">
        <f>SUM(I31:I36)</f>
        <v>8265.7000000000007</v>
      </c>
      <c r="J37" s="326">
        <f>SUM(J31:J36)</f>
        <v>23829.1</v>
      </c>
      <c r="K37" s="326">
        <f>SUM(K31:K36)</f>
        <v>0</v>
      </c>
      <c r="L37" s="327">
        <f t="shared" si="7"/>
        <v>32094.799999999999</v>
      </c>
      <c r="M37" s="328">
        <f>SUM(M31:M36)</f>
        <v>0</v>
      </c>
      <c r="N37" s="329">
        <f>H37+L37+M37</f>
        <v>104631.46999999999</v>
      </c>
      <c r="O37" s="330">
        <f t="shared" si="9"/>
        <v>31651.019674999996</v>
      </c>
      <c r="P37" s="331">
        <f>SUM(P31:P36)</f>
        <v>0</v>
      </c>
      <c r="Q37" s="331">
        <f t="shared" ref="Q37:R37" si="17">SUM(Q31:Q36)</f>
        <v>0</v>
      </c>
      <c r="R37" s="331">
        <f t="shared" si="17"/>
        <v>0</v>
      </c>
      <c r="S37" s="332">
        <f>SUM(P37:R37)</f>
        <v>0</v>
      </c>
      <c r="T37" s="333">
        <f>S37*0.3025</f>
        <v>0</v>
      </c>
      <c r="U37" s="334">
        <f>N37+S37</f>
        <v>104631.46999999999</v>
      </c>
      <c r="V37" s="335">
        <f>O37+T37</f>
        <v>31651.019674999996</v>
      </c>
      <c r="W37" s="336">
        <f>SUM(W31:W36)</f>
        <v>319</v>
      </c>
      <c r="X37" s="337">
        <f>SUM(X31:X36)</f>
        <v>189</v>
      </c>
    </row>
    <row r="38" spans="2:24" ht="32.1" customHeight="1" thickBot="1">
      <c r="B38" s="338" t="s">
        <v>131</v>
      </c>
      <c r="C38" s="339">
        <f>C30+C37</f>
        <v>82443.219999999987</v>
      </c>
      <c r="D38" s="340">
        <f>D30+D37</f>
        <v>1560.63</v>
      </c>
      <c r="E38" s="340">
        <f t="shared" ref="E38:F38" si="18">E30+E37</f>
        <v>0</v>
      </c>
      <c r="F38" s="340">
        <f t="shared" si="18"/>
        <v>0</v>
      </c>
      <c r="G38" s="341">
        <f>G30+G37</f>
        <v>5815.7</v>
      </c>
      <c r="H38" s="342">
        <f>SUM(C38:G38)</f>
        <v>89819.549999999988</v>
      </c>
      <c r="I38" s="343">
        <f>I30+I37</f>
        <v>9985.0800000000017</v>
      </c>
      <c r="J38" s="343">
        <f>J30+J37</f>
        <v>26746.589999999997</v>
      </c>
      <c r="K38" s="343">
        <f>K30+K37</f>
        <v>0</v>
      </c>
      <c r="L38" s="344">
        <f>SUM(I38:K38)</f>
        <v>36731.67</v>
      </c>
      <c r="M38" s="345">
        <f>M30+M37</f>
        <v>1584.36</v>
      </c>
      <c r="N38" s="346">
        <f>H38+L38+M38</f>
        <v>128135.57999999999</v>
      </c>
      <c r="O38" s="347">
        <f t="shared" si="9"/>
        <v>38761.012949999997</v>
      </c>
      <c r="P38" s="331">
        <f>P30+P37</f>
        <v>0</v>
      </c>
      <c r="Q38" s="348">
        <f>Q30+Q37</f>
        <v>882.94</v>
      </c>
      <c r="R38" s="348">
        <f>R30+R37</f>
        <v>3300.63</v>
      </c>
      <c r="S38" s="332">
        <f>S30+S37</f>
        <v>4183.57</v>
      </c>
      <c r="T38" s="333">
        <f t="shared" ref="T38" si="19">S38*0.3025</f>
        <v>1265.5299249999998</v>
      </c>
      <c r="U38" s="349">
        <f>N38+S38</f>
        <v>132319.15</v>
      </c>
      <c r="V38" s="350">
        <f>O38+T38</f>
        <v>40026.542874999999</v>
      </c>
      <c r="W38" s="351">
        <f>W30+W37</f>
        <v>320</v>
      </c>
      <c r="X38" s="352">
        <f>X30+X37</f>
        <v>228</v>
      </c>
    </row>
    <row r="39" spans="2:24" ht="5.0999999999999996" customHeight="1">
      <c r="O39" s="51"/>
      <c r="P39" s="55"/>
    </row>
    <row r="40" spans="2:24" ht="20.100000000000001" customHeight="1">
      <c r="B40" s="353" t="s">
        <v>171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2:24" ht="9.9499999999999993" customHeight="1"/>
    <row r="42" spans="2:24" ht="30" customHeight="1">
      <c r="I42" s="8"/>
      <c r="J42" s="8"/>
      <c r="N42" s="8"/>
      <c r="O42" s="354"/>
      <c r="P42" s="8"/>
    </row>
    <row r="43" spans="2:24" ht="30" customHeight="1"/>
    <row r="44" spans="2:24" ht="30" customHeight="1">
      <c r="H44" s="51"/>
    </row>
    <row r="45" spans="2:24" ht="30" customHeight="1"/>
    <row r="46" spans="2:24" ht="30" customHeight="1"/>
  </sheetData>
  <mergeCells count="57">
    <mergeCell ref="W25:X26"/>
    <mergeCell ref="C26:H26"/>
    <mergeCell ref="I26:L26"/>
    <mergeCell ref="M26:M27"/>
    <mergeCell ref="N26:O26"/>
    <mergeCell ref="P26:R26"/>
    <mergeCell ref="S26:T26"/>
    <mergeCell ref="U25:V26"/>
    <mergeCell ref="B22:C22"/>
    <mergeCell ref="D22:I22"/>
    <mergeCell ref="B25:B27"/>
    <mergeCell ref="C25:O25"/>
    <mergeCell ref="P25:T25"/>
    <mergeCell ref="B21:C21"/>
    <mergeCell ref="D21:E21"/>
    <mergeCell ref="G21:I21"/>
    <mergeCell ref="B16:C16"/>
    <mergeCell ref="D16:F16"/>
    <mergeCell ref="G16:H16"/>
    <mergeCell ref="B17:C17"/>
    <mergeCell ref="D17:E17"/>
    <mergeCell ref="H17:I17"/>
    <mergeCell ref="B18:C20"/>
    <mergeCell ref="D18:F18"/>
    <mergeCell ref="G18:G20"/>
    <mergeCell ref="D19:F19"/>
    <mergeCell ref="D20:F20"/>
    <mergeCell ref="B14:C14"/>
    <mergeCell ref="D14:F14"/>
    <mergeCell ref="G14:H14"/>
    <mergeCell ref="B15:C15"/>
    <mergeCell ref="D15:F15"/>
    <mergeCell ref="G15:H15"/>
    <mergeCell ref="B10:C10"/>
    <mergeCell ref="D10:F10"/>
    <mergeCell ref="G10:H10"/>
    <mergeCell ref="B11:B13"/>
    <mergeCell ref="D11:F11"/>
    <mergeCell ref="G11:H11"/>
    <mergeCell ref="D12:F12"/>
    <mergeCell ref="G12:H12"/>
    <mergeCell ref="D13:F13"/>
    <mergeCell ref="G13:H13"/>
    <mergeCell ref="B9:C9"/>
    <mergeCell ref="D9:F9"/>
    <mergeCell ref="G9:H9"/>
    <mergeCell ref="B3:C3"/>
    <mergeCell ref="B4:C4"/>
    <mergeCell ref="B5:C5"/>
    <mergeCell ref="D5:F5"/>
    <mergeCell ref="B6:C6"/>
    <mergeCell ref="D6:F6"/>
    <mergeCell ref="G6:H6"/>
    <mergeCell ref="B7:C7"/>
    <mergeCell ref="D7:F7"/>
    <mergeCell ref="B8:C8"/>
    <mergeCell ref="D8:F8"/>
  </mergeCells>
  <phoneticPr fontId="2" type="noConversion"/>
  <pageMargins left="0.7" right="0.7" top="0.75" bottom="0.75" header="0.3" footer="0.3"/>
  <pageSetup paperSize="8" scale="6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B1:Z46"/>
  <sheetViews>
    <sheetView showGridLines="0" zoomScale="70" zoomScaleNormal="70" workbookViewId="0">
      <selection activeCell="J16" sqref="J16"/>
    </sheetView>
  </sheetViews>
  <sheetFormatPr defaultRowHeight="16.5"/>
  <cols>
    <col min="1" max="1" width="3.625" customWidth="1"/>
    <col min="2" max="2" width="15.625" customWidth="1"/>
    <col min="3" max="24" width="11.625" customWidth="1"/>
    <col min="25" max="25" width="3.25" customWidth="1"/>
  </cols>
  <sheetData>
    <row r="1" spans="2:26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2:26" ht="35.1" customHeight="1" thickBot="1">
      <c r="B2" s="78" t="s">
        <v>118</v>
      </c>
      <c r="C2" s="6"/>
      <c r="D2" s="6"/>
      <c r="E2" s="6"/>
      <c r="F2" s="6"/>
      <c r="G2" s="6"/>
      <c r="H2" s="6"/>
      <c r="I2" s="6"/>
      <c r="J2" s="1"/>
      <c r="K2" s="78" t="s">
        <v>119</v>
      </c>
      <c r="L2" s="78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183"/>
      <c r="Z2" s="183"/>
    </row>
    <row r="3" spans="2:26" ht="32.1" customHeight="1">
      <c r="B3" s="486" t="s">
        <v>120</v>
      </c>
      <c r="C3" s="487"/>
      <c r="D3" s="184" t="s">
        <v>172</v>
      </c>
      <c r="E3" s="185"/>
      <c r="F3" s="185"/>
      <c r="G3" s="185"/>
      <c r="H3" s="185"/>
      <c r="I3" s="185"/>
      <c r="J3" s="7"/>
      <c r="K3" s="186"/>
      <c r="L3" s="186"/>
      <c r="M3" s="186"/>
      <c r="N3" s="187"/>
      <c r="O3" s="188"/>
      <c r="P3" s="187"/>
      <c r="Q3" s="188"/>
      <c r="R3" s="188"/>
      <c r="S3" s="189"/>
      <c r="T3" s="189"/>
      <c r="U3" s="189"/>
      <c r="V3" s="189"/>
      <c r="W3" s="189"/>
      <c r="X3" s="189"/>
    </row>
    <row r="4" spans="2:26" ht="32.1" customHeight="1">
      <c r="B4" s="488" t="s">
        <v>121</v>
      </c>
      <c r="C4" s="489"/>
      <c r="D4" s="190" t="s">
        <v>75</v>
      </c>
      <c r="E4" s="191"/>
      <c r="F4" s="192"/>
      <c r="G4" s="193"/>
      <c r="H4" s="193"/>
      <c r="I4" s="193"/>
      <c r="J4" s="7"/>
      <c r="K4" s="194"/>
      <c r="L4" s="194"/>
      <c r="M4" s="194"/>
      <c r="N4" s="195"/>
      <c r="O4" s="196"/>
      <c r="P4" s="195"/>
      <c r="Q4" s="196"/>
      <c r="R4" s="196"/>
      <c r="S4" s="197"/>
      <c r="T4" s="197"/>
      <c r="U4" s="197"/>
      <c r="V4" s="197"/>
      <c r="W4" s="197"/>
      <c r="X4" s="197"/>
    </row>
    <row r="5" spans="2:26" ht="32.1" customHeight="1">
      <c r="B5" s="488" t="s">
        <v>122</v>
      </c>
      <c r="C5" s="489"/>
      <c r="D5" s="490" t="s">
        <v>187</v>
      </c>
      <c r="E5" s="491"/>
      <c r="F5" s="492"/>
      <c r="G5" s="193"/>
      <c r="H5" s="193"/>
      <c r="I5" s="193"/>
      <c r="J5" s="7"/>
      <c r="K5" s="198"/>
      <c r="L5" s="198"/>
      <c r="M5" s="199"/>
      <c r="N5" s="200"/>
      <c r="O5" s="201"/>
      <c r="P5" s="202"/>
      <c r="Q5" s="201"/>
      <c r="R5" s="201"/>
      <c r="S5" s="197"/>
      <c r="T5" s="197"/>
      <c r="U5" s="197"/>
      <c r="V5" s="197"/>
      <c r="W5" s="197"/>
      <c r="X5" s="197"/>
    </row>
    <row r="6" spans="2:26" ht="32.1" customHeight="1">
      <c r="B6" s="488" t="s">
        <v>123</v>
      </c>
      <c r="C6" s="489"/>
      <c r="D6" s="493">
        <v>29799.9</v>
      </c>
      <c r="E6" s="494"/>
      <c r="F6" s="495"/>
      <c r="G6" s="496">
        <f>D6*0.3025</f>
        <v>9014.4697500000002</v>
      </c>
      <c r="H6" s="497"/>
      <c r="I6" s="203"/>
      <c r="J6" s="7"/>
      <c r="K6" s="204"/>
      <c r="L6" s="204"/>
      <c r="M6" s="199"/>
      <c r="N6" s="205"/>
      <c r="O6" s="205"/>
      <c r="P6" s="206"/>
      <c r="Q6" s="205"/>
      <c r="R6" s="205"/>
      <c r="S6" s="197"/>
      <c r="T6" s="197"/>
      <c r="U6" s="197"/>
      <c r="V6" s="197"/>
      <c r="W6" s="197"/>
      <c r="X6" s="197"/>
    </row>
    <row r="7" spans="2:26" ht="32.1" customHeight="1">
      <c r="B7" s="413" t="s">
        <v>124</v>
      </c>
      <c r="C7" s="414"/>
      <c r="D7" s="498" t="s">
        <v>125</v>
      </c>
      <c r="E7" s="499"/>
      <c r="F7" s="499"/>
      <c r="G7" s="364"/>
      <c r="H7" s="207"/>
      <c r="I7" s="208"/>
      <c r="J7" s="7"/>
      <c r="K7" s="204"/>
      <c r="L7" s="204"/>
      <c r="M7" s="199"/>
      <c r="N7" s="205"/>
      <c r="O7" s="205"/>
      <c r="P7" s="206"/>
      <c r="Q7" s="205"/>
      <c r="R7" s="205"/>
      <c r="S7" s="197"/>
      <c r="T7" s="197"/>
      <c r="U7" s="197"/>
      <c r="V7" s="197"/>
      <c r="W7" s="197"/>
      <c r="X7" s="197"/>
    </row>
    <row r="8" spans="2:26" ht="32.1" hidden="1" customHeight="1">
      <c r="B8" s="413" t="s">
        <v>126</v>
      </c>
      <c r="C8" s="414"/>
      <c r="D8" s="500">
        <v>0</v>
      </c>
      <c r="E8" s="501"/>
      <c r="F8" s="502"/>
      <c r="G8" s="364"/>
      <c r="H8" s="207"/>
      <c r="I8" s="208"/>
      <c r="J8" s="7"/>
      <c r="K8" s="204"/>
      <c r="L8" s="204"/>
      <c r="M8" s="199"/>
      <c r="N8" s="205"/>
      <c r="O8" s="205"/>
      <c r="P8" s="206"/>
      <c r="Q8" s="205"/>
      <c r="R8" s="205"/>
      <c r="S8" s="197"/>
      <c r="T8" s="197"/>
      <c r="U8" s="197"/>
      <c r="V8" s="197"/>
      <c r="W8" s="197"/>
      <c r="X8" s="197"/>
    </row>
    <row r="9" spans="2:26" ht="32.1" customHeight="1">
      <c r="B9" s="413" t="s">
        <v>185</v>
      </c>
      <c r="C9" s="414"/>
      <c r="D9" s="481" t="s">
        <v>186</v>
      </c>
      <c r="E9" s="482"/>
      <c r="F9" s="483"/>
      <c r="G9" s="484"/>
      <c r="H9" s="485"/>
      <c r="I9" s="208"/>
      <c r="J9" s="7"/>
      <c r="K9" s="204"/>
      <c r="L9" s="204"/>
      <c r="M9" s="199"/>
      <c r="N9" s="205"/>
      <c r="O9" s="205"/>
      <c r="P9" s="206"/>
      <c r="Q9" s="205"/>
      <c r="R9" s="205"/>
      <c r="S9" s="197"/>
      <c r="T9" s="197"/>
      <c r="U9" s="197"/>
      <c r="V9" s="197"/>
      <c r="W9" s="197"/>
      <c r="X9" s="197"/>
    </row>
    <row r="10" spans="2:26" ht="32.1" customHeight="1">
      <c r="B10" s="503" t="s">
        <v>28</v>
      </c>
      <c r="C10" s="437"/>
      <c r="D10" s="504">
        <v>20844.23</v>
      </c>
      <c r="E10" s="505"/>
      <c r="F10" s="506"/>
      <c r="G10" s="430">
        <f t="shared" ref="G10:G14" si="0">D10*0.3025</f>
        <v>6305.3795749999999</v>
      </c>
      <c r="H10" s="431"/>
      <c r="I10" s="207"/>
      <c r="J10" s="7"/>
      <c r="K10" s="209"/>
      <c r="L10" s="204"/>
      <c r="M10" s="199"/>
      <c r="N10" s="205"/>
      <c r="O10" s="205"/>
      <c r="P10" s="206"/>
      <c r="Q10" s="205"/>
      <c r="R10" s="205"/>
      <c r="S10" s="197"/>
      <c r="T10" s="197"/>
      <c r="U10" s="197"/>
      <c r="V10" s="197"/>
      <c r="W10" s="197"/>
      <c r="X10" s="197"/>
    </row>
    <row r="11" spans="2:26" ht="32.1" customHeight="1">
      <c r="B11" s="507" t="s">
        <v>7</v>
      </c>
      <c r="C11" s="54" t="s">
        <v>11</v>
      </c>
      <c r="D11" s="509">
        <f>U37</f>
        <v>104631.46999999999</v>
      </c>
      <c r="E11" s="510"/>
      <c r="F11" s="511"/>
      <c r="G11" s="512">
        <f t="shared" si="0"/>
        <v>31651.019674999996</v>
      </c>
      <c r="H11" s="513"/>
      <c r="I11" s="356"/>
      <c r="J11" s="7"/>
      <c r="K11" s="204"/>
      <c r="L11" s="204"/>
      <c r="M11" s="199"/>
      <c r="N11" s="205"/>
      <c r="O11" s="205"/>
      <c r="P11" s="206"/>
      <c r="Q11" s="205"/>
      <c r="R11" s="205"/>
      <c r="S11" s="197"/>
      <c r="T11" s="197"/>
      <c r="U11" s="197"/>
      <c r="V11" s="197"/>
      <c r="W11" s="197"/>
      <c r="X11" s="197"/>
    </row>
    <row r="12" spans="2:26" ht="32.1" customHeight="1">
      <c r="B12" s="508"/>
      <c r="C12" s="54" t="s">
        <v>12</v>
      </c>
      <c r="D12" s="509">
        <f>U30</f>
        <v>27687.68</v>
      </c>
      <c r="E12" s="510"/>
      <c r="F12" s="511"/>
      <c r="G12" s="512">
        <f t="shared" si="0"/>
        <v>8375.5231999999996</v>
      </c>
      <c r="H12" s="513"/>
      <c r="I12" s="356"/>
      <c r="J12" s="7"/>
      <c r="K12" s="204"/>
      <c r="L12" s="204"/>
      <c r="M12" s="199"/>
      <c r="N12" s="205"/>
      <c r="O12" s="205"/>
      <c r="P12" s="206"/>
      <c r="Q12" s="205"/>
      <c r="R12" s="205"/>
      <c r="S12" s="197"/>
      <c r="T12" s="197"/>
      <c r="U12" s="197"/>
      <c r="V12" s="197"/>
      <c r="W12" s="197"/>
      <c r="X12" s="197"/>
    </row>
    <row r="13" spans="2:26" ht="32.1" customHeight="1">
      <c r="B13" s="508"/>
      <c r="C13" s="210" t="s">
        <v>131</v>
      </c>
      <c r="D13" s="514">
        <f>SUM(D11:F12)</f>
        <v>132319.15</v>
      </c>
      <c r="E13" s="515"/>
      <c r="F13" s="516"/>
      <c r="G13" s="517">
        <f t="shared" si="0"/>
        <v>40026.542874999999</v>
      </c>
      <c r="H13" s="518"/>
      <c r="I13" s="211"/>
      <c r="J13" s="7"/>
      <c r="K13" s="204"/>
      <c r="L13" s="204"/>
      <c r="M13" s="199"/>
      <c r="N13" s="205"/>
      <c r="O13" s="205"/>
      <c r="P13" s="206"/>
      <c r="Q13" s="205"/>
      <c r="R13" s="205"/>
      <c r="S13" s="197"/>
      <c r="T13" s="197"/>
      <c r="U13" s="197"/>
      <c r="V13" s="197"/>
      <c r="W13" s="197"/>
      <c r="X13" s="197"/>
    </row>
    <row r="14" spans="2:26" ht="32.1" customHeight="1">
      <c r="B14" s="413" t="s">
        <v>132</v>
      </c>
      <c r="C14" s="414"/>
      <c r="D14" s="509">
        <f>U38-H30-L30-M30-S30-L37</f>
        <v>72536.67</v>
      </c>
      <c r="E14" s="510"/>
      <c r="F14" s="511"/>
      <c r="G14" s="512">
        <f t="shared" si="0"/>
        <v>21942.342675</v>
      </c>
      <c r="H14" s="513"/>
      <c r="I14" s="208"/>
      <c r="J14" s="7"/>
      <c r="K14" s="204"/>
      <c r="L14" s="212"/>
      <c r="M14" s="199"/>
      <c r="N14" s="205"/>
      <c r="O14" s="205"/>
      <c r="P14" s="206"/>
      <c r="Q14" s="205"/>
      <c r="R14" s="205"/>
      <c r="S14" s="197"/>
      <c r="T14" s="197"/>
      <c r="U14" s="197"/>
      <c r="V14" s="197"/>
      <c r="W14" s="197"/>
      <c r="X14" s="197"/>
    </row>
    <row r="15" spans="2:26" ht="32.1" customHeight="1">
      <c r="B15" s="519" t="s">
        <v>30</v>
      </c>
      <c r="C15" s="520"/>
      <c r="D15" s="521">
        <f>D10/D6</f>
        <v>0.69947315259447174</v>
      </c>
      <c r="E15" s="522"/>
      <c r="F15" s="523"/>
      <c r="G15" s="524" t="s">
        <v>70</v>
      </c>
      <c r="H15" s="525"/>
      <c r="I15" s="211"/>
      <c r="J15" s="7"/>
      <c r="K15" s="204"/>
      <c r="L15" s="204"/>
      <c r="M15" s="199"/>
      <c r="N15" s="205"/>
      <c r="O15" s="205"/>
      <c r="P15" s="206"/>
      <c r="Q15" s="205"/>
      <c r="R15" s="205"/>
      <c r="S15" s="197"/>
      <c r="T15" s="197"/>
      <c r="U15" s="197"/>
      <c r="V15" s="197"/>
      <c r="W15" s="197"/>
      <c r="X15" s="197"/>
    </row>
    <row r="16" spans="2:26" ht="32.1" customHeight="1">
      <c r="B16" s="519" t="s">
        <v>31</v>
      </c>
      <c r="C16" s="520"/>
      <c r="D16" s="531">
        <f>D14/D6</f>
        <v>2.4341246111564132</v>
      </c>
      <c r="E16" s="532"/>
      <c r="F16" s="532"/>
      <c r="G16" s="524" t="s">
        <v>76</v>
      </c>
      <c r="H16" s="525"/>
      <c r="I16" s="211"/>
      <c r="J16" s="7"/>
      <c r="K16" s="204"/>
      <c r="L16" s="204"/>
      <c r="M16" s="199"/>
      <c r="N16" s="205"/>
      <c r="O16" s="205"/>
      <c r="P16" s="206"/>
      <c r="Q16" s="205"/>
      <c r="R16" s="205"/>
      <c r="S16" s="197"/>
      <c r="T16" s="197"/>
      <c r="U16" s="197"/>
      <c r="V16" s="197"/>
      <c r="W16" s="197"/>
      <c r="X16" s="197"/>
    </row>
    <row r="17" spans="2:24" ht="32.1" customHeight="1">
      <c r="B17" s="533" t="s">
        <v>135</v>
      </c>
      <c r="C17" s="534"/>
      <c r="D17" s="535">
        <f>U38-L38</f>
        <v>95587.48</v>
      </c>
      <c r="E17" s="536"/>
      <c r="F17" s="357">
        <f>D17/D13</f>
        <v>0.7224009525454177</v>
      </c>
      <c r="G17" s="213"/>
      <c r="H17" s="537" t="s">
        <v>136</v>
      </c>
      <c r="I17" s="537"/>
      <c r="J17" s="7"/>
      <c r="K17" s="204"/>
      <c r="L17" s="204"/>
      <c r="M17" s="199"/>
      <c r="N17" s="205"/>
      <c r="O17" s="205"/>
      <c r="P17" s="206"/>
      <c r="Q17" s="205"/>
      <c r="R17" s="205"/>
      <c r="S17" s="197"/>
      <c r="T17" s="197"/>
      <c r="U17" s="197"/>
      <c r="V17" s="197"/>
      <c r="W17" s="197"/>
      <c r="X17" s="197"/>
    </row>
    <row r="18" spans="2:24" ht="32.1" customHeight="1">
      <c r="B18" s="413" t="s">
        <v>137</v>
      </c>
      <c r="C18" s="455"/>
      <c r="D18" s="538">
        <f>U38-L38</f>
        <v>95587.48</v>
      </c>
      <c r="E18" s="539"/>
      <c r="F18" s="539"/>
      <c r="G18" s="540" t="s">
        <v>138</v>
      </c>
      <c r="H18" s="358" t="s">
        <v>113</v>
      </c>
      <c r="I18" s="359">
        <f>W38</f>
        <v>354</v>
      </c>
      <c r="J18" s="7"/>
      <c r="K18" s="204"/>
      <c r="L18" s="204"/>
      <c r="M18" s="199"/>
      <c r="N18" s="205"/>
      <c r="O18" s="205"/>
      <c r="P18" s="205"/>
      <c r="Q18" s="205"/>
      <c r="R18" s="205"/>
      <c r="S18" s="197"/>
      <c r="T18" s="197"/>
      <c r="U18" s="197"/>
      <c r="V18" s="197"/>
      <c r="W18" s="197"/>
      <c r="X18" s="197"/>
    </row>
    <row r="19" spans="2:24" ht="32.1" customHeight="1">
      <c r="B19" s="456"/>
      <c r="C19" s="457"/>
      <c r="D19" s="543">
        <f>D18/400</f>
        <v>238.96869999999998</v>
      </c>
      <c r="E19" s="544"/>
      <c r="F19" s="545"/>
      <c r="G19" s="541"/>
      <c r="H19" s="360" t="s">
        <v>139</v>
      </c>
      <c r="I19" s="361">
        <f>X38</f>
        <v>228</v>
      </c>
      <c r="J19" s="7"/>
      <c r="K19" s="204"/>
      <c r="L19" s="204"/>
      <c r="M19" s="199"/>
      <c r="N19" s="205"/>
      <c r="O19" s="205"/>
      <c r="P19" s="205"/>
      <c r="Q19" s="205"/>
      <c r="R19" s="205"/>
      <c r="S19" s="197"/>
      <c r="T19" s="197"/>
      <c r="U19" s="197"/>
      <c r="V19" s="197"/>
      <c r="W19" s="197"/>
      <c r="X19" s="197"/>
    </row>
    <row r="20" spans="2:24" ht="32.1" customHeight="1">
      <c r="B20" s="458"/>
      <c r="C20" s="459"/>
      <c r="D20" s="546"/>
      <c r="E20" s="547"/>
      <c r="F20" s="548"/>
      <c r="G20" s="542"/>
      <c r="H20" s="362" t="s">
        <v>140</v>
      </c>
      <c r="I20" s="363">
        <f>I18+I19</f>
        <v>582</v>
      </c>
      <c r="J20" s="7"/>
      <c r="K20" s="204"/>
      <c r="L20" s="204"/>
      <c r="M20" s="199"/>
      <c r="N20" s="205"/>
      <c r="O20" s="205"/>
      <c r="P20" s="205"/>
      <c r="Q20" s="205"/>
      <c r="R20" s="205"/>
      <c r="S20" s="197"/>
      <c r="T20" s="197"/>
      <c r="U20" s="197"/>
      <c r="V20" s="197"/>
      <c r="W20" s="197"/>
      <c r="X20" s="197"/>
    </row>
    <row r="21" spans="2:24" ht="52.5" customHeight="1">
      <c r="B21" s="423" t="s">
        <v>141</v>
      </c>
      <c r="C21" s="526"/>
      <c r="D21" s="527">
        <v>3791.95</v>
      </c>
      <c r="E21" s="528"/>
      <c r="F21" s="214">
        <f>D21/D6</f>
        <v>0.12724707129889695</v>
      </c>
      <c r="G21" s="529" t="s">
        <v>184</v>
      </c>
      <c r="H21" s="530"/>
      <c r="I21" s="530"/>
      <c r="J21" s="7"/>
      <c r="K21" s="204"/>
      <c r="L21" s="204"/>
      <c r="M21" s="199"/>
      <c r="N21" s="205"/>
      <c r="O21" s="205"/>
      <c r="P21" s="205"/>
      <c r="Q21" s="205"/>
      <c r="R21" s="205"/>
      <c r="S21" s="197"/>
      <c r="T21" s="197"/>
      <c r="U21" s="197"/>
      <c r="V21" s="197"/>
      <c r="W21" s="197"/>
      <c r="X21" s="197"/>
    </row>
    <row r="22" spans="2:24" ht="32.1" customHeight="1" thickBot="1">
      <c r="B22" s="549" t="s">
        <v>142</v>
      </c>
      <c r="C22" s="550"/>
      <c r="D22" s="551" t="s">
        <v>99</v>
      </c>
      <c r="E22" s="552"/>
      <c r="F22" s="552"/>
      <c r="G22" s="552"/>
      <c r="H22" s="552"/>
      <c r="I22" s="552"/>
      <c r="J22" s="7"/>
      <c r="K22" s="215"/>
      <c r="L22" s="215"/>
      <c r="M22" s="216"/>
      <c r="N22" s="217"/>
      <c r="O22" s="217"/>
      <c r="P22" s="217"/>
      <c r="Q22" s="217"/>
      <c r="R22" s="217"/>
      <c r="S22" s="218"/>
      <c r="T22" s="218"/>
      <c r="U22" s="218"/>
      <c r="V22" s="218"/>
      <c r="W22" s="218"/>
      <c r="X22" s="218"/>
    </row>
    <row r="23" spans="2:24" ht="35.1" customHeight="1" thickTop="1">
      <c r="B23" s="5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2:24" ht="35.1" customHeight="1" thickBot="1">
      <c r="B24" s="75" t="s">
        <v>143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2:24" ht="32.1" customHeight="1">
      <c r="B25" s="553" t="s">
        <v>144</v>
      </c>
      <c r="C25" s="556" t="s">
        <v>145</v>
      </c>
      <c r="D25" s="557"/>
      <c r="E25" s="557"/>
      <c r="F25" s="557"/>
      <c r="G25" s="557"/>
      <c r="H25" s="557"/>
      <c r="I25" s="557"/>
      <c r="J25" s="557"/>
      <c r="K25" s="557"/>
      <c r="L25" s="557"/>
      <c r="M25" s="557"/>
      <c r="N25" s="557"/>
      <c r="O25" s="558"/>
      <c r="P25" s="559" t="s">
        <v>146</v>
      </c>
      <c r="Q25" s="560"/>
      <c r="R25" s="560"/>
      <c r="S25" s="560"/>
      <c r="T25" s="561"/>
      <c r="U25" s="578" t="s">
        <v>147</v>
      </c>
      <c r="V25" s="579"/>
      <c r="W25" s="562" t="s">
        <v>148</v>
      </c>
      <c r="X25" s="563"/>
    </row>
    <row r="26" spans="2:24" ht="32.1" customHeight="1">
      <c r="B26" s="554"/>
      <c r="C26" s="566" t="s">
        <v>149</v>
      </c>
      <c r="D26" s="567"/>
      <c r="E26" s="567"/>
      <c r="F26" s="567"/>
      <c r="G26" s="567"/>
      <c r="H26" s="567"/>
      <c r="I26" s="568" t="s">
        <v>150</v>
      </c>
      <c r="J26" s="568"/>
      <c r="K26" s="568"/>
      <c r="L26" s="568"/>
      <c r="M26" s="569" t="s">
        <v>151</v>
      </c>
      <c r="N26" s="571" t="s">
        <v>152</v>
      </c>
      <c r="O26" s="572"/>
      <c r="P26" s="573" t="s">
        <v>153</v>
      </c>
      <c r="Q26" s="574"/>
      <c r="R26" s="575"/>
      <c r="S26" s="576" t="s">
        <v>154</v>
      </c>
      <c r="T26" s="577"/>
      <c r="U26" s="580"/>
      <c r="V26" s="581"/>
      <c r="W26" s="564"/>
      <c r="X26" s="565"/>
    </row>
    <row r="27" spans="2:24" ht="41.25" customHeight="1" thickBot="1">
      <c r="B27" s="555"/>
      <c r="C27" s="141" t="s">
        <v>125</v>
      </c>
      <c r="D27" s="219" t="s">
        <v>155</v>
      </c>
      <c r="E27" s="219" t="s">
        <v>156</v>
      </c>
      <c r="F27" s="23" t="s">
        <v>157</v>
      </c>
      <c r="G27" s="22" t="s">
        <v>158</v>
      </c>
      <c r="H27" s="220" t="s">
        <v>159</v>
      </c>
      <c r="I27" s="221" t="s">
        <v>54</v>
      </c>
      <c r="J27" s="221" t="s">
        <v>161</v>
      </c>
      <c r="K27" s="221" t="s">
        <v>162</v>
      </c>
      <c r="L27" s="222" t="s">
        <v>159</v>
      </c>
      <c r="M27" s="570"/>
      <c r="N27" s="223" t="s">
        <v>4</v>
      </c>
      <c r="O27" s="224" t="s">
        <v>164</v>
      </c>
      <c r="P27" s="225" t="s">
        <v>165</v>
      </c>
      <c r="Q27" s="226" t="s">
        <v>166</v>
      </c>
      <c r="R27" s="226" t="s">
        <v>114</v>
      </c>
      <c r="S27" s="227" t="s">
        <v>4</v>
      </c>
      <c r="T27" s="228" t="s">
        <v>164</v>
      </c>
      <c r="U27" s="229" t="s">
        <v>4</v>
      </c>
      <c r="V27" s="230" t="s">
        <v>164</v>
      </c>
      <c r="W27" s="231" t="s">
        <v>115</v>
      </c>
      <c r="X27" s="232" t="s">
        <v>98</v>
      </c>
    </row>
    <row r="28" spans="2:24" ht="32.1" customHeight="1">
      <c r="B28" s="233" t="s">
        <v>176</v>
      </c>
      <c r="C28" s="234">
        <f>15290.17-18</f>
        <v>15272.17</v>
      </c>
      <c r="D28" s="235">
        <v>234.66</v>
      </c>
      <c r="E28" s="235">
        <v>0</v>
      </c>
      <c r="F28" s="236">
        <v>0</v>
      </c>
      <c r="G28" s="237">
        <f>492.48-18</f>
        <v>474.48</v>
      </c>
      <c r="H28" s="238">
        <f t="shared" ref="H28:H36" si="1">SUM(C28:G28)</f>
        <v>15981.31</v>
      </c>
      <c r="I28" s="239">
        <v>1719.38</v>
      </c>
      <c r="J28" s="239">
        <v>2917.49</v>
      </c>
      <c r="K28" s="239">
        <v>0</v>
      </c>
      <c r="L28" s="240">
        <f>SUM(I28:K28)</f>
        <v>4636.87</v>
      </c>
      <c r="M28" s="241">
        <v>1584.36</v>
      </c>
      <c r="N28" s="242">
        <f>M28+L28+H28</f>
        <v>22202.54</v>
      </c>
      <c r="O28" s="243">
        <f>N28*0.3025</f>
        <v>6716.2683500000003</v>
      </c>
      <c r="P28" s="244">
        <v>0</v>
      </c>
      <c r="Q28" s="245">
        <v>0</v>
      </c>
      <c r="R28" s="245">
        <v>0</v>
      </c>
      <c r="S28" s="246">
        <f t="shared" ref="S28:S36" si="2">SUM(P28:R28)</f>
        <v>0</v>
      </c>
      <c r="T28" s="247">
        <f>S28*0.3025</f>
        <v>0</v>
      </c>
      <c r="U28" s="248">
        <f t="shared" ref="U28:V31" si="3">S28+N28</f>
        <v>22202.54</v>
      </c>
      <c r="V28" s="249">
        <f t="shared" si="3"/>
        <v>6716.2683500000003</v>
      </c>
      <c r="W28" s="250">
        <v>1</v>
      </c>
      <c r="X28" s="251">
        <v>39</v>
      </c>
    </row>
    <row r="29" spans="2:24" ht="32.1" customHeight="1">
      <c r="B29" s="252" t="s">
        <v>175</v>
      </c>
      <c r="C29" s="253">
        <v>0</v>
      </c>
      <c r="D29" s="254">
        <v>0</v>
      </c>
      <c r="E29" s="254">
        <v>0</v>
      </c>
      <c r="F29" s="255">
        <v>0</v>
      </c>
      <c r="G29" s="256">
        <f>1319.57-18</f>
        <v>1301.57</v>
      </c>
      <c r="H29" s="257">
        <f t="shared" si="1"/>
        <v>1301.57</v>
      </c>
      <c r="I29" s="258">
        <v>0</v>
      </c>
      <c r="J29" s="258">
        <v>0</v>
      </c>
      <c r="K29" s="258">
        <v>0</v>
      </c>
      <c r="L29" s="259">
        <f>SUM(I29:K29)</f>
        <v>0</v>
      </c>
      <c r="M29" s="260">
        <v>0</v>
      </c>
      <c r="N29" s="261">
        <f>M29+L29+H29</f>
        <v>1301.57</v>
      </c>
      <c r="O29" s="262">
        <f>N29*0.3025</f>
        <v>393.72492499999998</v>
      </c>
      <c r="P29" s="263">
        <v>0</v>
      </c>
      <c r="Q29" s="264">
        <v>882.94</v>
      </c>
      <c r="R29" s="264">
        <f>3312.63-12</f>
        <v>3300.63</v>
      </c>
      <c r="S29" s="265">
        <f>SUM(P29:R29)</f>
        <v>4183.57</v>
      </c>
      <c r="T29" s="247">
        <f>S29*0.3025</f>
        <v>1265.5299249999998</v>
      </c>
      <c r="U29" s="248">
        <f t="shared" si="3"/>
        <v>5485.1399999999994</v>
      </c>
      <c r="V29" s="249">
        <f t="shared" si="3"/>
        <v>1659.2548499999998</v>
      </c>
      <c r="W29" s="266" t="s">
        <v>99</v>
      </c>
      <c r="X29" s="267" t="s">
        <v>99</v>
      </c>
    </row>
    <row r="30" spans="2:24" ht="32.1" customHeight="1" thickBot="1">
      <c r="B30" s="268" t="s">
        <v>116</v>
      </c>
      <c r="C30" s="269">
        <f>C28+C29</f>
        <v>15272.17</v>
      </c>
      <c r="D30" s="270">
        <f t="shared" ref="D30:G30" si="4">D28+D29</f>
        <v>234.66</v>
      </c>
      <c r="E30" s="270">
        <f t="shared" si="4"/>
        <v>0</v>
      </c>
      <c r="F30" s="270">
        <f t="shared" si="4"/>
        <v>0</v>
      </c>
      <c r="G30" s="270">
        <f t="shared" si="4"/>
        <v>1776.05</v>
      </c>
      <c r="H30" s="271">
        <f t="shared" si="1"/>
        <v>17282.88</v>
      </c>
      <c r="I30" s="272">
        <f>SUM(I28:I29)</f>
        <v>1719.38</v>
      </c>
      <c r="J30" s="272">
        <f t="shared" ref="J30:K30" si="5">SUM(J28:J29)</f>
        <v>2917.49</v>
      </c>
      <c r="K30" s="272">
        <f t="shared" si="5"/>
        <v>0</v>
      </c>
      <c r="L30" s="273">
        <f>SUM(I30:K30)</f>
        <v>4636.87</v>
      </c>
      <c r="M30" s="274">
        <f>SUM(M28:M29)</f>
        <v>1584.36</v>
      </c>
      <c r="N30" s="275">
        <f>H30+L30+M30</f>
        <v>23504.11</v>
      </c>
      <c r="O30" s="276">
        <f>N30*0.3025</f>
        <v>7109.9932749999998</v>
      </c>
      <c r="P30" s="277">
        <f>SUM(P28:P29)</f>
        <v>0</v>
      </c>
      <c r="Q30" s="277">
        <f t="shared" ref="Q30:R30" si="6">SUM(Q28:Q29)</f>
        <v>882.94</v>
      </c>
      <c r="R30" s="277">
        <f t="shared" si="6"/>
        <v>3300.63</v>
      </c>
      <c r="S30" s="278">
        <f>SUM(P30:R30)</f>
        <v>4183.57</v>
      </c>
      <c r="T30" s="279">
        <f>S30*0.3025</f>
        <v>1265.5299249999998</v>
      </c>
      <c r="U30" s="280">
        <f t="shared" si="3"/>
        <v>27687.68</v>
      </c>
      <c r="V30" s="281">
        <f t="shared" si="3"/>
        <v>8375.5231999999996</v>
      </c>
      <c r="W30" s="282">
        <f>SUM(W28:W29)</f>
        <v>1</v>
      </c>
      <c r="X30" s="283">
        <f>SUM(X28:X29)</f>
        <v>39</v>
      </c>
    </row>
    <row r="31" spans="2:24" ht="32.1" customHeight="1">
      <c r="B31" s="284" t="s">
        <v>177</v>
      </c>
      <c r="C31" s="285">
        <f>13452.21-18</f>
        <v>13434.21</v>
      </c>
      <c r="D31" s="286">
        <v>357.09</v>
      </c>
      <c r="E31" s="286">
        <v>0</v>
      </c>
      <c r="F31" s="287">
        <v>0</v>
      </c>
      <c r="G31" s="288">
        <f>825.93-18</f>
        <v>807.93</v>
      </c>
      <c r="H31" s="289">
        <f>SUM(C31:G31)</f>
        <v>14599.23</v>
      </c>
      <c r="I31" s="290">
        <v>1653.14</v>
      </c>
      <c r="J31" s="290">
        <v>4765.82</v>
      </c>
      <c r="K31" s="290">
        <v>0</v>
      </c>
      <c r="L31" s="291">
        <f>SUM(I31:K31)</f>
        <v>6418.96</v>
      </c>
      <c r="M31" s="292">
        <v>0</v>
      </c>
      <c r="N31" s="293">
        <f>H31+L31+M31</f>
        <v>21018.19</v>
      </c>
      <c r="O31" s="294">
        <f>N31*0.3025</f>
        <v>6358.0024749999993</v>
      </c>
      <c r="P31" s="295">
        <v>0</v>
      </c>
      <c r="Q31" s="296">
        <v>0</v>
      </c>
      <c r="R31" s="296">
        <v>0</v>
      </c>
      <c r="S31" s="297">
        <f t="shared" si="2"/>
        <v>0</v>
      </c>
      <c r="T31" s="298">
        <f>S31*0.3025</f>
        <v>0</v>
      </c>
      <c r="U31" s="299">
        <f>S31+N31</f>
        <v>21018.19</v>
      </c>
      <c r="V31" s="300">
        <f t="shared" si="3"/>
        <v>6358.0024749999993</v>
      </c>
      <c r="W31" s="301">
        <v>60</v>
      </c>
      <c r="X31" s="302">
        <v>37</v>
      </c>
    </row>
    <row r="32" spans="2:24" ht="32.1" customHeight="1">
      <c r="B32" s="303" t="s">
        <v>178</v>
      </c>
      <c r="C32" s="304">
        <f>13452.21-18</f>
        <v>13434.21</v>
      </c>
      <c r="D32" s="305">
        <v>242.22</v>
      </c>
      <c r="E32" s="305">
        <v>0</v>
      </c>
      <c r="F32" s="306">
        <v>0</v>
      </c>
      <c r="G32" s="307">
        <f>825.93-18</f>
        <v>807.93</v>
      </c>
      <c r="H32" s="308">
        <f t="shared" si="1"/>
        <v>14484.359999999999</v>
      </c>
      <c r="I32" s="309">
        <v>1653.14</v>
      </c>
      <c r="J32" s="309">
        <v>4765.82</v>
      </c>
      <c r="K32" s="309">
        <v>0</v>
      </c>
      <c r="L32" s="310">
        <f>SUM(I32:K32)</f>
        <v>6418.96</v>
      </c>
      <c r="M32" s="311">
        <v>0</v>
      </c>
      <c r="N32" s="261">
        <f>H32+L32+M32</f>
        <v>20903.32</v>
      </c>
      <c r="O32" s="262">
        <f>N32*0.3025</f>
        <v>6323.2542999999996</v>
      </c>
      <c r="P32" s="312">
        <v>0</v>
      </c>
      <c r="Q32" s="313">
        <v>0</v>
      </c>
      <c r="R32" s="313">
        <v>0</v>
      </c>
      <c r="S32" s="314">
        <f t="shared" si="2"/>
        <v>0</v>
      </c>
      <c r="T32" s="315">
        <f>S32*0.3025</f>
        <v>0</v>
      </c>
      <c r="U32" s="316">
        <f>N32+S32</f>
        <v>20903.32</v>
      </c>
      <c r="V32" s="317">
        <f>O32+T32</f>
        <v>6323.2542999999996</v>
      </c>
      <c r="W32" s="318" t="s">
        <v>99</v>
      </c>
      <c r="X32" s="319">
        <v>38</v>
      </c>
    </row>
    <row r="33" spans="2:24" ht="32.1" customHeight="1">
      <c r="B33" s="303" t="s">
        <v>169</v>
      </c>
      <c r="C33" s="304">
        <f>13452.21-18</f>
        <v>13434.21</v>
      </c>
      <c r="D33" s="305">
        <v>242.22</v>
      </c>
      <c r="E33" s="305">
        <v>0</v>
      </c>
      <c r="F33" s="306">
        <v>0</v>
      </c>
      <c r="G33" s="307">
        <f>825.93-18</f>
        <v>807.93</v>
      </c>
      <c r="H33" s="308">
        <f t="shared" si="1"/>
        <v>14484.359999999999</v>
      </c>
      <c r="I33" s="309">
        <v>1653.14</v>
      </c>
      <c r="J33" s="309">
        <v>4765.82</v>
      </c>
      <c r="K33" s="309">
        <v>0</v>
      </c>
      <c r="L33" s="310">
        <f t="shared" ref="L33:L37" si="7">SUM(I33:K33)</f>
        <v>6418.96</v>
      </c>
      <c r="M33" s="311">
        <v>0</v>
      </c>
      <c r="N33" s="261">
        <f t="shared" ref="N33:N36" si="8">H33+L33+M33</f>
        <v>20903.32</v>
      </c>
      <c r="O33" s="262">
        <f t="shared" ref="O33:O38" si="9">N33*0.3025</f>
        <v>6323.2542999999996</v>
      </c>
      <c r="P33" s="312">
        <v>0</v>
      </c>
      <c r="Q33" s="313">
        <v>0</v>
      </c>
      <c r="R33" s="313">
        <v>0</v>
      </c>
      <c r="S33" s="314">
        <f t="shared" si="2"/>
        <v>0</v>
      </c>
      <c r="T33" s="315">
        <f t="shared" ref="T33:T36" si="10">S33*0.3025</f>
        <v>0</v>
      </c>
      <c r="U33" s="316">
        <f>N33+S33</f>
        <v>20903.32</v>
      </c>
      <c r="V33" s="317">
        <f>O33+T33</f>
        <v>6323.2542999999996</v>
      </c>
      <c r="W33" s="318" t="s">
        <v>99</v>
      </c>
      <c r="X33" s="319">
        <v>38</v>
      </c>
    </row>
    <row r="34" spans="2:24" ht="32.1" customHeight="1">
      <c r="B34" s="303" t="s">
        <v>179</v>
      </c>
      <c r="C34" s="304">
        <f>13452.21-18</f>
        <v>13434.21</v>
      </c>
      <c r="D34" s="305">
        <v>242.22</v>
      </c>
      <c r="E34" s="305">
        <v>0</v>
      </c>
      <c r="F34" s="306">
        <v>0</v>
      </c>
      <c r="G34" s="307">
        <f>825.93-18</f>
        <v>807.93</v>
      </c>
      <c r="H34" s="308">
        <f t="shared" si="1"/>
        <v>14484.359999999999</v>
      </c>
      <c r="I34" s="309">
        <v>1653.14</v>
      </c>
      <c r="J34" s="355">
        <v>4765.82</v>
      </c>
      <c r="K34" s="355">
        <v>0</v>
      </c>
      <c r="L34" s="240">
        <f t="shared" si="7"/>
        <v>6418.96</v>
      </c>
      <c r="M34" s="241">
        <v>0</v>
      </c>
      <c r="N34" s="261">
        <f t="shared" si="8"/>
        <v>20903.32</v>
      </c>
      <c r="O34" s="262">
        <f t="shared" si="9"/>
        <v>6323.2542999999996</v>
      </c>
      <c r="P34" s="312">
        <v>0</v>
      </c>
      <c r="Q34" s="313">
        <v>0</v>
      </c>
      <c r="R34" s="313">
        <v>0</v>
      </c>
      <c r="S34" s="314">
        <f t="shared" si="2"/>
        <v>0</v>
      </c>
      <c r="T34" s="315">
        <f t="shared" si="10"/>
        <v>0</v>
      </c>
      <c r="U34" s="316">
        <f t="shared" ref="U34:V36" si="11">N34+S34</f>
        <v>20903.32</v>
      </c>
      <c r="V34" s="317">
        <f t="shared" si="11"/>
        <v>6323.2542999999996</v>
      </c>
      <c r="W34" s="250" t="s">
        <v>99</v>
      </c>
      <c r="X34" s="251">
        <v>38</v>
      </c>
    </row>
    <row r="35" spans="2:24" ht="32.1" customHeight="1">
      <c r="B35" s="303" t="s">
        <v>180</v>
      </c>
      <c r="C35" s="304">
        <f>13452.21-18</f>
        <v>13434.21</v>
      </c>
      <c r="D35" s="305">
        <v>242.22</v>
      </c>
      <c r="E35" s="305">
        <v>0</v>
      </c>
      <c r="F35" s="306">
        <v>0</v>
      </c>
      <c r="G35" s="307">
        <f>825.93-18</f>
        <v>807.93</v>
      </c>
      <c r="H35" s="308">
        <f t="shared" si="1"/>
        <v>14484.359999999999</v>
      </c>
      <c r="I35" s="309">
        <v>1653.14</v>
      </c>
      <c r="J35" s="355">
        <v>4765.82</v>
      </c>
      <c r="K35" s="355">
        <v>0</v>
      </c>
      <c r="L35" s="240">
        <f t="shared" si="7"/>
        <v>6418.96</v>
      </c>
      <c r="M35" s="241">
        <v>0</v>
      </c>
      <c r="N35" s="261">
        <f t="shared" si="8"/>
        <v>20903.32</v>
      </c>
      <c r="O35" s="262">
        <f t="shared" si="9"/>
        <v>6323.2542999999996</v>
      </c>
      <c r="P35" s="312">
        <v>0</v>
      </c>
      <c r="Q35" s="313">
        <v>0</v>
      </c>
      <c r="R35" s="313">
        <v>0</v>
      </c>
      <c r="S35" s="314">
        <f t="shared" si="2"/>
        <v>0</v>
      </c>
      <c r="T35" s="315">
        <f t="shared" si="10"/>
        <v>0</v>
      </c>
      <c r="U35" s="316">
        <f t="shared" si="11"/>
        <v>20903.32</v>
      </c>
      <c r="V35" s="317">
        <f t="shared" si="11"/>
        <v>6323.2542999999996</v>
      </c>
      <c r="W35" s="250" t="s">
        <v>99</v>
      </c>
      <c r="X35" s="251">
        <v>38</v>
      </c>
    </row>
    <row r="36" spans="2:24" ht="32.1" customHeight="1">
      <c r="B36" s="303" t="s">
        <v>96</v>
      </c>
      <c r="C36" s="234">
        <v>0</v>
      </c>
      <c r="D36" s="235">
        <v>0</v>
      </c>
      <c r="E36" s="235">
        <v>0</v>
      </c>
      <c r="F36" s="236">
        <v>0</v>
      </c>
      <c r="G36" s="237">
        <v>0</v>
      </c>
      <c r="H36" s="308">
        <f t="shared" si="1"/>
        <v>0</v>
      </c>
      <c r="I36" s="239">
        <v>0</v>
      </c>
      <c r="J36" s="239">
        <v>0</v>
      </c>
      <c r="K36" s="239">
        <v>0</v>
      </c>
      <c r="L36" s="240">
        <f t="shared" si="7"/>
        <v>0</v>
      </c>
      <c r="M36" s="241">
        <v>0</v>
      </c>
      <c r="N36" s="261">
        <f t="shared" si="8"/>
        <v>0</v>
      </c>
      <c r="O36" s="262">
        <f t="shared" si="9"/>
        <v>0</v>
      </c>
      <c r="P36" s="320">
        <v>0</v>
      </c>
      <c r="Q36" s="313">
        <v>0</v>
      </c>
      <c r="R36" s="313">
        <v>0</v>
      </c>
      <c r="S36" s="314">
        <f t="shared" si="2"/>
        <v>0</v>
      </c>
      <c r="T36" s="321">
        <f t="shared" si="10"/>
        <v>0</v>
      </c>
      <c r="U36" s="316">
        <f t="shared" si="11"/>
        <v>0</v>
      </c>
      <c r="V36" s="317">
        <f t="shared" si="11"/>
        <v>0</v>
      </c>
      <c r="W36" s="250">
        <v>293</v>
      </c>
      <c r="X36" s="251" t="s">
        <v>99</v>
      </c>
    </row>
    <row r="37" spans="2:24" ht="32.1" customHeight="1" thickBot="1">
      <c r="B37" s="322" t="s">
        <v>25</v>
      </c>
      <c r="C37" s="269">
        <f>SUM(C31:C36)</f>
        <v>67171.049999999988</v>
      </c>
      <c r="D37" s="270">
        <f>SUM(D31:D36)</f>
        <v>1325.97</v>
      </c>
      <c r="E37" s="270">
        <f>SUM(E31:E36)</f>
        <v>0</v>
      </c>
      <c r="F37" s="323">
        <f>SUM(F31:F36)</f>
        <v>0</v>
      </c>
      <c r="G37" s="324">
        <f>SUM(G31:G36)</f>
        <v>4039.6499999999996</v>
      </c>
      <c r="H37" s="325">
        <f>SUM(C37:G37)</f>
        <v>72536.669999999984</v>
      </c>
      <c r="I37" s="326">
        <f>SUM(I31:I36)</f>
        <v>8265.7000000000007</v>
      </c>
      <c r="J37" s="326">
        <f>SUM(J31:J36)</f>
        <v>23829.1</v>
      </c>
      <c r="K37" s="326">
        <f>SUM(K31:K36)</f>
        <v>0</v>
      </c>
      <c r="L37" s="327">
        <f t="shared" si="7"/>
        <v>32094.799999999999</v>
      </c>
      <c r="M37" s="328">
        <f>SUM(M31:M36)</f>
        <v>0</v>
      </c>
      <c r="N37" s="329">
        <f>H37+L37+M37</f>
        <v>104631.46999999999</v>
      </c>
      <c r="O37" s="330">
        <f t="shared" si="9"/>
        <v>31651.019674999996</v>
      </c>
      <c r="P37" s="331">
        <f>SUM(P31:P36)</f>
        <v>0</v>
      </c>
      <c r="Q37" s="331">
        <f t="shared" ref="Q37:R37" si="12">SUM(Q31:Q36)</f>
        <v>0</v>
      </c>
      <c r="R37" s="331">
        <f t="shared" si="12"/>
        <v>0</v>
      </c>
      <c r="S37" s="332">
        <f>SUM(P37:R37)</f>
        <v>0</v>
      </c>
      <c r="T37" s="333">
        <f>S37*0.3025</f>
        <v>0</v>
      </c>
      <c r="U37" s="334">
        <f>N37+S37</f>
        <v>104631.46999999999</v>
      </c>
      <c r="V37" s="335">
        <f>O37+T37</f>
        <v>31651.019674999996</v>
      </c>
      <c r="W37" s="336">
        <f>SUM(W31:W36)</f>
        <v>353</v>
      </c>
      <c r="X37" s="337">
        <f>SUM(X31:X36)</f>
        <v>189</v>
      </c>
    </row>
    <row r="38" spans="2:24" ht="32.1" customHeight="1" thickBot="1">
      <c r="B38" s="338" t="s">
        <v>131</v>
      </c>
      <c r="C38" s="339">
        <f>C30+C37</f>
        <v>82443.219999999987</v>
      </c>
      <c r="D38" s="340">
        <f>D30+D37</f>
        <v>1560.63</v>
      </c>
      <c r="E38" s="340">
        <f t="shared" ref="E38:F38" si="13">E30+E37</f>
        <v>0</v>
      </c>
      <c r="F38" s="340">
        <f t="shared" si="13"/>
        <v>0</v>
      </c>
      <c r="G38" s="341">
        <f>G30+G37</f>
        <v>5815.7</v>
      </c>
      <c r="H38" s="342">
        <f>SUM(C38:G38)</f>
        <v>89819.549999999988</v>
      </c>
      <c r="I38" s="343">
        <f>I30+I37</f>
        <v>9985.0800000000017</v>
      </c>
      <c r="J38" s="343">
        <f>J30+J37</f>
        <v>26746.589999999997</v>
      </c>
      <c r="K38" s="343">
        <f>K30+K37</f>
        <v>0</v>
      </c>
      <c r="L38" s="344">
        <f>SUM(I38:K38)</f>
        <v>36731.67</v>
      </c>
      <c r="M38" s="345">
        <f>M30+M37</f>
        <v>1584.36</v>
      </c>
      <c r="N38" s="346">
        <f>H38+L38+M38</f>
        <v>128135.57999999999</v>
      </c>
      <c r="O38" s="347">
        <f t="shared" si="9"/>
        <v>38761.012949999997</v>
      </c>
      <c r="P38" s="331">
        <f>P30+P37</f>
        <v>0</v>
      </c>
      <c r="Q38" s="348">
        <f>Q30+Q37</f>
        <v>882.94</v>
      </c>
      <c r="R38" s="348">
        <f>R30+R37</f>
        <v>3300.63</v>
      </c>
      <c r="S38" s="332">
        <f>S30+S37</f>
        <v>4183.57</v>
      </c>
      <c r="T38" s="333">
        <f t="shared" ref="T38" si="14">S38*0.3025</f>
        <v>1265.5299249999998</v>
      </c>
      <c r="U38" s="349">
        <f>N38+S38</f>
        <v>132319.15</v>
      </c>
      <c r="V38" s="350">
        <f>O38+T38</f>
        <v>40026.542874999999</v>
      </c>
      <c r="W38" s="351">
        <f>W30+W37</f>
        <v>354</v>
      </c>
      <c r="X38" s="352">
        <f>X30+X37</f>
        <v>228</v>
      </c>
    </row>
    <row r="39" spans="2:24" ht="5.0999999999999996" customHeight="1">
      <c r="O39" s="51"/>
      <c r="P39" s="55"/>
    </row>
    <row r="40" spans="2:24" ht="20.100000000000001" customHeight="1">
      <c r="B40" s="353" t="s">
        <v>171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2:24" ht="9.9499999999999993" customHeight="1"/>
    <row r="42" spans="2:24" ht="30" customHeight="1">
      <c r="I42" s="8"/>
      <c r="J42" s="8"/>
      <c r="N42" s="8"/>
      <c r="O42" s="354"/>
      <c r="P42" s="8"/>
    </row>
    <row r="43" spans="2:24" ht="30" customHeight="1"/>
    <row r="44" spans="2:24" ht="30" customHeight="1">
      <c r="H44" s="51"/>
    </row>
    <row r="45" spans="2:24" ht="30" customHeight="1"/>
    <row r="46" spans="2:24" ht="30" customHeight="1"/>
  </sheetData>
  <mergeCells count="57">
    <mergeCell ref="W25:X26"/>
    <mergeCell ref="C26:H26"/>
    <mergeCell ref="I26:L26"/>
    <mergeCell ref="M26:M27"/>
    <mergeCell ref="N26:O26"/>
    <mergeCell ref="P26:R26"/>
    <mergeCell ref="S26:T26"/>
    <mergeCell ref="U25:V26"/>
    <mergeCell ref="B22:C22"/>
    <mergeCell ref="D22:I22"/>
    <mergeCell ref="B25:B27"/>
    <mergeCell ref="C25:O25"/>
    <mergeCell ref="P25:T25"/>
    <mergeCell ref="B21:C21"/>
    <mergeCell ref="D21:E21"/>
    <mergeCell ref="G21:I21"/>
    <mergeCell ref="B16:C16"/>
    <mergeCell ref="D16:F16"/>
    <mergeCell ref="G16:H16"/>
    <mergeCell ref="B17:C17"/>
    <mergeCell ref="D17:E17"/>
    <mergeCell ref="H17:I17"/>
    <mergeCell ref="B18:C20"/>
    <mergeCell ref="D18:F18"/>
    <mergeCell ref="G18:G20"/>
    <mergeCell ref="D19:F19"/>
    <mergeCell ref="D20:F20"/>
    <mergeCell ref="B14:C14"/>
    <mergeCell ref="D14:F14"/>
    <mergeCell ref="G14:H14"/>
    <mergeCell ref="B15:C15"/>
    <mergeCell ref="D15:F15"/>
    <mergeCell ref="G15:H15"/>
    <mergeCell ref="B10:C10"/>
    <mergeCell ref="D10:F10"/>
    <mergeCell ref="G10:H10"/>
    <mergeCell ref="B11:B13"/>
    <mergeCell ref="D11:F11"/>
    <mergeCell ref="G11:H11"/>
    <mergeCell ref="D12:F12"/>
    <mergeCell ref="G12:H12"/>
    <mergeCell ref="D13:F13"/>
    <mergeCell ref="G13:H13"/>
    <mergeCell ref="B9:C9"/>
    <mergeCell ref="D9:F9"/>
    <mergeCell ref="G9:H9"/>
    <mergeCell ref="B3:C3"/>
    <mergeCell ref="B4:C4"/>
    <mergeCell ref="B5:C5"/>
    <mergeCell ref="D5:F5"/>
    <mergeCell ref="B6:C6"/>
    <mergeCell ref="D6:F6"/>
    <mergeCell ref="G6:H6"/>
    <mergeCell ref="B7:C7"/>
    <mergeCell ref="D7:F7"/>
    <mergeCell ref="B8:C8"/>
    <mergeCell ref="D8:F8"/>
  </mergeCells>
  <phoneticPr fontId="2" type="noConversion"/>
  <pageMargins left="0.7" right="0.7" top="0.75" bottom="0.75" header="0.3" footer="0.3"/>
  <pageSetup paperSize="8" scale="6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B1:Z46"/>
  <sheetViews>
    <sheetView showGridLines="0" topLeftCell="A13" zoomScale="70" zoomScaleNormal="70" workbookViewId="0">
      <selection activeCell="AA20" sqref="AA20"/>
    </sheetView>
  </sheetViews>
  <sheetFormatPr defaultRowHeight="16.5"/>
  <cols>
    <col min="1" max="1" width="3.625" customWidth="1"/>
    <col min="2" max="2" width="15.625" customWidth="1"/>
    <col min="3" max="24" width="11.625" customWidth="1"/>
    <col min="25" max="25" width="3.25" customWidth="1"/>
  </cols>
  <sheetData>
    <row r="1" spans="2:26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2:26" ht="35.1" customHeight="1" thickBot="1">
      <c r="B2" s="78" t="s">
        <v>118</v>
      </c>
      <c r="C2" s="6"/>
      <c r="D2" s="6"/>
      <c r="E2" s="6"/>
      <c r="F2" s="6"/>
      <c r="G2" s="6"/>
      <c r="H2" s="6"/>
      <c r="I2" s="6"/>
      <c r="J2" s="1"/>
      <c r="K2" s="78" t="s">
        <v>119</v>
      </c>
      <c r="L2" s="78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183"/>
      <c r="Z2" s="183"/>
    </row>
    <row r="3" spans="2:26" ht="32.1" customHeight="1">
      <c r="B3" s="486" t="s">
        <v>120</v>
      </c>
      <c r="C3" s="487"/>
      <c r="D3" s="184" t="s">
        <v>84</v>
      </c>
      <c r="E3" s="185"/>
      <c r="F3" s="185"/>
      <c r="G3" s="185"/>
      <c r="H3" s="185"/>
      <c r="I3" s="185"/>
      <c r="J3" s="7"/>
      <c r="K3" s="186"/>
      <c r="L3" s="186"/>
      <c r="M3" s="186"/>
      <c r="N3" s="187"/>
      <c r="O3" s="188"/>
      <c r="P3" s="187"/>
      <c r="Q3" s="188"/>
      <c r="R3" s="188"/>
      <c r="S3" s="189"/>
      <c r="T3" s="189"/>
      <c r="U3" s="189"/>
      <c r="V3" s="189"/>
      <c r="W3" s="189"/>
      <c r="X3" s="189"/>
    </row>
    <row r="4" spans="2:26" ht="32.1" customHeight="1">
      <c r="B4" s="488" t="s">
        <v>121</v>
      </c>
      <c r="C4" s="489"/>
      <c r="D4" s="190" t="s">
        <v>75</v>
      </c>
      <c r="E4" s="191"/>
      <c r="F4" s="192"/>
      <c r="G4" s="193"/>
      <c r="H4" s="193"/>
      <c r="I4" s="193"/>
      <c r="J4" s="7"/>
      <c r="K4" s="194"/>
      <c r="L4" s="194"/>
      <c r="M4" s="194"/>
      <c r="N4" s="195"/>
      <c r="O4" s="196"/>
      <c r="P4" s="195"/>
      <c r="Q4" s="196"/>
      <c r="R4" s="196"/>
      <c r="S4" s="197"/>
      <c r="T4" s="197"/>
      <c r="U4" s="197"/>
      <c r="V4" s="197"/>
      <c r="W4" s="197"/>
      <c r="X4" s="197"/>
    </row>
    <row r="5" spans="2:26" ht="32.1" customHeight="1">
      <c r="B5" s="488" t="s">
        <v>122</v>
      </c>
      <c r="C5" s="489"/>
      <c r="D5" s="490" t="s">
        <v>187</v>
      </c>
      <c r="E5" s="491"/>
      <c r="F5" s="492"/>
      <c r="G5" s="193"/>
      <c r="H5" s="193"/>
      <c r="I5" s="193"/>
      <c r="J5" s="7"/>
      <c r="K5" s="198"/>
      <c r="L5" s="198"/>
      <c r="M5" s="199"/>
      <c r="N5" s="200"/>
      <c r="O5" s="201"/>
      <c r="P5" s="202"/>
      <c r="Q5" s="201"/>
      <c r="R5" s="201"/>
      <c r="S5" s="197"/>
      <c r="T5" s="197"/>
      <c r="U5" s="197"/>
      <c r="V5" s="197"/>
      <c r="W5" s="197"/>
      <c r="X5" s="197"/>
    </row>
    <row r="6" spans="2:26" ht="32.1" customHeight="1">
      <c r="B6" s="488" t="s">
        <v>123</v>
      </c>
      <c r="C6" s="489"/>
      <c r="D6" s="493">
        <v>29799.9</v>
      </c>
      <c r="E6" s="494"/>
      <c r="F6" s="495"/>
      <c r="G6" s="496">
        <f>D6*0.3025</f>
        <v>9014.4697500000002</v>
      </c>
      <c r="H6" s="497"/>
      <c r="I6" s="203"/>
      <c r="J6" s="7"/>
      <c r="K6" s="204"/>
      <c r="L6" s="204"/>
      <c r="M6" s="199"/>
      <c r="N6" s="205"/>
      <c r="O6" s="205"/>
      <c r="P6" s="206"/>
      <c r="Q6" s="205"/>
      <c r="R6" s="205"/>
      <c r="S6" s="197"/>
      <c r="T6" s="197"/>
      <c r="U6" s="197"/>
      <c r="V6" s="197"/>
      <c r="W6" s="197"/>
      <c r="X6" s="197"/>
    </row>
    <row r="7" spans="2:26" ht="32.1" customHeight="1">
      <c r="B7" s="413" t="s">
        <v>124</v>
      </c>
      <c r="C7" s="414"/>
      <c r="D7" s="498" t="s">
        <v>125</v>
      </c>
      <c r="E7" s="499"/>
      <c r="F7" s="499"/>
      <c r="G7" s="365"/>
      <c r="H7" s="207"/>
      <c r="I7" s="208"/>
      <c r="J7" s="7"/>
      <c r="K7" s="204"/>
      <c r="L7" s="204"/>
      <c r="M7" s="199"/>
      <c r="N7" s="205"/>
      <c r="O7" s="205"/>
      <c r="P7" s="206"/>
      <c r="Q7" s="205"/>
      <c r="R7" s="205"/>
      <c r="S7" s="197"/>
      <c r="T7" s="197"/>
      <c r="U7" s="197"/>
      <c r="V7" s="197"/>
      <c r="W7" s="197"/>
      <c r="X7" s="197"/>
    </row>
    <row r="8" spans="2:26" ht="32.1" hidden="1" customHeight="1">
      <c r="B8" s="413" t="s">
        <v>126</v>
      </c>
      <c r="C8" s="414"/>
      <c r="D8" s="500">
        <v>0</v>
      </c>
      <c r="E8" s="501"/>
      <c r="F8" s="502"/>
      <c r="G8" s="365"/>
      <c r="H8" s="207"/>
      <c r="I8" s="208"/>
      <c r="J8" s="7"/>
      <c r="K8" s="204"/>
      <c r="L8" s="204"/>
      <c r="M8" s="199"/>
      <c r="N8" s="205"/>
      <c r="O8" s="205"/>
      <c r="P8" s="206"/>
      <c r="Q8" s="205"/>
      <c r="R8" s="205"/>
      <c r="S8" s="197"/>
      <c r="T8" s="197"/>
      <c r="U8" s="197"/>
      <c r="V8" s="197"/>
      <c r="W8" s="197"/>
      <c r="X8" s="197"/>
    </row>
    <row r="9" spans="2:26" ht="32.1" customHeight="1">
      <c r="B9" s="413" t="s">
        <v>185</v>
      </c>
      <c r="C9" s="414"/>
      <c r="D9" s="481" t="s">
        <v>186</v>
      </c>
      <c r="E9" s="482"/>
      <c r="F9" s="483"/>
      <c r="G9" s="484"/>
      <c r="H9" s="485"/>
      <c r="I9" s="208"/>
      <c r="J9" s="7"/>
      <c r="K9" s="204"/>
      <c r="L9" s="204"/>
      <c r="M9" s="199"/>
      <c r="N9" s="205"/>
      <c r="O9" s="205"/>
      <c r="P9" s="206"/>
      <c r="Q9" s="205"/>
      <c r="R9" s="205"/>
      <c r="S9" s="197"/>
      <c r="T9" s="197"/>
      <c r="U9" s="197"/>
      <c r="V9" s="197"/>
      <c r="W9" s="197"/>
      <c r="X9" s="197"/>
    </row>
    <row r="10" spans="2:26" ht="32.1" customHeight="1">
      <c r="B10" s="503" t="s">
        <v>28</v>
      </c>
      <c r="C10" s="437"/>
      <c r="D10" s="504">
        <v>20844.23</v>
      </c>
      <c r="E10" s="505"/>
      <c r="F10" s="506"/>
      <c r="G10" s="430">
        <f t="shared" ref="G10:G14" si="0">D10*0.3025</f>
        <v>6305.3795749999999</v>
      </c>
      <c r="H10" s="431"/>
      <c r="I10" s="207"/>
      <c r="J10" s="7"/>
      <c r="K10" s="209"/>
      <c r="L10" s="204"/>
      <c r="M10" s="199"/>
      <c r="N10" s="205"/>
      <c r="O10" s="205"/>
      <c r="P10" s="206"/>
      <c r="Q10" s="205"/>
      <c r="R10" s="205"/>
      <c r="S10" s="197"/>
      <c r="T10" s="197"/>
      <c r="U10" s="197"/>
      <c r="V10" s="197"/>
      <c r="W10" s="197"/>
      <c r="X10" s="197"/>
    </row>
    <row r="11" spans="2:26" ht="32.1" customHeight="1">
      <c r="B11" s="507" t="s">
        <v>7</v>
      </c>
      <c r="C11" s="54" t="s">
        <v>11</v>
      </c>
      <c r="D11" s="509">
        <f>U37</f>
        <v>104631.46999999999</v>
      </c>
      <c r="E11" s="510"/>
      <c r="F11" s="511"/>
      <c r="G11" s="512">
        <f t="shared" si="0"/>
        <v>31651.019674999996</v>
      </c>
      <c r="H11" s="513"/>
      <c r="I11" s="356"/>
      <c r="J11" s="7"/>
      <c r="K11" s="204"/>
      <c r="L11" s="204"/>
      <c r="M11" s="199"/>
      <c r="N11" s="205"/>
      <c r="O11" s="205"/>
      <c r="P11" s="206"/>
      <c r="Q11" s="205"/>
      <c r="R11" s="205"/>
      <c r="S11" s="197"/>
      <c r="T11" s="197"/>
      <c r="U11" s="197"/>
      <c r="V11" s="197"/>
      <c r="W11" s="197"/>
      <c r="X11" s="197"/>
    </row>
    <row r="12" spans="2:26" ht="32.1" customHeight="1">
      <c r="B12" s="508"/>
      <c r="C12" s="54" t="s">
        <v>12</v>
      </c>
      <c r="D12" s="509">
        <f>U30</f>
        <v>27687.68</v>
      </c>
      <c r="E12" s="510"/>
      <c r="F12" s="511"/>
      <c r="G12" s="512">
        <f t="shared" si="0"/>
        <v>8375.5231999999996</v>
      </c>
      <c r="H12" s="513"/>
      <c r="I12" s="356"/>
      <c r="J12" s="7"/>
      <c r="K12" s="204"/>
      <c r="L12" s="204"/>
      <c r="M12" s="199"/>
      <c r="N12" s="205"/>
      <c r="O12" s="205"/>
      <c r="P12" s="206"/>
      <c r="Q12" s="205"/>
      <c r="R12" s="205"/>
      <c r="S12" s="197"/>
      <c r="T12" s="197"/>
      <c r="U12" s="197"/>
      <c r="V12" s="197"/>
      <c r="W12" s="197"/>
      <c r="X12" s="197"/>
    </row>
    <row r="13" spans="2:26" ht="32.1" customHeight="1">
      <c r="B13" s="508"/>
      <c r="C13" s="210" t="s">
        <v>131</v>
      </c>
      <c r="D13" s="514">
        <f>SUM(D11:F12)</f>
        <v>132319.15</v>
      </c>
      <c r="E13" s="515"/>
      <c r="F13" s="516"/>
      <c r="G13" s="517">
        <f t="shared" si="0"/>
        <v>40026.542874999999</v>
      </c>
      <c r="H13" s="518"/>
      <c r="I13" s="211"/>
      <c r="J13" s="7"/>
      <c r="K13" s="204"/>
      <c r="L13" s="204"/>
      <c r="M13" s="199"/>
      <c r="N13" s="205"/>
      <c r="O13" s="205"/>
      <c r="P13" s="206"/>
      <c r="Q13" s="205"/>
      <c r="R13" s="205"/>
      <c r="S13" s="197"/>
      <c r="T13" s="197"/>
      <c r="U13" s="197"/>
      <c r="V13" s="197"/>
      <c r="W13" s="197"/>
      <c r="X13" s="197"/>
    </row>
    <row r="14" spans="2:26" ht="32.1" customHeight="1">
      <c r="B14" s="413" t="s">
        <v>132</v>
      </c>
      <c r="C14" s="414"/>
      <c r="D14" s="509">
        <f>U38-H30-L30-M30-S30-L37</f>
        <v>72536.67</v>
      </c>
      <c r="E14" s="510"/>
      <c r="F14" s="511"/>
      <c r="G14" s="512">
        <f t="shared" si="0"/>
        <v>21942.342675</v>
      </c>
      <c r="H14" s="513"/>
      <c r="I14" s="208"/>
      <c r="J14" s="7"/>
      <c r="K14" s="204"/>
      <c r="L14" s="212"/>
      <c r="M14" s="199"/>
      <c r="N14" s="205"/>
      <c r="O14" s="205"/>
      <c r="P14" s="206"/>
      <c r="Q14" s="205"/>
      <c r="R14" s="205"/>
      <c r="S14" s="197"/>
      <c r="T14" s="197"/>
      <c r="U14" s="197"/>
      <c r="V14" s="197"/>
      <c r="W14" s="197"/>
      <c r="X14" s="197"/>
    </row>
    <row r="15" spans="2:26" ht="32.1" customHeight="1">
      <c r="B15" s="519" t="s">
        <v>30</v>
      </c>
      <c r="C15" s="520"/>
      <c r="D15" s="521">
        <f>D10/D6</f>
        <v>0.69947315259447174</v>
      </c>
      <c r="E15" s="522"/>
      <c r="F15" s="523"/>
      <c r="G15" s="524" t="s">
        <v>70</v>
      </c>
      <c r="H15" s="525"/>
      <c r="I15" s="211"/>
      <c r="J15" s="7"/>
      <c r="K15" s="204"/>
      <c r="L15" s="204"/>
      <c r="M15" s="199"/>
      <c r="N15" s="205"/>
      <c r="O15" s="205"/>
      <c r="P15" s="206"/>
      <c r="Q15" s="205"/>
      <c r="R15" s="205"/>
      <c r="S15" s="197"/>
      <c r="T15" s="197"/>
      <c r="U15" s="197"/>
      <c r="V15" s="197"/>
      <c r="W15" s="197"/>
      <c r="X15" s="197"/>
    </row>
    <row r="16" spans="2:26" ht="32.1" customHeight="1">
      <c r="B16" s="519" t="s">
        <v>31</v>
      </c>
      <c r="C16" s="520"/>
      <c r="D16" s="531">
        <f>D14/D6</f>
        <v>2.4341246111564132</v>
      </c>
      <c r="E16" s="532"/>
      <c r="F16" s="532"/>
      <c r="G16" s="524" t="s">
        <v>76</v>
      </c>
      <c r="H16" s="525"/>
      <c r="I16" s="211"/>
      <c r="J16" s="7"/>
      <c r="K16" s="204"/>
      <c r="L16" s="204"/>
      <c r="M16" s="199"/>
      <c r="N16" s="205"/>
      <c r="O16" s="205"/>
      <c r="P16" s="206"/>
      <c r="Q16" s="205"/>
      <c r="R16" s="205"/>
      <c r="S16" s="197"/>
      <c r="T16" s="197"/>
      <c r="U16" s="197"/>
      <c r="V16" s="197"/>
      <c r="W16" s="197"/>
      <c r="X16" s="197"/>
    </row>
    <row r="17" spans="2:24" ht="32.1" customHeight="1">
      <c r="B17" s="533" t="s">
        <v>135</v>
      </c>
      <c r="C17" s="534"/>
      <c r="D17" s="535">
        <f>U38-L38</f>
        <v>95587.48</v>
      </c>
      <c r="E17" s="536"/>
      <c r="F17" s="357">
        <f>D17/D13</f>
        <v>0.7224009525454177</v>
      </c>
      <c r="G17" s="213"/>
      <c r="H17" s="537" t="s">
        <v>136</v>
      </c>
      <c r="I17" s="537"/>
      <c r="J17" s="7"/>
      <c r="K17" s="204"/>
      <c r="L17" s="204"/>
      <c r="M17" s="199"/>
      <c r="N17" s="205"/>
      <c r="O17" s="205"/>
      <c r="P17" s="206"/>
      <c r="Q17" s="205"/>
      <c r="R17" s="205"/>
      <c r="S17" s="197"/>
      <c r="T17" s="197"/>
      <c r="U17" s="197"/>
      <c r="V17" s="197"/>
      <c r="W17" s="197"/>
      <c r="X17" s="197"/>
    </row>
    <row r="18" spans="2:24" ht="32.1" customHeight="1">
      <c r="B18" s="413" t="s">
        <v>137</v>
      </c>
      <c r="C18" s="455"/>
      <c r="D18" s="538">
        <f>U38-L38</f>
        <v>95587.48</v>
      </c>
      <c r="E18" s="539"/>
      <c r="F18" s="539"/>
      <c r="G18" s="540" t="s">
        <v>138</v>
      </c>
      <c r="H18" s="358" t="s">
        <v>113</v>
      </c>
      <c r="I18" s="359">
        <f>W38</f>
        <v>353</v>
      </c>
      <c r="J18" s="7"/>
      <c r="K18" s="204"/>
      <c r="L18" s="204"/>
      <c r="M18" s="199"/>
      <c r="N18" s="205"/>
      <c r="O18" s="205"/>
      <c r="P18" s="205"/>
      <c r="Q18" s="205"/>
      <c r="R18" s="205"/>
      <c r="S18" s="197"/>
      <c r="T18" s="197"/>
      <c r="U18" s="197"/>
      <c r="V18" s="197"/>
      <c r="W18" s="197"/>
      <c r="X18" s="197"/>
    </row>
    <row r="19" spans="2:24" ht="32.1" customHeight="1">
      <c r="B19" s="456"/>
      <c r="C19" s="457"/>
      <c r="D19" s="543">
        <f>D18/400</f>
        <v>238.96869999999998</v>
      </c>
      <c r="E19" s="544"/>
      <c r="F19" s="545"/>
      <c r="G19" s="541"/>
      <c r="H19" s="360" t="s">
        <v>139</v>
      </c>
      <c r="I19" s="361">
        <f>X38</f>
        <v>228</v>
      </c>
      <c r="J19" s="7"/>
      <c r="K19" s="204"/>
      <c r="L19" s="204"/>
      <c r="M19" s="199"/>
      <c r="N19" s="205"/>
      <c r="O19" s="205"/>
      <c r="P19" s="205"/>
      <c r="Q19" s="205"/>
      <c r="R19" s="205"/>
      <c r="S19" s="197"/>
      <c r="T19" s="197"/>
      <c r="U19" s="197"/>
      <c r="V19" s="197"/>
      <c r="W19" s="197"/>
      <c r="X19" s="197"/>
    </row>
    <row r="20" spans="2:24" ht="32.1" customHeight="1">
      <c r="B20" s="458"/>
      <c r="C20" s="459"/>
      <c r="D20" s="546"/>
      <c r="E20" s="547"/>
      <c r="F20" s="548"/>
      <c r="G20" s="542"/>
      <c r="H20" s="362" t="s">
        <v>140</v>
      </c>
      <c r="I20" s="363">
        <f>I18+I19</f>
        <v>581</v>
      </c>
      <c r="J20" s="7"/>
      <c r="K20" s="204"/>
      <c r="L20" s="204"/>
      <c r="M20" s="199"/>
      <c r="N20" s="205"/>
      <c r="O20" s="205"/>
      <c r="P20" s="205"/>
      <c r="Q20" s="205"/>
      <c r="R20" s="205"/>
      <c r="S20" s="197"/>
      <c r="T20" s="197"/>
      <c r="U20" s="197"/>
      <c r="V20" s="197"/>
      <c r="W20" s="197"/>
      <c r="X20" s="197"/>
    </row>
    <row r="21" spans="2:24" ht="52.5" customHeight="1">
      <c r="B21" s="423" t="s">
        <v>141</v>
      </c>
      <c r="C21" s="526"/>
      <c r="D21" s="527">
        <v>3791.95</v>
      </c>
      <c r="E21" s="528"/>
      <c r="F21" s="214">
        <f>D21/D6</f>
        <v>0.12724707129889695</v>
      </c>
      <c r="G21" s="529" t="s">
        <v>184</v>
      </c>
      <c r="H21" s="530"/>
      <c r="I21" s="530"/>
      <c r="J21" s="7"/>
      <c r="K21" s="204"/>
      <c r="L21" s="204"/>
      <c r="M21" s="199"/>
      <c r="N21" s="205"/>
      <c r="O21" s="205"/>
      <c r="P21" s="205"/>
      <c r="Q21" s="205"/>
      <c r="R21" s="205"/>
      <c r="S21" s="197"/>
      <c r="T21" s="197"/>
      <c r="U21" s="197"/>
      <c r="V21" s="197"/>
      <c r="W21" s="197"/>
      <c r="X21" s="197"/>
    </row>
    <row r="22" spans="2:24" ht="32.1" customHeight="1" thickBot="1">
      <c r="B22" s="549" t="s">
        <v>142</v>
      </c>
      <c r="C22" s="550"/>
      <c r="D22" s="551" t="s">
        <v>99</v>
      </c>
      <c r="E22" s="552"/>
      <c r="F22" s="552"/>
      <c r="G22" s="552"/>
      <c r="H22" s="552"/>
      <c r="I22" s="552"/>
      <c r="J22" s="7"/>
      <c r="K22" s="215"/>
      <c r="L22" s="215"/>
      <c r="M22" s="216"/>
      <c r="N22" s="217"/>
      <c r="O22" s="217"/>
      <c r="P22" s="217"/>
      <c r="Q22" s="217"/>
      <c r="R22" s="217"/>
      <c r="S22" s="218"/>
      <c r="T22" s="218"/>
      <c r="U22" s="218"/>
      <c r="V22" s="218"/>
      <c r="W22" s="218"/>
      <c r="X22" s="218"/>
    </row>
    <row r="23" spans="2:24" ht="35.1" customHeight="1" thickTop="1">
      <c r="B23" s="5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2:24" ht="35.1" customHeight="1" thickBot="1">
      <c r="B24" s="75" t="s">
        <v>143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2:24" ht="32.1" customHeight="1">
      <c r="B25" s="553" t="s">
        <v>144</v>
      </c>
      <c r="C25" s="556" t="s">
        <v>145</v>
      </c>
      <c r="D25" s="557"/>
      <c r="E25" s="557"/>
      <c r="F25" s="557"/>
      <c r="G25" s="557"/>
      <c r="H25" s="557"/>
      <c r="I25" s="557"/>
      <c r="J25" s="557"/>
      <c r="K25" s="557"/>
      <c r="L25" s="557"/>
      <c r="M25" s="557"/>
      <c r="N25" s="557"/>
      <c r="O25" s="558"/>
      <c r="P25" s="559" t="s">
        <v>146</v>
      </c>
      <c r="Q25" s="560"/>
      <c r="R25" s="560"/>
      <c r="S25" s="560"/>
      <c r="T25" s="561"/>
      <c r="U25" s="578" t="s">
        <v>147</v>
      </c>
      <c r="V25" s="579"/>
      <c r="W25" s="562" t="s">
        <v>148</v>
      </c>
      <c r="X25" s="563"/>
    </row>
    <row r="26" spans="2:24" ht="32.1" customHeight="1">
      <c r="B26" s="554"/>
      <c r="C26" s="566" t="s">
        <v>149</v>
      </c>
      <c r="D26" s="567"/>
      <c r="E26" s="567"/>
      <c r="F26" s="567"/>
      <c r="G26" s="567"/>
      <c r="H26" s="567"/>
      <c r="I26" s="568" t="s">
        <v>150</v>
      </c>
      <c r="J26" s="568"/>
      <c r="K26" s="568"/>
      <c r="L26" s="568"/>
      <c r="M26" s="569" t="s">
        <v>151</v>
      </c>
      <c r="N26" s="571" t="s">
        <v>152</v>
      </c>
      <c r="O26" s="572"/>
      <c r="P26" s="573" t="s">
        <v>153</v>
      </c>
      <c r="Q26" s="574"/>
      <c r="R26" s="575"/>
      <c r="S26" s="576" t="s">
        <v>154</v>
      </c>
      <c r="T26" s="577"/>
      <c r="U26" s="580"/>
      <c r="V26" s="581"/>
      <c r="W26" s="564"/>
      <c r="X26" s="565"/>
    </row>
    <row r="27" spans="2:24" ht="41.25" customHeight="1" thickBot="1">
      <c r="B27" s="555"/>
      <c r="C27" s="141" t="s">
        <v>125</v>
      </c>
      <c r="D27" s="219" t="s">
        <v>155</v>
      </c>
      <c r="E27" s="219" t="s">
        <v>156</v>
      </c>
      <c r="F27" s="23" t="s">
        <v>157</v>
      </c>
      <c r="G27" s="22" t="s">
        <v>158</v>
      </c>
      <c r="H27" s="220" t="s">
        <v>159</v>
      </c>
      <c r="I27" s="221" t="s">
        <v>54</v>
      </c>
      <c r="J27" s="221" t="s">
        <v>161</v>
      </c>
      <c r="K27" s="221" t="s">
        <v>162</v>
      </c>
      <c r="L27" s="222" t="s">
        <v>159</v>
      </c>
      <c r="M27" s="570"/>
      <c r="N27" s="223" t="s">
        <v>4</v>
      </c>
      <c r="O27" s="224" t="s">
        <v>164</v>
      </c>
      <c r="P27" s="225" t="s">
        <v>165</v>
      </c>
      <c r="Q27" s="226" t="s">
        <v>166</v>
      </c>
      <c r="R27" s="226" t="s">
        <v>114</v>
      </c>
      <c r="S27" s="227" t="s">
        <v>4</v>
      </c>
      <c r="T27" s="228" t="s">
        <v>164</v>
      </c>
      <c r="U27" s="229" t="s">
        <v>4</v>
      </c>
      <c r="V27" s="230" t="s">
        <v>164</v>
      </c>
      <c r="W27" s="231" t="s">
        <v>115</v>
      </c>
      <c r="X27" s="232" t="s">
        <v>98</v>
      </c>
    </row>
    <row r="28" spans="2:24" ht="32.1" customHeight="1">
      <c r="B28" s="233" t="s">
        <v>176</v>
      </c>
      <c r="C28" s="234">
        <f>15290.17-18</f>
        <v>15272.17</v>
      </c>
      <c r="D28" s="235">
        <v>234.66</v>
      </c>
      <c r="E28" s="235">
        <v>0</v>
      </c>
      <c r="F28" s="236">
        <v>0</v>
      </c>
      <c r="G28" s="237">
        <f>492.48-18</f>
        <v>474.48</v>
      </c>
      <c r="H28" s="238">
        <f t="shared" ref="H28:H36" si="1">SUM(C28:G28)</f>
        <v>15981.31</v>
      </c>
      <c r="I28" s="239">
        <v>1719.38</v>
      </c>
      <c r="J28" s="239">
        <v>2917.49</v>
      </c>
      <c r="K28" s="239">
        <v>0</v>
      </c>
      <c r="L28" s="240">
        <f>SUM(I28:K28)</f>
        <v>4636.87</v>
      </c>
      <c r="M28" s="241">
        <v>1584.36</v>
      </c>
      <c r="N28" s="242">
        <f>M28+L28+H28</f>
        <v>22202.54</v>
      </c>
      <c r="O28" s="243">
        <f>N28*0.3025</f>
        <v>6716.2683500000003</v>
      </c>
      <c r="P28" s="244">
        <v>0</v>
      </c>
      <c r="Q28" s="245">
        <v>0</v>
      </c>
      <c r="R28" s="245">
        <v>0</v>
      </c>
      <c r="S28" s="246">
        <f t="shared" ref="S28:S36" si="2">SUM(P28:R28)</f>
        <v>0</v>
      </c>
      <c r="T28" s="247">
        <f>S28*0.3025</f>
        <v>0</v>
      </c>
      <c r="U28" s="248">
        <f t="shared" ref="U28:V31" si="3">S28+N28</f>
        <v>22202.54</v>
      </c>
      <c r="V28" s="249">
        <f t="shared" si="3"/>
        <v>6716.2683500000003</v>
      </c>
      <c r="W28" s="250">
        <v>1</v>
      </c>
      <c r="X28" s="251">
        <v>39</v>
      </c>
    </row>
    <row r="29" spans="2:24" ht="32.1" customHeight="1">
      <c r="B29" s="252" t="s">
        <v>175</v>
      </c>
      <c r="C29" s="253">
        <v>0</v>
      </c>
      <c r="D29" s="254">
        <v>0</v>
      </c>
      <c r="E29" s="254">
        <v>0</v>
      </c>
      <c r="F29" s="255">
        <v>0</v>
      </c>
      <c r="G29" s="256">
        <f>1319.57-18</f>
        <v>1301.57</v>
      </c>
      <c r="H29" s="257">
        <f t="shared" si="1"/>
        <v>1301.57</v>
      </c>
      <c r="I29" s="258">
        <v>0</v>
      </c>
      <c r="J29" s="258">
        <v>0</v>
      </c>
      <c r="K29" s="258">
        <v>0</v>
      </c>
      <c r="L29" s="259">
        <f>SUM(I29:K29)</f>
        <v>0</v>
      </c>
      <c r="M29" s="260">
        <v>0</v>
      </c>
      <c r="N29" s="261">
        <f>M29+L29+H29</f>
        <v>1301.57</v>
      </c>
      <c r="O29" s="262">
        <f>N29*0.3025</f>
        <v>393.72492499999998</v>
      </c>
      <c r="P29" s="263">
        <v>0</v>
      </c>
      <c r="Q29" s="264">
        <v>882.94</v>
      </c>
      <c r="R29" s="264">
        <f>3312.63-12</f>
        <v>3300.63</v>
      </c>
      <c r="S29" s="265">
        <f>SUM(P29:R29)</f>
        <v>4183.57</v>
      </c>
      <c r="T29" s="247">
        <f>S29*0.3025</f>
        <v>1265.5299249999998</v>
      </c>
      <c r="U29" s="248">
        <f t="shared" si="3"/>
        <v>5485.1399999999994</v>
      </c>
      <c r="V29" s="249">
        <f t="shared" si="3"/>
        <v>1659.2548499999998</v>
      </c>
      <c r="W29" s="266" t="s">
        <v>99</v>
      </c>
      <c r="X29" s="267" t="s">
        <v>99</v>
      </c>
    </row>
    <row r="30" spans="2:24" ht="32.1" customHeight="1" thickBot="1">
      <c r="B30" s="268" t="s">
        <v>116</v>
      </c>
      <c r="C30" s="269">
        <f>C28+C29</f>
        <v>15272.17</v>
      </c>
      <c r="D30" s="270">
        <f t="shared" ref="D30:G30" si="4">D28+D29</f>
        <v>234.66</v>
      </c>
      <c r="E30" s="270">
        <f t="shared" si="4"/>
        <v>0</v>
      </c>
      <c r="F30" s="270">
        <f t="shared" si="4"/>
        <v>0</v>
      </c>
      <c r="G30" s="270">
        <f t="shared" si="4"/>
        <v>1776.05</v>
      </c>
      <c r="H30" s="271">
        <f t="shared" si="1"/>
        <v>17282.88</v>
      </c>
      <c r="I30" s="272">
        <f>SUM(I28:I29)</f>
        <v>1719.38</v>
      </c>
      <c r="J30" s="272">
        <f t="shared" ref="J30:K30" si="5">SUM(J28:J29)</f>
        <v>2917.49</v>
      </c>
      <c r="K30" s="272">
        <f t="shared" si="5"/>
        <v>0</v>
      </c>
      <c r="L30" s="273">
        <f>SUM(I30:K30)</f>
        <v>4636.87</v>
      </c>
      <c r="M30" s="274">
        <f>SUM(M28:M29)</f>
        <v>1584.36</v>
      </c>
      <c r="N30" s="275">
        <f>H30+L30+M30</f>
        <v>23504.11</v>
      </c>
      <c r="O30" s="276">
        <f>N30*0.3025</f>
        <v>7109.9932749999998</v>
      </c>
      <c r="P30" s="277">
        <f>SUM(P28:P29)</f>
        <v>0</v>
      </c>
      <c r="Q30" s="277">
        <f t="shared" ref="Q30:R30" si="6">SUM(Q28:Q29)</f>
        <v>882.94</v>
      </c>
      <c r="R30" s="277">
        <f t="shared" si="6"/>
        <v>3300.63</v>
      </c>
      <c r="S30" s="278">
        <f>SUM(P30:R30)</f>
        <v>4183.57</v>
      </c>
      <c r="T30" s="279">
        <f>S30*0.3025</f>
        <v>1265.5299249999998</v>
      </c>
      <c r="U30" s="280">
        <f t="shared" si="3"/>
        <v>27687.68</v>
      </c>
      <c r="V30" s="281">
        <f t="shared" si="3"/>
        <v>8375.5231999999996</v>
      </c>
      <c r="W30" s="282">
        <f>SUM(W28:W29)</f>
        <v>1</v>
      </c>
      <c r="X30" s="283">
        <f>SUM(X28:X29)</f>
        <v>39</v>
      </c>
    </row>
    <row r="31" spans="2:24" ht="32.1" customHeight="1">
      <c r="B31" s="284" t="s">
        <v>177</v>
      </c>
      <c r="C31" s="285">
        <f>13452.21-18</f>
        <v>13434.21</v>
      </c>
      <c r="D31" s="286">
        <v>357.09</v>
      </c>
      <c r="E31" s="286">
        <v>0</v>
      </c>
      <c r="F31" s="287">
        <v>0</v>
      </c>
      <c r="G31" s="288">
        <f>825.93-18</f>
        <v>807.93</v>
      </c>
      <c r="H31" s="289">
        <f>SUM(C31:G31)</f>
        <v>14599.23</v>
      </c>
      <c r="I31" s="290">
        <v>1653.14</v>
      </c>
      <c r="J31" s="290">
        <v>4765.82</v>
      </c>
      <c r="K31" s="290">
        <v>0</v>
      </c>
      <c r="L31" s="291">
        <f>SUM(I31:K31)</f>
        <v>6418.96</v>
      </c>
      <c r="M31" s="292">
        <v>0</v>
      </c>
      <c r="N31" s="293">
        <f>H31+L31+M31</f>
        <v>21018.19</v>
      </c>
      <c r="O31" s="294">
        <f>N31*0.3025</f>
        <v>6358.0024749999993</v>
      </c>
      <c r="P31" s="295">
        <v>0</v>
      </c>
      <c r="Q31" s="296">
        <v>0</v>
      </c>
      <c r="R31" s="296">
        <v>0</v>
      </c>
      <c r="S31" s="297">
        <f t="shared" si="2"/>
        <v>0</v>
      </c>
      <c r="T31" s="298">
        <f>S31*0.3025</f>
        <v>0</v>
      </c>
      <c r="U31" s="299">
        <f>S31+N31</f>
        <v>21018.19</v>
      </c>
      <c r="V31" s="300">
        <f t="shared" si="3"/>
        <v>6358.0024749999993</v>
      </c>
      <c r="W31" s="301">
        <v>60</v>
      </c>
      <c r="X31" s="302">
        <v>37</v>
      </c>
    </row>
    <row r="32" spans="2:24" ht="32.1" customHeight="1">
      <c r="B32" s="303" t="s">
        <v>178</v>
      </c>
      <c r="C32" s="304">
        <f>13452.21-18</f>
        <v>13434.21</v>
      </c>
      <c r="D32" s="305">
        <v>242.22</v>
      </c>
      <c r="E32" s="305">
        <v>0</v>
      </c>
      <c r="F32" s="306">
        <v>0</v>
      </c>
      <c r="G32" s="307">
        <f>825.93-18</f>
        <v>807.93</v>
      </c>
      <c r="H32" s="308">
        <f t="shared" si="1"/>
        <v>14484.359999999999</v>
      </c>
      <c r="I32" s="309">
        <v>1653.14</v>
      </c>
      <c r="J32" s="309">
        <v>4765.82</v>
      </c>
      <c r="K32" s="309">
        <v>0</v>
      </c>
      <c r="L32" s="310">
        <f>SUM(I32:K32)</f>
        <v>6418.96</v>
      </c>
      <c r="M32" s="311">
        <v>0</v>
      </c>
      <c r="N32" s="261">
        <f>H32+L32+M32</f>
        <v>20903.32</v>
      </c>
      <c r="O32" s="262">
        <f>N32*0.3025</f>
        <v>6323.2542999999996</v>
      </c>
      <c r="P32" s="312">
        <v>0</v>
      </c>
      <c r="Q32" s="313">
        <v>0</v>
      </c>
      <c r="R32" s="313">
        <v>0</v>
      </c>
      <c r="S32" s="314">
        <f t="shared" si="2"/>
        <v>0</v>
      </c>
      <c r="T32" s="315">
        <f>S32*0.3025</f>
        <v>0</v>
      </c>
      <c r="U32" s="316">
        <f>N32+S32</f>
        <v>20903.32</v>
      </c>
      <c r="V32" s="317">
        <f>O32+T32</f>
        <v>6323.2542999999996</v>
      </c>
      <c r="W32" s="318" t="s">
        <v>99</v>
      </c>
      <c r="X32" s="319">
        <v>38</v>
      </c>
    </row>
    <row r="33" spans="2:24" ht="32.1" customHeight="1">
      <c r="B33" s="303" t="s">
        <v>169</v>
      </c>
      <c r="C33" s="304">
        <f>13452.21-18</f>
        <v>13434.21</v>
      </c>
      <c r="D33" s="305">
        <v>242.22</v>
      </c>
      <c r="E33" s="305">
        <v>0</v>
      </c>
      <c r="F33" s="306">
        <v>0</v>
      </c>
      <c r="G33" s="307">
        <f>825.93-18</f>
        <v>807.93</v>
      </c>
      <c r="H33" s="308">
        <f t="shared" si="1"/>
        <v>14484.359999999999</v>
      </c>
      <c r="I33" s="309">
        <v>1653.14</v>
      </c>
      <c r="J33" s="309">
        <v>4765.82</v>
      </c>
      <c r="K33" s="309">
        <v>0</v>
      </c>
      <c r="L33" s="310">
        <f t="shared" ref="L33:L37" si="7">SUM(I33:K33)</f>
        <v>6418.96</v>
      </c>
      <c r="M33" s="311">
        <v>0</v>
      </c>
      <c r="N33" s="261">
        <f t="shared" ref="N33:N36" si="8">H33+L33+M33</f>
        <v>20903.32</v>
      </c>
      <c r="O33" s="262">
        <f t="shared" ref="O33:O38" si="9">N33*0.3025</f>
        <v>6323.2542999999996</v>
      </c>
      <c r="P33" s="312">
        <v>0</v>
      </c>
      <c r="Q33" s="313">
        <v>0</v>
      </c>
      <c r="R33" s="313">
        <v>0</v>
      </c>
      <c r="S33" s="314">
        <f t="shared" si="2"/>
        <v>0</v>
      </c>
      <c r="T33" s="315">
        <f t="shared" ref="T33:T36" si="10">S33*0.3025</f>
        <v>0</v>
      </c>
      <c r="U33" s="316">
        <f>N33+S33</f>
        <v>20903.32</v>
      </c>
      <c r="V33" s="317">
        <f>O33+T33</f>
        <v>6323.2542999999996</v>
      </c>
      <c r="W33" s="318" t="s">
        <v>99</v>
      </c>
      <c r="X33" s="319">
        <v>38</v>
      </c>
    </row>
    <row r="34" spans="2:24" ht="32.1" customHeight="1">
      <c r="B34" s="303" t="s">
        <v>179</v>
      </c>
      <c r="C34" s="304">
        <f>13452.21-18</f>
        <v>13434.21</v>
      </c>
      <c r="D34" s="305">
        <v>242.22</v>
      </c>
      <c r="E34" s="305">
        <v>0</v>
      </c>
      <c r="F34" s="306">
        <v>0</v>
      </c>
      <c r="G34" s="307">
        <f>825.93-18</f>
        <v>807.93</v>
      </c>
      <c r="H34" s="308">
        <f t="shared" si="1"/>
        <v>14484.359999999999</v>
      </c>
      <c r="I34" s="309">
        <v>1653.14</v>
      </c>
      <c r="J34" s="355">
        <v>4765.82</v>
      </c>
      <c r="K34" s="355">
        <v>0</v>
      </c>
      <c r="L34" s="240">
        <f t="shared" si="7"/>
        <v>6418.96</v>
      </c>
      <c r="M34" s="241">
        <v>0</v>
      </c>
      <c r="N34" s="261">
        <f t="shared" si="8"/>
        <v>20903.32</v>
      </c>
      <c r="O34" s="262">
        <f t="shared" si="9"/>
        <v>6323.2542999999996</v>
      </c>
      <c r="P34" s="312">
        <v>0</v>
      </c>
      <c r="Q34" s="313">
        <v>0</v>
      </c>
      <c r="R34" s="313">
        <v>0</v>
      </c>
      <c r="S34" s="314">
        <f t="shared" si="2"/>
        <v>0</v>
      </c>
      <c r="T34" s="315">
        <f t="shared" si="10"/>
        <v>0</v>
      </c>
      <c r="U34" s="316">
        <f t="shared" ref="U34:V36" si="11">N34+S34</f>
        <v>20903.32</v>
      </c>
      <c r="V34" s="317">
        <f t="shared" si="11"/>
        <v>6323.2542999999996</v>
      </c>
      <c r="W34" s="250" t="s">
        <v>99</v>
      </c>
      <c r="X34" s="251">
        <v>38</v>
      </c>
    </row>
    <row r="35" spans="2:24" ht="32.1" customHeight="1">
      <c r="B35" s="303" t="s">
        <v>180</v>
      </c>
      <c r="C35" s="304">
        <f>13452.21-18</f>
        <v>13434.21</v>
      </c>
      <c r="D35" s="305">
        <v>242.22</v>
      </c>
      <c r="E35" s="305">
        <v>0</v>
      </c>
      <c r="F35" s="306">
        <v>0</v>
      </c>
      <c r="G35" s="307">
        <f>825.93-18</f>
        <v>807.93</v>
      </c>
      <c r="H35" s="308">
        <f t="shared" si="1"/>
        <v>14484.359999999999</v>
      </c>
      <c r="I35" s="309">
        <v>1653.14</v>
      </c>
      <c r="J35" s="355">
        <v>4765.82</v>
      </c>
      <c r="K35" s="355">
        <v>0</v>
      </c>
      <c r="L35" s="240">
        <f t="shared" si="7"/>
        <v>6418.96</v>
      </c>
      <c r="M35" s="241">
        <v>0</v>
      </c>
      <c r="N35" s="261">
        <f t="shared" si="8"/>
        <v>20903.32</v>
      </c>
      <c r="O35" s="262">
        <f t="shared" si="9"/>
        <v>6323.2542999999996</v>
      </c>
      <c r="P35" s="312">
        <v>0</v>
      </c>
      <c r="Q35" s="313">
        <v>0</v>
      </c>
      <c r="R35" s="313">
        <v>0</v>
      </c>
      <c r="S35" s="314">
        <f t="shared" si="2"/>
        <v>0</v>
      </c>
      <c r="T35" s="315">
        <f t="shared" si="10"/>
        <v>0</v>
      </c>
      <c r="U35" s="316">
        <f t="shared" si="11"/>
        <v>20903.32</v>
      </c>
      <c r="V35" s="317">
        <f t="shared" si="11"/>
        <v>6323.2542999999996</v>
      </c>
      <c r="W35" s="250" t="s">
        <v>99</v>
      </c>
      <c r="X35" s="251">
        <v>38</v>
      </c>
    </row>
    <row r="36" spans="2:24" ht="32.1" customHeight="1">
      <c r="B36" s="303" t="s">
        <v>96</v>
      </c>
      <c r="C36" s="234">
        <v>0</v>
      </c>
      <c r="D36" s="235">
        <v>0</v>
      </c>
      <c r="E36" s="235">
        <v>0</v>
      </c>
      <c r="F36" s="236">
        <v>0</v>
      </c>
      <c r="G36" s="237">
        <v>0</v>
      </c>
      <c r="H36" s="308">
        <f t="shared" si="1"/>
        <v>0</v>
      </c>
      <c r="I36" s="239">
        <v>0</v>
      </c>
      <c r="J36" s="239">
        <v>0</v>
      </c>
      <c r="K36" s="239">
        <v>0</v>
      </c>
      <c r="L36" s="240">
        <f t="shared" si="7"/>
        <v>0</v>
      </c>
      <c r="M36" s="241">
        <v>0</v>
      </c>
      <c r="N36" s="261">
        <f t="shared" si="8"/>
        <v>0</v>
      </c>
      <c r="O36" s="262">
        <f t="shared" si="9"/>
        <v>0</v>
      </c>
      <c r="P36" s="320">
        <v>0</v>
      </c>
      <c r="Q36" s="313">
        <v>0</v>
      </c>
      <c r="R36" s="313">
        <v>0</v>
      </c>
      <c r="S36" s="314">
        <f t="shared" si="2"/>
        <v>0</v>
      </c>
      <c r="T36" s="321">
        <f t="shared" si="10"/>
        <v>0</v>
      </c>
      <c r="U36" s="316">
        <f t="shared" si="11"/>
        <v>0</v>
      </c>
      <c r="V36" s="317">
        <f t="shared" si="11"/>
        <v>0</v>
      </c>
      <c r="W36" s="250">
        <v>292</v>
      </c>
      <c r="X36" s="251" t="s">
        <v>99</v>
      </c>
    </row>
    <row r="37" spans="2:24" ht="32.1" customHeight="1" thickBot="1">
      <c r="B37" s="322" t="s">
        <v>25</v>
      </c>
      <c r="C37" s="269">
        <f>SUM(C31:C36)</f>
        <v>67171.049999999988</v>
      </c>
      <c r="D37" s="270">
        <f>SUM(D31:D36)</f>
        <v>1325.97</v>
      </c>
      <c r="E37" s="270">
        <f>SUM(E31:E36)</f>
        <v>0</v>
      </c>
      <c r="F37" s="323">
        <f>SUM(F31:F36)</f>
        <v>0</v>
      </c>
      <c r="G37" s="324">
        <f>SUM(G31:G36)</f>
        <v>4039.6499999999996</v>
      </c>
      <c r="H37" s="325">
        <f>SUM(C37:G37)</f>
        <v>72536.669999999984</v>
      </c>
      <c r="I37" s="326">
        <f>SUM(I31:I36)</f>
        <v>8265.7000000000007</v>
      </c>
      <c r="J37" s="326">
        <f>SUM(J31:J36)</f>
        <v>23829.1</v>
      </c>
      <c r="K37" s="326">
        <f>SUM(K31:K36)</f>
        <v>0</v>
      </c>
      <c r="L37" s="327">
        <f t="shared" si="7"/>
        <v>32094.799999999999</v>
      </c>
      <c r="M37" s="328">
        <f>SUM(M31:M36)</f>
        <v>0</v>
      </c>
      <c r="N37" s="329">
        <f>H37+L37+M37</f>
        <v>104631.46999999999</v>
      </c>
      <c r="O37" s="330">
        <f t="shared" si="9"/>
        <v>31651.019674999996</v>
      </c>
      <c r="P37" s="331">
        <f>SUM(P31:P36)</f>
        <v>0</v>
      </c>
      <c r="Q37" s="331">
        <f t="shared" ref="Q37:R37" si="12">SUM(Q31:Q36)</f>
        <v>0</v>
      </c>
      <c r="R37" s="331">
        <f t="shared" si="12"/>
        <v>0</v>
      </c>
      <c r="S37" s="332">
        <f>SUM(P37:R37)</f>
        <v>0</v>
      </c>
      <c r="T37" s="333">
        <f>S37*0.3025</f>
        <v>0</v>
      </c>
      <c r="U37" s="334">
        <f>N37+S37</f>
        <v>104631.46999999999</v>
      </c>
      <c r="V37" s="335">
        <f>O37+T37</f>
        <v>31651.019674999996</v>
      </c>
      <c r="W37" s="336">
        <f>SUM(W31:W36)</f>
        <v>352</v>
      </c>
      <c r="X37" s="337">
        <f>SUM(X31:X36)</f>
        <v>189</v>
      </c>
    </row>
    <row r="38" spans="2:24" ht="32.1" customHeight="1" thickBot="1">
      <c r="B38" s="338" t="s">
        <v>131</v>
      </c>
      <c r="C38" s="339">
        <f>C30+C37</f>
        <v>82443.219999999987</v>
      </c>
      <c r="D38" s="340">
        <f>D30+D37</f>
        <v>1560.63</v>
      </c>
      <c r="E38" s="340">
        <f t="shared" ref="E38:F38" si="13">E30+E37</f>
        <v>0</v>
      </c>
      <c r="F38" s="340">
        <f t="shared" si="13"/>
        <v>0</v>
      </c>
      <c r="G38" s="341">
        <f>G30+G37</f>
        <v>5815.7</v>
      </c>
      <c r="H38" s="342">
        <f>SUM(C38:G38)</f>
        <v>89819.549999999988</v>
      </c>
      <c r="I38" s="343">
        <f>I30+I37</f>
        <v>9985.0800000000017</v>
      </c>
      <c r="J38" s="343">
        <f>J30+J37</f>
        <v>26746.589999999997</v>
      </c>
      <c r="K38" s="343">
        <f>K30+K37</f>
        <v>0</v>
      </c>
      <c r="L38" s="344">
        <f>SUM(I38:K38)</f>
        <v>36731.67</v>
      </c>
      <c r="M38" s="345">
        <f>M30+M37</f>
        <v>1584.36</v>
      </c>
      <c r="N38" s="346">
        <f>H38+L38+M38</f>
        <v>128135.57999999999</v>
      </c>
      <c r="O38" s="347">
        <f t="shared" si="9"/>
        <v>38761.012949999997</v>
      </c>
      <c r="P38" s="331">
        <f>P30+P37</f>
        <v>0</v>
      </c>
      <c r="Q38" s="348">
        <f>Q30+Q37</f>
        <v>882.94</v>
      </c>
      <c r="R38" s="348">
        <f>R30+R37</f>
        <v>3300.63</v>
      </c>
      <c r="S38" s="332">
        <f>S30+S37</f>
        <v>4183.57</v>
      </c>
      <c r="T38" s="333">
        <f t="shared" ref="T38" si="14">S38*0.3025</f>
        <v>1265.5299249999998</v>
      </c>
      <c r="U38" s="349">
        <f>N38+S38</f>
        <v>132319.15</v>
      </c>
      <c r="V38" s="350">
        <f>O38+T38</f>
        <v>40026.542874999999</v>
      </c>
      <c r="W38" s="351">
        <f>W30+W37</f>
        <v>353</v>
      </c>
      <c r="X38" s="352">
        <f>X30+X37</f>
        <v>228</v>
      </c>
    </row>
    <row r="39" spans="2:24" ht="5.0999999999999996" customHeight="1">
      <c r="O39" s="51"/>
      <c r="P39" s="55"/>
    </row>
    <row r="40" spans="2:24" ht="20.100000000000001" customHeight="1">
      <c r="B40" s="353" t="s">
        <v>171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2:24" ht="9.9499999999999993" customHeight="1"/>
    <row r="42" spans="2:24" ht="30" customHeight="1">
      <c r="I42" s="8"/>
      <c r="J42" s="8"/>
      <c r="N42" s="8"/>
      <c r="O42" s="354"/>
      <c r="P42" s="8"/>
    </row>
    <row r="43" spans="2:24" ht="30" customHeight="1"/>
    <row r="44" spans="2:24" ht="30" customHeight="1">
      <c r="H44" s="51"/>
    </row>
    <row r="45" spans="2:24" ht="30" customHeight="1"/>
    <row r="46" spans="2:24" ht="30" customHeight="1"/>
  </sheetData>
  <mergeCells count="57">
    <mergeCell ref="B9:C9"/>
    <mergeCell ref="D9:F9"/>
    <mergeCell ref="G9:H9"/>
    <mergeCell ref="B3:C3"/>
    <mergeCell ref="B4:C4"/>
    <mergeCell ref="B5:C5"/>
    <mergeCell ref="D5:F5"/>
    <mergeCell ref="B6:C6"/>
    <mergeCell ref="D6:F6"/>
    <mergeCell ref="G6:H6"/>
    <mergeCell ref="B7:C7"/>
    <mergeCell ref="D7:F7"/>
    <mergeCell ref="B8:C8"/>
    <mergeCell ref="D8:F8"/>
    <mergeCell ref="B10:C10"/>
    <mergeCell ref="D10:F10"/>
    <mergeCell ref="G10:H10"/>
    <mergeCell ref="B11:B13"/>
    <mergeCell ref="D11:F11"/>
    <mergeCell ref="G11:H11"/>
    <mergeCell ref="D12:F12"/>
    <mergeCell ref="G12:H12"/>
    <mergeCell ref="D13:F13"/>
    <mergeCell ref="G13:H13"/>
    <mergeCell ref="B14:C14"/>
    <mergeCell ref="D14:F14"/>
    <mergeCell ref="G14:H14"/>
    <mergeCell ref="B15:C15"/>
    <mergeCell ref="D15:F15"/>
    <mergeCell ref="G15:H15"/>
    <mergeCell ref="B21:C21"/>
    <mergeCell ref="D21:E21"/>
    <mergeCell ref="G21:I21"/>
    <mergeCell ref="B16:C16"/>
    <mergeCell ref="D16:F16"/>
    <mergeCell ref="G16:H16"/>
    <mergeCell ref="B17:C17"/>
    <mergeCell ref="D17:E17"/>
    <mergeCell ref="H17:I17"/>
    <mergeCell ref="B18:C20"/>
    <mergeCell ref="D18:F18"/>
    <mergeCell ref="G18:G20"/>
    <mergeCell ref="D19:F19"/>
    <mergeCell ref="D20:F20"/>
    <mergeCell ref="B22:C22"/>
    <mergeCell ref="D22:I22"/>
    <mergeCell ref="B25:B27"/>
    <mergeCell ref="C25:O25"/>
    <mergeCell ref="P25:T25"/>
    <mergeCell ref="W25:X26"/>
    <mergeCell ref="C26:H26"/>
    <mergeCell ref="I26:L26"/>
    <mergeCell ref="M26:M27"/>
    <mergeCell ref="N26:O26"/>
    <mergeCell ref="P26:R26"/>
    <mergeCell ref="S26:T26"/>
    <mergeCell ref="U25:V26"/>
  </mergeCells>
  <phoneticPr fontId="2" type="noConversion"/>
  <pageMargins left="0.7" right="0.7" top="0.75" bottom="0.75" header="0.3" footer="0.3"/>
  <pageSetup paperSize="8" scale="6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Z46"/>
  <sheetViews>
    <sheetView showGridLines="0" topLeftCell="A10" zoomScale="70" zoomScaleNormal="70" workbookViewId="0">
      <selection activeCell="U38" sqref="U38"/>
    </sheetView>
  </sheetViews>
  <sheetFormatPr defaultRowHeight="16.5"/>
  <cols>
    <col min="1" max="1" width="3.625" customWidth="1"/>
    <col min="2" max="2" width="15.625" customWidth="1"/>
    <col min="3" max="24" width="11.625" customWidth="1"/>
    <col min="25" max="25" width="3.25" customWidth="1"/>
  </cols>
  <sheetData>
    <row r="1" spans="2:26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2:26" ht="35.1" customHeight="1" thickBot="1">
      <c r="B2" s="78" t="s">
        <v>118</v>
      </c>
      <c r="C2" s="6"/>
      <c r="D2" s="6"/>
      <c r="E2" s="6"/>
      <c r="F2" s="6"/>
      <c r="G2" s="6"/>
      <c r="H2" s="6"/>
      <c r="I2" s="6"/>
      <c r="J2" s="1"/>
      <c r="K2" s="78" t="s">
        <v>119</v>
      </c>
      <c r="L2" s="78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183"/>
      <c r="Z2" s="183"/>
    </row>
    <row r="3" spans="2:26" ht="32.1" customHeight="1">
      <c r="B3" s="486" t="s">
        <v>120</v>
      </c>
      <c r="C3" s="487"/>
      <c r="D3" s="184" t="s">
        <v>84</v>
      </c>
      <c r="E3" s="185"/>
      <c r="F3" s="185"/>
      <c r="G3" s="185"/>
      <c r="H3" s="185"/>
      <c r="I3" s="185"/>
      <c r="J3" s="7"/>
      <c r="K3" s="186"/>
      <c r="L3" s="186"/>
      <c r="M3" s="186"/>
      <c r="N3" s="187"/>
      <c r="O3" s="188"/>
      <c r="P3" s="187"/>
      <c r="Q3" s="188"/>
      <c r="R3" s="188"/>
      <c r="S3" s="189"/>
      <c r="T3" s="189"/>
      <c r="U3" s="189"/>
      <c r="V3" s="189"/>
      <c r="W3" s="189"/>
      <c r="X3" s="189"/>
    </row>
    <row r="4" spans="2:26" ht="32.1" customHeight="1">
      <c r="B4" s="488" t="s">
        <v>121</v>
      </c>
      <c r="C4" s="489"/>
      <c r="D4" s="190" t="s">
        <v>75</v>
      </c>
      <c r="E4" s="191"/>
      <c r="F4" s="192"/>
      <c r="G4" s="193"/>
      <c r="H4" s="193"/>
      <c r="I4" s="193"/>
      <c r="J4" s="7"/>
      <c r="K4" s="194"/>
      <c r="L4" s="194"/>
      <c r="M4" s="194"/>
      <c r="N4" s="195"/>
      <c r="O4" s="196"/>
      <c r="P4" s="195"/>
      <c r="Q4" s="196"/>
      <c r="R4" s="196"/>
      <c r="S4" s="197"/>
      <c r="T4" s="197"/>
      <c r="U4" s="197"/>
      <c r="V4" s="197"/>
      <c r="W4" s="197"/>
      <c r="X4" s="197"/>
    </row>
    <row r="5" spans="2:26" ht="32.1" customHeight="1">
      <c r="B5" s="488" t="s">
        <v>122</v>
      </c>
      <c r="C5" s="489"/>
      <c r="D5" s="490" t="s">
        <v>187</v>
      </c>
      <c r="E5" s="491"/>
      <c r="F5" s="492"/>
      <c r="G5" s="193"/>
      <c r="H5" s="193"/>
      <c r="I5" s="193"/>
      <c r="J5" s="7"/>
      <c r="K5" s="198"/>
      <c r="L5" s="198"/>
      <c r="M5" s="199"/>
      <c r="N5" s="200"/>
      <c r="O5" s="201"/>
      <c r="P5" s="202"/>
      <c r="Q5" s="201"/>
      <c r="R5" s="201"/>
      <c r="S5" s="197"/>
      <c r="T5" s="197"/>
      <c r="U5" s="197"/>
      <c r="V5" s="197"/>
      <c r="W5" s="197"/>
      <c r="X5" s="197"/>
    </row>
    <row r="6" spans="2:26" ht="32.1" customHeight="1">
      <c r="B6" s="488" t="s">
        <v>123</v>
      </c>
      <c r="C6" s="489"/>
      <c r="D6" s="493">
        <v>29799.9</v>
      </c>
      <c r="E6" s="494"/>
      <c r="F6" s="495"/>
      <c r="G6" s="496">
        <f>D6*0.3025</f>
        <v>9014.4697500000002</v>
      </c>
      <c r="H6" s="497"/>
      <c r="I6" s="203"/>
      <c r="J6" s="7"/>
      <c r="K6" s="204"/>
      <c r="L6" s="204"/>
      <c r="M6" s="199"/>
      <c r="N6" s="205"/>
      <c r="O6" s="205"/>
      <c r="P6" s="206"/>
      <c r="Q6" s="205"/>
      <c r="R6" s="205"/>
      <c r="S6" s="197"/>
      <c r="T6" s="197"/>
      <c r="U6" s="197"/>
      <c r="V6" s="197"/>
      <c r="W6" s="197"/>
      <c r="X6" s="197"/>
    </row>
    <row r="7" spans="2:26" ht="32.1" customHeight="1">
      <c r="B7" s="413" t="s">
        <v>124</v>
      </c>
      <c r="C7" s="414"/>
      <c r="D7" s="498" t="s">
        <v>125</v>
      </c>
      <c r="E7" s="499"/>
      <c r="F7" s="499"/>
      <c r="G7" s="366"/>
      <c r="H7" s="207"/>
      <c r="I7" s="208"/>
      <c r="J7" s="7"/>
      <c r="K7" s="204"/>
      <c r="L7" s="204"/>
      <c r="M7" s="199"/>
      <c r="N7" s="205"/>
      <c r="O7" s="205"/>
      <c r="P7" s="206"/>
      <c r="Q7" s="205"/>
      <c r="R7" s="205"/>
      <c r="S7" s="197"/>
      <c r="T7" s="197"/>
      <c r="U7" s="197"/>
      <c r="V7" s="197"/>
      <c r="W7" s="197"/>
      <c r="X7" s="197"/>
    </row>
    <row r="8" spans="2:26" ht="32.1" hidden="1" customHeight="1">
      <c r="B8" s="413" t="s">
        <v>126</v>
      </c>
      <c r="C8" s="414"/>
      <c r="D8" s="500">
        <v>0</v>
      </c>
      <c r="E8" s="501"/>
      <c r="F8" s="502"/>
      <c r="G8" s="366"/>
      <c r="H8" s="207"/>
      <c r="I8" s="208"/>
      <c r="J8" s="7"/>
      <c r="K8" s="204"/>
      <c r="L8" s="204"/>
      <c r="M8" s="199"/>
      <c r="N8" s="205"/>
      <c r="O8" s="205"/>
      <c r="P8" s="206"/>
      <c r="Q8" s="205"/>
      <c r="R8" s="205"/>
      <c r="S8" s="197"/>
      <c r="T8" s="197"/>
      <c r="U8" s="197"/>
      <c r="V8" s="197"/>
      <c r="W8" s="197"/>
      <c r="X8" s="197"/>
    </row>
    <row r="9" spans="2:26" ht="32.1" customHeight="1">
      <c r="B9" s="413" t="s">
        <v>185</v>
      </c>
      <c r="C9" s="414"/>
      <c r="D9" s="481" t="s">
        <v>186</v>
      </c>
      <c r="E9" s="482"/>
      <c r="F9" s="483"/>
      <c r="G9" s="484"/>
      <c r="H9" s="485"/>
      <c r="I9" s="208"/>
      <c r="J9" s="7"/>
      <c r="K9" s="204"/>
      <c r="L9" s="204"/>
      <c r="M9" s="199"/>
      <c r="N9" s="205"/>
      <c r="O9" s="205"/>
      <c r="P9" s="206"/>
      <c r="Q9" s="205"/>
      <c r="R9" s="205"/>
      <c r="S9" s="197"/>
      <c r="T9" s="197"/>
      <c r="U9" s="197"/>
      <c r="V9" s="197"/>
      <c r="W9" s="197"/>
      <c r="X9" s="197"/>
    </row>
    <row r="10" spans="2:26" ht="32.1" customHeight="1">
      <c r="B10" s="503" t="s">
        <v>28</v>
      </c>
      <c r="C10" s="437"/>
      <c r="D10" s="504">
        <v>20844.23</v>
      </c>
      <c r="E10" s="505"/>
      <c r="F10" s="506"/>
      <c r="G10" s="430">
        <f t="shared" ref="G10:G14" si="0">D10*0.3025</f>
        <v>6305.3795749999999</v>
      </c>
      <c r="H10" s="431"/>
      <c r="I10" s="207"/>
      <c r="J10" s="7"/>
      <c r="K10" s="209"/>
      <c r="L10" s="204"/>
      <c r="M10" s="199"/>
      <c r="N10" s="205"/>
      <c r="O10" s="205"/>
      <c r="P10" s="206"/>
      <c r="Q10" s="205"/>
      <c r="R10" s="205"/>
      <c r="S10" s="197"/>
      <c r="T10" s="197"/>
      <c r="U10" s="197"/>
      <c r="V10" s="197"/>
      <c r="W10" s="197"/>
      <c r="X10" s="197"/>
    </row>
    <row r="11" spans="2:26" ht="32.1" customHeight="1">
      <c r="B11" s="507" t="s">
        <v>7</v>
      </c>
      <c r="C11" s="54" t="s">
        <v>11</v>
      </c>
      <c r="D11" s="509">
        <f>U37</f>
        <v>104631.46999999999</v>
      </c>
      <c r="E11" s="510"/>
      <c r="F11" s="511"/>
      <c r="G11" s="512">
        <f t="shared" si="0"/>
        <v>31651.019674999996</v>
      </c>
      <c r="H11" s="513"/>
      <c r="I11" s="356"/>
      <c r="J11" s="7"/>
      <c r="K11" s="204"/>
      <c r="L11" s="204"/>
      <c r="M11" s="199"/>
      <c r="N11" s="205"/>
      <c r="O11" s="205"/>
      <c r="P11" s="206"/>
      <c r="Q11" s="205"/>
      <c r="R11" s="205"/>
      <c r="S11" s="197"/>
      <c r="T11" s="197"/>
      <c r="U11" s="197"/>
      <c r="V11" s="197"/>
      <c r="W11" s="197"/>
      <c r="X11" s="197"/>
    </row>
    <row r="12" spans="2:26" ht="32.1" customHeight="1">
      <c r="B12" s="508"/>
      <c r="C12" s="54" t="s">
        <v>12</v>
      </c>
      <c r="D12" s="509">
        <f>U30</f>
        <v>27687.68</v>
      </c>
      <c r="E12" s="510"/>
      <c r="F12" s="511"/>
      <c r="G12" s="512">
        <f t="shared" si="0"/>
        <v>8375.5231999999996</v>
      </c>
      <c r="H12" s="513"/>
      <c r="I12" s="356"/>
      <c r="J12" s="7"/>
      <c r="K12" s="204"/>
      <c r="L12" s="204"/>
      <c r="M12" s="199"/>
      <c r="N12" s="205"/>
      <c r="O12" s="205"/>
      <c r="P12" s="206"/>
      <c r="Q12" s="205"/>
      <c r="R12" s="205"/>
      <c r="S12" s="197"/>
      <c r="T12" s="197"/>
      <c r="U12" s="197"/>
      <c r="V12" s="197"/>
      <c r="W12" s="197"/>
      <c r="X12" s="197"/>
    </row>
    <row r="13" spans="2:26" ht="32.1" customHeight="1">
      <c r="B13" s="508"/>
      <c r="C13" s="210" t="s">
        <v>131</v>
      </c>
      <c r="D13" s="514">
        <f>SUM(D11:F12)</f>
        <v>132319.15</v>
      </c>
      <c r="E13" s="515"/>
      <c r="F13" s="516"/>
      <c r="G13" s="517">
        <f t="shared" si="0"/>
        <v>40026.542874999999</v>
      </c>
      <c r="H13" s="518"/>
      <c r="I13" s="211"/>
      <c r="J13" s="7"/>
      <c r="K13" s="204"/>
      <c r="L13" s="204"/>
      <c r="M13" s="199"/>
      <c r="N13" s="205"/>
      <c r="O13" s="205"/>
      <c r="P13" s="206"/>
      <c r="Q13" s="205"/>
      <c r="R13" s="205"/>
      <c r="S13" s="197"/>
      <c r="T13" s="197"/>
      <c r="U13" s="197"/>
      <c r="V13" s="197"/>
      <c r="W13" s="197"/>
      <c r="X13" s="197"/>
    </row>
    <row r="14" spans="2:26" ht="32.1" customHeight="1">
      <c r="B14" s="413" t="s">
        <v>132</v>
      </c>
      <c r="C14" s="414"/>
      <c r="D14" s="509">
        <f>U38-H30-L30-M30-S30-L37</f>
        <v>72536.67</v>
      </c>
      <c r="E14" s="510"/>
      <c r="F14" s="511"/>
      <c r="G14" s="512">
        <f t="shared" si="0"/>
        <v>21942.342675</v>
      </c>
      <c r="H14" s="513"/>
      <c r="I14" s="208"/>
      <c r="J14" s="7"/>
      <c r="K14" s="204"/>
      <c r="L14" s="212"/>
      <c r="M14" s="199"/>
      <c r="N14" s="205"/>
      <c r="O14" s="205"/>
      <c r="P14" s="206"/>
      <c r="Q14" s="205"/>
      <c r="R14" s="205"/>
      <c r="S14" s="197"/>
      <c r="T14" s="197"/>
      <c r="U14" s="197"/>
      <c r="V14" s="197"/>
      <c r="W14" s="197"/>
      <c r="X14" s="197"/>
    </row>
    <row r="15" spans="2:26" ht="32.1" customHeight="1">
      <c r="B15" s="519" t="s">
        <v>30</v>
      </c>
      <c r="C15" s="520"/>
      <c r="D15" s="521">
        <f>D10/D6</f>
        <v>0.69947315259447174</v>
      </c>
      <c r="E15" s="522"/>
      <c r="F15" s="523"/>
      <c r="G15" s="524" t="s">
        <v>70</v>
      </c>
      <c r="H15" s="525"/>
      <c r="I15" s="211"/>
      <c r="J15" s="7"/>
      <c r="K15" s="204"/>
      <c r="L15" s="204"/>
      <c r="M15" s="199"/>
      <c r="N15" s="205"/>
      <c r="O15" s="205"/>
      <c r="P15" s="206"/>
      <c r="Q15" s="205"/>
      <c r="R15" s="205"/>
      <c r="S15" s="197"/>
      <c r="T15" s="197"/>
      <c r="U15" s="197"/>
      <c r="V15" s="197"/>
      <c r="W15" s="197"/>
      <c r="X15" s="197"/>
    </row>
    <row r="16" spans="2:26" ht="32.1" customHeight="1">
      <c r="B16" s="519" t="s">
        <v>31</v>
      </c>
      <c r="C16" s="520"/>
      <c r="D16" s="531">
        <f>D14/D6</f>
        <v>2.4341246111564132</v>
      </c>
      <c r="E16" s="532"/>
      <c r="F16" s="532"/>
      <c r="G16" s="524" t="s">
        <v>76</v>
      </c>
      <c r="H16" s="525"/>
      <c r="I16" s="211"/>
      <c r="J16" s="7"/>
      <c r="K16" s="204"/>
      <c r="L16" s="204"/>
      <c r="M16" s="199"/>
      <c r="N16" s="205"/>
      <c r="O16" s="205"/>
      <c r="P16" s="206"/>
      <c r="Q16" s="205"/>
      <c r="R16" s="205"/>
      <c r="S16" s="197"/>
      <c r="T16" s="197"/>
      <c r="U16" s="197"/>
      <c r="V16" s="197"/>
      <c r="W16" s="197"/>
      <c r="X16" s="197"/>
    </row>
    <row r="17" spans="2:24" ht="32.1" customHeight="1">
      <c r="B17" s="533" t="s">
        <v>135</v>
      </c>
      <c r="C17" s="534"/>
      <c r="D17" s="535">
        <f>U38-L38</f>
        <v>95587.48</v>
      </c>
      <c r="E17" s="536"/>
      <c r="F17" s="357">
        <f>D17/D13</f>
        <v>0.7224009525454177</v>
      </c>
      <c r="G17" s="213"/>
      <c r="H17" s="537" t="s">
        <v>136</v>
      </c>
      <c r="I17" s="537"/>
      <c r="J17" s="7"/>
      <c r="K17" s="204"/>
      <c r="L17" s="204"/>
      <c r="M17" s="199"/>
      <c r="N17" s="205"/>
      <c r="O17" s="205"/>
      <c r="P17" s="206"/>
      <c r="Q17" s="205"/>
      <c r="R17" s="205"/>
      <c r="S17" s="197"/>
      <c r="T17" s="197"/>
      <c r="U17" s="197"/>
      <c r="V17" s="197"/>
      <c r="W17" s="197"/>
      <c r="X17" s="197"/>
    </row>
    <row r="18" spans="2:24" ht="32.1" customHeight="1">
      <c r="B18" s="413" t="s">
        <v>137</v>
      </c>
      <c r="C18" s="455"/>
      <c r="D18" s="538">
        <f>U38-L38</f>
        <v>95587.48</v>
      </c>
      <c r="E18" s="539"/>
      <c r="F18" s="539"/>
      <c r="G18" s="540" t="s">
        <v>138</v>
      </c>
      <c r="H18" s="358" t="s">
        <v>113</v>
      </c>
      <c r="I18" s="359">
        <f>W38</f>
        <v>356</v>
      </c>
      <c r="J18" s="7"/>
      <c r="K18" s="204"/>
      <c r="L18" s="204"/>
      <c r="M18" s="199"/>
      <c r="N18" s="205"/>
      <c r="O18" s="205"/>
      <c r="P18" s="205"/>
      <c r="Q18" s="205"/>
      <c r="R18" s="205"/>
      <c r="S18" s="197"/>
      <c r="T18" s="197"/>
      <c r="U18" s="197"/>
      <c r="V18" s="197"/>
      <c r="W18" s="197"/>
      <c r="X18" s="197"/>
    </row>
    <row r="19" spans="2:24" ht="32.1" customHeight="1">
      <c r="B19" s="456"/>
      <c r="C19" s="457"/>
      <c r="D19" s="543">
        <f>D18/400</f>
        <v>238.96869999999998</v>
      </c>
      <c r="E19" s="544"/>
      <c r="F19" s="545"/>
      <c r="G19" s="541"/>
      <c r="H19" s="360" t="s">
        <v>139</v>
      </c>
      <c r="I19" s="361">
        <f>X38</f>
        <v>224</v>
      </c>
      <c r="J19" s="7"/>
      <c r="K19" s="204"/>
      <c r="L19" s="204"/>
      <c r="M19" s="199"/>
      <c r="N19" s="205"/>
      <c r="O19" s="205"/>
      <c r="P19" s="205"/>
      <c r="Q19" s="205"/>
      <c r="R19" s="205"/>
      <c r="S19" s="197"/>
      <c r="T19" s="197"/>
      <c r="U19" s="197"/>
      <c r="V19" s="197"/>
      <c r="W19" s="197"/>
      <c r="X19" s="197"/>
    </row>
    <row r="20" spans="2:24" ht="32.1" customHeight="1">
      <c r="B20" s="458"/>
      <c r="C20" s="459"/>
      <c r="D20" s="546"/>
      <c r="E20" s="547"/>
      <c r="F20" s="548"/>
      <c r="G20" s="542"/>
      <c r="H20" s="362" t="s">
        <v>140</v>
      </c>
      <c r="I20" s="363">
        <f>I18+I19</f>
        <v>580</v>
      </c>
      <c r="J20" s="7"/>
      <c r="K20" s="204"/>
      <c r="L20" s="204"/>
      <c r="M20" s="199"/>
      <c r="N20" s="205"/>
      <c r="O20" s="205"/>
      <c r="P20" s="205"/>
      <c r="Q20" s="205"/>
      <c r="R20" s="205"/>
      <c r="S20" s="197"/>
      <c r="T20" s="197"/>
      <c r="U20" s="197"/>
      <c r="V20" s="197"/>
      <c r="W20" s="197"/>
      <c r="X20" s="197"/>
    </row>
    <row r="21" spans="2:24" ht="52.5" customHeight="1">
      <c r="B21" s="423" t="s">
        <v>141</v>
      </c>
      <c r="C21" s="526"/>
      <c r="D21" s="527">
        <v>3791.95</v>
      </c>
      <c r="E21" s="528"/>
      <c r="F21" s="214">
        <f>D21/D6</f>
        <v>0.12724707129889695</v>
      </c>
      <c r="G21" s="529" t="s">
        <v>184</v>
      </c>
      <c r="H21" s="530"/>
      <c r="I21" s="530"/>
      <c r="J21" s="7"/>
      <c r="K21" s="204"/>
      <c r="L21" s="204"/>
      <c r="M21" s="199"/>
      <c r="N21" s="205"/>
      <c r="O21" s="205"/>
      <c r="P21" s="205"/>
      <c r="Q21" s="205"/>
      <c r="R21" s="205"/>
      <c r="S21" s="197"/>
      <c r="T21" s="197"/>
      <c r="U21" s="197"/>
      <c r="V21" s="197"/>
      <c r="W21" s="197"/>
      <c r="X21" s="197"/>
    </row>
    <row r="22" spans="2:24" ht="32.1" customHeight="1" thickBot="1">
      <c r="B22" s="549" t="s">
        <v>142</v>
      </c>
      <c r="C22" s="550"/>
      <c r="D22" s="551" t="s">
        <v>99</v>
      </c>
      <c r="E22" s="552"/>
      <c r="F22" s="552"/>
      <c r="G22" s="552"/>
      <c r="H22" s="552"/>
      <c r="I22" s="552"/>
      <c r="J22" s="7"/>
      <c r="K22" s="215"/>
      <c r="L22" s="215"/>
      <c r="M22" s="216"/>
      <c r="N22" s="217"/>
      <c r="O22" s="217"/>
      <c r="P22" s="217"/>
      <c r="Q22" s="217"/>
      <c r="R22" s="217"/>
      <c r="S22" s="218"/>
      <c r="T22" s="218"/>
      <c r="U22" s="218"/>
      <c r="V22" s="218"/>
      <c r="W22" s="218"/>
      <c r="X22" s="218"/>
    </row>
    <row r="23" spans="2:24" ht="35.1" customHeight="1" thickTop="1">
      <c r="B23" s="5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2:24" ht="35.1" customHeight="1" thickBot="1">
      <c r="B24" s="75" t="s">
        <v>143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2:24" ht="32.1" customHeight="1">
      <c r="B25" s="553" t="s">
        <v>144</v>
      </c>
      <c r="C25" s="556" t="s">
        <v>145</v>
      </c>
      <c r="D25" s="557"/>
      <c r="E25" s="557"/>
      <c r="F25" s="557"/>
      <c r="G25" s="557"/>
      <c r="H25" s="557"/>
      <c r="I25" s="557"/>
      <c r="J25" s="557"/>
      <c r="K25" s="557"/>
      <c r="L25" s="557"/>
      <c r="M25" s="557"/>
      <c r="N25" s="557"/>
      <c r="O25" s="558"/>
      <c r="P25" s="559" t="s">
        <v>146</v>
      </c>
      <c r="Q25" s="560"/>
      <c r="R25" s="560"/>
      <c r="S25" s="560"/>
      <c r="T25" s="561"/>
      <c r="U25" s="578" t="s">
        <v>147</v>
      </c>
      <c r="V25" s="579"/>
      <c r="W25" s="562" t="s">
        <v>148</v>
      </c>
      <c r="X25" s="563"/>
    </row>
    <row r="26" spans="2:24" ht="32.1" customHeight="1">
      <c r="B26" s="554"/>
      <c r="C26" s="566" t="s">
        <v>149</v>
      </c>
      <c r="D26" s="567"/>
      <c r="E26" s="567"/>
      <c r="F26" s="567"/>
      <c r="G26" s="567"/>
      <c r="H26" s="567"/>
      <c r="I26" s="568" t="s">
        <v>150</v>
      </c>
      <c r="J26" s="568"/>
      <c r="K26" s="568"/>
      <c r="L26" s="568"/>
      <c r="M26" s="569" t="s">
        <v>151</v>
      </c>
      <c r="N26" s="571" t="s">
        <v>152</v>
      </c>
      <c r="O26" s="572"/>
      <c r="P26" s="573" t="s">
        <v>153</v>
      </c>
      <c r="Q26" s="574"/>
      <c r="R26" s="575"/>
      <c r="S26" s="576" t="s">
        <v>154</v>
      </c>
      <c r="T26" s="577"/>
      <c r="U26" s="580"/>
      <c r="V26" s="581"/>
      <c r="W26" s="564"/>
      <c r="X26" s="565"/>
    </row>
    <row r="27" spans="2:24" ht="41.25" customHeight="1" thickBot="1">
      <c r="B27" s="555"/>
      <c r="C27" s="141" t="s">
        <v>125</v>
      </c>
      <c r="D27" s="219" t="s">
        <v>155</v>
      </c>
      <c r="E27" s="219" t="s">
        <v>156</v>
      </c>
      <c r="F27" s="23" t="s">
        <v>157</v>
      </c>
      <c r="G27" s="22" t="s">
        <v>158</v>
      </c>
      <c r="H27" s="220" t="s">
        <v>159</v>
      </c>
      <c r="I27" s="221" t="s">
        <v>54</v>
      </c>
      <c r="J27" s="221" t="s">
        <v>161</v>
      </c>
      <c r="K27" s="221" t="s">
        <v>162</v>
      </c>
      <c r="L27" s="222" t="s">
        <v>159</v>
      </c>
      <c r="M27" s="570"/>
      <c r="N27" s="223" t="s">
        <v>4</v>
      </c>
      <c r="O27" s="224" t="s">
        <v>164</v>
      </c>
      <c r="P27" s="225" t="s">
        <v>165</v>
      </c>
      <c r="Q27" s="226" t="s">
        <v>166</v>
      </c>
      <c r="R27" s="226" t="s">
        <v>114</v>
      </c>
      <c r="S27" s="227" t="s">
        <v>4</v>
      </c>
      <c r="T27" s="228" t="s">
        <v>164</v>
      </c>
      <c r="U27" s="229" t="s">
        <v>4</v>
      </c>
      <c r="V27" s="230" t="s">
        <v>164</v>
      </c>
      <c r="W27" s="231" t="s">
        <v>115</v>
      </c>
      <c r="X27" s="232" t="s">
        <v>98</v>
      </c>
    </row>
    <row r="28" spans="2:24" ht="32.1" customHeight="1">
      <c r="B28" s="233" t="s">
        <v>176</v>
      </c>
      <c r="C28" s="234">
        <f>15290.17-18</f>
        <v>15272.17</v>
      </c>
      <c r="D28" s="235">
        <v>234.66</v>
      </c>
      <c r="E28" s="235">
        <v>0</v>
      </c>
      <c r="F28" s="236">
        <v>0</v>
      </c>
      <c r="G28" s="237">
        <f>492.48-18</f>
        <v>474.48</v>
      </c>
      <c r="H28" s="238">
        <f t="shared" ref="H28:H36" si="1">SUM(C28:G28)</f>
        <v>15981.31</v>
      </c>
      <c r="I28" s="239">
        <v>1719.38</v>
      </c>
      <c r="J28" s="239">
        <v>2917.49</v>
      </c>
      <c r="K28" s="239">
        <v>0</v>
      </c>
      <c r="L28" s="240">
        <f>SUM(I28:K28)</f>
        <v>4636.87</v>
      </c>
      <c r="M28" s="241">
        <v>1584.36</v>
      </c>
      <c r="N28" s="242">
        <f>M28+L28+H28</f>
        <v>22202.54</v>
      </c>
      <c r="O28" s="243">
        <f>N28*0.3025</f>
        <v>6716.2683500000003</v>
      </c>
      <c r="P28" s="244">
        <v>0</v>
      </c>
      <c r="Q28" s="245">
        <v>0</v>
      </c>
      <c r="R28" s="245">
        <v>0</v>
      </c>
      <c r="S28" s="246">
        <f t="shared" ref="S28:S36" si="2">SUM(P28:R28)</f>
        <v>0</v>
      </c>
      <c r="T28" s="247">
        <f>S28*0.3025</f>
        <v>0</v>
      </c>
      <c r="U28" s="248">
        <f t="shared" ref="U28:V31" si="3">S28+N28</f>
        <v>22202.54</v>
      </c>
      <c r="V28" s="249">
        <f t="shared" si="3"/>
        <v>6716.2683500000003</v>
      </c>
      <c r="W28" s="250">
        <v>4</v>
      </c>
      <c r="X28" s="251">
        <v>36</v>
      </c>
    </row>
    <row r="29" spans="2:24" ht="32.1" customHeight="1">
      <c r="B29" s="252" t="s">
        <v>175</v>
      </c>
      <c r="C29" s="253">
        <v>0</v>
      </c>
      <c r="D29" s="254">
        <v>0</v>
      </c>
      <c r="E29" s="254">
        <v>0</v>
      </c>
      <c r="F29" s="255">
        <v>0</v>
      </c>
      <c r="G29" s="256">
        <f>1319.57-18</f>
        <v>1301.57</v>
      </c>
      <c r="H29" s="257">
        <f t="shared" si="1"/>
        <v>1301.57</v>
      </c>
      <c r="I29" s="258">
        <v>0</v>
      </c>
      <c r="J29" s="258">
        <v>0</v>
      </c>
      <c r="K29" s="258">
        <v>0</v>
      </c>
      <c r="L29" s="259">
        <f>SUM(I29:K29)</f>
        <v>0</v>
      </c>
      <c r="M29" s="260">
        <v>0</v>
      </c>
      <c r="N29" s="261">
        <f>M29+L29+H29</f>
        <v>1301.57</v>
      </c>
      <c r="O29" s="262">
        <f>N29*0.3025</f>
        <v>393.72492499999998</v>
      </c>
      <c r="P29" s="263">
        <v>0</v>
      </c>
      <c r="Q29" s="264">
        <v>882.94</v>
      </c>
      <c r="R29" s="264">
        <f>3312.63-12</f>
        <v>3300.63</v>
      </c>
      <c r="S29" s="265">
        <f>SUM(P29:R29)</f>
        <v>4183.57</v>
      </c>
      <c r="T29" s="247">
        <f>S29*0.3025</f>
        <v>1265.5299249999998</v>
      </c>
      <c r="U29" s="248">
        <f t="shared" si="3"/>
        <v>5485.1399999999994</v>
      </c>
      <c r="V29" s="249">
        <f t="shared" si="3"/>
        <v>1659.2548499999998</v>
      </c>
      <c r="W29" s="266" t="s">
        <v>99</v>
      </c>
      <c r="X29" s="267" t="s">
        <v>99</v>
      </c>
    </row>
    <row r="30" spans="2:24" ht="32.1" customHeight="1" thickBot="1">
      <c r="B30" s="268" t="s">
        <v>116</v>
      </c>
      <c r="C30" s="269">
        <f>C28+C29</f>
        <v>15272.17</v>
      </c>
      <c r="D30" s="270">
        <f t="shared" ref="D30:G30" si="4">D28+D29</f>
        <v>234.66</v>
      </c>
      <c r="E30" s="270">
        <f t="shared" si="4"/>
        <v>0</v>
      </c>
      <c r="F30" s="270">
        <f t="shared" si="4"/>
        <v>0</v>
      </c>
      <c r="G30" s="270">
        <f t="shared" si="4"/>
        <v>1776.05</v>
      </c>
      <c r="H30" s="271">
        <f t="shared" si="1"/>
        <v>17282.88</v>
      </c>
      <c r="I30" s="272">
        <f>SUM(I28:I29)</f>
        <v>1719.38</v>
      </c>
      <c r="J30" s="272">
        <f t="shared" ref="J30:K30" si="5">SUM(J28:J29)</f>
        <v>2917.49</v>
      </c>
      <c r="K30" s="272">
        <f t="shared" si="5"/>
        <v>0</v>
      </c>
      <c r="L30" s="273">
        <f>SUM(I30:K30)</f>
        <v>4636.87</v>
      </c>
      <c r="M30" s="274">
        <f>SUM(M28:M29)</f>
        <v>1584.36</v>
      </c>
      <c r="N30" s="275">
        <f>H30+L30+M30</f>
        <v>23504.11</v>
      </c>
      <c r="O30" s="276">
        <f>N30*0.3025</f>
        <v>7109.9932749999998</v>
      </c>
      <c r="P30" s="277">
        <f>SUM(P28:P29)</f>
        <v>0</v>
      </c>
      <c r="Q30" s="277">
        <f t="shared" ref="Q30:R30" si="6">SUM(Q28:Q29)</f>
        <v>882.94</v>
      </c>
      <c r="R30" s="277">
        <f t="shared" si="6"/>
        <v>3300.63</v>
      </c>
      <c r="S30" s="278">
        <f>SUM(P30:R30)</f>
        <v>4183.57</v>
      </c>
      <c r="T30" s="279">
        <f>S30*0.3025</f>
        <v>1265.5299249999998</v>
      </c>
      <c r="U30" s="280">
        <f t="shared" si="3"/>
        <v>27687.68</v>
      </c>
      <c r="V30" s="281">
        <f t="shared" si="3"/>
        <v>8375.5231999999996</v>
      </c>
      <c r="W30" s="282">
        <f>SUM(W28:W29)</f>
        <v>4</v>
      </c>
      <c r="X30" s="283">
        <f>SUM(X28:X29)</f>
        <v>36</v>
      </c>
    </row>
    <row r="31" spans="2:24" ht="32.1" customHeight="1">
      <c r="B31" s="284" t="s">
        <v>177</v>
      </c>
      <c r="C31" s="285">
        <f>13452.21-18</f>
        <v>13434.21</v>
      </c>
      <c r="D31" s="286">
        <v>357.09</v>
      </c>
      <c r="E31" s="286">
        <v>0</v>
      </c>
      <c r="F31" s="287">
        <v>0</v>
      </c>
      <c r="G31" s="288">
        <f>825.93-18</f>
        <v>807.93</v>
      </c>
      <c r="H31" s="289">
        <f>SUM(C31:G31)</f>
        <v>14599.23</v>
      </c>
      <c r="I31" s="290">
        <v>1653.14</v>
      </c>
      <c r="J31" s="290">
        <v>4765.82</v>
      </c>
      <c r="K31" s="290">
        <v>0</v>
      </c>
      <c r="L31" s="291">
        <f>SUM(I31:K31)</f>
        <v>6418.96</v>
      </c>
      <c r="M31" s="292">
        <v>0</v>
      </c>
      <c r="N31" s="293">
        <f>H31+L31+M31</f>
        <v>21018.19</v>
      </c>
      <c r="O31" s="294">
        <f>N31*0.3025</f>
        <v>6358.0024749999993</v>
      </c>
      <c r="P31" s="295">
        <v>0</v>
      </c>
      <c r="Q31" s="296">
        <v>0</v>
      </c>
      <c r="R31" s="296">
        <v>0</v>
      </c>
      <c r="S31" s="297">
        <f t="shared" si="2"/>
        <v>0</v>
      </c>
      <c r="T31" s="298">
        <f>S31*0.3025</f>
        <v>0</v>
      </c>
      <c r="U31" s="299">
        <f>S31+N31</f>
        <v>21018.19</v>
      </c>
      <c r="V31" s="300">
        <f t="shared" si="3"/>
        <v>6358.0024749999993</v>
      </c>
      <c r="W31" s="301">
        <v>60</v>
      </c>
      <c r="X31" s="302">
        <v>36</v>
      </c>
    </row>
    <row r="32" spans="2:24" ht="32.1" customHeight="1">
      <c r="B32" s="303" t="s">
        <v>178</v>
      </c>
      <c r="C32" s="304">
        <f>13452.21-18</f>
        <v>13434.21</v>
      </c>
      <c r="D32" s="305">
        <v>242.22</v>
      </c>
      <c r="E32" s="305">
        <v>0</v>
      </c>
      <c r="F32" s="306">
        <v>0</v>
      </c>
      <c r="G32" s="307">
        <f>825.93-18</f>
        <v>807.93</v>
      </c>
      <c r="H32" s="308">
        <f t="shared" si="1"/>
        <v>14484.359999999999</v>
      </c>
      <c r="I32" s="309">
        <v>1653.14</v>
      </c>
      <c r="J32" s="309">
        <v>4765.82</v>
      </c>
      <c r="K32" s="309">
        <v>0</v>
      </c>
      <c r="L32" s="310">
        <f>SUM(I32:K32)</f>
        <v>6418.96</v>
      </c>
      <c r="M32" s="311">
        <v>0</v>
      </c>
      <c r="N32" s="261">
        <f>H32+L32+M32</f>
        <v>20903.32</v>
      </c>
      <c r="O32" s="262">
        <f>N32*0.3025</f>
        <v>6323.2542999999996</v>
      </c>
      <c r="P32" s="312">
        <v>0</v>
      </c>
      <c r="Q32" s="313">
        <v>0</v>
      </c>
      <c r="R32" s="313">
        <v>0</v>
      </c>
      <c r="S32" s="314">
        <f t="shared" si="2"/>
        <v>0</v>
      </c>
      <c r="T32" s="315">
        <f>S32*0.3025</f>
        <v>0</v>
      </c>
      <c r="U32" s="316">
        <f>N32+S32</f>
        <v>20903.32</v>
      </c>
      <c r="V32" s="317">
        <f>O32+T32</f>
        <v>6323.2542999999996</v>
      </c>
      <c r="W32" s="318" t="s">
        <v>99</v>
      </c>
      <c r="X32" s="319">
        <v>38</v>
      </c>
    </row>
    <row r="33" spans="2:24" ht="32.1" customHeight="1">
      <c r="B33" s="303" t="s">
        <v>169</v>
      </c>
      <c r="C33" s="304">
        <f>13452.21-18</f>
        <v>13434.21</v>
      </c>
      <c r="D33" s="305">
        <v>242.22</v>
      </c>
      <c r="E33" s="305">
        <v>0</v>
      </c>
      <c r="F33" s="306">
        <v>0</v>
      </c>
      <c r="G33" s="307">
        <f>825.93-18</f>
        <v>807.93</v>
      </c>
      <c r="H33" s="308">
        <f t="shared" si="1"/>
        <v>14484.359999999999</v>
      </c>
      <c r="I33" s="309">
        <v>1653.14</v>
      </c>
      <c r="J33" s="309">
        <v>4765.82</v>
      </c>
      <c r="K33" s="309">
        <v>0</v>
      </c>
      <c r="L33" s="310">
        <f t="shared" ref="L33:L37" si="7">SUM(I33:K33)</f>
        <v>6418.96</v>
      </c>
      <c r="M33" s="311">
        <v>0</v>
      </c>
      <c r="N33" s="261">
        <f t="shared" ref="N33:N36" si="8">H33+L33+M33</f>
        <v>20903.32</v>
      </c>
      <c r="O33" s="262">
        <f t="shared" ref="O33:O38" si="9">N33*0.3025</f>
        <v>6323.2542999999996</v>
      </c>
      <c r="P33" s="312">
        <v>0</v>
      </c>
      <c r="Q33" s="313">
        <v>0</v>
      </c>
      <c r="R33" s="313">
        <v>0</v>
      </c>
      <c r="S33" s="314">
        <f t="shared" si="2"/>
        <v>0</v>
      </c>
      <c r="T33" s="315">
        <f t="shared" ref="T33:T36" si="10">S33*0.3025</f>
        <v>0</v>
      </c>
      <c r="U33" s="316">
        <f>N33+S33</f>
        <v>20903.32</v>
      </c>
      <c r="V33" s="317">
        <f>O33+T33</f>
        <v>6323.2542999999996</v>
      </c>
      <c r="W33" s="318" t="s">
        <v>99</v>
      </c>
      <c r="X33" s="319">
        <v>38</v>
      </c>
    </row>
    <row r="34" spans="2:24" ht="32.1" customHeight="1">
      <c r="B34" s="303" t="s">
        <v>179</v>
      </c>
      <c r="C34" s="304">
        <f>13452.21-18</f>
        <v>13434.21</v>
      </c>
      <c r="D34" s="305">
        <v>242.22</v>
      </c>
      <c r="E34" s="305">
        <v>0</v>
      </c>
      <c r="F34" s="306">
        <v>0</v>
      </c>
      <c r="G34" s="307">
        <f>825.93-18</f>
        <v>807.93</v>
      </c>
      <c r="H34" s="308">
        <f t="shared" si="1"/>
        <v>14484.359999999999</v>
      </c>
      <c r="I34" s="309">
        <v>1653.14</v>
      </c>
      <c r="J34" s="355">
        <v>4765.82</v>
      </c>
      <c r="K34" s="355">
        <v>0</v>
      </c>
      <c r="L34" s="240">
        <f t="shared" si="7"/>
        <v>6418.96</v>
      </c>
      <c r="M34" s="241">
        <v>0</v>
      </c>
      <c r="N34" s="261">
        <f t="shared" si="8"/>
        <v>20903.32</v>
      </c>
      <c r="O34" s="262">
        <f t="shared" si="9"/>
        <v>6323.2542999999996</v>
      </c>
      <c r="P34" s="312">
        <v>0</v>
      </c>
      <c r="Q34" s="313">
        <v>0</v>
      </c>
      <c r="R34" s="313">
        <v>0</v>
      </c>
      <c r="S34" s="314">
        <f t="shared" si="2"/>
        <v>0</v>
      </c>
      <c r="T34" s="315">
        <f t="shared" si="10"/>
        <v>0</v>
      </c>
      <c r="U34" s="316">
        <f t="shared" ref="U34:V36" si="11">N34+S34</f>
        <v>20903.32</v>
      </c>
      <c r="V34" s="317">
        <f t="shared" si="11"/>
        <v>6323.2542999999996</v>
      </c>
      <c r="W34" s="250" t="s">
        <v>99</v>
      </c>
      <c r="X34" s="251">
        <v>38</v>
      </c>
    </row>
    <row r="35" spans="2:24" ht="32.1" customHeight="1">
      <c r="B35" s="303" t="s">
        <v>180</v>
      </c>
      <c r="C35" s="304">
        <f>13452.21-18</f>
        <v>13434.21</v>
      </c>
      <c r="D35" s="305">
        <v>242.22</v>
      </c>
      <c r="E35" s="305">
        <v>0</v>
      </c>
      <c r="F35" s="306">
        <v>0</v>
      </c>
      <c r="G35" s="307">
        <f>825.93-18</f>
        <v>807.93</v>
      </c>
      <c r="H35" s="308">
        <f t="shared" si="1"/>
        <v>14484.359999999999</v>
      </c>
      <c r="I35" s="309">
        <v>1653.14</v>
      </c>
      <c r="J35" s="355">
        <v>4765.82</v>
      </c>
      <c r="K35" s="355">
        <v>0</v>
      </c>
      <c r="L35" s="240">
        <f t="shared" si="7"/>
        <v>6418.96</v>
      </c>
      <c r="M35" s="241">
        <v>0</v>
      </c>
      <c r="N35" s="261">
        <f t="shared" si="8"/>
        <v>20903.32</v>
      </c>
      <c r="O35" s="262">
        <f t="shared" si="9"/>
        <v>6323.2542999999996</v>
      </c>
      <c r="P35" s="312">
        <v>0</v>
      </c>
      <c r="Q35" s="313">
        <v>0</v>
      </c>
      <c r="R35" s="313">
        <v>0</v>
      </c>
      <c r="S35" s="314">
        <f t="shared" si="2"/>
        <v>0</v>
      </c>
      <c r="T35" s="315">
        <f t="shared" si="10"/>
        <v>0</v>
      </c>
      <c r="U35" s="316">
        <f t="shared" si="11"/>
        <v>20903.32</v>
      </c>
      <c r="V35" s="317">
        <f t="shared" si="11"/>
        <v>6323.2542999999996</v>
      </c>
      <c r="W35" s="250" t="s">
        <v>99</v>
      </c>
      <c r="X35" s="251">
        <v>38</v>
      </c>
    </row>
    <row r="36" spans="2:24" ht="32.1" customHeight="1">
      <c r="B36" s="303" t="s">
        <v>96</v>
      </c>
      <c r="C36" s="234">
        <v>0</v>
      </c>
      <c r="D36" s="235">
        <v>0</v>
      </c>
      <c r="E36" s="235">
        <v>0</v>
      </c>
      <c r="F36" s="236">
        <v>0</v>
      </c>
      <c r="G36" s="237">
        <v>0</v>
      </c>
      <c r="H36" s="308">
        <f t="shared" si="1"/>
        <v>0</v>
      </c>
      <c r="I36" s="239">
        <v>0</v>
      </c>
      <c r="J36" s="239">
        <v>0</v>
      </c>
      <c r="K36" s="239">
        <v>0</v>
      </c>
      <c r="L36" s="240">
        <f t="shared" si="7"/>
        <v>0</v>
      </c>
      <c r="M36" s="241">
        <v>0</v>
      </c>
      <c r="N36" s="261">
        <f t="shared" si="8"/>
        <v>0</v>
      </c>
      <c r="O36" s="262">
        <f t="shared" si="9"/>
        <v>0</v>
      </c>
      <c r="P36" s="320">
        <v>0</v>
      </c>
      <c r="Q36" s="313">
        <v>0</v>
      </c>
      <c r="R36" s="313">
        <v>0</v>
      </c>
      <c r="S36" s="314">
        <f t="shared" si="2"/>
        <v>0</v>
      </c>
      <c r="T36" s="321">
        <f t="shared" si="10"/>
        <v>0</v>
      </c>
      <c r="U36" s="316">
        <f t="shared" si="11"/>
        <v>0</v>
      </c>
      <c r="V36" s="317">
        <f t="shared" si="11"/>
        <v>0</v>
      </c>
      <c r="W36" s="250">
        <v>292</v>
      </c>
      <c r="X36" s="251" t="s">
        <v>99</v>
      </c>
    </row>
    <row r="37" spans="2:24" ht="32.1" customHeight="1" thickBot="1">
      <c r="B37" s="322" t="s">
        <v>25</v>
      </c>
      <c r="C37" s="269">
        <f>SUM(C31:C36)</f>
        <v>67171.049999999988</v>
      </c>
      <c r="D37" s="270">
        <f>SUM(D31:D36)</f>
        <v>1325.97</v>
      </c>
      <c r="E37" s="270">
        <f>SUM(E31:E36)</f>
        <v>0</v>
      </c>
      <c r="F37" s="323">
        <f>SUM(F31:F36)</f>
        <v>0</v>
      </c>
      <c r="G37" s="324">
        <f>SUM(G31:G36)</f>
        <v>4039.6499999999996</v>
      </c>
      <c r="H37" s="325">
        <f>SUM(C37:G37)</f>
        <v>72536.669999999984</v>
      </c>
      <c r="I37" s="326">
        <f>SUM(I31:I36)</f>
        <v>8265.7000000000007</v>
      </c>
      <c r="J37" s="326">
        <f>SUM(J31:J36)</f>
        <v>23829.1</v>
      </c>
      <c r="K37" s="326">
        <f>SUM(K31:K36)</f>
        <v>0</v>
      </c>
      <c r="L37" s="327">
        <f t="shared" si="7"/>
        <v>32094.799999999999</v>
      </c>
      <c r="M37" s="328">
        <f>SUM(M31:M36)</f>
        <v>0</v>
      </c>
      <c r="N37" s="329">
        <f>H37+L37+M37</f>
        <v>104631.46999999999</v>
      </c>
      <c r="O37" s="330">
        <f t="shared" si="9"/>
        <v>31651.019674999996</v>
      </c>
      <c r="P37" s="331">
        <f>SUM(P31:P36)</f>
        <v>0</v>
      </c>
      <c r="Q37" s="331">
        <f t="shared" ref="Q37:R37" si="12">SUM(Q31:Q36)</f>
        <v>0</v>
      </c>
      <c r="R37" s="331">
        <f t="shared" si="12"/>
        <v>0</v>
      </c>
      <c r="S37" s="332">
        <f>SUM(P37:R37)</f>
        <v>0</v>
      </c>
      <c r="T37" s="333">
        <f>S37*0.3025</f>
        <v>0</v>
      </c>
      <c r="U37" s="334">
        <f>N37+S37</f>
        <v>104631.46999999999</v>
      </c>
      <c r="V37" s="335">
        <f>O37+T37</f>
        <v>31651.019674999996</v>
      </c>
      <c r="W37" s="336">
        <f>SUM(W31:W36)</f>
        <v>352</v>
      </c>
      <c r="X37" s="337">
        <f>SUM(X31:X36)</f>
        <v>188</v>
      </c>
    </row>
    <row r="38" spans="2:24" ht="32.1" customHeight="1" thickBot="1">
      <c r="B38" s="338" t="s">
        <v>131</v>
      </c>
      <c r="C38" s="339">
        <f>C30+C37</f>
        <v>82443.219999999987</v>
      </c>
      <c r="D38" s="340">
        <f>D30+D37</f>
        <v>1560.63</v>
      </c>
      <c r="E38" s="340">
        <f t="shared" ref="E38:F38" si="13">E30+E37</f>
        <v>0</v>
      </c>
      <c r="F38" s="340">
        <f t="shared" si="13"/>
        <v>0</v>
      </c>
      <c r="G38" s="341">
        <f>G30+G37</f>
        <v>5815.7</v>
      </c>
      <c r="H38" s="342">
        <f>SUM(C38:G38)</f>
        <v>89819.549999999988</v>
      </c>
      <c r="I38" s="343">
        <f>I30+I37</f>
        <v>9985.0800000000017</v>
      </c>
      <c r="J38" s="343">
        <f>J30+J37</f>
        <v>26746.589999999997</v>
      </c>
      <c r="K38" s="343">
        <f>K30+K37</f>
        <v>0</v>
      </c>
      <c r="L38" s="344">
        <f>SUM(I38:K38)</f>
        <v>36731.67</v>
      </c>
      <c r="M38" s="345">
        <f>M30+M37</f>
        <v>1584.36</v>
      </c>
      <c r="N38" s="346">
        <f>H38+L38+M38</f>
        <v>128135.57999999999</v>
      </c>
      <c r="O38" s="347">
        <f t="shared" si="9"/>
        <v>38761.012949999997</v>
      </c>
      <c r="P38" s="331">
        <f>P30+P37</f>
        <v>0</v>
      </c>
      <c r="Q38" s="348">
        <f>Q30+Q37</f>
        <v>882.94</v>
      </c>
      <c r="R38" s="348">
        <f>R30+R37</f>
        <v>3300.63</v>
      </c>
      <c r="S38" s="332">
        <f>S30+S37</f>
        <v>4183.57</v>
      </c>
      <c r="T38" s="333">
        <f t="shared" ref="T38" si="14">S38*0.3025</f>
        <v>1265.5299249999998</v>
      </c>
      <c r="U38" s="349">
        <f>N38+S38</f>
        <v>132319.15</v>
      </c>
      <c r="V38" s="350">
        <f>O38+T38</f>
        <v>40026.542874999999</v>
      </c>
      <c r="W38" s="351">
        <f>W30+W37</f>
        <v>356</v>
      </c>
      <c r="X38" s="352">
        <f>X30+X37</f>
        <v>224</v>
      </c>
    </row>
    <row r="39" spans="2:24" ht="5.0999999999999996" customHeight="1">
      <c r="O39" s="51"/>
      <c r="P39" s="55"/>
    </row>
    <row r="40" spans="2:24" ht="20.100000000000001" customHeight="1">
      <c r="B40" s="353" t="s">
        <v>171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2:24" ht="9.9499999999999993" customHeight="1"/>
    <row r="42" spans="2:24" ht="30" customHeight="1">
      <c r="I42" s="8"/>
      <c r="J42" s="8"/>
      <c r="N42" s="8"/>
      <c r="O42" s="354"/>
      <c r="P42" s="8"/>
    </row>
    <row r="43" spans="2:24" ht="30" customHeight="1"/>
    <row r="44" spans="2:24" ht="30" customHeight="1">
      <c r="H44" s="51"/>
    </row>
    <row r="45" spans="2:24" ht="30" customHeight="1"/>
    <row r="46" spans="2:24" ht="30" customHeight="1"/>
  </sheetData>
  <mergeCells count="57">
    <mergeCell ref="W25:X26"/>
    <mergeCell ref="C26:H26"/>
    <mergeCell ref="I26:L26"/>
    <mergeCell ref="M26:M27"/>
    <mergeCell ref="N26:O26"/>
    <mergeCell ref="P26:R26"/>
    <mergeCell ref="S26:T26"/>
    <mergeCell ref="U25:V26"/>
    <mergeCell ref="B22:C22"/>
    <mergeCell ref="D22:I22"/>
    <mergeCell ref="B25:B27"/>
    <mergeCell ref="C25:O25"/>
    <mergeCell ref="P25:T25"/>
    <mergeCell ref="B21:C21"/>
    <mergeCell ref="D21:E21"/>
    <mergeCell ref="G21:I21"/>
    <mergeCell ref="B16:C16"/>
    <mergeCell ref="D16:F16"/>
    <mergeCell ref="G16:H16"/>
    <mergeCell ref="B17:C17"/>
    <mergeCell ref="D17:E17"/>
    <mergeCell ref="H17:I17"/>
    <mergeCell ref="B18:C20"/>
    <mergeCell ref="D18:F18"/>
    <mergeCell ref="G18:G20"/>
    <mergeCell ref="D19:F19"/>
    <mergeCell ref="D20:F20"/>
    <mergeCell ref="B14:C14"/>
    <mergeCell ref="D14:F14"/>
    <mergeCell ref="G14:H14"/>
    <mergeCell ref="B15:C15"/>
    <mergeCell ref="D15:F15"/>
    <mergeCell ref="G15:H15"/>
    <mergeCell ref="B10:C10"/>
    <mergeCell ref="D10:F10"/>
    <mergeCell ref="G10:H10"/>
    <mergeCell ref="B11:B13"/>
    <mergeCell ref="D11:F11"/>
    <mergeCell ref="G11:H11"/>
    <mergeCell ref="D12:F12"/>
    <mergeCell ref="G12:H12"/>
    <mergeCell ref="D13:F13"/>
    <mergeCell ref="G13:H13"/>
    <mergeCell ref="B9:C9"/>
    <mergeCell ref="D9:F9"/>
    <mergeCell ref="G9:H9"/>
    <mergeCell ref="B3:C3"/>
    <mergeCell ref="B4:C4"/>
    <mergeCell ref="B5:C5"/>
    <mergeCell ref="D5:F5"/>
    <mergeCell ref="B6:C6"/>
    <mergeCell ref="D6:F6"/>
    <mergeCell ref="G6:H6"/>
    <mergeCell ref="B7:C7"/>
    <mergeCell ref="D7:F7"/>
    <mergeCell ref="B8:C8"/>
    <mergeCell ref="D8:F8"/>
  </mergeCells>
  <phoneticPr fontId="2" type="noConversion"/>
  <pageMargins left="0.7" right="0.7" top="0.75" bottom="0.75" header="0.3" footer="0.3"/>
  <pageSetup paperSize="8" scale="6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B1:Z46"/>
  <sheetViews>
    <sheetView showGridLines="0" topLeftCell="C4" zoomScale="85" zoomScaleNormal="85" workbookViewId="0">
      <selection activeCell="L7" sqref="L7"/>
    </sheetView>
  </sheetViews>
  <sheetFormatPr defaultRowHeight="16.5"/>
  <cols>
    <col min="1" max="1" width="3.625" customWidth="1"/>
    <col min="2" max="2" width="15.625" customWidth="1"/>
    <col min="3" max="24" width="11.625" customWidth="1"/>
    <col min="25" max="25" width="3.25" customWidth="1"/>
  </cols>
  <sheetData>
    <row r="1" spans="2:26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2:26" ht="35.1" customHeight="1" thickBot="1">
      <c r="B2" s="78" t="s">
        <v>118</v>
      </c>
      <c r="C2" s="6"/>
      <c r="D2" s="6"/>
      <c r="E2" s="6"/>
      <c r="F2" s="6"/>
      <c r="G2" s="6"/>
      <c r="H2" s="6"/>
      <c r="I2" s="6"/>
      <c r="J2" s="1"/>
      <c r="K2" s="78" t="s">
        <v>119</v>
      </c>
      <c r="L2" s="78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183"/>
      <c r="Z2" s="183"/>
    </row>
    <row r="3" spans="2:26" ht="32.1" customHeight="1">
      <c r="B3" s="486" t="s">
        <v>120</v>
      </c>
      <c r="C3" s="487"/>
      <c r="D3" s="184" t="s">
        <v>84</v>
      </c>
      <c r="E3" s="185"/>
      <c r="F3" s="185"/>
      <c r="G3" s="185"/>
      <c r="H3" s="185"/>
      <c r="I3" s="185"/>
      <c r="J3" s="7"/>
      <c r="K3" s="186"/>
      <c r="L3" s="186"/>
      <c r="M3" s="186"/>
      <c r="N3" s="187"/>
      <c r="O3" s="188"/>
      <c r="P3" s="187"/>
      <c r="Q3" s="188"/>
      <c r="R3" s="188"/>
      <c r="S3" s="189"/>
      <c r="T3" s="189"/>
      <c r="U3" s="189"/>
      <c r="V3" s="189"/>
      <c r="W3" s="189"/>
      <c r="X3" s="189"/>
    </row>
    <row r="4" spans="2:26" ht="32.1" customHeight="1">
      <c r="B4" s="488" t="s">
        <v>121</v>
      </c>
      <c r="C4" s="489"/>
      <c r="D4" s="190" t="s">
        <v>75</v>
      </c>
      <c r="E4" s="191"/>
      <c r="F4" s="192"/>
      <c r="G4" s="193"/>
      <c r="H4" s="193"/>
      <c r="I4" s="193"/>
      <c r="J4" s="7"/>
      <c r="K4" s="194"/>
      <c r="L4" s="194"/>
      <c r="M4" s="194"/>
      <c r="N4" s="195"/>
      <c r="O4" s="196"/>
      <c r="P4" s="195"/>
      <c r="Q4" s="196"/>
      <c r="R4" s="196"/>
      <c r="S4" s="197"/>
      <c r="T4" s="197"/>
      <c r="U4" s="197"/>
      <c r="V4" s="197"/>
      <c r="W4" s="197"/>
      <c r="X4" s="197"/>
    </row>
    <row r="5" spans="2:26" ht="32.1" customHeight="1">
      <c r="B5" s="488" t="s">
        <v>122</v>
      </c>
      <c r="C5" s="489"/>
      <c r="D5" s="490" t="s">
        <v>187</v>
      </c>
      <c r="E5" s="491"/>
      <c r="F5" s="492"/>
      <c r="G5" s="193"/>
      <c r="H5" s="193"/>
      <c r="I5" s="193"/>
      <c r="J5" s="7"/>
      <c r="K5" s="198"/>
      <c r="L5" s="198"/>
      <c r="M5" s="199"/>
      <c r="N5" s="200"/>
      <c r="O5" s="201"/>
      <c r="P5" s="202"/>
      <c r="Q5" s="201"/>
      <c r="R5" s="201"/>
      <c r="S5" s="197"/>
      <c r="T5" s="197"/>
      <c r="U5" s="197"/>
      <c r="V5" s="197"/>
      <c r="W5" s="197"/>
      <c r="X5" s="197"/>
    </row>
    <row r="6" spans="2:26" ht="32.1" customHeight="1">
      <c r="B6" s="488" t="s">
        <v>123</v>
      </c>
      <c r="C6" s="489"/>
      <c r="D6" s="493">
        <v>29799.9</v>
      </c>
      <c r="E6" s="494"/>
      <c r="F6" s="495"/>
      <c r="G6" s="496">
        <f>D6*0.3025</f>
        <v>9014.4697500000002</v>
      </c>
      <c r="H6" s="497"/>
      <c r="I6" s="203"/>
      <c r="J6" s="7"/>
      <c r="K6" s="204"/>
      <c r="L6" s="204"/>
      <c r="M6" s="199"/>
      <c r="N6" s="205"/>
      <c r="O6" s="205"/>
      <c r="P6" s="206"/>
      <c r="Q6" s="205"/>
      <c r="R6" s="205"/>
      <c r="S6" s="197"/>
      <c r="T6" s="197"/>
      <c r="U6" s="197"/>
      <c r="V6" s="197"/>
      <c r="W6" s="197"/>
      <c r="X6" s="197"/>
    </row>
    <row r="7" spans="2:26" ht="32.1" customHeight="1">
      <c r="B7" s="413" t="s">
        <v>124</v>
      </c>
      <c r="C7" s="414"/>
      <c r="D7" s="498" t="s">
        <v>125</v>
      </c>
      <c r="E7" s="499"/>
      <c r="F7" s="499"/>
      <c r="G7" s="367"/>
      <c r="H7" s="207"/>
      <c r="I7" s="208"/>
      <c r="J7" s="7"/>
      <c r="K7" s="204"/>
      <c r="L7" s="204"/>
      <c r="M7" s="199"/>
      <c r="N7" s="205"/>
      <c r="O7" s="205"/>
      <c r="P7" s="206"/>
      <c r="Q7" s="205"/>
      <c r="R7" s="205"/>
      <c r="S7" s="197"/>
      <c r="T7" s="197"/>
      <c r="U7" s="197"/>
      <c r="V7" s="197"/>
      <c r="W7" s="197"/>
      <c r="X7" s="197"/>
    </row>
    <row r="8" spans="2:26" ht="32.1" hidden="1" customHeight="1">
      <c r="B8" s="413" t="s">
        <v>126</v>
      </c>
      <c r="C8" s="414"/>
      <c r="D8" s="500">
        <v>0</v>
      </c>
      <c r="E8" s="501"/>
      <c r="F8" s="502"/>
      <c r="G8" s="367"/>
      <c r="H8" s="207"/>
      <c r="I8" s="208"/>
      <c r="J8" s="7"/>
      <c r="K8" s="204"/>
      <c r="L8" s="204"/>
      <c r="M8" s="199"/>
      <c r="N8" s="205"/>
      <c r="O8" s="205"/>
      <c r="P8" s="206"/>
      <c r="Q8" s="205"/>
      <c r="R8" s="205"/>
      <c r="S8" s="197"/>
      <c r="T8" s="197"/>
      <c r="U8" s="197"/>
      <c r="V8" s="197"/>
      <c r="W8" s="197"/>
      <c r="X8" s="197"/>
    </row>
    <row r="9" spans="2:26" ht="32.1" customHeight="1">
      <c r="B9" s="413" t="s">
        <v>185</v>
      </c>
      <c r="C9" s="414"/>
      <c r="D9" s="481" t="s">
        <v>186</v>
      </c>
      <c r="E9" s="482"/>
      <c r="F9" s="483"/>
      <c r="G9" s="484"/>
      <c r="H9" s="485"/>
      <c r="I9" s="208"/>
      <c r="J9" s="7"/>
      <c r="K9" s="204"/>
      <c r="L9" s="204"/>
      <c r="M9" s="199"/>
      <c r="N9" s="205"/>
      <c r="O9" s="205"/>
      <c r="P9" s="206"/>
      <c r="Q9" s="205"/>
      <c r="R9" s="205"/>
      <c r="S9" s="197"/>
      <c r="T9" s="197"/>
      <c r="U9" s="197"/>
      <c r="V9" s="197"/>
      <c r="W9" s="197"/>
      <c r="X9" s="197"/>
    </row>
    <row r="10" spans="2:26" ht="32.1" customHeight="1">
      <c r="B10" s="503" t="s">
        <v>28</v>
      </c>
      <c r="C10" s="437"/>
      <c r="D10" s="504">
        <v>20822.09</v>
      </c>
      <c r="E10" s="505"/>
      <c r="F10" s="506"/>
      <c r="G10" s="430">
        <f t="shared" ref="G10:G14" si="0">D10*0.3025</f>
        <v>6298.6822249999996</v>
      </c>
      <c r="H10" s="431"/>
      <c r="I10" s="207"/>
      <c r="J10" s="7"/>
      <c r="K10" s="209"/>
      <c r="L10" s="204"/>
      <c r="M10" s="199"/>
      <c r="N10" s="205"/>
      <c r="O10" s="205"/>
      <c r="P10" s="206"/>
      <c r="Q10" s="205"/>
      <c r="R10" s="205"/>
      <c r="S10" s="197"/>
      <c r="T10" s="197"/>
      <c r="U10" s="197"/>
      <c r="V10" s="197"/>
      <c r="W10" s="197"/>
      <c r="X10" s="197"/>
    </row>
    <row r="11" spans="2:26" ht="32.1" customHeight="1">
      <c r="B11" s="507" t="s">
        <v>7</v>
      </c>
      <c r="C11" s="54" t="s">
        <v>11</v>
      </c>
      <c r="D11" s="509">
        <f>U37</f>
        <v>103916.56</v>
      </c>
      <c r="E11" s="510"/>
      <c r="F11" s="511"/>
      <c r="G11" s="512">
        <f t="shared" si="0"/>
        <v>31434.759399999999</v>
      </c>
      <c r="H11" s="513"/>
      <c r="I11" s="356"/>
      <c r="J11" s="7"/>
      <c r="K11" s="204"/>
      <c r="L11" s="204"/>
      <c r="M11" s="199"/>
      <c r="N11" s="205"/>
      <c r="O11" s="205"/>
      <c r="P11" s="206"/>
      <c r="Q11" s="205"/>
      <c r="R11" s="205"/>
      <c r="S11" s="197"/>
      <c r="T11" s="197"/>
      <c r="U11" s="197"/>
      <c r="V11" s="197"/>
      <c r="W11" s="197"/>
      <c r="X11" s="197"/>
    </row>
    <row r="12" spans="2:26" ht="32.1" customHeight="1">
      <c r="B12" s="508"/>
      <c r="C12" s="54" t="s">
        <v>12</v>
      </c>
      <c r="D12" s="509">
        <f>U30</f>
        <v>28160.820000000003</v>
      </c>
      <c r="E12" s="510"/>
      <c r="F12" s="511"/>
      <c r="G12" s="512">
        <f t="shared" si="0"/>
        <v>8518.6480500000016</v>
      </c>
      <c r="H12" s="513"/>
      <c r="I12" s="356"/>
      <c r="J12" s="7"/>
      <c r="K12" s="204"/>
      <c r="L12" s="204"/>
      <c r="M12" s="199"/>
      <c r="N12" s="205"/>
      <c r="O12" s="205"/>
      <c r="P12" s="206"/>
      <c r="Q12" s="205"/>
      <c r="R12" s="205"/>
      <c r="S12" s="197"/>
      <c r="T12" s="197"/>
      <c r="U12" s="197"/>
      <c r="V12" s="197"/>
      <c r="W12" s="197"/>
      <c r="X12" s="197"/>
    </row>
    <row r="13" spans="2:26" ht="32.1" customHeight="1">
      <c r="B13" s="508"/>
      <c r="C13" s="210" t="s">
        <v>131</v>
      </c>
      <c r="D13" s="514">
        <f>SUM(D11:F12)</f>
        <v>132077.38</v>
      </c>
      <c r="E13" s="515"/>
      <c r="F13" s="516"/>
      <c r="G13" s="517">
        <f t="shared" si="0"/>
        <v>39953.407449999999</v>
      </c>
      <c r="H13" s="518"/>
      <c r="I13" s="211"/>
      <c r="J13" s="7"/>
      <c r="K13" s="204"/>
      <c r="L13" s="204"/>
      <c r="M13" s="199"/>
      <c r="N13" s="205"/>
      <c r="O13" s="205"/>
      <c r="P13" s="206"/>
      <c r="Q13" s="205"/>
      <c r="R13" s="205"/>
      <c r="S13" s="197"/>
      <c r="T13" s="197"/>
      <c r="U13" s="197"/>
      <c r="V13" s="197"/>
      <c r="W13" s="197"/>
      <c r="X13" s="197"/>
    </row>
    <row r="14" spans="2:26" ht="32.1" customHeight="1">
      <c r="B14" s="413" t="s">
        <v>132</v>
      </c>
      <c r="C14" s="414"/>
      <c r="D14" s="509">
        <f>U38-H30-L30-M30-S30-L37</f>
        <v>72143.489999999991</v>
      </c>
      <c r="E14" s="510"/>
      <c r="F14" s="511"/>
      <c r="G14" s="512">
        <f t="shared" si="0"/>
        <v>21823.405724999997</v>
      </c>
      <c r="H14" s="513"/>
      <c r="I14" s="208"/>
      <c r="J14" s="7"/>
      <c r="K14" s="204"/>
      <c r="L14" s="212"/>
      <c r="M14" s="199"/>
      <c r="N14" s="205"/>
      <c r="O14" s="205"/>
      <c r="P14" s="206"/>
      <c r="Q14" s="205"/>
      <c r="R14" s="205"/>
      <c r="S14" s="197"/>
      <c r="T14" s="197"/>
      <c r="U14" s="197"/>
      <c r="V14" s="197"/>
      <c r="W14" s="197"/>
      <c r="X14" s="197"/>
    </row>
    <row r="15" spans="2:26" ht="32.1" customHeight="1">
      <c r="B15" s="519" t="s">
        <v>30</v>
      </c>
      <c r="C15" s="520"/>
      <c r="D15" s="521">
        <f>D10/D6</f>
        <v>0.69873019708119821</v>
      </c>
      <c r="E15" s="522"/>
      <c r="F15" s="523"/>
      <c r="G15" s="524" t="s">
        <v>70</v>
      </c>
      <c r="H15" s="525"/>
      <c r="I15" s="211"/>
      <c r="J15" s="7"/>
      <c r="K15" s="204"/>
      <c r="L15" s="204"/>
      <c r="M15" s="199"/>
      <c r="N15" s="205"/>
      <c r="O15" s="205"/>
      <c r="P15" s="206"/>
      <c r="Q15" s="205"/>
      <c r="R15" s="205"/>
      <c r="S15" s="197"/>
      <c r="T15" s="197"/>
      <c r="U15" s="197"/>
      <c r="V15" s="197"/>
      <c r="W15" s="197"/>
      <c r="X15" s="197"/>
    </row>
    <row r="16" spans="2:26" ht="32.1" customHeight="1">
      <c r="B16" s="519" t="s">
        <v>31</v>
      </c>
      <c r="C16" s="520"/>
      <c r="D16" s="531">
        <f>D14/D6</f>
        <v>2.4209306071496881</v>
      </c>
      <c r="E16" s="532"/>
      <c r="F16" s="532"/>
      <c r="G16" s="524" t="s">
        <v>76</v>
      </c>
      <c r="H16" s="525"/>
      <c r="I16" s="211"/>
      <c r="J16" s="7"/>
      <c r="K16" s="204"/>
      <c r="L16" s="204"/>
      <c r="M16" s="199"/>
      <c r="N16" s="205"/>
      <c r="O16" s="205"/>
      <c r="P16" s="206"/>
      <c r="Q16" s="205"/>
      <c r="R16" s="205"/>
      <c r="S16" s="197"/>
      <c r="T16" s="197"/>
      <c r="U16" s="197"/>
      <c r="V16" s="197"/>
      <c r="W16" s="197"/>
      <c r="X16" s="197"/>
    </row>
    <row r="17" spans="2:24" ht="32.1" customHeight="1">
      <c r="B17" s="533" t="s">
        <v>135</v>
      </c>
      <c r="C17" s="534"/>
      <c r="D17" s="535">
        <f>U38-L38</f>
        <v>95701.86</v>
      </c>
      <c r="E17" s="536"/>
      <c r="F17" s="357">
        <f>D17/D13</f>
        <v>0.7245893278621971</v>
      </c>
      <c r="G17" s="213"/>
      <c r="H17" s="537" t="s">
        <v>136</v>
      </c>
      <c r="I17" s="537"/>
      <c r="J17" s="7"/>
      <c r="K17" s="204"/>
      <c r="L17" s="204"/>
      <c r="M17" s="199"/>
      <c r="N17" s="205"/>
      <c r="O17" s="205"/>
      <c r="P17" s="206"/>
      <c r="Q17" s="205"/>
      <c r="R17" s="205"/>
      <c r="S17" s="197"/>
      <c r="T17" s="197"/>
      <c r="U17" s="197"/>
      <c r="V17" s="197"/>
      <c r="W17" s="197"/>
      <c r="X17" s="197"/>
    </row>
    <row r="18" spans="2:24" ht="32.1" customHeight="1">
      <c r="B18" s="413" t="s">
        <v>137</v>
      </c>
      <c r="C18" s="455"/>
      <c r="D18" s="538">
        <f>U38-L38</f>
        <v>95701.86</v>
      </c>
      <c r="E18" s="539"/>
      <c r="F18" s="540" t="s">
        <v>138</v>
      </c>
      <c r="G18" s="586" t="s">
        <v>189</v>
      </c>
      <c r="H18" s="587"/>
      <c r="I18" s="359">
        <f>W38</f>
        <v>307</v>
      </c>
      <c r="J18" s="7"/>
      <c r="K18" s="204"/>
      <c r="L18" s="204"/>
      <c r="M18" s="199"/>
      <c r="N18" s="205"/>
      <c r="O18" s="205"/>
      <c r="P18" s="205"/>
      <c r="Q18" s="205"/>
      <c r="R18" s="205"/>
      <c r="S18" s="197"/>
      <c r="T18" s="197"/>
      <c r="U18" s="197"/>
      <c r="V18" s="197"/>
      <c r="W18" s="197"/>
      <c r="X18" s="197"/>
    </row>
    <row r="19" spans="2:24" ht="32.1" customHeight="1">
      <c r="B19" s="456"/>
      <c r="C19" s="457"/>
      <c r="D19" s="582">
        <f>D18/400</f>
        <v>239.25465</v>
      </c>
      <c r="E19" s="583"/>
      <c r="F19" s="541"/>
      <c r="G19" s="588" t="s">
        <v>139</v>
      </c>
      <c r="H19" s="589"/>
      <c r="I19" s="361">
        <f>X38</f>
        <v>269</v>
      </c>
      <c r="J19" s="7"/>
      <c r="K19" s="204"/>
      <c r="L19" s="204"/>
      <c r="M19" s="199"/>
      <c r="N19" s="205"/>
      <c r="O19" s="205"/>
      <c r="P19" s="205"/>
      <c r="Q19" s="205"/>
      <c r="R19" s="205"/>
      <c r="S19" s="197"/>
      <c r="T19" s="197"/>
      <c r="U19" s="197"/>
      <c r="V19" s="197"/>
      <c r="W19" s="197"/>
      <c r="X19" s="197"/>
    </row>
    <row r="20" spans="2:24" ht="32.1" customHeight="1">
      <c r="B20" s="458"/>
      <c r="C20" s="459"/>
      <c r="D20" s="584"/>
      <c r="E20" s="585"/>
      <c r="F20" s="542"/>
      <c r="G20" s="590" t="s">
        <v>140</v>
      </c>
      <c r="H20" s="591"/>
      <c r="I20" s="363">
        <f>I18+I19</f>
        <v>576</v>
      </c>
      <c r="J20" s="7"/>
      <c r="K20" s="204"/>
      <c r="L20" s="204"/>
      <c r="M20" s="199"/>
      <c r="N20" s="205"/>
      <c r="O20" s="205"/>
      <c r="P20" s="205"/>
      <c r="Q20" s="205"/>
      <c r="R20" s="205"/>
      <c r="S20" s="197"/>
      <c r="T20" s="197"/>
      <c r="U20" s="197"/>
      <c r="V20" s="197"/>
      <c r="W20" s="197"/>
      <c r="X20" s="197"/>
    </row>
    <row r="21" spans="2:24" ht="52.5" customHeight="1">
      <c r="B21" s="423" t="s">
        <v>141</v>
      </c>
      <c r="C21" s="526"/>
      <c r="D21" s="527">
        <v>3791.95</v>
      </c>
      <c r="E21" s="528"/>
      <c r="F21" s="214">
        <f>D21/D6</f>
        <v>0.12724707129889695</v>
      </c>
      <c r="G21" s="529" t="s">
        <v>184</v>
      </c>
      <c r="H21" s="530"/>
      <c r="I21" s="530"/>
      <c r="J21" s="7"/>
      <c r="K21" s="204"/>
      <c r="L21" s="204"/>
      <c r="M21" s="199"/>
      <c r="N21" s="205"/>
      <c r="O21" s="205"/>
      <c r="P21" s="205"/>
      <c r="Q21" s="205"/>
      <c r="R21" s="205"/>
      <c r="S21" s="197"/>
      <c r="T21" s="197"/>
      <c r="U21" s="197"/>
      <c r="V21" s="197"/>
      <c r="W21" s="197"/>
      <c r="X21" s="197"/>
    </row>
    <row r="22" spans="2:24" ht="32.1" customHeight="1" thickBot="1">
      <c r="B22" s="549" t="s">
        <v>142</v>
      </c>
      <c r="C22" s="550"/>
      <c r="D22" s="551" t="s">
        <v>99</v>
      </c>
      <c r="E22" s="552"/>
      <c r="F22" s="552"/>
      <c r="G22" s="552"/>
      <c r="H22" s="552"/>
      <c r="I22" s="552"/>
      <c r="J22" s="7"/>
      <c r="K22" s="215"/>
      <c r="L22" s="215"/>
      <c r="M22" s="216"/>
      <c r="N22" s="217"/>
      <c r="O22" s="217"/>
      <c r="P22" s="217"/>
      <c r="Q22" s="217"/>
      <c r="R22" s="217"/>
      <c r="S22" s="218"/>
      <c r="T22" s="218"/>
      <c r="U22" s="218"/>
      <c r="V22" s="218"/>
      <c r="W22" s="218"/>
      <c r="X22" s="218"/>
    </row>
    <row r="23" spans="2:24" ht="35.1" customHeight="1" thickTop="1">
      <c r="B23" s="5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2:24" ht="35.1" customHeight="1" thickBot="1">
      <c r="B24" s="75" t="s">
        <v>143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2:24" ht="32.1" customHeight="1">
      <c r="B25" s="553" t="s">
        <v>144</v>
      </c>
      <c r="C25" s="556" t="s">
        <v>145</v>
      </c>
      <c r="D25" s="557"/>
      <c r="E25" s="557"/>
      <c r="F25" s="557"/>
      <c r="G25" s="557"/>
      <c r="H25" s="557"/>
      <c r="I25" s="557"/>
      <c r="J25" s="557"/>
      <c r="K25" s="557"/>
      <c r="L25" s="557"/>
      <c r="M25" s="557"/>
      <c r="N25" s="557"/>
      <c r="O25" s="558"/>
      <c r="P25" s="559" t="s">
        <v>146</v>
      </c>
      <c r="Q25" s="560"/>
      <c r="R25" s="560"/>
      <c r="S25" s="560"/>
      <c r="T25" s="561"/>
      <c r="U25" s="578" t="s">
        <v>147</v>
      </c>
      <c r="V25" s="579"/>
      <c r="W25" s="562" t="s">
        <v>148</v>
      </c>
      <c r="X25" s="563"/>
    </row>
    <row r="26" spans="2:24" ht="32.1" customHeight="1">
      <c r="B26" s="554"/>
      <c r="C26" s="566" t="s">
        <v>149</v>
      </c>
      <c r="D26" s="567"/>
      <c r="E26" s="567"/>
      <c r="F26" s="567"/>
      <c r="G26" s="567"/>
      <c r="H26" s="567"/>
      <c r="I26" s="568" t="s">
        <v>150</v>
      </c>
      <c r="J26" s="568"/>
      <c r="K26" s="568"/>
      <c r="L26" s="568"/>
      <c r="M26" s="569" t="s">
        <v>151</v>
      </c>
      <c r="N26" s="571" t="s">
        <v>152</v>
      </c>
      <c r="O26" s="572"/>
      <c r="P26" s="573" t="s">
        <v>153</v>
      </c>
      <c r="Q26" s="574"/>
      <c r="R26" s="575"/>
      <c r="S26" s="576" t="s">
        <v>154</v>
      </c>
      <c r="T26" s="577"/>
      <c r="U26" s="580"/>
      <c r="V26" s="581"/>
      <c r="W26" s="564"/>
      <c r="X26" s="565"/>
    </row>
    <row r="27" spans="2:24" ht="51" customHeight="1" thickBot="1">
      <c r="B27" s="555"/>
      <c r="C27" s="141" t="s">
        <v>125</v>
      </c>
      <c r="D27" s="219" t="s">
        <v>155</v>
      </c>
      <c r="E27" s="219" t="s">
        <v>156</v>
      </c>
      <c r="F27" s="23" t="s">
        <v>157</v>
      </c>
      <c r="G27" s="22" t="s">
        <v>158</v>
      </c>
      <c r="H27" s="220" t="s">
        <v>159</v>
      </c>
      <c r="I27" s="221" t="s">
        <v>54</v>
      </c>
      <c r="J27" s="221" t="s">
        <v>161</v>
      </c>
      <c r="K27" s="221" t="s">
        <v>162</v>
      </c>
      <c r="L27" s="222" t="s">
        <v>159</v>
      </c>
      <c r="M27" s="570"/>
      <c r="N27" s="223" t="s">
        <v>4</v>
      </c>
      <c r="O27" s="224" t="s">
        <v>164</v>
      </c>
      <c r="P27" s="225" t="s">
        <v>165</v>
      </c>
      <c r="Q27" s="226" t="s">
        <v>166</v>
      </c>
      <c r="R27" s="226" t="s">
        <v>114</v>
      </c>
      <c r="S27" s="227" t="s">
        <v>4</v>
      </c>
      <c r="T27" s="228" t="s">
        <v>164</v>
      </c>
      <c r="U27" s="229" t="s">
        <v>4</v>
      </c>
      <c r="V27" s="230" t="s">
        <v>164</v>
      </c>
      <c r="W27" s="368" t="s">
        <v>188</v>
      </c>
      <c r="X27" s="232" t="s">
        <v>98</v>
      </c>
    </row>
    <row r="28" spans="2:24" ht="32.1" customHeight="1">
      <c r="B28" s="233" t="s">
        <v>176</v>
      </c>
      <c r="C28" s="234">
        <v>14850.19</v>
      </c>
      <c r="D28" s="235">
        <v>107.49</v>
      </c>
      <c r="E28" s="235">
        <v>0</v>
      </c>
      <c r="F28" s="236">
        <v>113.94</v>
      </c>
      <c r="G28" s="237">
        <v>670.83</v>
      </c>
      <c r="H28" s="238">
        <f t="shared" ref="H28:H36" si="1">SUM(C28:G28)</f>
        <v>15742.45</v>
      </c>
      <c r="I28" s="239">
        <v>1738.55</v>
      </c>
      <c r="J28" s="239">
        <v>2863.9</v>
      </c>
      <c r="K28" s="239">
        <v>0</v>
      </c>
      <c r="L28" s="240">
        <f>SUM(I28:K28)</f>
        <v>4602.45</v>
      </c>
      <c r="M28" s="241">
        <v>1976.86</v>
      </c>
      <c r="N28" s="242">
        <f>M28+L28+H28</f>
        <v>22321.760000000002</v>
      </c>
      <c r="O28" s="243">
        <f>N28*0.3025</f>
        <v>6752.3324000000002</v>
      </c>
      <c r="P28" s="244">
        <v>0</v>
      </c>
      <c r="Q28" s="245">
        <v>0</v>
      </c>
      <c r="R28" s="245">
        <v>0</v>
      </c>
      <c r="S28" s="246">
        <f t="shared" ref="S28:S36" si="2">SUM(P28:R28)</f>
        <v>0</v>
      </c>
      <c r="T28" s="247">
        <f>S28*0.3025</f>
        <v>0</v>
      </c>
      <c r="U28" s="248">
        <f t="shared" ref="U28:V31" si="3">S28+N28</f>
        <v>22321.760000000002</v>
      </c>
      <c r="V28" s="249">
        <f t="shared" si="3"/>
        <v>6752.3324000000002</v>
      </c>
      <c r="W28" s="250">
        <v>4</v>
      </c>
      <c r="X28" s="251">
        <v>36</v>
      </c>
    </row>
    <row r="29" spans="2:24" ht="32.1" customHeight="1">
      <c r="B29" s="252" t="s">
        <v>175</v>
      </c>
      <c r="C29" s="253">
        <v>0</v>
      </c>
      <c r="D29" s="254">
        <v>0</v>
      </c>
      <c r="E29" s="254">
        <v>0</v>
      </c>
      <c r="F29" s="255">
        <v>150.63</v>
      </c>
      <c r="G29" s="256">
        <v>1458</v>
      </c>
      <c r="H29" s="257">
        <f t="shared" si="1"/>
        <v>1608.63</v>
      </c>
      <c r="I29" s="258">
        <v>0</v>
      </c>
      <c r="J29" s="258">
        <v>0</v>
      </c>
      <c r="K29" s="258">
        <v>0</v>
      </c>
      <c r="L29" s="259">
        <f>SUM(I29:K29)</f>
        <v>0</v>
      </c>
      <c r="M29" s="260">
        <v>0</v>
      </c>
      <c r="N29" s="261">
        <f>M29+L29+H29</f>
        <v>1608.63</v>
      </c>
      <c r="O29" s="262">
        <f>N29*0.3025</f>
        <v>486.61057500000004</v>
      </c>
      <c r="P29" s="263">
        <v>242.35</v>
      </c>
      <c r="Q29" s="264">
        <v>351.38</v>
      </c>
      <c r="R29" s="264">
        <v>3636.7</v>
      </c>
      <c r="S29" s="265">
        <f>SUM(P29:R29)</f>
        <v>4230.43</v>
      </c>
      <c r="T29" s="247">
        <f>S29*0.3025</f>
        <v>1279.7050750000001</v>
      </c>
      <c r="U29" s="248">
        <f t="shared" si="3"/>
        <v>5839.06</v>
      </c>
      <c r="V29" s="249">
        <f t="shared" si="3"/>
        <v>1766.31565</v>
      </c>
      <c r="W29" s="266" t="s">
        <v>99</v>
      </c>
      <c r="X29" s="267" t="s">
        <v>99</v>
      </c>
    </row>
    <row r="30" spans="2:24" ht="32.1" customHeight="1" thickBot="1">
      <c r="B30" s="268" t="s">
        <v>116</v>
      </c>
      <c r="C30" s="269">
        <f>C28+C29</f>
        <v>14850.19</v>
      </c>
      <c r="D30" s="270">
        <f t="shared" ref="D30:G30" si="4">D28+D29</f>
        <v>107.49</v>
      </c>
      <c r="E30" s="270">
        <f t="shared" si="4"/>
        <v>0</v>
      </c>
      <c r="F30" s="270">
        <f t="shared" si="4"/>
        <v>264.57</v>
      </c>
      <c r="G30" s="270">
        <f t="shared" si="4"/>
        <v>2128.83</v>
      </c>
      <c r="H30" s="271">
        <f t="shared" si="1"/>
        <v>17351.080000000002</v>
      </c>
      <c r="I30" s="272">
        <f>SUM(I28:I29)</f>
        <v>1738.55</v>
      </c>
      <c r="J30" s="272">
        <f t="shared" ref="J30:K30" si="5">SUM(J28:J29)</f>
        <v>2863.9</v>
      </c>
      <c r="K30" s="272">
        <f t="shared" si="5"/>
        <v>0</v>
      </c>
      <c r="L30" s="273">
        <f>SUM(I30:K30)</f>
        <v>4602.45</v>
      </c>
      <c r="M30" s="274">
        <f>SUM(M28:M29)</f>
        <v>1976.86</v>
      </c>
      <c r="N30" s="275">
        <f>H30+L30+M30</f>
        <v>23930.390000000003</v>
      </c>
      <c r="O30" s="276">
        <f>N30*0.3025</f>
        <v>7238.9429750000008</v>
      </c>
      <c r="P30" s="277">
        <f>SUM(P28:P29)</f>
        <v>242.35</v>
      </c>
      <c r="Q30" s="277">
        <f t="shared" ref="Q30:R30" si="6">SUM(Q28:Q29)</f>
        <v>351.38</v>
      </c>
      <c r="R30" s="277">
        <f t="shared" si="6"/>
        <v>3636.7</v>
      </c>
      <c r="S30" s="278">
        <f>SUM(P30:R30)</f>
        <v>4230.43</v>
      </c>
      <c r="T30" s="279">
        <f>S30*0.3025</f>
        <v>1279.7050750000001</v>
      </c>
      <c r="U30" s="280">
        <f t="shared" si="3"/>
        <v>28160.820000000003</v>
      </c>
      <c r="V30" s="281">
        <f t="shared" si="3"/>
        <v>8518.6480500000016</v>
      </c>
      <c r="W30" s="282">
        <f>SUM(W28:W29)</f>
        <v>4</v>
      </c>
      <c r="X30" s="283">
        <f>SUM(X28:X29)</f>
        <v>36</v>
      </c>
    </row>
    <row r="31" spans="2:24" ht="32.1" customHeight="1">
      <c r="B31" s="284" t="s">
        <v>177</v>
      </c>
      <c r="C31" s="285">
        <v>13464.88</v>
      </c>
      <c r="D31" s="286">
        <v>265.16000000000003</v>
      </c>
      <c r="E31" s="286">
        <v>0</v>
      </c>
      <c r="F31" s="287">
        <v>121.82</v>
      </c>
      <c r="G31" s="288">
        <v>715.01</v>
      </c>
      <c r="H31" s="289">
        <f>SUM(C31:G31)</f>
        <v>14566.869999999999</v>
      </c>
      <c r="I31" s="290">
        <v>1617.96</v>
      </c>
      <c r="J31" s="290">
        <v>4714.43</v>
      </c>
      <c r="K31" s="290">
        <v>0</v>
      </c>
      <c r="L31" s="291">
        <f>SUM(I31:K31)</f>
        <v>6332.39</v>
      </c>
      <c r="M31" s="292">
        <v>0</v>
      </c>
      <c r="N31" s="293">
        <f>H31+L31+M31</f>
        <v>20899.259999999998</v>
      </c>
      <c r="O31" s="294">
        <f>N31*0.3025</f>
        <v>6322.0261499999997</v>
      </c>
      <c r="P31" s="295">
        <v>0</v>
      </c>
      <c r="Q31" s="296">
        <v>0</v>
      </c>
      <c r="R31" s="296">
        <v>0</v>
      </c>
      <c r="S31" s="297">
        <f t="shared" si="2"/>
        <v>0</v>
      </c>
      <c r="T31" s="298">
        <f>S31*0.3025</f>
        <v>0</v>
      </c>
      <c r="U31" s="299">
        <f>S31+N31</f>
        <v>20899.259999999998</v>
      </c>
      <c r="V31" s="300">
        <f t="shared" si="3"/>
        <v>6322.0261499999997</v>
      </c>
      <c r="W31" s="301">
        <v>56</v>
      </c>
      <c r="X31" s="302">
        <v>36</v>
      </c>
    </row>
    <row r="32" spans="2:24" ht="32.1" customHeight="1">
      <c r="B32" s="303" t="s">
        <v>178</v>
      </c>
      <c r="C32" s="304">
        <v>13476.74</v>
      </c>
      <c r="D32" s="305">
        <v>113.39</v>
      </c>
      <c r="E32" s="305">
        <v>0</v>
      </c>
      <c r="F32" s="306">
        <v>121.82</v>
      </c>
      <c r="G32" s="307">
        <v>684.68</v>
      </c>
      <c r="H32" s="308">
        <f t="shared" si="1"/>
        <v>14396.63</v>
      </c>
      <c r="I32" s="309">
        <v>1645.74</v>
      </c>
      <c r="J32" s="309">
        <v>4714.43</v>
      </c>
      <c r="K32" s="309">
        <v>0</v>
      </c>
      <c r="L32" s="310">
        <f>SUM(I32:K32)</f>
        <v>6360.17</v>
      </c>
      <c r="M32" s="311">
        <v>0</v>
      </c>
      <c r="N32" s="261">
        <f>H32+L32+M32</f>
        <v>20756.8</v>
      </c>
      <c r="O32" s="262">
        <f>N32*0.3025</f>
        <v>6278.9319999999998</v>
      </c>
      <c r="P32" s="312">
        <v>0</v>
      </c>
      <c r="Q32" s="313">
        <v>0</v>
      </c>
      <c r="R32" s="313">
        <v>0</v>
      </c>
      <c r="S32" s="314">
        <f t="shared" si="2"/>
        <v>0</v>
      </c>
      <c r="T32" s="315">
        <f>S32*0.3025</f>
        <v>0</v>
      </c>
      <c r="U32" s="316">
        <f>N32+S32</f>
        <v>20756.8</v>
      </c>
      <c r="V32" s="317">
        <f>O32+T32</f>
        <v>6278.9319999999998</v>
      </c>
      <c r="W32" s="318" t="s">
        <v>99</v>
      </c>
      <c r="X32" s="319">
        <v>38</v>
      </c>
    </row>
    <row r="33" spans="2:24" ht="32.1" customHeight="1">
      <c r="B33" s="303" t="s">
        <v>169</v>
      </c>
      <c r="C33" s="304">
        <v>13476.74</v>
      </c>
      <c r="D33" s="305">
        <v>113.39</v>
      </c>
      <c r="E33" s="305">
        <v>0</v>
      </c>
      <c r="F33" s="306">
        <v>121.82</v>
      </c>
      <c r="G33" s="307">
        <v>684.68</v>
      </c>
      <c r="H33" s="308">
        <f t="shared" si="1"/>
        <v>14396.63</v>
      </c>
      <c r="I33" s="309">
        <v>1645.74</v>
      </c>
      <c r="J33" s="309">
        <v>4714.43</v>
      </c>
      <c r="K33" s="309">
        <v>0</v>
      </c>
      <c r="L33" s="310">
        <f t="shared" ref="L33:L37" si="7">SUM(I33:K33)</f>
        <v>6360.17</v>
      </c>
      <c r="M33" s="311">
        <v>0</v>
      </c>
      <c r="N33" s="261">
        <f t="shared" ref="N33:N36" si="8">H33+L33+M33</f>
        <v>20756.8</v>
      </c>
      <c r="O33" s="262">
        <f t="shared" ref="O33:O38" si="9">N33*0.3025</f>
        <v>6278.9319999999998</v>
      </c>
      <c r="P33" s="312">
        <v>0</v>
      </c>
      <c r="Q33" s="313">
        <v>0</v>
      </c>
      <c r="R33" s="313">
        <v>0</v>
      </c>
      <c r="S33" s="314">
        <f t="shared" si="2"/>
        <v>0</v>
      </c>
      <c r="T33" s="315">
        <f t="shared" ref="T33:T36" si="10">S33*0.3025</f>
        <v>0</v>
      </c>
      <c r="U33" s="316">
        <f>N33+S33</f>
        <v>20756.8</v>
      </c>
      <c r="V33" s="317">
        <f>O33+T33</f>
        <v>6278.9319999999998</v>
      </c>
      <c r="W33" s="318" t="s">
        <v>99</v>
      </c>
      <c r="X33" s="319">
        <v>38</v>
      </c>
    </row>
    <row r="34" spans="2:24" ht="32.1" customHeight="1">
      <c r="B34" s="303" t="s">
        <v>179</v>
      </c>
      <c r="C34" s="304">
        <v>13485</v>
      </c>
      <c r="D34" s="305">
        <v>101.81</v>
      </c>
      <c r="E34" s="305">
        <v>0</v>
      </c>
      <c r="F34" s="306">
        <v>121.82</v>
      </c>
      <c r="G34" s="307">
        <v>683.05</v>
      </c>
      <c r="H34" s="308">
        <f t="shared" si="1"/>
        <v>14391.679999999998</v>
      </c>
      <c r="I34" s="309">
        <v>1645.74</v>
      </c>
      <c r="J34" s="309">
        <v>4714.43</v>
      </c>
      <c r="K34" s="355">
        <v>0</v>
      </c>
      <c r="L34" s="240">
        <f t="shared" si="7"/>
        <v>6360.17</v>
      </c>
      <c r="M34" s="241">
        <v>0</v>
      </c>
      <c r="N34" s="261">
        <f t="shared" si="8"/>
        <v>20751.849999999999</v>
      </c>
      <c r="O34" s="262">
        <f t="shared" si="9"/>
        <v>6277.434624999999</v>
      </c>
      <c r="P34" s="312">
        <v>0</v>
      </c>
      <c r="Q34" s="313">
        <v>0</v>
      </c>
      <c r="R34" s="313">
        <v>0</v>
      </c>
      <c r="S34" s="314">
        <f t="shared" si="2"/>
        <v>0</v>
      </c>
      <c r="T34" s="315">
        <f t="shared" si="10"/>
        <v>0</v>
      </c>
      <c r="U34" s="316">
        <f t="shared" ref="U34:V36" si="11">N34+S34</f>
        <v>20751.849999999999</v>
      </c>
      <c r="V34" s="317">
        <f t="shared" si="11"/>
        <v>6277.434624999999</v>
      </c>
      <c r="W34" s="250" t="s">
        <v>99</v>
      </c>
      <c r="X34" s="251">
        <v>38</v>
      </c>
    </row>
    <row r="35" spans="2:24" ht="32.1" customHeight="1">
      <c r="B35" s="303" t="s">
        <v>180</v>
      </c>
      <c r="C35" s="304">
        <v>13485</v>
      </c>
      <c r="D35" s="305">
        <v>101.81</v>
      </c>
      <c r="E35" s="305">
        <v>0</v>
      </c>
      <c r="F35" s="306">
        <v>121.82</v>
      </c>
      <c r="G35" s="307">
        <v>683.05</v>
      </c>
      <c r="H35" s="308">
        <f t="shared" si="1"/>
        <v>14391.679999999998</v>
      </c>
      <c r="I35" s="309">
        <v>1645.74</v>
      </c>
      <c r="J35" s="309">
        <v>4714.43</v>
      </c>
      <c r="K35" s="355">
        <v>0</v>
      </c>
      <c r="L35" s="240">
        <f t="shared" si="7"/>
        <v>6360.17</v>
      </c>
      <c r="M35" s="241">
        <v>0</v>
      </c>
      <c r="N35" s="261">
        <f t="shared" si="8"/>
        <v>20751.849999999999</v>
      </c>
      <c r="O35" s="262">
        <f t="shared" si="9"/>
        <v>6277.434624999999</v>
      </c>
      <c r="P35" s="312">
        <v>0</v>
      </c>
      <c r="Q35" s="313">
        <v>0</v>
      </c>
      <c r="R35" s="313">
        <v>0</v>
      </c>
      <c r="S35" s="314">
        <f t="shared" si="2"/>
        <v>0</v>
      </c>
      <c r="T35" s="315">
        <f t="shared" si="10"/>
        <v>0</v>
      </c>
      <c r="U35" s="316">
        <f t="shared" si="11"/>
        <v>20751.849999999999</v>
      </c>
      <c r="V35" s="317">
        <f t="shared" si="11"/>
        <v>6277.434624999999</v>
      </c>
      <c r="W35" s="250" t="s">
        <v>99</v>
      </c>
      <c r="X35" s="251">
        <v>38</v>
      </c>
    </row>
    <row r="36" spans="2:24" ht="32.1" customHeight="1">
      <c r="B36" s="303" t="s">
        <v>96</v>
      </c>
      <c r="C36" s="234">
        <v>0</v>
      </c>
      <c r="D36" s="235">
        <v>0</v>
      </c>
      <c r="E36" s="235">
        <v>0</v>
      </c>
      <c r="F36" s="236">
        <v>0</v>
      </c>
      <c r="G36" s="237">
        <v>0</v>
      </c>
      <c r="H36" s="308">
        <f t="shared" si="1"/>
        <v>0</v>
      </c>
      <c r="I36" s="239">
        <v>0</v>
      </c>
      <c r="J36" s="239">
        <v>0</v>
      </c>
      <c r="K36" s="239">
        <v>0</v>
      </c>
      <c r="L36" s="240">
        <f t="shared" si="7"/>
        <v>0</v>
      </c>
      <c r="M36" s="241">
        <v>0</v>
      </c>
      <c r="N36" s="261">
        <f t="shared" si="8"/>
        <v>0</v>
      </c>
      <c r="O36" s="262">
        <f t="shared" si="9"/>
        <v>0</v>
      </c>
      <c r="P36" s="320">
        <v>0</v>
      </c>
      <c r="Q36" s="313">
        <v>0</v>
      </c>
      <c r="R36" s="313">
        <v>0</v>
      </c>
      <c r="S36" s="314">
        <f t="shared" si="2"/>
        <v>0</v>
      </c>
      <c r="T36" s="321">
        <f t="shared" si="10"/>
        <v>0</v>
      </c>
      <c r="U36" s="316">
        <f t="shared" si="11"/>
        <v>0</v>
      </c>
      <c r="V36" s="317">
        <f t="shared" si="11"/>
        <v>0</v>
      </c>
      <c r="W36" s="250">
        <v>247</v>
      </c>
      <c r="X36" s="251">
        <v>45</v>
      </c>
    </row>
    <row r="37" spans="2:24" ht="32.1" customHeight="1" thickBot="1">
      <c r="B37" s="322" t="s">
        <v>25</v>
      </c>
      <c r="C37" s="269">
        <f>SUM(C31:C36)</f>
        <v>67388.36</v>
      </c>
      <c r="D37" s="270">
        <f>SUM(D31:D36)</f>
        <v>695.56</v>
      </c>
      <c r="E37" s="270">
        <f>SUM(E31:E36)</f>
        <v>0</v>
      </c>
      <c r="F37" s="323">
        <f>SUM(F31:F36)</f>
        <v>609.09999999999991</v>
      </c>
      <c r="G37" s="324">
        <f>SUM(G31:G36)</f>
        <v>3450.4700000000003</v>
      </c>
      <c r="H37" s="325">
        <f>SUM(C37:G37)</f>
        <v>72143.490000000005</v>
      </c>
      <c r="I37" s="326">
        <f>SUM(I31:I36)</f>
        <v>8200.92</v>
      </c>
      <c r="J37" s="326">
        <f>SUM(J31:J36)</f>
        <v>23572.15</v>
      </c>
      <c r="K37" s="326">
        <f>SUM(K31:K36)</f>
        <v>0</v>
      </c>
      <c r="L37" s="327">
        <f t="shared" si="7"/>
        <v>31773.07</v>
      </c>
      <c r="M37" s="328">
        <f>SUM(M31:M36)</f>
        <v>0</v>
      </c>
      <c r="N37" s="329">
        <f>H37+L37+M37</f>
        <v>103916.56</v>
      </c>
      <c r="O37" s="330">
        <f t="shared" si="9"/>
        <v>31434.759399999999</v>
      </c>
      <c r="P37" s="331">
        <f>SUM(P31:P36)</f>
        <v>0</v>
      </c>
      <c r="Q37" s="331">
        <f t="shared" ref="Q37:R37" si="12">SUM(Q31:Q36)</f>
        <v>0</v>
      </c>
      <c r="R37" s="331">
        <f t="shared" si="12"/>
        <v>0</v>
      </c>
      <c r="S37" s="332">
        <f>SUM(P37:R37)</f>
        <v>0</v>
      </c>
      <c r="T37" s="333">
        <f>S37*0.3025</f>
        <v>0</v>
      </c>
      <c r="U37" s="334">
        <f>N37+S37</f>
        <v>103916.56</v>
      </c>
      <c r="V37" s="335">
        <f>O37+T37</f>
        <v>31434.759399999999</v>
      </c>
      <c r="W37" s="336">
        <f>SUM(W31:W36)</f>
        <v>303</v>
      </c>
      <c r="X37" s="337">
        <f>SUM(X31:X36)</f>
        <v>233</v>
      </c>
    </row>
    <row r="38" spans="2:24" ht="32.1" customHeight="1" thickBot="1">
      <c r="B38" s="338" t="s">
        <v>131</v>
      </c>
      <c r="C38" s="339">
        <f>C30+C37</f>
        <v>82238.55</v>
      </c>
      <c r="D38" s="340">
        <f>D30+D37</f>
        <v>803.05</v>
      </c>
      <c r="E38" s="340">
        <f t="shared" ref="E38:F38" si="13">E30+E37</f>
        <v>0</v>
      </c>
      <c r="F38" s="340">
        <f t="shared" si="13"/>
        <v>873.66999999999985</v>
      </c>
      <c r="G38" s="341">
        <f>G30+G37</f>
        <v>5579.3</v>
      </c>
      <c r="H38" s="342">
        <f>SUM(C38:G38)</f>
        <v>89494.57</v>
      </c>
      <c r="I38" s="343">
        <f>I30+I37</f>
        <v>9939.4699999999993</v>
      </c>
      <c r="J38" s="343">
        <f>J30+J37</f>
        <v>26436.050000000003</v>
      </c>
      <c r="K38" s="343">
        <f>K30+K37</f>
        <v>0</v>
      </c>
      <c r="L38" s="344">
        <f>SUM(I38:K38)</f>
        <v>36375.520000000004</v>
      </c>
      <c r="M38" s="345">
        <f>M30+M37</f>
        <v>1976.86</v>
      </c>
      <c r="N38" s="346">
        <f>H38+L38+M38</f>
        <v>127846.95000000001</v>
      </c>
      <c r="O38" s="347">
        <f t="shared" si="9"/>
        <v>38673.702375000001</v>
      </c>
      <c r="P38" s="331">
        <f>P30+P37</f>
        <v>242.35</v>
      </c>
      <c r="Q38" s="348">
        <f>Q30+Q37</f>
        <v>351.38</v>
      </c>
      <c r="R38" s="348">
        <f>R30+R37</f>
        <v>3636.7</v>
      </c>
      <c r="S38" s="332">
        <f>S30+S37</f>
        <v>4230.43</v>
      </c>
      <c r="T38" s="333">
        <f t="shared" ref="T38" si="14">S38*0.3025</f>
        <v>1279.7050750000001</v>
      </c>
      <c r="U38" s="349">
        <f>N38+S38</f>
        <v>132077.38</v>
      </c>
      <c r="V38" s="350">
        <f>O38+T38</f>
        <v>39953.407449999999</v>
      </c>
      <c r="W38" s="351">
        <f>W30+W37</f>
        <v>307</v>
      </c>
      <c r="X38" s="352">
        <f>X30+X37</f>
        <v>269</v>
      </c>
    </row>
    <row r="39" spans="2:24" ht="5.0999999999999996" customHeight="1">
      <c r="O39" s="51"/>
      <c r="P39" s="55"/>
    </row>
    <row r="40" spans="2:24" ht="20.100000000000001" customHeight="1">
      <c r="B40" s="353" t="s">
        <v>171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2:24" ht="9.9499999999999993" customHeight="1"/>
    <row r="42" spans="2:24" ht="30" customHeight="1">
      <c r="I42" s="8"/>
      <c r="J42" s="8"/>
      <c r="N42" s="8"/>
      <c r="O42" s="354"/>
      <c r="P42" s="8"/>
    </row>
    <row r="43" spans="2:24" ht="30" customHeight="1"/>
    <row r="44" spans="2:24" ht="30" customHeight="1">
      <c r="H44" s="51"/>
    </row>
    <row r="45" spans="2:24" ht="30" customHeight="1"/>
    <row r="46" spans="2:24" ht="30" customHeight="1"/>
  </sheetData>
  <mergeCells count="60">
    <mergeCell ref="B9:C9"/>
    <mergeCell ref="D9:F9"/>
    <mergeCell ref="G9:H9"/>
    <mergeCell ref="B3:C3"/>
    <mergeCell ref="B4:C4"/>
    <mergeCell ref="B5:C5"/>
    <mergeCell ref="D5:F5"/>
    <mergeCell ref="B6:C6"/>
    <mergeCell ref="D6:F6"/>
    <mergeCell ref="G6:H6"/>
    <mergeCell ref="B7:C7"/>
    <mergeCell ref="D7:F7"/>
    <mergeCell ref="B8:C8"/>
    <mergeCell ref="D8:F8"/>
    <mergeCell ref="B10:C10"/>
    <mergeCell ref="D10:F10"/>
    <mergeCell ref="G10:H10"/>
    <mergeCell ref="B11:B13"/>
    <mergeCell ref="D11:F11"/>
    <mergeCell ref="G11:H11"/>
    <mergeCell ref="D12:F12"/>
    <mergeCell ref="G12:H12"/>
    <mergeCell ref="D13:F13"/>
    <mergeCell ref="G13:H13"/>
    <mergeCell ref="B14:C14"/>
    <mergeCell ref="D14:F14"/>
    <mergeCell ref="G14:H14"/>
    <mergeCell ref="B15:C15"/>
    <mergeCell ref="D15:F15"/>
    <mergeCell ref="G15:H15"/>
    <mergeCell ref="B16:C16"/>
    <mergeCell ref="D16:F16"/>
    <mergeCell ref="G16:H16"/>
    <mergeCell ref="B17:C17"/>
    <mergeCell ref="D17:E17"/>
    <mergeCell ref="H17:I17"/>
    <mergeCell ref="B18:C20"/>
    <mergeCell ref="B22:C22"/>
    <mergeCell ref="D22:I22"/>
    <mergeCell ref="B25:B27"/>
    <mergeCell ref="C25:O25"/>
    <mergeCell ref="B21:C21"/>
    <mergeCell ref="D21:E21"/>
    <mergeCell ref="G21:I21"/>
    <mergeCell ref="D18:E18"/>
    <mergeCell ref="D19:E19"/>
    <mergeCell ref="D20:E20"/>
    <mergeCell ref="F18:F20"/>
    <mergeCell ref="G18:H18"/>
    <mergeCell ref="G19:H19"/>
    <mergeCell ref="G20:H20"/>
    <mergeCell ref="P25:T25"/>
    <mergeCell ref="W25:X26"/>
    <mergeCell ref="C26:H26"/>
    <mergeCell ref="I26:L26"/>
    <mergeCell ref="M26:M27"/>
    <mergeCell ref="N26:O26"/>
    <mergeCell ref="P26:R26"/>
    <mergeCell ref="S26:T26"/>
    <mergeCell ref="U25:V26"/>
  </mergeCells>
  <phoneticPr fontId="2" type="noConversion"/>
  <pageMargins left="0.7" right="0.7" top="0.75" bottom="0.75" header="0.3" footer="0.3"/>
  <pageSetup paperSize="8" scale="6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B1:AA46"/>
  <sheetViews>
    <sheetView showGridLines="0" zoomScale="85" zoomScaleNormal="85" workbookViewId="0">
      <selection activeCell="M18" sqref="M18"/>
    </sheetView>
  </sheetViews>
  <sheetFormatPr defaultRowHeight="16.5"/>
  <cols>
    <col min="1" max="1" width="3.625" customWidth="1"/>
    <col min="2" max="2" width="15.625" customWidth="1"/>
    <col min="3" max="25" width="11.625" customWidth="1"/>
    <col min="26" max="26" width="3.25" customWidth="1"/>
  </cols>
  <sheetData>
    <row r="1" spans="2:27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2:27" ht="35.1" customHeight="1" thickBot="1">
      <c r="B2" s="78" t="s">
        <v>118</v>
      </c>
      <c r="C2" s="6"/>
      <c r="D2" s="6"/>
      <c r="E2" s="6"/>
      <c r="F2" s="6"/>
      <c r="G2" s="6"/>
      <c r="H2" s="6"/>
      <c r="I2" s="6"/>
      <c r="J2" s="1"/>
      <c r="K2" s="78" t="s">
        <v>119</v>
      </c>
      <c r="L2" s="78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183"/>
      <c r="AA2" s="183"/>
    </row>
    <row r="3" spans="2:27" ht="32.1" customHeight="1">
      <c r="B3" s="486" t="s">
        <v>120</v>
      </c>
      <c r="C3" s="487"/>
      <c r="D3" s="184" t="s">
        <v>84</v>
      </c>
      <c r="E3" s="185"/>
      <c r="F3" s="185"/>
      <c r="G3" s="185"/>
      <c r="H3" s="185"/>
      <c r="I3" s="185"/>
      <c r="J3" s="7"/>
      <c r="K3" s="186"/>
      <c r="L3" s="186"/>
      <c r="M3" s="186"/>
      <c r="N3" s="187"/>
      <c r="O3" s="188"/>
      <c r="P3" s="187"/>
      <c r="Q3" s="188"/>
      <c r="R3" s="188"/>
      <c r="S3" s="188"/>
      <c r="T3" s="189"/>
      <c r="U3" s="189"/>
      <c r="V3" s="189"/>
      <c r="W3" s="189"/>
      <c r="X3" s="189"/>
      <c r="Y3" s="189"/>
    </row>
    <row r="4" spans="2:27" ht="32.1" customHeight="1">
      <c r="B4" s="488" t="s">
        <v>121</v>
      </c>
      <c r="C4" s="489"/>
      <c r="D4" s="190" t="s">
        <v>75</v>
      </c>
      <c r="E4" s="191"/>
      <c r="F4" s="192"/>
      <c r="G4" s="193"/>
      <c r="H4" s="193"/>
      <c r="I4" s="193"/>
      <c r="J4" s="7"/>
      <c r="K4" s="194"/>
      <c r="L4" s="194"/>
      <c r="M4" s="194"/>
      <c r="N4" s="195"/>
      <c r="O4" s="196"/>
      <c r="P4" s="195"/>
      <c r="Q4" s="196"/>
      <c r="R4" s="196"/>
      <c r="S4" s="196"/>
      <c r="T4" s="197"/>
      <c r="U4" s="197"/>
      <c r="V4" s="197"/>
      <c r="W4" s="197"/>
      <c r="X4" s="197"/>
      <c r="Y4" s="197"/>
    </row>
    <row r="5" spans="2:27" ht="32.1" customHeight="1">
      <c r="B5" s="488" t="s">
        <v>122</v>
      </c>
      <c r="C5" s="489"/>
      <c r="D5" s="490" t="s">
        <v>187</v>
      </c>
      <c r="E5" s="491"/>
      <c r="F5" s="492"/>
      <c r="G5" s="193"/>
      <c r="H5" s="193"/>
      <c r="I5" s="193"/>
      <c r="J5" s="7"/>
      <c r="K5" s="198"/>
      <c r="L5" s="198"/>
      <c r="M5" s="199"/>
      <c r="N5" s="200"/>
      <c r="O5" s="201"/>
      <c r="P5" s="202"/>
      <c r="Q5" s="201"/>
      <c r="R5" s="201"/>
      <c r="S5" s="201"/>
      <c r="T5" s="197"/>
      <c r="U5" s="197"/>
      <c r="V5" s="197"/>
      <c r="W5" s="197"/>
      <c r="X5" s="197"/>
      <c r="Y5" s="197"/>
    </row>
    <row r="6" spans="2:27" ht="32.1" customHeight="1">
      <c r="B6" s="488" t="s">
        <v>123</v>
      </c>
      <c r="C6" s="489"/>
      <c r="D6" s="493">
        <v>29799.9</v>
      </c>
      <c r="E6" s="494"/>
      <c r="F6" s="495"/>
      <c r="G6" s="496">
        <f>D6*0.3025</f>
        <v>9014.4697500000002</v>
      </c>
      <c r="H6" s="497"/>
      <c r="I6" s="203"/>
      <c r="J6" s="7"/>
      <c r="K6" s="204"/>
      <c r="L6" s="204"/>
      <c r="M6" s="199"/>
      <c r="N6" s="205"/>
      <c r="O6" s="205"/>
      <c r="P6" s="206"/>
      <c r="Q6" s="205"/>
      <c r="R6" s="205"/>
      <c r="S6" s="205"/>
      <c r="T6" s="197"/>
      <c r="U6" s="197"/>
      <c r="V6" s="197"/>
      <c r="W6" s="197"/>
      <c r="X6" s="197"/>
      <c r="Y6" s="197"/>
    </row>
    <row r="7" spans="2:27" ht="32.1" customHeight="1">
      <c r="B7" s="413" t="s">
        <v>124</v>
      </c>
      <c r="C7" s="414"/>
      <c r="D7" s="498" t="s">
        <v>125</v>
      </c>
      <c r="E7" s="499"/>
      <c r="F7" s="499"/>
      <c r="G7" s="369"/>
      <c r="H7" s="207"/>
      <c r="I7" s="208"/>
      <c r="J7" s="7"/>
      <c r="K7" s="204"/>
      <c r="L7" s="204"/>
      <c r="M7" s="199"/>
      <c r="N7" s="205"/>
      <c r="O7" s="205"/>
      <c r="P7" s="206"/>
      <c r="Q7" s="205"/>
      <c r="R7" s="205"/>
      <c r="S7" s="205"/>
      <c r="T7" s="197"/>
      <c r="U7" s="197"/>
      <c r="V7" s="197"/>
      <c r="W7" s="197"/>
      <c r="X7" s="197"/>
      <c r="Y7" s="197"/>
    </row>
    <row r="8" spans="2:27" ht="32.1" hidden="1" customHeight="1">
      <c r="B8" s="413" t="s">
        <v>126</v>
      </c>
      <c r="C8" s="414"/>
      <c r="D8" s="500">
        <v>0</v>
      </c>
      <c r="E8" s="501"/>
      <c r="F8" s="502"/>
      <c r="G8" s="369"/>
      <c r="H8" s="207"/>
      <c r="I8" s="208"/>
      <c r="J8" s="7"/>
      <c r="K8" s="204"/>
      <c r="L8" s="204"/>
      <c r="M8" s="199"/>
      <c r="N8" s="205"/>
      <c r="O8" s="205"/>
      <c r="P8" s="206"/>
      <c r="Q8" s="205"/>
      <c r="R8" s="205"/>
      <c r="S8" s="205"/>
      <c r="T8" s="197"/>
      <c r="U8" s="197"/>
      <c r="V8" s="197"/>
      <c r="W8" s="197"/>
      <c r="X8" s="197"/>
      <c r="Y8" s="197"/>
    </row>
    <row r="9" spans="2:27" ht="32.1" customHeight="1">
      <c r="B9" s="413" t="s">
        <v>185</v>
      </c>
      <c r="C9" s="414"/>
      <c r="D9" s="481" t="s">
        <v>186</v>
      </c>
      <c r="E9" s="482"/>
      <c r="F9" s="483"/>
      <c r="G9" s="484"/>
      <c r="H9" s="485"/>
      <c r="I9" s="208"/>
      <c r="J9" s="7"/>
      <c r="K9" s="204"/>
      <c r="L9" s="204"/>
      <c r="M9" s="199"/>
      <c r="N9" s="205"/>
      <c r="O9" s="205"/>
      <c r="P9" s="206"/>
      <c r="Q9" s="205"/>
      <c r="R9" s="205"/>
      <c r="S9" s="205"/>
      <c r="T9" s="197"/>
      <c r="U9" s="197"/>
      <c r="V9" s="197"/>
      <c r="W9" s="197"/>
      <c r="X9" s="197"/>
      <c r="Y9" s="197"/>
    </row>
    <row r="10" spans="2:27" ht="32.1" customHeight="1">
      <c r="B10" s="503" t="s">
        <v>28</v>
      </c>
      <c r="C10" s="437"/>
      <c r="D10" s="504">
        <v>20831.169999999998</v>
      </c>
      <c r="E10" s="505"/>
      <c r="F10" s="506"/>
      <c r="G10" s="430">
        <f t="shared" ref="G10:G14" si="0">D10*0.3025</f>
        <v>6301.4289249999993</v>
      </c>
      <c r="H10" s="431"/>
      <c r="I10" s="207"/>
      <c r="J10" s="7"/>
      <c r="K10" s="209"/>
      <c r="L10" s="204"/>
      <c r="M10" s="199"/>
      <c r="N10" s="205"/>
      <c r="O10" s="205"/>
      <c r="P10" s="206"/>
      <c r="Q10" s="205"/>
      <c r="R10" s="205"/>
      <c r="S10" s="205"/>
      <c r="T10" s="197"/>
      <c r="U10" s="197"/>
      <c r="V10" s="197"/>
      <c r="W10" s="197"/>
      <c r="X10" s="197"/>
      <c r="Y10" s="197"/>
    </row>
    <row r="11" spans="2:27" ht="32.1" customHeight="1">
      <c r="B11" s="507" t="s">
        <v>7</v>
      </c>
      <c r="C11" s="54" t="s">
        <v>11</v>
      </c>
      <c r="D11" s="509">
        <f>V37</f>
        <v>103932.41999999998</v>
      </c>
      <c r="E11" s="510"/>
      <c r="F11" s="511"/>
      <c r="G11" s="512">
        <f t="shared" si="0"/>
        <v>31439.557049999996</v>
      </c>
      <c r="H11" s="513"/>
      <c r="I11" s="356"/>
      <c r="J11" s="7"/>
      <c r="K11" s="204"/>
      <c r="L11" s="204"/>
      <c r="M11" s="199"/>
      <c r="N11" s="205"/>
      <c r="O11" s="205"/>
      <c r="P11" s="206"/>
      <c r="Q11" s="205"/>
      <c r="R11" s="205"/>
      <c r="S11" s="205"/>
      <c r="T11" s="197"/>
      <c r="U11" s="197"/>
      <c r="V11" s="197"/>
      <c r="W11" s="197"/>
      <c r="X11" s="197"/>
      <c r="Y11" s="197"/>
    </row>
    <row r="12" spans="2:27" ht="32.1" customHeight="1">
      <c r="B12" s="508"/>
      <c r="C12" s="54" t="s">
        <v>12</v>
      </c>
      <c r="D12" s="509">
        <f>V30</f>
        <v>28207.64</v>
      </c>
      <c r="E12" s="510"/>
      <c r="F12" s="511"/>
      <c r="G12" s="512">
        <f t="shared" si="0"/>
        <v>8532.811099999999</v>
      </c>
      <c r="H12" s="513"/>
      <c r="I12" s="356"/>
      <c r="J12" s="7"/>
      <c r="K12" s="204"/>
      <c r="L12" s="204"/>
      <c r="M12" s="199"/>
      <c r="N12" s="205"/>
      <c r="O12" s="205"/>
      <c r="P12" s="206"/>
      <c r="Q12" s="205"/>
      <c r="R12" s="205"/>
      <c r="S12" s="205"/>
      <c r="T12" s="197"/>
      <c r="U12" s="197"/>
      <c r="V12" s="197"/>
      <c r="W12" s="197"/>
      <c r="X12" s="197"/>
      <c r="Y12" s="197"/>
    </row>
    <row r="13" spans="2:27" ht="32.1" customHeight="1">
      <c r="B13" s="508"/>
      <c r="C13" s="210" t="s">
        <v>13</v>
      </c>
      <c r="D13" s="514">
        <f>SUM(D11:F12)</f>
        <v>132140.06</v>
      </c>
      <c r="E13" s="515"/>
      <c r="F13" s="516"/>
      <c r="G13" s="517">
        <f t="shared" si="0"/>
        <v>39972.368149999995</v>
      </c>
      <c r="H13" s="518"/>
      <c r="I13" s="211"/>
      <c r="J13" s="7"/>
      <c r="K13" s="204"/>
      <c r="L13" s="204"/>
      <c r="M13" s="199"/>
      <c r="N13" s="205"/>
      <c r="O13" s="205"/>
      <c r="P13" s="206"/>
      <c r="Q13" s="205"/>
      <c r="R13" s="205"/>
      <c r="S13" s="205"/>
      <c r="T13" s="197"/>
      <c r="U13" s="197"/>
      <c r="V13" s="197"/>
      <c r="W13" s="197"/>
      <c r="X13" s="197"/>
      <c r="Y13" s="197"/>
    </row>
    <row r="14" spans="2:27" ht="32.1" customHeight="1">
      <c r="B14" s="413" t="s">
        <v>132</v>
      </c>
      <c r="C14" s="414"/>
      <c r="D14" s="509">
        <f>V38-H30-L30-M30-T30-L37</f>
        <v>72123.069999999978</v>
      </c>
      <c r="E14" s="510"/>
      <c r="F14" s="511"/>
      <c r="G14" s="512">
        <f t="shared" si="0"/>
        <v>21817.228674999991</v>
      </c>
      <c r="H14" s="513"/>
      <c r="I14" s="208"/>
      <c r="J14" s="7"/>
      <c r="K14" s="204"/>
      <c r="L14" s="212"/>
      <c r="M14" s="199"/>
      <c r="N14" s="205"/>
      <c r="O14" s="205"/>
      <c r="P14" s="206"/>
      <c r="Q14" s="205"/>
      <c r="R14" s="205"/>
      <c r="S14" s="205"/>
      <c r="T14" s="197"/>
      <c r="U14" s="197"/>
      <c r="V14" s="197"/>
      <c r="W14" s="197"/>
      <c r="X14" s="197"/>
      <c r="Y14" s="197"/>
    </row>
    <row r="15" spans="2:27" ht="32.1" customHeight="1">
      <c r="B15" s="519" t="s">
        <v>30</v>
      </c>
      <c r="C15" s="520"/>
      <c r="D15" s="521">
        <f>D10/D6</f>
        <v>0.69903489609025526</v>
      </c>
      <c r="E15" s="522"/>
      <c r="F15" s="523"/>
      <c r="G15" s="524" t="s">
        <v>70</v>
      </c>
      <c r="H15" s="525"/>
      <c r="I15" s="211"/>
      <c r="J15" s="7"/>
      <c r="K15" s="204"/>
      <c r="L15" s="204"/>
      <c r="M15" s="199"/>
      <c r="N15" s="205"/>
      <c r="O15" s="205"/>
      <c r="P15" s="206"/>
      <c r="Q15" s="205"/>
      <c r="R15" s="205"/>
      <c r="S15" s="205"/>
      <c r="T15" s="197"/>
      <c r="U15" s="197"/>
      <c r="V15" s="197"/>
      <c r="W15" s="197"/>
      <c r="X15" s="197"/>
      <c r="Y15" s="197"/>
    </row>
    <row r="16" spans="2:27" ht="32.1" customHeight="1">
      <c r="B16" s="519" t="s">
        <v>31</v>
      </c>
      <c r="C16" s="520"/>
      <c r="D16" s="531">
        <f>D14/D6</f>
        <v>2.420245369950905</v>
      </c>
      <c r="E16" s="532"/>
      <c r="F16" s="532"/>
      <c r="G16" s="524" t="s">
        <v>76</v>
      </c>
      <c r="H16" s="525"/>
      <c r="I16" s="211"/>
      <c r="J16" s="7"/>
      <c r="K16" s="204"/>
      <c r="L16" s="204"/>
      <c r="M16" s="199"/>
      <c r="N16" s="205"/>
      <c r="O16" s="205"/>
      <c r="P16" s="206"/>
      <c r="Q16" s="205"/>
      <c r="R16" s="205"/>
      <c r="S16" s="205"/>
      <c r="T16" s="197"/>
      <c r="U16" s="197"/>
      <c r="V16" s="197"/>
      <c r="W16" s="197"/>
      <c r="X16" s="197"/>
      <c r="Y16" s="197"/>
    </row>
    <row r="17" spans="2:25" ht="32.1" customHeight="1">
      <c r="B17" s="533" t="s">
        <v>135</v>
      </c>
      <c r="C17" s="534"/>
      <c r="D17" s="535">
        <f>V38-L38</f>
        <v>95720.079999999987</v>
      </c>
      <c r="E17" s="536"/>
      <c r="F17" s="357">
        <f>D17/D13</f>
        <v>0.72438350640978966</v>
      </c>
      <c r="G17" s="213"/>
      <c r="H17" s="537" t="s">
        <v>136</v>
      </c>
      <c r="I17" s="537"/>
      <c r="J17" s="7"/>
      <c r="K17" s="204"/>
      <c r="L17" s="204"/>
      <c r="M17" s="199"/>
      <c r="N17" s="205"/>
      <c r="O17" s="205"/>
      <c r="P17" s="206"/>
      <c r="Q17" s="205"/>
      <c r="R17" s="205"/>
      <c r="S17" s="205"/>
      <c r="T17" s="197"/>
      <c r="U17" s="197"/>
      <c r="V17" s="197"/>
      <c r="W17" s="197"/>
      <c r="X17" s="197"/>
      <c r="Y17" s="197"/>
    </row>
    <row r="18" spans="2:25" ht="32.1" customHeight="1">
      <c r="B18" s="413" t="s">
        <v>137</v>
      </c>
      <c r="C18" s="455"/>
      <c r="D18" s="538">
        <f>V38-L38</f>
        <v>95720.079999999987</v>
      </c>
      <c r="E18" s="539"/>
      <c r="F18" s="540" t="s">
        <v>138</v>
      </c>
      <c r="G18" s="586" t="s">
        <v>189</v>
      </c>
      <c r="H18" s="587"/>
      <c r="I18" s="359">
        <f>X38</f>
        <v>307</v>
      </c>
      <c r="J18" s="7"/>
      <c r="K18" s="204"/>
      <c r="L18" s="204"/>
      <c r="M18" s="199"/>
      <c r="N18" s="205"/>
      <c r="O18" s="205"/>
      <c r="P18" s="205"/>
      <c r="Q18" s="205"/>
      <c r="R18" s="205"/>
      <c r="S18" s="205"/>
      <c r="T18" s="197"/>
      <c r="U18" s="197"/>
      <c r="V18" s="197"/>
      <c r="W18" s="197"/>
      <c r="X18" s="197"/>
      <c r="Y18" s="197"/>
    </row>
    <row r="19" spans="2:25" ht="32.1" customHeight="1">
      <c r="B19" s="456"/>
      <c r="C19" s="457"/>
      <c r="D19" s="582">
        <f>D18/400</f>
        <v>239.30019999999996</v>
      </c>
      <c r="E19" s="583"/>
      <c r="F19" s="541"/>
      <c r="G19" s="588" t="s">
        <v>139</v>
      </c>
      <c r="H19" s="589"/>
      <c r="I19" s="361">
        <f>Y38</f>
        <v>269</v>
      </c>
      <c r="J19" s="7"/>
      <c r="K19" s="204"/>
      <c r="L19" s="204"/>
      <c r="M19" s="199"/>
      <c r="N19" s="205"/>
      <c r="O19" s="205"/>
      <c r="P19" s="205"/>
      <c r="Q19" s="205"/>
      <c r="R19" s="205"/>
      <c r="S19" s="205"/>
      <c r="T19" s="197"/>
      <c r="U19" s="197"/>
      <c r="V19" s="197"/>
      <c r="W19" s="197"/>
      <c r="X19" s="197"/>
      <c r="Y19" s="197"/>
    </row>
    <row r="20" spans="2:25" ht="32.1" customHeight="1">
      <c r="B20" s="458"/>
      <c r="C20" s="459"/>
      <c r="D20" s="584"/>
      <c r="E20" s="585"/>
      <c r="F20" s="542"/>
      <c r="G20" s="590" t="s">
        <v>140</v>
      </c>
      <c r="H20" s="591"/>
      <c r="I20" s="363">
        <f>I18+I19</f>
        <v>576</v>
      </c>
      <c r="J20" s="7"/>
      <c r="K20" s="204"/>
      <c r="L20" s="204"/>
      <c r="M20" s="199"/>
      <c r="N20" s="205"/>
      <c r="O20" s="205"/>
      <c r="P20" s="205"/>
      <c r="Q20" s="205"/>
      <c r="R20" s="205"/>
      <c r="S20" s="205"/>
      <c r="T20" s="197"/>
      <c r="U20" s="197"/>
      <c r="V20" s="197"/>
      <c r="W20" s="197"/>
      <c r="X20" s="197"/>
      <c r="Y20" s="197"/>
    </row>
    <row r="21" spans="2:25" ht="52.5" customHeight="1">
      <c r="B21" s="423" t="s">
        <v>141</v>
      </c>
      <c r="C21" s="526"/>
      <c r="D21" s="527">
        <v>3539.72</v>
      </c>
      <c r="E21" s="528"/>
      <c r="F21" s="214">
        <f>D21/D6</f>
        <v>0.11878294893607025</v>
      </c>
      <c r="G21" s="529" t="s">
        <v>184</v>
      </c>
      <c r="H21" s="530"/>
      <c r="I21" s="530"/>
      <c r="J21" s="7"/>
      <c r="K21" s="204"/>
      <c r="L21" s="204"/>
      <c r="M21" s="199"/>
      <c r="N21" s="205"/>
      <c r="O21" s="205"/>
      <c r="P21" s="205"/>
      <c r="Q21" s="205"/>
      <c r="R21" s="205"/>
      <c r="S21" s="205"/>
      <c r="T21" s="197"/>
      <c r="U21" s="197"/>
      <c r="V21" s="197"/>
      <c r="W21" s="197"/>
      <c r="X21" s="197"/>
      <c r="Y21" s="197"/>
    </row>
    <row r="22" spans="2:25" ht="32.1" customHeight="1" thickBot="1">
      <c r="B22" s="549" t="s">
        <v>142</v>
      </c>
      <c r="C22" s="550"/>
      <c r="D22" s="551" t="s">
        <v>99</v>
      </c>
      <c r="E22" s="552"/>
      <c r="F22" s="552"/>
      <c r="G22" s="552"/>
      <c r="H22" s="552"/>
      <c r="I22" s="552"/>
      <c r="J22" s="7"/>
      <c r="K22" s="215"/>
      <c r="L22" s="215"/>
      <c r="M22" s="216"/>
      <c r="N22" s="217"/>
      <c r="O22" s="217"/>
      <c r="P22" s="217"/>
      <c r="Q22" s="217"/>
      <c r="R22" s="217"/>
      <c r="S22" s="217"/>
      <c r="T22" s="218"/>
      <c r="U22" s="218"/>
      <c r="V22" s="218"/>
      <c r="W22" s="218"/>
      <c r="X22" s="218"/>
      <c r="Y22" s="218"/>
    </row>
    <row r="23" spans="2:25" ht="35.1" customHeight="1" thickTop="1">
      <c r="B23" s="5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2:25" ht="35.1" customHeight="1" thickBot="1">
      <c r="B24" s="75" t="s">
        <v>143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2:25" ht="32.1" customHeight="1">
      <c r="B25" s="553" t="s">
        <v>144</v>
      </c>
      <c r="C25" s="556" t="s">
        <v>145</v>
      </c>
      <c r="D25" s="557"/>
      <c r="E25" s="557"/>
      <c r="F25" s="557"/>
      <c r="G25" s="557"/>
      <c r="H25" s="557"/>
      <c r="I25" s="557"/>
      <c r="J25" s="557"/>
      <c r="K25" s="557"/>
      <c r="L25" s="557"/>
      <c r="M25" s="557"/>
      <c r="N25" s="557"/>
      <c r="O25" s="558"/>
      <c r="P25" s="559" t="s">
        <v>146</v>
      </c>
      <c r="Q25" s="560"/>
      <c r="R25" s="560"/>
      <c r="S25" s="560"/>
      <c r="T25" s="560"/>
      <c r="U25" s="561"/>
      <c r="V25" s="578" t="s">
        <v>147</v>
      </c>
      <c r="W25" s="579"/>
      <c r="X25" s="562" t="s">
        <v>63</v>
      </c>
      <c r="Y25" s="563"/>
    </row>
    <row r="26" spans="2:25" ht="32.1" customHeight="1">
      <c r="B26" s="554"/>
      <c r="C26" s="566" t="s">
        <v>149</v>
      </c>
      <c r="D26" s="567"/>
      <c r="E26" s="567"/>
      <c r="F26" s="567"/>
      <c r="G26" s="567"/>
      <c r="H26" s="567"/>
      <c r="I26" s="568" t="s">
        <v>150</v>
      </c>
      <c r="J26" s="568"/>
      <c r="K26" s="568"/>
      <c r="L26" s="568"/>
      <c r="M26" s="569" t="s">
        <v>151</v>
      </c>
      <c r="N26" s="571" t="s">
        <v>152</v>
      </c>
      <c r="O26" s="572"/>
      <c r="P26" s="573" t="s">
        <v>153</v>
      </c>
      <c r="Q26" s="574"/>
      <c r="R26" s="575"/>
      <c r="S26" s="592" t="s">
        <v>190</v>
      </c>
      <c r="T26" s="576" t="s">
        <v>154</v>
      </c>
      <c r="U26" s="577"/>
      <c r="V26" s="580"/>
      <c r="W26" s="581"/>
      <c r="X26" s="564"/>
      <c r="Y26" s="565"/>
    </row>
    <row r="27" spans="2:25" ht="51" customHeight="1" thickBot="1">
      <c r="B27" s="555"/>
      <c r="C27" s="141" t="s">
        <v>125</v>
      </c>
      <c r="D27" s="219" t="s">
        <v>155</v>
      </c>
      <c r="E27" s="219" t="s">
        <v>156</v>
      </c>
      <c r="F27" s="23" t="s">
        <v>157</v>
      </c>
      <c r="G27" s="22" t="s">
        <v>158</v>
      </c>
      <c r="H27" s="220" t="s">
        <v>159</v>
      </c>
      <c r="I27" s="221" t="s">
        <v>54</v>
      </c>
      <c r="J27" s="221" t="s">
        <v>161</v>
      </c>
      <c r="K27" s="221" t="s">
        <v>162</v>
      </c>
      <c r="L27" s="222" t="s">
        <v>159</v>
      </c>
      <c r="M27" s="570"/>
      <c r="N27" s="223" t="s">
        <v>4</v>
      </c>
      <c r="O27" s="224" t="s">
        <v>5</v>
      </c>
      <c r="P27" s="225" t="s">
        <v>165</v>
      </c>
      <c r="Q27" s="226" t="s">
        <v>166</v>
      </c>
      <c r="R27" s="226" t="s">
        <v>114</v>
      </c>
      <c r="S27" s="593"/>
      <c r="T27" s="375" t="s">
        <v>4</v>
      </c>
      <c r="U27" s="228" t="s">
        <v>5</v>
      </c>
      <c r="V27" s="229" t="s">
        <v>4</v>
      </c>
      <c r="W27" s="230" t="s">
        <v>5</v>
      </c>
      <c r="X27" s="368" t="s">
        <v>188</v>
      </c>
      <c r="Y27" s="232" t="s">
        <v>98</v>
      </c>
    </row>
    <row r="28" spans="2:25" ht="32.1" customHeight="1">
      <c r="B28" s="233" t="s">
        <v>176</v>
      </c>
      <c r="C28" s="234">
        <v>14859.84</v>
      </c>
      <c r="D28" s="235">
        <v>107.49</v>
      </c>
      <c r="E28" s="235">
        <v>11.79</v>
      </c>
      <c r="F28" s="236">
        <v>100.86</v>
      </c>
      <c r="G28" s="237">
        <v>679.18</v>
      </c>
      <c r="H28" s="238">
        <f t="shared" ref="H28:H36" si="1">SUM(C28:G28)</f>
        <v>15759.160000000002</v>
      </c>
      <c r="I28" s="239">
        <v>1738.55</v>
      </c>
      <c r="J28" s="239">
        <v>2872.08</v>
      </c>
      <c r="K28" s="239">
        <v>0</v>
      </c>
      <c r="L28" s="240">
        <f>SUM(I28:K28)</f>
        <v>4610.63</v>
      </c>
      <c r="M28" s="241">
        <v>1998.79</v>
      </c>
      <c r="N28" s="242">
        <f>M28+L28+H28</f>
        <v>22368.58</v>
      </c>
      <c r="O28" s="243">
        <f>N28*0.3025</f>
        <v>6766.4954500000003</v>
      </c>
      <c r="P28" s="244">
        <v>0</v>
      </c>
      <c r="Q28" s="245">
        <v>0</v>
      </c>
      <c r="R28" s="245">
        <v>0</v>
      </c>
      <c r="S28" s="370">
        <v>0</v>
      </c>
      <c r="T28" s="376">
        <f t="shared" ref="T28:T37" si="2">SUM(P28:S28)</f>
        <v>0</v>
      </c>
      <c r="U28" s="247">
        <f>T28*0.3025</f>
        <v>0</v>
      </c>
      <c r="V28" s="248">
        <f>T28+N28</f>
        <v>22368.58</v>
      </c>
      <c r="W28" s="249">
        <f t="shared" ref="W28:W31" si="3">U28+O28</f>
        <v>6766.4954500000003</v>
      </c>
      <c r="X28" s="250">
        <v>4</v>
      </c>
      <c r="Y28" s="251">
        <v>36</v>
      </c>
    </row>
    <row r="29" spans="2:25" ht="32.1" customHeight="1">
      <c r="B29" s="252" t="s">
        <v>175</v>
      </c>
      <c r="C29" s="253">
        <v>0</v>
      </c>
      <c r="D29" s="254">
        <v>0</v>
      </c>
      <c r="E29" s="254">
        <v>3.54</v>
      </c>
      <c r="F29" s="255">
        <v>147.09</v>
      </c>
      <c r="G29" s="256">
        <v>1458</v>
      </c>
      <c r="H29" s="257">
        <f t="shared" si="1"/>
        <v>1608.63</v>
      </c>
      <c r="I29" s="258">
        <v>0</v>
      </c>
      <c r="J29" s="258">
        <v>0</v>
      </c>
      <c r="K29" s="258">
        <v>0</v>
      </c>
      <c r="L29" s="259">
        <f>SUM(I29:K29)</f>
        <v>0</v>
      </c>
      <c r="M29" s="260">
        <v>30.87</v>
      </c>
      <c r="N29" s="261">
        <f>M29+L29+H29</f>
        <v>1639.5</v>
      </c>
      <c r="O29" s="262">
        <f>N29*0.3025</f>
        <v>495.94874999999996</v>
      </c>
      <c r="P29" s="263">
        <v>242.35</v>
      </c>
      <c r="Q29" s="264">
        <v>351.38</v>
      </c>
      <c r="R29" s="264">
        <v>3605.83</v>
      </c>
      <c r="S29" s="371">
        <v>0</v>
      </c>
      <c r="T29" s="377">
        <f t="shared" si="2"/>
        <v>4199.5599999999995</v>
      </c>
      <c r="U29" s="247">
        <f>T29*0.3025</f>
        <v>1270.3668999999998</v>
      </c>
      <c r="V29" s="248">
        <f>T29+N29</f>
        <v>5839.0599999999995</v>
      </c>
      <c r="W29" s="249">
        <f t="shared" si="3"/>
        <v>1766.3156499999998</v>
      </c>
      <c r="X29" s="266" t="s">
        <v>99</v>
      </c>
      <c r="Y29" s="267" t="s">
        <v>99</v>
      </c>
    </row>
    <row r="30" spans="2:25" ht="32.1" customHeight="1" thickBot="1">
      <c r="B30" s="268" t="s">
        <v>116</v>
      </c>
      <c r="C30" s="269">
        <f>C28+C29</f>
        <v>14859.84</v>
      </c>
      <c r="D30" s="270">
        <f t="shared" ref="D30:G30" si="4">D28+D29</f>
        <v>107.49</v>
      </c>
      <c r="E30" s="270">
        <f t="shared" si="4"/>
        <v>15.329999999999998</v>
      </c>
      <c r="F30" s="270">
        <f t="shared" si="4"/>
        <v>247.95</v>
      </c>
      <c r="G30" s="270">
        <f t="shared" si="4"/>
        <v>2137.1799999999998</v>
      </c>
      <c r="H30" s="271">
        <f t="shared" si="1"/>
        <v>17367.79</v>
      </c>
      <c r="I30" s="272">
        <f>SUM(I28:I29)</f>
        <v>1738.55</v>
      </c>
      <c r="J30" s="272">
        <f t="shared" ref="J30:K30" si="5">SUM(J28:J29)</f>
        <v>2872.08</v>
      </c>
      <c r="K30" s="272">
        <f t="shared" si="5"/>
        <v>0</v>
      </c>
      <c r="L30" s="273">
        <f>SUM(I30:K30)</f>
        <v>4610.63</v>
      </c>
      <c r="M30" s="274">
        <f>SUM(M28:M29)</f>
        <v>2029.6599999999999</v>
      </c>
      <c r="N30" s="275">
        <f>H30+L30+M30</f>
        <v>24008.080000000002</v>
      </c>
      <c r="O30" s="276">
        <f>N30*0.3025</f>
        <v>7262.4441999999999</v>
      </c>
      <c r="P30" s="277">
        <f>SUM(P28:P29)</f>
        <v>242.35</v>
      </c>
      <c r="Q30" s="277">
        <f t="shared" ref="Q30:R30" si="6">SUM(Q28:Q29)</f>
        <v>351.38</v>
      </c>
      <c r="R30" s="277">
        <f t="shared" si="6"/>
        <v>3605.83</v>
      </c>
      <c r="S30" s="382">
        <f>SUM(S28:S29)</f>
        <v>0</v>
      </c>
      <c r="T30" s="378">
        <f t="shared" si="2"/>
        <v>4199.5599999999995</v>
      </c>
      <c r="U30" s="279">
        <f>T30*0.3025</f>
        <v>1270.3668999999998</v>
      </c>
      <c r="V30" s="280">
        <f>T30+N30</f>
        <v>28207.64</v>
      </c>
      <c r="W30" s="281">
        <f t="shared" si="3"/>
        <v>8532.811099999999</v>
      </c>
      <c r="X30" s="282">
        <f>SUM(X28:X29)</f>
        <v>4</v>
      </c>
      <c r="Y30" s="283">
        <f>SUM(Y28:Y29)</f>
        <v>36</v>
      </c>
    </row>
    <row r="31" spans="2:25" ht="32.1" customHeight="1">
      <c r="B31" s="284" t="s">
        <v>177</v>
      </c>
      <c r="C31" s="285">
        <v>13464.88</v>
      </c>
      <c r="D31" s="286">
        <v>113.91</v>
      </c>
      <c r="E31" s="286">
        <v>11.79</v>
      </c>
      <c r="F31" s="287">
        <v>108.27</v>
      </c>
      <c r="G31" s="288">
        <v>716.97</v>
      </c>
      <c r="H31" s="289">
        <f>SUM(C31:G31)</f>
        <v>14415.82</v>
      </c>
      <c r="I31" s="290">
        <v>1617.96</v>
      </c>
      <c r="J31" s="290">
        <v>4714.43</v>
      </c>
      <c r="K31" s="290">
        <v>0</v>
      </c>
      <c r="L31" s="291">
        <f>SUM(I31:K31)</f>
        <v>6332.39</v>
      </c>
      <c r="M31" s="292">
        <v>0</v>
      </c>
      <c r="N31" s="293">
        <f>H31+L31+M31</f>
        <v>20748.21</v>
      </c>
      <c r="O31" s="294">
        <f>N31*0.3025</f>
        <v>6276.3335249999991</v>
      </c>
      <c r="P31" s="295">
        <v>0</v>
      </c>
      <c r="Q31" s="296">
        <v>0</v>
      </c>
      <c r="R31" s="296">
        <v>0</v>
      </c>
      <c r="S31" s="372">
        <v>147.09</v>
      </c>
      <c r="T31" s="379">
        <f t="shared" si="2"/>
        <v>147.09</v>
      </c>
      <c r="U31" s="298">
        <f>T31*0.3025</f>
        <v>44.494725000000003</v>
      </c>
      <c r="V31" s="299">
        <f>T31+N31</f>
        <v>20895.3</v>
      </c>
      <c r="W31" s="300">
        <f t="shared" si="3"/>
        <v>6320.8282499999987</v>
      </c>
      <c r="X31" s="301">
        <v>56</v>
      </c>
      <c r="Y31" s="302">
        <v>36</v>
      </c>
    </row>
    <row r="32" spans="2:25" ht="32.1" customHeight="1">
      <c r="B32" s="303" t="s">
        <v>178</v>
      </c>
      <c r="C32" s="304">
        <v>13476.74</v>
      </c>
      <c r="D32" s="305">
        <v>109.23</v>
      </c>
      <c r="E32" s="305">
        <v>11.79</v>
      </c>
      <c r="F32" s="306">
        <v>108.27</v>
      </c>
      <c r="G32" s="307">
        <v>686.49</v>
      </c>
      <c r="H32" s="308">
        <f t="shared" si="1"/>
        <v>14392.52</v>
      </c>
      <c r="I32" s="309">
        <v>1645.74</v>
      </c>
      <c r="J32" s="309">
        <v>4723.5</v>
      </c>
      <c r="K32" s="309">
        <v>0</v>
      </c>
      <c r="L32" s="310">
        <f>SUM(I32:K32)</f>
        <v>6369.24</v>
      </c>
      <c r="M32" s="311">
        <v>0</v>
      </c>
      <c r="N32" s="261">
        <f>H32+L32+M32</f>
        <v>20761.760000000002</v>
      </c>
      <c r="O32" s="262">
        <f>N32*0.3025</f>
        <v>6280.4324000000006</v>
      </c>
      <c r="P32" s="312">
        <v>0</v>
      </c>
      <c r="Q32" s="313">
        <v>0</v>
      </c>
      <c r="R32" s="313">
        <v>0</v>
      </c>
      <c r="S32" s="373">
        <v>0</v>
      </c>
      <c r="T32" s="380">
        <f t="shared" si="2"/>
        <v>0</v>
      </c>
      <c r="U32" s="315">
        <f>T32*0.3025</f>
        <v>0</v>
      </c>
      <c r="V32" s="316">
        <f t="shared" ref="V32:W38" si="7">N32+T32</f>
        <v>20761.760000000002</v>
      </c>
      <c r="W32" s="317">
        <f t="shared" si="7"/>
        <v>6280.4324000000006</v>
      </c>
      <c r="X32" s="318" t="s">
        <v>99</v>
      </c>
      <c r="Y32" s="319">
        <v>38</v>
      </c>
    </row>
    <row r="33" spans="2:25" ht="32.1" customHeight="1">
      <c r="B33" s="303" t="s">
        <v>169</v>
      </c>
      <c r="C33" s="304">
        <v>13476.74</v>
      </c>
      <c r="D33" s="305">
        <v>109.23</v>
      </c>
      <c r="E33" s="305">
        <v>11.79</v>
      </c>
      <c r="F33" s="306">
        <v>108.27</v>
      </c>
      <c r="G33" s="307">
        <v>686.49</v>
      </c>
      <c r="H33" s="308">
        <f t="shared" si="1"/>
        <v>14392.52</v>
      </c>
      <c r="I33" s="309">
        <v>1645.74</v>
      </c>
      <c r="J33" s="309">
        <v>4723.5</v>
      </c>
      <c r="K33" s="309">
        <v>0</v>
      </c>
      <c r="L33" s="310">
        <f t="shared" ref="L33:L37" si="8">SUM(I33:K33)</f>
        <v>6369.24</v>
      </c>
      <c r="M33" s="311">
        <v>0</v>
      </c>
      <c r="N33" s="261">
        <f t="shared" ref="N33:N36" si="9">H33+L33+M33</f>
        <v>20761.760000000002</v>
      </c>
      <c r="O33" s="262">
        <f t="shared" ref="O33:O38" si="10">N33*0.3025</f>
        <v>6280.4324000000006</v>
      </c>
      <c r="P33" s="312">
        <v>0</v>
      </c>
      <c r="Q33" s="313">
        <v>0</v>
      </c>
      <c r="R33" s="313">
        <v>0</v>
      </c>
      <c r="S33" s="373">
        <v>0</v>
      </c>
      <c r="T33" s="380">
        <f t="shared" si="2"/>
        <v>0</v>
      </c>
      <c r="U33" s="315">
        <f t="shared" ref="U33:U36" si="11">T33*0.3025</f>
        <v>0</v>
      </c>
      <c r="V33" s="316">
        <f t="shared" si="7"/>
        <v>20761.760000000002</v>
      </c>
      <c r="W33" s="317">
        <f t="shared" si="7"/>
        <v>6280.4324000000006</v>
      </c>
      <c r="X33" s="318" t="s">
        <v>99</v>
      </c>
      <c r="Y33" s="319">
        <v>38</v>
      </c>
    </row>
    <row r="34" spans="2:25" ht="32.1" customHeight="1">
      <c r="B34" s="303" t="s">
        <v>179</v>
      </c>
      <c r="C34" s="304">
        <v>13485</v>
      </c>
      <c r="D34" s="305">
        <v>97.65</v>
      </c>
      <c r="E34" s="305">
        <v>11.79</v>
      </c>
      <c r="F34" s="306">
        <v>108.27</v>
      </c>
      <c r="G34" s="307">
        <v>684.85</v>
      </c>
      <c r="H34" s="308">
        <f t="shared" si="1"/>
        <v>14387.560000000001</v>
      </c>
      <c r="I34" s="309">
        <v>1645.74</v>
      </c>
      <c r="J34" s="309">
        <v>4723.5</v>
      </c>
      <c r="K34" s="355">
        <v>0</v>
      </c>
      <c r="L34" s="240">
        <f t="shared" si="8"/>
        <v>6369.24</v>
      </c>
      <c r="M34" s="241">
        <v>0</v>
      </c>
      <c r="N34" s="261">
        <f t="shared" si="9"/>
        <v>20756.800000000003</v>
      </c>
      <c r="O34" s="262">
        <f t="shared" si="10"/>
        <v>6278.9320000000007</v>
      </c>
      <c r="P34" s="312">
        <v>0</v>
      </c>
      <c r="Q34" s="313">
        <v>0</v>
      </c>
      <c r="R34" s="313">
        <v>0</v>
      </c>
      <c r="S34" s="373">
        <v>0</v>
      </c>
      <c r="T34" s="380">
        <f t="shared" si="2"/>
        <v>0</v>
      </c>
      <c r="U34" s="315">
        <f t="shared" si="11"/>
        <v>0</v>
      </c>
      <c r="V34" s="316">
        <f t="shared" si="7"/>
        <v>20756.800000000003</v>
      </c>
      <c r="W34" s="317">
        <f t="shared" si="7"/>
        <v>6278.9320000000007</v>
      </c>
      <c r="X34" s="250" t="s">
        <v>99</v>
      </c>
      <c r="Y34" s="251">
        <v>38</v>
      </c>
    </row>
    <row r="35" spans="2:25" ht="32.1" customHeight="1">
      <c r="B35" s="303" t="s">
        <v>180</v>
      </c>
      <c r="C35" s="304">
        <v>13485</v>
      </c>
      <c r="D35" s="305">
        <v>97.65</v>
      </c>
      <c r="E35" s="305">
        <v>11.79</v>
      </c>
      <c r="F35" s="306">
        <v>108.27</v>
      </c>
      <c r="G35" s="307">
        <v>684.85</v>
      </c>
      <c r="H35" s="308">
        <f t="shared" si="1"/>
        <v>14387.560000000001</v>
      </c>
      <c r="I35" s="309">
        <v>1645.74</v>
      </c>
      <c r="J35" s="309">
        <v>4723.5</v>
      </c>
      <c r="K35" s="355">
        <v>0</v>
      </c>
      <c r="L35" s="240">
        <f t="shared" si="8"/>
        <v>6369.24</v>
      </c>
      <c r="M35" s="241">
        <v>0</v>
      </c>
      <c r="N35" s="261">
        <f t="shared" si="9"/>
        <v>20756.800000000003</v>
      </c>
      <c r="O35" s="262">
        <f t="shared" si="10"/>
        <v>6278.9320000000007</v>
      </c>
      <c r="P35" s="312">
        <v>0</v>
      </c>
      <c r="Q35" s="313">
        <v>0</v>
      </c>
      <c r="R35" s="313">
        <v>0</v>
      </c>
      <c r="S35" s="373">
        <v>0</v>
      </c>
      <c r="T35" s="380">
        <f t="shared" si="2"/>
        <v>0</v>
      </c>
      <c r="U35" s="315">
        <f t="shared" si="11"/>
        <v>0</v>
      </c>
      <c r="V35" s="316">
        <f t="shared" si="7"/>
        <v>20756.800000000003</v>
      </c>
      <c r="W35" s="317">
        <f t="shared" si="7"/>
        <v>6278.9320000000007</v>
      </c>
      <c r="X35" s="250" t="s">
        <v>99</v>
      </c>
      <c r="Y35" s="251">
        <v>38</v>
      </c>
    </row>
    <row r="36" spans="2:25" ht="32.1" customHeight="1">
      <c r="B36" s="303" t="s">
        <v>96</v>
      </c>
      <c r="C36" s="234">
        <v>0</v>
      </c>
      <c r="D36" s="235">
        <v>0</v>
      </c>
      <c r="E36" s="235">
        <v>0</v>
      </c>
      <c r="F36" s="236">
        <v>0</v>
      </c>
      <c r="G36" s="237">
        <v>0</v>
      </c>
      <c r="H36" s="308">
        <f t="shared" si="1"/>
        <v>0</v>
      </c>
      <c r="I36" s="239">
        <v>0</v>
      </c>
      <c r="J36" s="239">
        <v>0</v>
      </c>
      <c r="K36" s="239">
        <v>0</v>
      </c>
      <c r="L36" s="240">
        <f t="shared" si="8"/>
        <v>0</v>
      </c>
      <c r="M36" s="241">
        <v>0</v>
      </c>
      <c r="N36" s="261">
        <f t="shared" si="9"/>
        <v>0</v>
      </c>
      <c r="O36" s="262">
        <f t="shared" si="10"/>
        <v>0</v>
      </c>
      <c r="P36" s="320">
        <v>0</v>
      </c>
      <c r="Q36" s="313">
        <v>0</v>
      </c>
      <c r="R36" s="313">
        <v>0</v>
      </c>
      <c r="S36" s="373">
        <v>0</v>
      </c>
      <c r="T36" s="380">
        <f t="shared" si="2"/>
        <v>0</v>
      </c>
      <c r="U36" s="321">
        <f t="shared" si="11"/>
        <v>0</v>
      </c>
      <c r="V36" s="316">
        <f t="shared" si="7"/>
        <v>0</v>
      </c>
      <c r="W36" s="317">
        <f t="shared" si="7"/>
        <v>0</v>
      </c>
      <c r="X36" s="250">
        <v>247</v>
      </c>
      <c r="Y36" s="251">
        <v>45</v>
      </c>
    </row>
    <row r="37" spans="2:25" ht="32.1" customHeight="1" thickBot="1">
      <c r="B37" s="322" t="s">
        <v>25</v>
      </c>
      <c r="C37" s="269">
        <f>SUM(C31:C36)</f>
        <v>67388.36</v>
      </c>
      <c r="D37" s="270">
        <f>SUM(D31:D36)</f>
        <v>527.66999999999996</v>
      </c>
      <c r="E37" s="270">
        <f>SUM(E31:E36)</f>
        <v>58.949999999999996</v>
      </c>
      <c r="F37" s="323">
        <f>SUM(F31:F36)</f>
        <v>541.35</v>
      </c>
      <c r="G37" s="324">
        <f>SUM(G31:G36)</f>
        <v>3459.6499999999996</v>
      </c>
      <c r="H37" s="325">
        <f>SUM(C37:G37)</f>
        <v>71975.98</v>
      </c>
      <c r="I37" s="326">
        <f>SUM(I31:I36)</f>
        <v>8200.92</v>
      </c>
      <c r="J37" s="326">
        <f>SUM(J31:J36)</f>
        <v>23608.43</v>
      </c>
      <c r="K37" s="326">
        <f>SUM(K31:K36)</f>
        <v>0</v>
      </c>
      <c r="L37" s="327">
        <f t="shared" si="8"/>
        <v>31809.35</v>
      </c>
      <c r="M37" s="328">
        <f>SUM(M31:M36)</f>
        <v>0</v>
      </c>
      <c r="N37" s="329">
        <f>H37+L37+M37</f>
        <v>103785.32999999999</v>
      </c>
      <c r="O37" s="330">
        <f t="shared" si="10"/>
        <v>31395.062324999995</v>
      </c>
      <c r="P37" s="331">
        <f>SUM(P31:P36)</f>
        <v>0</v>
      </c>
      <c r="Q37" s="331">
        <f t="shared" ref="Q37:R37" si="12">SUM(Q31:Q36)</f>
        <v>0</v>
      </c>
      <c r="R37" s="331">
        <f t="shared" si="12"/>
        <v>0</v>
      </c>
      <c r="S37" s="374">
        <f>SUM(S31:S36)</f>
        <v>147.09</v>
      </c>
      <c r="T37" s="381">
        <f t="shared" si="2"/>
        <v>147.09</v>
      </c>
      <c r="U37" s="333">
        <f>T37*0.3025</f>
        <v>44.494725000000003</v>
      </c>
      <c r="V37" s="334">
        <f>N37+T37</f>
        <v>103932.41999999998</v>
      </c>
      <c r="W37" s="335">
        <f t="shared" si="7"/>
        <v>31439.557049999996</v>
      </c>
      <c r="X37" s="336">
        <f>SUM(X31:X36)</f>
        <v>303</v>
      </c>
      <c r="Y37" s="337">
        <f>SUM(Y31:Y36)</f>
        <v>233</v>
      </c>
    </row>
    <row r="38" spans="2:25" ht="32.1" customHeight="1" thickBot="1">
      <c r="B38" s="338" t="s">
        <v>13</v>
      </c>
      <c r="C38" s="339">
        <f>C30+C37</f>
        <v>82248.2</v>
      </c>
      <c r="D38" s="340">
        <f>D30+D37</f>
        <v>635.16</v>
      </c>
      <c r="E38" s="340">
        <f t="shared" ref="E38:F38" si="13">E30+E37</f>
        <v>74.28</v>
      </c>
      <c r="F38" s="340">
        <f t="shared" si="13"/>
        <v>789.3</v>
      </c>
      <c r="G38" s="341">
        <f>G30+G37</f>
        <v>5596.83</v>
      </c>
      <c r="H38" s="342">
        <f>SUM(C38:G38)</f>
        <v>89343.77</v>
      </c>
      <c r="I38" s="343">
        <f>I30+I37</f>
        <v>9939.4699999999993</v>
      </c>
      <c r="J38" s="343">
        <f>J30+J37</f>
        <v>26480.510000000002</v>
      </c>
      <c r="K38" s="343">
        <f>K30+K37</f>
        <v>0</v>
      </c>
      <c r="L38" s="344">
        <f>SUM(I38:K38)</f>
        <v>36419.980000000003</v>
      </c>
      <c r="M38" s="345">
        <f>M30+M37</f>
        <v>2029.6599999999999</v>
      </c>
      <c r="N38" s="346">
        <f>H38+L38+M38</f>
        <v>127793.41</v>
      </c>
      <c r="O38" s="347">
        <f t="shared" si="10"/>
        <v>38657.506524999997</v>
      </c>
      <c r="P38" s="331">
        <f>P30+P37</f>
        <v>242.35</v>
      </c>
      <c r="Q38" s="348">
        <f>Q30+Q37</f>
        <v>351.38</v>
      </c>
      <c r="R38" s="348">
        <f>R30+R37</f>
        <v>3605.83</v>
      </c>
      <c r="S38" s="348">
        <f>S30+S37</f>
        <v>147.09</v>
      </c>
      <c r="T38" s="381">
        <f>T30+T37</f>
        <v>4346.6499999999996</v>
      </c>
      <c r="U38" s="333">
        <f t="shared" ref="U38" si="14">T38*0.3025</f>
        <v>1314.8616249999998</v>
      </c>
      <c r="V38" s="349">
        <f t="shared" si="7"/>
        <v>132140.06</v>
      </c>
      <c r="W38" s="350">
        <f t="shared" si="7"/>
        <v>39972.368149999995</v>
      </c>
      <c r="X38" s="351">
        <f>X30+X37</f>
        <v>307</v>
      </c>
      <c r="Y38" s="352">
        <f>Y30+Y37</f>
        <v>269</v>
      </c>
    </row>
    <row r="39" spans="2:25" ht="5.0999999999999996" customHeight="1">
      <c r="O39" s="51"/>
      <c r="P39" s="55"/>
    </row>
    <row r="40" spans="2:25" ht="20.100000000000001" customHeight="1">
      <c r="B40" s="353" t="s">
        <v>171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2:25" ht="9.9499999999999993" customHeight="1"/>
    <row r="42" spans="2:25" ht="30" customHeight="1">
      <c r="I42" s="8"/>
      <c r="J42" s="8"/>
      <c r="N42" s="8"/>
      <c r="O42" s="354"/>
      <c r="P42" s="8"/>
    </row>
    <row r="43" spans="2:25" ht="30" customHeight="1"/>
    <row r="44" spans="2:25" ht="30" customHeight="1">
      <c r="H44" s="51"/>
    </row>
    <row r="45" spans="2:25" ht="30" customHeight="1"/>
    <row r="46" spans="2:25" ht="30" customHeight="1"/>
  </sheetData>
  <mergeCells count="61">
    <mergeCell ref="P25:U25"/>
    <mergeCell ref="V25:W26"/>
    <mergeCell ref="X25:Y26"/>
    <mergeCell ref="C26:H26"/>
    <mergeCell ref="I26:L26"/>
    <mergeCell ref="M26:M27"/>
    <mergeCell ref="N26:O26"/>
    <mergeCell ref="P26:R26"/>
    <mergeCell ref="T26:U26"/>
    <mergeCell ref="S26:S27"/>
    <mergeCell ref="B25:B27"/>
    <mergeCell ref="C25:O25"/>
    <mergeCell ref="B18:C20"/>
    <mergeCell ref="D18:E18"/>
    <mergeCell ref="F18:F20"/>
    <mergeCell ref="G18:H18"/>
    <mergeCell ref="D19:E19"/>
    <mergeCell ref="G19:H19"/>
    <mergeCell ref="D20:E20"/>
    <mergeCell ref="G20:H20"/>
    <mergeCell ref="B21:C21"/>
    <mergeCell ref="D21:E21"/>
    <mergeCell ref="G21:I21"/>
    <mergeCell ref="B22:C22"/>
    <mergeCell ref="D22:I22"/>
    <mergeCell ref="B16:C16"/>
    <mergeCell ref="D16:F16"/>
    <mergeCell ref="G16:H16"/>
    <mergeCell ref="B17:C17"/>
    <mergeCell ref="D17:E17"/>
    <mergeCell ref="H17:I17"/>
    <mergeCell ref="B14:C14"/>
    <mergeCell ref="D14:F14"/>
    <mergeCell ref="G14:H14"/>
    <mergeCell ref="B15:C15"/>
    <mergeCell ref="D15:F15"/>
    <mergeCell ref="G15:H15"/>
    <mergeCell ref="B10:C10"/>
    <mergeCell ref="D10:F10"/>
    <mergeCell ref="G10:H10"/>
    <mergeCell ref="B11:B13"/>
    <mergeCell ref="D11:F11"/>
    <mergeCell ref="G11:H11"/>
    <mergeCell ref="D12:F12"/>
    <mergeCell ref="G12:H12"/>
    <mergeCell ref="D13:F13"/>
    <mergeCell ref="G13:H13"/>
    <mergeCell ref="B9:C9"/>
    <mergeCell ref="D9:F9"/>
    <mergeCell ref="G9:H9"/>
    <mergeCell ref="B3:C3"/>
    <mergeCell ref="B4:C4"/>
    <mergeCell ref="B5:C5"/>
    <mergeCell ref="D5:F5"/>
    <mergeCell ref="B6:C6"/>
    <mergeCell ref="D6:F6"/>
    <mergeCell ref="G6:H6"/>
    <mergeCell ref="B7:C7"/>
    <mergeCell ref="D7:F7"/>
    <mergeCell ref="B8:C8"/>
    <mergeCell ref="D8:F8"/>
  </mergeCells>
  <phoneticPr fontId="2" type="noConversion"/>
  <pageMargins left="0.7" right="0.7" top="0.75" bottom="0.75" header="0.3" footer="0.3"/>
  <pageSetup paperSize="8" scale="6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A46"/>
  <sheetViews>
    <sheetView showGridLines="0" topLeftCell="A4" zoomScale="70" zoomScaleNormal="70" workbookViewId="0">
      <selection activeCell="J43" sqref="J43"/>
    </sheetView>
  </sheetViews>
  <sheetFormatPr defaultRowHeight="16.5"/>
  <cols>
    <col min="1" max="1" width="3.625" customWidth="1"/>
    <col min="2" max="2" width="15.625" customWidth="1"/>
    <col min="3" max="25" width="11.625" customWidth="1"/>
    <col min="26" max="26" width="3.25" customWidth="1"/>
  </cols>
  <sheetData>
    <row r="1" spans="2:27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2:27" ht="35.1" customHeight="1" thickBot="1">
      <c r="B2" s="78" t="s">
        <v>118</v>
      </c>
      <c r="C2" s="6"/>
      <c r="D2" s="6"/>
      <c r="E2" s="6"/>
      <c r="F2" s="6"/>
      <c r="G2" s="6"/>
      <c r="H2" s="6"/>
      <c r="I2" s="6"/>
      <c r="J2" s="1"/>
      <c r="K2" s="78" t="s">
        <v>119</v>
      </c>
      <c r="L2" s="78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183"/>
      <c r="AA2" s="183"/>
    </row>
    <row r="3" spans="2:27" ht="32.1" customHeight="1">
      <c r="B3" s="486" t="s">
        <v>120</v>
      </c>
      <c r="C3" s="487"/>
      <c r="D3" s="184" t="s">
        <v>84</v>
      </c>
      <c r="E3" s="185"/>
      <c r="F3" s="185"/>
      <c r="G3" s="185"/>
      <c r="H3" s="185"/>
      <c r="I3" s="185"/>
      <c r="J3" s="7"/>
      <c r="K3" s="186"/>
      <c r="L3" s="186"/>
      <c r="M3" s="186"/>
      <c r="N3" s="187"/>
      <c r="O3" s="188"/>
      <c r="P3" s="187"/>
      <c r="Q3" s="188"/>
      <c r="R3" s="188"/>
      <c r="S3" s="188"/>
      <c r="T3" s="189"/>
      <c r="U3" s="189"/>
      <c r="V3" s="189"/>
      <c r="W3" s="189"/>
      <c r="X3" s="189"/>
      <c r="Y3" s="189"/>
    </row>
    <row r="4" spans="2:27" ht="32.1" customHeight="1">
      <c r="B4" s="488" t="s">
        <v>121</v>
      </c>
      <c r="C4" s="489"/>
      <c r="D4" s="190" t="s">
        <v>75</v>
      </c>
      <c r="E4" s="191"/>
      <c r="F4" s="192"/>
      <c r="G4" s="193"/>
      <c r="H4" s="193"/>
      <c r="I4" s="193"/>
      <c r="J4" s="7"/>
      <c r="K4" s="194"/>
      <c r="L4" s="194"/>
      <c r="M4" s="194"/>
      <c r="N4" s="195"/>
      <c r="O4" s="196"/>
      <c r="P4" s="195"/>
      <c r="Q4" s="196"/>
      <c r="R4" s="196"/>
      <c r="S4" s="196"/>
      <c r="T4" s="197"/>
      <c r="U4" s="197"/>
      <c r="V4" s="197"/>
      <c r="W4" s="197"/>
      <c r="X4" s="197"/>
      <c r="Y4" s="197"/>
    </row>
    <row r="5" spans="2:27" ht="32.1" customHeight="1">
      <c r="B5" s="488" t="s">
        <v>122</v>
      </c>
      <c r="C5" s="489"/>
      <c r="D5" s="490" t="s">
        <v>187</v>
      </c>
      <c r="E5" s="491"/>
      <c r="F5" s="492"/>
      <c r="G5" s="193"/>
      <c r="H5" s="193"/>
      <c r="I5" s="193"/>
      <c r="J5" s="7"/>
      <c r="K5" s="198"/>
      <c r="L5" s="198"/>
      <c r="M5" s="199"/>
      <c r="N5" s="200"/>
      <c r="O5" s="201"/>
      <c r="P5" s="202"/>
      <c r="Q5" s="201"/>
      <c r="R5" s="201"/>
      <c r="S5" s="201"/>
      <c r="T5" s="197"/>
      <c r="U5" s="197"/>
      <c r="V5" s="197"/>
      <c r="W5" s="197"/>
      <c r="X5" s="197"/>
      <c r="Y5" s="197"/>
    </row>
    <row r="6" spans="2:27" ht="32.1" customHeight="1">
      <c r="B6" s="488" t="s">
        <v>123</v>
      </c>
      <c r="C6" s="489"/>
      <c r="D6" s="493">
        <v>29799.9</v>
      </c>
      <c r="E6" s="494"/>
      <c r="F6" s="495"/>
      <c r="G6" s="496">
        <f>D6*0.3025</f>
        <v>9014.4697500000002</v>
      </c>
      <c r="H6" s="497"/>
      <c r="I6" s="203"/>
      <c r="J6" s="7"/>
      <c r="K6" s="204"/>
      <c r="L6" s="204"/>
      <c r="M6" s="199"/>
      <c r="N6" s="205"/>
      <c r="O6" s="205"/>
      <c r="P6" s="206"/>
      <c r="Q6" s="205"/>
      <c r="R6" s="205"/>
      <c r="S6" s="205"/>
      <c r="T6" s="197"/>
      <c r="U6" s="197"/>
      <c r="V6" s="197"/>
      <c r="W6" s="197"/>
      <c r="X6" s="197"/>
      <c r="Y6" s="197"/>
    </row>
    <row r="7" spans="2:27" ht="32.1" customHeight="1">
      <c r="B7" s="413" t="s">
        <v>124</v>
      </c>
      <c r="C7" s="414"/>
      <c r="D7" s="498" t="s">
        <v>125</v>
      </c>
      <c r="E7" s="499"/>
      <c r="F7" s="499"/>
      <c r="G7" s="383"/>
      <c r="H7" s="207"/>
      <c r="I7" s="208"/>
      <c r="J7" s="7"/>
      <c r="K7" s="204"/>
      <c r="L7" s="204"/>
      <c r="M7" s="199"/>
      <c r="N7" s="205"/>
      <c r="O7" s="205"/>
      <c r="P7" s="206"/>
      <c r="Q7" s="205"/>
      <c r="R7" s="205"/>
      <c r="S7" s="205"/>
      <c r="T7" s="197"/>
      <c r="U7" s="197"/>
      <c r="V7" s="197"/>
      <c r="W7" s="197"/>
      <c r="X7" s="197"/>
      <c r="Y7" s="197"/>
    </row>
    <row r="8" spans="2:27" ht="32.1" hidden="1" customHeight="1">
      <c r="B8" s="413" t="s">
        <v>126</v>
      </c>
      <c r="C8" s="414"/>
      <c r="D8" s="500">
        <v>0</v>
      </c>
      <c r="E8" s="501"/>
      <c r="F8" s="502"/>
      <c r="G8" s="383"/>
      <c r="H8" s="207"/>
      <c r="I8" s="208"/>
      <c r="J8" s="7"/>
      <c r="K8" s="204"/>
      <c r="L8" s="204"/>
      <c r="M8" s="199"/>
      <c r="N8" s="205"/>
      <c r="O8" s="205"/>
      <c r="P8" s="206"/>
      <c r="Q8" s="205"/>
      <c r="R8" s="205"/>
      <c r="S8" s="205"/>
      <c r="T8" s="197"/>
      <c r="U8" s="197"/>
      <c r="V8" s="197"/>
      <c r="W8" s="197"/>
      <c r="X8" s="197"/>
      <c r="Y8" s="197"/>
    </row>
    <row r="9" spans="2:27" ht="32.1" customHeight="1">
      <c r="B9" s="413" t="s">
        <v>185</v>
      </c>
      <c r="C9" s="414"/>
      <c r="D9" s="481" t="s">
        <v>186</v>
      </c>
      <c r="E9" s="482"/>
      <c r="F9" s="483"/>
      <c r="G9" s="484"/>
      <c r="H9" s="485"/>
      <c r="I9" s="208"/>
      <c r="J9" s="7"/>
      <c r="K9" s="204"/>
      <c r="L9" s="204"/>
      <c r="M9" s="199"/>
      <c r="N9" s="205"/>
      <c r="O9" s="205"/>
      <c r="P9" s="206"/>
      <c r="Q9" s="205"/>
      <c r="R9" s="205"/>
      <c r="S9" s="205"/>
      <c r="T9" s="197"/>
      <c r="U9" s="197"/>
      <c r="V9" s="197"/>
      <c r="W9" s="197"/>
      <c r="X9" s="197"/>
      <c r="Y9" s="197"/>
    </row>
    <row r="10" spans="2:27" ht="32.1" customHeight="1">
      <c r="B10" s="503" t="s">
        <v>28</v>
      </c>
      <c r="C10" s="437"/>
      <c r="D10" s="504">
        <v>20832.79</v>
      </c>
      <c r="E10" s="505"/>
      <c r="F10" s="506"/>
      <c r="G10" s="430">
        <f t="shared" ref="G10:G14" si="0">D10*0.3025</f>
        <v>6301.9189750000005</v>
      </c>
      <c r="H10" s="431"/>
      <c r="I10" s="207"/>
      <c r="J10" s="7"/>
      <c r="K10" s="209"/>
      <c r="L10" s="204"/>
      <c r="M10" s="199"/>
      <c r="N10" s="205"/>
      <c r="O10" s="205"/>
      <c r="P10" s="206"/>
      <c r="Q10" s="205"/>
      <c r="R10" s="205"/>
      <c r="S10" s="205"/>
      <c r="T10" s="197"/>
      <c r="U10" s="197"/>
      <c r="V10" s="197"/>
      <c r="W10" s="197"/>
      <c r="X10" s="197"/>
      <c r="Y10" s="197"/>
    </row>
    <row r="11" spans="2:27" ht="32.1" customHeight="1">
      <c r="B11" s="507" t="s">
        <v>7</v>
      </c>
      <c r="C11" s="54" t="s">
        <v>11</v>
      </c>
      <c r="D11" s="509">
        <f>V37</f>
        <v>103936.41999999998</v>
      </c>
      <c r="E11" s="510"/>
      <c r="F11" s="511"/>
      <c r="G11" s="512">
        <f t="shared" si="0"/>
        <v>31440.767049999995</v>
      </c>
      <c r="H11" s="513"/>
      <c r="I11" s="356"/>
      <c r="J11" s="7"/>
      <c r="K11" s="204"/>
      <c r="L11" s="204"/>
      <c r="M11" s="199"/>
      <c r="N11" s="205"/>
      <c r="O11" s="205"/>
      <c r="P11" s="206"/>
      <c r="Q11" s="205"/>
      <c r="R11" s="205"/>
      <c r="S11" s="205"/>
      <c r="T11" s="197"/>
      <c r="U11" s="197"/>
      <c r="V11" s="197"/>
      <c r="W11" s="197"/>
      <c r="X11" s="197"/>
      <c r="Y11" s="197"/>
    </row>
    <row r="12" spans="2:27" ht="32.1" customHeight="1">
      <c r="B12" s="508"/>
      <c r="C12" s="54" t="s">
        <v>12</v>
      </c>
      <c r="D12" s="509">
        <f>V30</f>
        <v>28210.980000000003</v>
      </c>
      <c r="E12" s="510"/>
      <c r="F12" s="511"/>
      <c r="G12" s="512">
        <f t="shared" si="0"/>
        <v>8533.8214500000013</v>
      </c>
      <c r="H12" s="513"/>
      <c r="I12" s="356"/>
      <c r="J12" s="7"/>
      <c r="K12" s="204"/>
      <c r="L12" s="204"/>
      <c r="M12" s="199"/>
      <c r="N12" s="205"/>
      <c r="O12" s="205"/>
      <c r="P12" s="206"/>
      <c r="Q12" s="205"/>
      <c r="R12" s="205"/>
      <c r="S12" s="205"/>
      <c r="T12" s="197"/>
      <c r="U12" s="197"/>
      <c r="V12" s="197"/>
      <c r="W12" s="197"/>
      <c r="X12" s="197"/>
      <c r="Y12" s="197"/>
    </row>
    <row r="13" spans="2:27" ht="32.1" customHeight="1">
      <c r="B13" s="508"/>
      <c r="C13" s="210" t="s">
        <v>13</v>
      </c>
      <c r="D13" s="514">
        <f>SUM(D11:F12)</f>
        <v>132147.4</v>
      </c>
      <c r="E13" s="515"/>
      <c r="F13" s="516"/>
      <c r="G13" s="517">
        <f t="shared" si="0"/>
        <v>39974.588499999998</v>
      </c>
      <c r="H13" s="518"/>
      <c r="I13" s="211"/>
      <c r="J13" s="7"/>
      <c r="K13" s="204"/>
      <c r="L13" s="204"/>
      <c r="M13" s="199"/>
      <c r="N13" s="205"/>
      <c r="O13" s="205"/>
      <c r="P13" s="206"/>
      <c r="Q13" s="205"/>
      <c r="R13" s="205"/>
      <c r="S13" s="205"/>
      <c r="T13" s="197"/>
      <c r="U13" s="197"/>
      <c r="V13" s="197"/>
      <c r="W13" s="197"/>
      <c r="X13" s="197"/>
      <c r="Y13" s="197"/>
    </row>
    <row r="14" spans="2:27" ht="32.1" customHeight="1">
      <c r="B14" s="413" t="s">
        <v>132</v>
      </c>
      <c r="C14" s="414"/>
      <c r="D14" s="509">
        <f>V38-H30-L30-M30-T30-L37</f>
        <v>72118.14</v>
      </c>
      <c r="E14" s="510"/>
      <c r="F14" s="511"/>
      <c r="G14" s="512">
        <f t="shared" si="0"/>
        <v>21815.737349999999</v>
      </c>
      <c r="H14" s="513"/>
      <c r="I14" s="208"/>
      <c r="J14" s="7"/>
      <c r="K14" s="204"/>
      <c r="L14" s="212"/>
      <c r="M14" s="199"/>
      <c r="N14" s="205"/>
      <c r="O14" s="205"/>
      <c r="P14" s="206"/>
      <c r="Q14" s="205"/>
      <c r="R14" s="205"/>
      <c r="S14" s="205"/>
      <c r="T14" s="197"/>
      <c r="U14" s="197"/>
      <c r="V14" s="197"/>
      <c r="W14" s="197"/>
      <c r="X14" s="197"/>
      <c r="Y14" s="197"/>
    </row>
    <row r="15" spans="2:27" ht="32.1" customHeight="1">
      <c r="B15" s="519" t="s">
        <v>30</v>
      </c>
      <c r="C15" s="520"/>
      <c r="D15" s="521">
        <f>D10/D6</f>
        <v>0.69908925868878757</v>
      </c>
      <c r="E15" s="522"/>
      <c r="F15" s="523"/>
      <c r="G15" s="524" t="s">
        <v>70</v>
      </c>
      <c r="H15" s="525"/>
      <c r="I15" s="211"/>
      <c r="J15" s="7"/>
      <c r="K15" s="204"/>
      <c r="L15" s="204"/>
      <c r="M15" s="199"/>
      <c r="N15" s="205"/>
      <c r="O15" s="205"/>
      <c r="P15" s="206"/>
      <c r="Q15" s="205"/>
      <c r="R15" s="205"/>
      <c r="S15" s="205"/>
      <c r="T15" s="197"/>
      <c r="U15" s="197"/>
      <c r="V15" s="197"/>
      <c r="W15" s="197"/>
      <c r="X15" s="197"/>
      <c r="Y15" s="197"/>
    </row>
    <row r="16" spans="2:27" ht="32.1" customHeight="1">
      <c r="B16" s="519" t="s">
        <v>31</v>
      </c>
      <c r="C16" s="520"/>
      <c r="D16" s="531">
        <f>D14/D6</f>
        <v>2.4200799331541378</v>
      </c>
      <c r="E16" s="532"/>
      <c r="F16" s="532"/>
      <c r="G16" s="524" t="s">
        <v>76</v>
      </c>
      <c r="H16" s="525"/>
      <c r="I16" s="211"/>
      <c r="J16" s="7"/>
      <c r="K16" s="204"/>
      <c r="L16" s="204"/>
      <c r="M16" s="199"/>
      <c r="N16" s="205"/>
      <c r="O16" s="205"/>
      <c r="P16" s="206"/>
      <c r="Q16" s="205"/>
      <c r="R16" s="205"/>
      <c r="S16" s="205"/>
      <c r="T16" s="197"/>
      <c r="U16" s="197"/>
      <c r="V16" s="197"/>
      <c r="W16" s="197"/>
      <c r="X16" s="197"/>
      <c r="Y16" s="197"/>
    </row>
    <row r="17" spans="2:25" ht="32.1" customHeight="1">
      <c r="B17" s="533" t="s">
        <v>135</v>
      </c>
      <c r="C17" s="534"/>
      <c r="D17" s="535">
        <f>V38-L38</f>
        <v>95718.51</v>
      </c>
      <c r="E17" s="536"/>
      <c r="F17" s="357">
        <f>D17/D13</f>
        <v>0.72433139055327611</v>
      </c>
      <c r="G17" s="213"/>
      <c r="H17" s="537" t="s">
        <v>136</v>
      </c>
      <c r="I17" s="537"/>
      <c r="J17" s="7"/>
      <c r="K17" s="204"/>
      <c r="L17" s="204"/>
      <c r="M17" s="199"/>
      <c r="N17" s="205"/>
      <c r="O17" s="205"/>
      <c r="P17" s="206"/>
      <c r="Q17" s="205"/>
      <c r="R17" s="205"/>
      <c r="S17" s="205"/>
      <c r="T17" s="197"/>
      <c r="U17" s="197"/>
      <c r="V17" s="197"/>
      <c r="W17" s="197"/>
      <c r="X17" s="197"/>
      <c r="Y17" s="197"/>
    </row>
    <row r="18" spans="2:25" ht="32.1" customHeight="1">
      <c r="B18" s="413" t="s">
        <v>137</v>
      </c>
      <c r="C18" s="455"/>
      <c r="D18" s="538">
        <f>V38-L38</f>
        <v>95718.51</v>
      </c>
      <c r="E18" s="539"/>
      <c r="F18" s="540" t="s">
        <v>138</v>
      </c>
      <c r="G18" s="586" t="s">
        <v>189</v>
      </c>
      <c r="H18" s="587"/>
      <c r="I18" s="359">
        <f>X38</f>
        <v>297</v>
      </c>
      <c r="J18" s="7"/>
      <c r="K18" s="204"/>
      <c r="L18" s="204"/>
      <c r="M18" s="199"/>
      <c r="N18" s="205"/>
      <c r="O18" s="205"/>
      <c r="P18" s="205"/>
      <c r="Q18" s="205"/>
      <c r="R18" s="205"/>
      <c r="S18" s="205"/>
      <c r="T18" s="197"/>
      <c r="U18" s="197"/>
      <c r="V18" s="197"/>
      <c r="W18" s="197"/>
      <c r="X18" s="197"/>
      <c r="Y18" s="197"/>
    </row>
    <row r="19" spans="2:25" ht="32.1" customHeight="1">
      <c r="B19" s="456"/>
      <c r="C19" s="457"/>
      <c r="D19" s="582">
        <f>D18/400</f>
        <v>239.29627499999998</v>
      </c>
      <c r="E19" s="583"/>
      <c r="F19" s="541"/>
      <c r="G19" s="588" t="s">
        <v>139</v>
      </c>
      <c r="H19" s="589"/>
      <c r="I19" s="361">
        <f>Y38</f>
        <v>268</v>
      </c>
      <c r="J19" s="7"/>
      <c r="K19" s="204"/>
      <c r="L19" s="204"/>
      <c r="M19" s="199"/>
      <c r="N19" s="205"/>
      <c r="O19" s="205"/>
      <c r="P19" s="205"/>
      <c r="Q19" s="205"/>
      <c r="R19" s="205"/>
      <c r="S19" s="205"/>
      <c r="T19" s="197"/>
      <c r="U19" s="197"/>
      <c r="V19" s="197"/>
      <c r="W19" s="197"/>
      <c r="X19" s="197"/>
      <c r="Y19" s="197"/>
    </row>
    <row r="20" spans="2:25" ht="32.1" customHeight="1">
      <c r="B20" s="458"/>
      <c r="C20" s="459"/>
      <c r="D20" s="584"/>
      <c r="E20" s="585"/>
      <c r="F20" s="542"/>
      <c r="G20" s="590" t="s">
        <v>140</v>
      </c>
      <c r="H20" s="591"/>
      <c r="I20" s="363">
        <f>I18+I19</f>
        <v>565</v>
      </c>
      <c r="J20" s="7"/>
      <c r="K20" s="204"/>
      <c r="L20" s="204"/>
      <c r="M20" s="199"/>
      <c r="N20" s="205"/>
      <c r="O20" s="205"/>
      <c r="P20" s="205"/>
      <c r="Q20" s="205"/>
      <c r="R20" s="205"/>
      <c r="S20" s="205"/>
      <c r="T20" s="197"/>
      <c r="U20" s="197"/>
      <c r="V20" s="197"/>
      <c r="W20" s="197"/>
      <c r="X20" s="197"/>
      <c r="Y20" s="197"/>
    </row>
    <row r="21" spans="2:25" ht="52.5" customHeight="1">
      <c r="B21" s="423" t="s">
        <v>141</v>
      </c>
      <c r="C21" s="526"/>
      <c r="D21" s="527">
        <v>3539.72</v>
      </c>
      <c r="E21" s="528"/>
      <c r="F21" s="214">
        <f>D21/D6</f>
        <v>0.11878294893607025</v>
      </c>
      <c r="G21" s="529" t="s">
        <v>184</v>
      </c>
      <c r="H21" s="530"/>
      <c r="I21" s="530"/>
      <c r="J21" s="7"/>
      <c r="K21" s="204"/>
      <c r="L21" s="204"/>
      <c r="M21" s="199"/>
      <c r="N21" s="205"/>
      <c r="O21" s="205"/>
      <c r="P21" s="205"/>
      <c r="Q21" s="205"/>
      <c r="R21" s="205"/>
      <c r="S21" s="205"/>
      <c r="T21" s="197"/>
      <c r="U21" s="197"/>
      <c r="V21" s="197"/>
      <c r="W21" s="197"/>
      <c r="X21" s="197"/>
      <c r="Y21" s="197"/>
    </row>
    <row r="22" spans="2:25" ht="32.1" customHeight="1" thickBot="1">
      <c r="B22" s="549" t="s">
        <v>142</v>
      </c>
      <c r="C22" s="550"/>
      <c r="D22" s="594">
        <f>D38+Q38+R38+S38</f>
        <v>4748.87</v>
      </c>
      <c r="E22" s="595"/>
      <c r="F22" s="595"/>
      <c r="G22" s="595"/>
      <c r="H22" s="595"/>
      <c r="I22" s="595"/>
      <c r="J22" s="7"/>
      <c r="K22" s="215"/>
      <c r="L22" s="215"/>
      <c r="M22" s="216"/>
      <c r="N22" s="217"/>
      <c r="O22" s="217"/>
      <c r="P22" s="217"/>
      <c r="Q22" s="217"/>
      <c r="R22" s="217"/>
      <c r="S22" s="217"/>
      <c r="T22" s="218"/>
      <c r="U22" s="218"/>
      <c r="V22" s="218"/>
      <c r="W22" s="218"/>
      <c r="X22" s="218"/>
      <c r="Y22" s="218"/>
    </row>
    <row r="23" spans="2:25" ht="35.1" customHeight="1" thickTop="1">
      <c r="B23" s="5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2:25" ht="35.1" customHeight="1" thickBot="1">
      <c r="B24" s="75" t="s">
        <v>143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2:25" ht="32.1" customHeight="1">
      <c r="B25" s="553" t="s">
        <v>144</v>
      </c>
      <c r="C25" s="556" t="s">
        <v>145</v>
      </c>
      <c r="D25" s="557"/>
      <c r="E25" s="557"/>
      <c r="F25" s="557"/>
      <c r="G25" s="557"/>
      <c r="H25" s="557"/>
      <c r="I25" s="557"/>
      <c r="J25" s="557"/>
      <c r="K25" s="557"/>
      <c r="L25" s="557"/>
      <c r="M25" s="557"/>
      <c r="N25" s="557"/>
      <c r="O25" s="558"/>
      <c r="P25" s="559" t="s">
        <v>146</v>
      </c>
      <c r="Q25" s="560"/>
      <c r="R25" s="560"/>
      <c r="S25" s="560"/>
      <c r="T25" s="560"/>
      <c r="U25" s="561"/>
      <c r="V25" s="578" t="s">
        <v>147</v>
      </c>
      <c r="W25" s="579"/>
      <c r="X25" s="562" t="s">
        <v>63</v>
      </c>
      <c r="Y25" s="563"/>
    </row>
    <row r="26" spans="2:25" ht="32.1" customHeight="1">
      <c r="B26" s="554"/>
      <c r="C26" s="566" t="s">
        <v>149</v>
      </c>
      <c r="D26" s="567"/>
      <c r="E26" s="567"/>
      <c r="F26" s="567"/>
      <c r="G26" s="567"/>
      <c r="H26" s="567"/>
      <c r="I26" s="568" t="s">
        <v>150</v>
      </c>
      <c r="J26" s="568"/>
      <c r="K26" s="568"/>
      <c r="L26" s="568"/>
      <c r="M26" s="569" t="s">
        <v>151</v>
      </c>
      <c r="N26" s="571" t="s">
        <v>152</v>
      </c>
      <c r="O26" s="572"/>
      <c r="P26" s="573" t="s">
        <v>153</v>
      </c>
      <c r="Q26" s="574"/>
      <c r="R26" s="575"/>
      <c r="S26" s="592" t="s">
        <v>190</v>
      </c>
      <c r="T26" s="576" t="s">
        <v>154</v>
      </c>
      <c r="U26" s="577"/>
      <c r="V26" s="580"/>
      <c r="W26" s="581"/>
      <c r="X26" s="564"/>
      <c r="Y26" s="565"/>
    </row>
    <row r="27" spans="2:25" ht="51" customHeight="1" thickBot="1">
      <c r="B27" s="555"/>
      <c r="C27" s="141" t="s">
        <v>125</v>
      </c>
      <c r="D27" s="219" t="s">
        <v>155</v>
      </c>
      <c r="E27" s="219" t="s">
        <v>191</v>
      </c>
      <c r="F27" s="23" t="s">
        <v>157</v>
      </c>
      <c r="G27" s="22" t="s">
        <v>158</v>
      </c>
      <c r="H27" s="220" t="s">
        <v>159</v>
      </c>
      <c r="I27" s="221" t="s">
        <v>54</v>
      </c>
      <c r="J27" s="221" t="s">
        <v>161</v>
      </c>
      <c r="K27" s="221" t="s">
        <v>162</v>
      </c>
      <c r="L27" s="222" t="s">
        <v>159</v>
      </c>
      <c r="M27" s="570"/>
      <c r="N27" s="223" t="s">
        <v>4</v>
      </c>
      <c r="O27" s="224" t="s">
        <v>5</v>
      </c>
      <c r="P27" s="225" t="s">
        <v>165</v>
      </c>
      <c r="Q27" s="226" t="s">
        <v>166</v>
      </c>
      <c r="R27" s="226" t="s">
        <v>114</v>
      </c>
      <c r="S27" s="593"/>
      <c r="T27" s="375" t="s">
        <v>4</v>
      </c>
      <c r="U27" s="228" t="s">
        <v>5</v>
      </c>
      <c r="V27" s="229" t="s">
        <v>4</v>
      </c>
      <c r="W27" s="230" t="s">
        <v>5</v>
      </c>
      <c r="X27" s="368" t="s">
        <v>188</v>
      </c>
      <c r="Y27" s="232" t="s">
        <v>98</v>
      </c>
    </row>
    <row r="28" spans="2:25" ht="32.1" customHeight="1">
      <c r="B28" s="233" t="s">
        <v>176</v>
      </c>
      <c r="C28" s="234">
        <v>14719.95</v>
      </c>
      <c r="D28" s="235">
        <v>103.87</v>
      </c>
      <c r="E28" s="235">
        <v>11.79</v>
      </c>
      <c r="F28" s="236">
        <v>100.91</v>
      </c>
      <c r="G28" s="237">
        <v>681.3</v>
      </c>
      <c r="H28" s="238">
        <f t="shared" ref="H28:H36" si="1">SUM(C28:G28)</f>
        <v>15617.820000000002</v>
      </c>
      <c r="I28" s="239">
        <v>1738.54</v>
      </c>
      <c r="J28" s="239">
        <v>2872.07</v>
      </c>
      <c r="K28" s="239">
        <v>0</v>
      </c>
      <c r="L28" s="240">
        <f>SUM(I28:K28)</f>
        <v>4610.6100000000006</v>
      </c>
      <c r="M28" s="241">
        <v>2141.86</v>
      </c>
      <c r="N28" s="242">
        <f>M28+L28+H28</f>
        <v>22370.29</v>
      </c>
      <c r="O28" s="243">
        <f>N28*0.3025</f>
        <v>6767.0127250000005</v>
      </c>
      <c r="P28" s="244">
        <v>0</v>
      </c>
      <c r="Q28" s="245">
        <v>0</v>
      </c>
      <c r="R28" s="245">
        <v>0</v>
      </c>
      <c r="S28" s="370">
        <v>0</v>
      </c>
      <c r="T28" s="376">
        <f t="shared" ref="T28:T37" si="2">SUM(P28:S28)</f>
        <v>0</v>
      </c>
      <c r="U28" s="247">
        <f>T28*0.3025</f>
        <v>0</v>
      </c>
      <c r="V28" s="248">
        <f>T28+N28</f>
        <v>22370.29</v>
      </c>
      <c r="W28" s="249">
        <f t="shared" ref="W28:W31" si="3">U28+O28</f>
        <v>6767.0127250000005</v>
      </c>
      <c r="X28" s="250">
        <v>3</v>
      </c>
      <c r="Y28" s="251">
        <v>35</v>
      </c>
    </row>
    <row r="29" spans="2:25" ht="32.1" customHeight="1">
      <c r="B29" s="252" t="s">
        <v>175</v>
      </c>
      <c r="C29" s="253">
        <v>0</v>
      </c>
      <c r="D29" s="254">
        <v>3606.51</v>
      </c>
      <c r="E29" s="254">
        <v>3.55</v>
      </c>
      <c r="F29" s="255">
        <v>147.1</v>
      </c>
      <c r="G29" s="256">
        <v>1458.76</v>
      </c>
      <c r="H29" s="257">
        <f t="shared" si="1"/>
        <v>5215.92</v>
      </c>
      <c r="I29" s="258">
        <v>0</v>
      </c>
      <c r="J29" s="258">
        <v>0</v>
      </c>
      <c r="K29" s="258">
        <v>0</v>
      </c>
      <c r="L29" s="259">
        <f>SUM(I29:K29)</f>
        <v>0</v>
      </c>
      <c r="M29" s="260">
        <v>30.87</v>
      </c>
      <c r="N29" s="261">
        <f>M29+L29+H29</f>
        <v>5246.79</v>
      </c>
      <c r="O29" s="262">
        <f>N29*0.3025</f>
        <v>1587.1539749999999</v>
      </c>
      <c r="P29" s="263">
        <v>220.7</v>
      </c>
      <c r="Q29" s="264">
        <v>351.51</v>
      </c>
      <c r="R29" s="264">
        <v>21.69</v>
      </c>
      <c r="S29" s="371">
        <v>0</v>
      </c>
      <c r="T29" s="377">
        <f t="shared" si="2"/>
        <v>593.90000000000009</v>
      </c>
      <c r="U29" s="247">
        <f>T29*0.3025</f>
        <v>179.65475000000004</v>
      </c>
      <c r="V29" s="248">
        <f>T29+N29</f>
        <v>5840.6900000000005</v>
      </c>
      <c r="W29" s="249">
        <f t="shared" si="3"/>
        <v>1766.8087249999999</v>
      </c>
      <c r="X29" s="266" t="s">
        <v>99</v>
      </c>
      <c r="Y29" s="267" t="s">
        <v>99</v>
      </c>
    </row>
    <row r="30" spans="2:25" ht="32.1" customHeight="1" thickBot="1">
      <c r="B30" s="268" t="s">
        <v>24</v>
      </c>
      <c r="C30" s="269">
        <f>C28+C29</f>
        <v>14719.95</v>
      </c>
      <c r="D30" s="270">
        <f t="shared" ref="D30:G30" si="4">D28+D29</f>
        <v>3710.38</v>
      </c>
      <c r="E30" s="270">
        <f t="shared" si="4"/>
        <v>15.34</v>
      </c>
      <c r="F30" s="270">
        <f t="shared" si="4"/>
        <v>248.01</v>
      </c>
      <c r="G30" s="270">
        <f t="shared" si="4"/>
        <v>2140.06</v>
      </c>
      <c r="H30" s="271">
        <f t="shared" si="1"/>
        <v>20833.740000000002</v>
      </c>
      <c r="I30" s="272">
        <f>SUM(I28:I29)</f>
        <v>1738.54</v>
      </c>
      <c r="J30" s="272">
        <f t="shared" ref="J30:K30" si="5">SUM(J28:J29)</f>
        <v>2872.07</v>
      </c>
      <c r="K30" s="272">
        <f t="shared" si="5"/>
        <v>0</v>
      </c>
      <c r="L30" s="273">
        <f>SUM(I30:K30)</f>
        <v>4610.6100000000006</v>
      </c>
      <c r="M30" s="274">
        <f>SUM(M28:M29)</f>
        <v>2172.73</v>
      </c>
      <c r="N30" s="275">
        <f>H30+L30+M30</f>
        <v>27617.08</v>
      </c>
      <c r="O30" s="276">
        <f>N30*0.3025</f>
        <v>8354.1666999999998</v>
      </c>
      <c r="P30" s="277">
        <f>SUM(P28:P29)</f>
        <v>220.7</v>
      </c>
      <c r="Q30" s="277">
        <f t="shared" ref="Q30:R30" si="6">SUM(Q28:Q29)</f>
        <v>351.51</v>
      </c>
      <c r="R30" s="277">
        <f t="shared" si="6"/>
        <v>21.69</v>
      </c>
      <c r="S30" s="382">
        <f>SUM(S28:S29)</f>
        <v>0</v>
      </c>
      <c r="T30" s="378">
        <f t="shared" si="2"/>
        <v>593.90000000000009</v>
      </c>
      <c r="U30" s="279">
        <f>T30*0.3025</f>
        <v>179.65475000000004</v>
      </c>
      <c r="V30" s="280">
        <f>T30+N30</f>
        <v>28210.980000000003</v>
      </c>
      <c r="W30" s="281">
        <f t="shared" si="3"/>
        <v>8533.8214499999995</v>
      </c>
      <c r="X30" s="282">
        <f>SUM(X28:X29)</f>
        <v>3</v>
      </c>
      <c r="Y30" s="283">
        <f>SUM(Y28:Y29)</f>
        <v>35</v>
      </c>
    </row>
    <row r="31" spans="2:25" ht="32.1" customHeight="1">
      <c r="B31" s="284" t="s">
        <v>177</v>
      </c>
      <c r="C31" s="285">
        <v>13465.27</v>
      </c>
      <c r="D31" s="286">
        <v>114.26</v>
      </c>
      <c r="E31" s="286">
        <v>11.79</v>
      </c>
      <c r="F31" s="287">
        <v>108.31</v>
      </c>
      <c r="G31" s="288">
        <v>717.26</v>
      </c>
      <c r="H31" s="289">
        <f>SUM(C31:G31)</f>
        <v>14416.890000000001</v>
      </c>
      <c r="I31" s="290">
        <v>1617.99</v>
      </c>
      <c r="J31" s="290">
        <v>4723.49</v>
      </c>
      <c r="K31" s="290">
        <v>0</v>
      </c>
      <c r="L31" s="291">
        <f>SUM(I31:K31)</f>
        <v>6341.48</v>
      </c>
      <c r="M31" s="292">
        <v>0</v>
      </c>
      <c r="N31" s="293">
        <f>H31+L31+M31</f>
        <v>20758.370000000003</v>
      </c>
      <c r="O31" s="294">
        <f>N31*0.3025</f>
        <v>6279.4069250000002</v>
      </c>
      <c r="P31" s="295">
        <v>0</v>
      </c>
      <c r="Q31" s="296">
        <v>0</v>
      </c>
      <c r="R31" s="296">
        <v>0</v>
      </c>
      <c r="S31" s="372">
        <v>147.09</v>
      </c>
      <c r="T31" s="379">
        <f t="shared" si="2"/>
        <v>147.09</v>
      </c>
      <c r="U31" s="298">
        <f>T31*0.3025</f>
        <v>44.494725000000003</v>
      </c>
      <c r="V31" s="299">
        <f>T31+N31</f>
        <v>20905.460000000003</v>
      </c>
      <c r="W31" s="300">
        <f t="shared" si="3"/>
        <v>6323.9016499999998</v>
      </c>
      <c r="X31" s="301">
        <v>51</v>
      </c>
      <c r="Y31" s="302">
        <v>36</v>
      </c>
    </row>
    <row r="32" spans="2:25" ht="32.1" customHeight="1">
      <c r="B32" s="303" t="s">
        <v>178</v>
      </c>
      <c r="C32" s="304">
        <v>13477.66</v>
      </c>
      <c r="D32" s="305">
        <v>104.3</v>
      </c>
      <c r="E32" s="305">
        <v>11.79</v>
      </c>
      <c r="F32" s="306">
        <v>108.31</v>
      </c>
      <c r="G32" s="307">
        <v>686.48</v>
      </c>
      <c r="H32" s="308">
        <f t="shared" si="1"/>
        <v>14388.539999999999</v>
      </c>
      <c r="I32" s="309">
        <v>1645.71</v>
      </c>
      <c r="J32" s="309">
        <v>4723.49</v>
      </c>
      <c r="K32" s="309">
        <v>0</v>
      </c>
      <c r="L32" s="310">
        <f>SUM(I32:K32)</f>
        <v>6369.2</v>
      </c>
      <c r="M32" s="311">
        <v>0</v>
      </c>
      <c r="N32" s="261">
        <f>H32+L32+M32</f>
        <v>20757.739999999998</v>
      </c>
      <c r="O32" s="262">
        <f>N32*0.3025</f>
        <v>6279.2163499999988</v>
      </c>
      <c r="P32" s="312">
        <v>0</v>
      </c>
      <c r="Q32" s="313">
        <v>0</v>
      </c>
      <c r="R32" s="313">
        <v>0</v>
      </c>
      <c r="S32" s="373">
        <v>0</v>
      </c>
      <c r="T32" s="380">
        <f t="shared" si="2"/>
        <v>0</v>
      </c>
      <c r="U32" s="315">
        <f>T32*0.3025</f>
        <v>0</v>
      </c>
      <c r="V32" s="316">
        <f t="shared" ref="V32:W38" si="7">N32+T32</f>
        <v>20757.739999999998</v>
      </c>
      <c r="W32" s="317">
        <f t="shared" si="7"/>
        <v>6279.2163499999988</v>
      </c>
      <c r="X32" s="318" t="s">
        <v>99</v>
      </c>
      <c r="Y32" s="319">
        <v>38</v>
      </c>
    </row>
    <row r="33" spans="2:25" ht="32.1" customHeight="1">
      <c r="B33" s="303" t="s">
        <v>169</v>
      </c>
      <c r="C33" s="304">
        <v>13477.66</v>
      </c>
      <c r="D33" s="305">
        <v>104.3</v>
      </c>
      <c r="E33" s="305">
        <v>11.79</v>
      </c>
      <c r="F33" s="306">
        <v>108.31</v>
      </c>
      <c r="G33" s="307">
        <v>686.48</v>
      </c>
      <c r="H33" s="308">
        <f t="shared" si="1"/>
        <v>14388.539999999999</v>
      </c>
      <c r="I33" s="309">
        <v>1645.71</v>
      </c>
      <c r="J33" s="309">
        <v>4723.49</v>
      </c>
      <c r="K33" s="309">
        <v>0</v>
      </c>
      <c r="L33" s="310">
        <f t="shared" ref="L33:L37" si="8">SUM(I33:K33)</f>
        <v>6369.2</v>
      </c>
      <c r="M33" s="311">
        <v>0</v>
      </c>
      <c r="N33" s="261">
        <f t="shared" ref="N33:N36" si="9">H33+L33+M33</f>
        <v>20757.739999999998</v>
      </c>
      <c r="O33" s="262">
        <f t="shared" ref="O33:O38" si="10">N33*0.3025</f>
        <v>6279.2163499999988</v>
      </c>
      <c r="P33" s="312">
        <v>0</v>
      </c>
      <c r="Q33" s="313">
        <v>0</v>
      </c>
      <c r="R33" s="313">
        <v>0</v>
      </c>
      <c r="S33" s="373">
        <v>0</v>
      </c>
      <c r="T33" s="380">
        <f t="shared" si="2"/>
        <v>0</v>
      </c>
      <c r="U33" s="315">
        <f t="shared" ref="U33:U36" si="11">T33*0.3025</f>
        <v>0</v>
      </c>
      <c r="V33" s="316">
        <f t="shared" si="7"/>
        <v>20757.739999999998</v>
      </c>
      <c r="W33" s="317">
        <f t="shared" si="7"/>
        <v>6279.2163499999988</v>
      </c>
      <c r="X33" s="318" t="s">
        <v>99</v>
      </c>
      <c r="Y33" s="319">
        <v>38</v>
      </c>
    </row>
    <row r="34" spans="2:25" ht="32.1" customHeight="1">
      <c r="B34" s="303" t="s">
        <v>179</v>
      </c>
      <c r="C34" s="304">
        <v>13485.93</v>
      </c>
      <c r="D34" s="305">
        <v>97.67</v>
      </c>
      <c r="E34" s="305">
        <v>11.79</v>
      </c>
      <c r="F34" s="306">
        <v>108.31</v>
      </c>
      <c r="G34" s="307">
        <v>684.84</v>
      </c>
      <c r="H34" s="308">
        <f t="shared" si="1"/>
        <v>14388.54</v>
      </c>
      <c r="I34" s="309">
        <v>1645.71</v>
      </c>
      <c r="J34" s="309">
        <v>4723.49</v>
      </c>
      <c r="K34" s="309">
        <v>0</v>
      </c>
      <c r="L34" s="240">
        <f t="shared" si="8"/>
        <v>6369.2</v>
      </c>
      <c r="M34" s="241">
        <v>0</v>
      </c>
      <c r="N34" s="261">
        <f t="shared" si="9"/>
        <v>20757.740000000002</v>
      </c>
      <c r="O34" s="262">
        <f t="shared" si="10"/>
        <v>6279.2163500000006</v>
      </c>
      <c r="P34" s="312">
        <v>0</v>
      </c>
      <c r="Q34" s="313">
        <v>0</v>
      </c>
      <c r="R34" s="313">
        <v>0</v>
      </c>
      <c r="S34" s="373">
        <v>0</v>
      </c>
      <c r="T34" s="380">
        <f t="shared" si="2"/>
        <v>0</v>
      </c>
      <c r="U34" s="315">
        <f t="shared" si="11"/>
        <v>0</v>
      </c>
      <c r="V34" s="316">
        <f t="shared" si="7"/>
        <v>20757.740000000002</v>
      </c>
      <c r="W34" s="317">
        <f t="shared" si="7"/>
        <v>6279.2163500000006</v>
      </c>
      <c r="X34" s="250" t="s">
        <v>99</v>
      </c>
      <c r="Y34" s="251">
        <v>38</v>
      </c>
    </row>
    <row r="35" spans="2:25" ht="32.1" customHeight="1">
      <c r="B35" s="303" t="s">
        <v>180</v>
      </c>
      <c r="C35" s="304">
        <v>13485.93</v>
      </c>
      <c r="D35" s="305">
        <v>97.67</v>
      </c>
      <c r="E35" s="305">
        <v>11.79</v>
      </c>
      <c r="F35" s="306">
        <v>108.31</v>
      </c>
      <c r="G35" s="307">
        <v>684.84</v>
      </c>
      <c r="H35" s="308">
        <f t="shared" si="1"/>
        <v>14388.54</v>
      </c>
      <c r="I35" s="309">
        <v>1645.71</v>
      </c>
      <c r="J35" s="309">
        <v>4723.49</v>
      </c>
      <c r="K35" s="309">
        <v>0</v>
      </c>
      <c r="L35" s="240">
        <f t="shared" si="8"/>
        <v>6369.2</v>
      </c>
      <c r="M35" s="241">
        <v>0</v>
      </c>
      <c r="N35" s="261">
        <f t="shared" si="9"/>
        <v>20757.740000000002</v>
      </c>
      <c r="O35" s="262">
        <f t="shared" si="10"/>
        <v>6279.2163500000006</v>
      </c>
      <c r="P35" s="312">
        <v>0</v>
      </c>
      <c r="Q35" s="313">
        <v>0</v>
      </c>
      <c r="R35" s="313">
        <v>0</v>
      </c>
      <c r="S35" s="373">
        <v>0</v>
      </c>
      <c r="T35" s="380">
        <f t="shared" si="2"/>
        <v>0</v>
      </c>
      <c r="U35" s="315">
        <f t="shared" si="11"/>
        <v>0</v>
      </c>
      <c r="V35" s="316">
        <f t="shared" si="7"/>
        <v>20757.740000000002</v>
      </c>
      <c r="W35" s="317">
        <f t="shared" si="7"/>
        <v>6279.2163500000006</v>
      </c>
      <c r="X35" s="250" t="s">
        <v>99</v>
      </c>
      <c r="Y35" s="251">
        <v>38</v>
      </c>
    </row>
    <row r="36" spans="2:25" ht="32.1" customHeight="1">
      <c r="B36" s="303" t="s">
        <v>96</v>
      </c>
      <c r="C36" s="234">
        <v>0</v>
      </c>
      <c r="D36" s="235">
        <v>0</v>
      </c>
      <c r="E36" s="235">
        <v>0</v>
      </c>
      <c r="F36" s="236">
        <v>0</v>
      </c>
      <c r="G36" s="237">
        <v>0</v>
      </c>
      <c r="H36" s="308">
        <f t="shared" si="1"/>
        <v>0</v>
      </c>
      <c r="I36" s="239">
        <v>0</v>
      </c>
      <c r="J36" s="239">
        <v>0</v>
      </c>
      <c r="K36" s="239">
        <v>0</v>
      </c>
      <c r="L36" s="240">
        <f t="shared" si="8"/>
        <v>0</v>
      </c>
      <c r="M36" s="241">
        <v>0</v>
      </c>
      <c r="N36" s="261">
        <f t="shared" si="9"/>
        <v>0</v>
      </c>
      <c r="O36" s="262">
        <f t="shared" si="10"/>
        <v>0</v>
      </c>
      <c r="P36" s="320">
        <v>0</v>
      </c>
      <c r="Q36" s="313">
        <v>0</v>
      </c>
      <c r="R36" s="313">
        <v>0</v>
      </c>
      <c r="S36" s="373">
        <v>0</v>
      </c>
      <c r="T36" s="380">
        <f t="shared" si="2"/>
        <v>0</v>
      </c>
      <c r="U36" s="321">
        <f t="shared" si="11"/>
        <v>0</v>
      </c>
      <c r="V36" s="316">
        <f t="shared" si="7"/>
        <v>0</v>
      </c>
      <c r="W36" s="317">
        <f t="shared" si="7"/>
        <v>0</v>
      </c>
      <c r="X36" s="250">
        <v>243</v>
      </c>
      <c r="Y36" s="251">
        <v>45</v>
      </c>
    </row>
    <row r="37" spans="2:25" ht="32.1" customHeight="1" thickBot="1">
      <c r="B37" s="322" t="s">
        <v>25</v>
      </c>
      <c r="C37" s="269">
        <f>SUM(C31:C36)</f>
        <v>67392.45</v>
      </c>
      <c r="D37" s="270">
        <f>SUM(D31:D36)</f>
        <v>518.20000000000005</v>
      </c>
      <c r="E37" s="270">
        <f>SUM(E31:E36)</f>
        <v>58.949999999999996</v>
      </c>
      <c r="F37" s="323">
        <f>SUM(F31:F36)</f>
        <v>541.54999999999995</v>
      </c>
      <c r="G37" s="324">
        <f>SUM(G31:G36)</f>
        <v>3459.9000000000005</v>
      </c>
      <c r="H37" s="325">
        <f>SUM(C37:G37)</f>
        <v>71971.049999999988</v>
      </c>
      <c r="I37" s="326">
        <f>SUM(I31:I36)</f>
        <v>8200.83</v>
      </c>
      <c r="J37" s="326">
        <f>SUM(J31:J36)</f>
        <v>23617.449999999997</v>
      </c>
      <c r="K37" s="326">
        <f>SUM(K31:K36)</f>
        <v>0</v>
      </c>
      <c r="L37" s="327">
        <f t="shared" si="8"/>
        <v>31818.28</v>
      </c>
      <c r="M37" s="328">
        <f>SUM(M31:M36)</f>
        <v>0</v>
      </c>
      <c r="N37" s="329">
        <f>H37+L37+M37</f>
        <v>103789.32999999999</v>
      </c>
      <c r="O37" s="330">
        <f t="shared" si="10"/>
        <v>31396.272324999994</v>
      </c>
      <c r="P37" s="331">
        <f>SUM(P31:P36)</f>
        <v>0</v>
      </c>
      <c r="Q37" s="331">
        <f t="shared" ref="Q37:R37" si="12">SUM(Q31:Q36)</f>
        <v>0</v>
      </c>
      <c r="R37" s="331">
        <f t="shared" si="12"/>
        <v>0</v>
      </c>
      <c r="S37" s="374">
        <f>SUM(S31:S36)</f>
        <v>147.09</v>
      </c>
      <c r="T37" s="381">
        <f t="shared" si="2"/>
        <v>147.09</v>
      </c>
      <c r="U37" s="333">
        <f>T37*0.3025</f>
        <v>44.494725000000003</v>
      </c>
      <c r="V37" s="334">
        <f>N37+T37</f>
        <v>103936.41999999998</v>
      </c>
      <c r="W37" s="335">
        <f t="shared" si="7"/>
        <v>31440.767049999995</v>
      </c>
      <c r="X37" s="336">
        <f>SUM(X31:X36)</f>
        <v>294</v>
      </c>
      <c r="Y37" s="337">
        <f>SUM(Y31:Y36)</f>
        <v>233</v>
      </c>
    </row>
    <row r="38" spans="2:25" ht="32.1" customHeight="1" thickBot="1">
      <c r="B38" s="338" t="s">
        <v>13</v>
      </c>
      <c r="C38" s="339">
        <f>C30+C37</f>
        <v>82112.399999999994</v>
      </c>
      <c r="D38" s="340">
        <f>D30+D37</f>
        <v>4228.58</v>
      </c>
      <c r="E38" s="340">
        <f t="shared" ref="E38:F38" si="13">E30+E37</f>
        <v>74.289999999999992</v>
      </c>
      <c r="F38" s="340">
        <f t="shared" si="13"/>
        <v>789.56</v>
      </c>
      <c r="G38" s="341">
        <f>G30+G37</f>
        <v>5599.9600000000009</v>
      </c>
      <c r="H38" s="342">
        <f>SUM(C38:G38)</f>
        <v>92804.79</v>
      </c>
      <c r="I38" s="343">
        <f>I30+I37</f>
        <v>9939.369999999999</v>
      </c>
      <c r="J38" s="343">
        <f>J30+J37</f>
        <v>26489.519999999997</v>
      </c>
      <c r="K38" s="343">
        <f>K30+K37</f>
        <v>0</v>
      </c>
      <c r="L38" s="344">
        <f>SUM(I38:K38)</f>
        <v>36428.89</v>
      </c>
      <c r="M38" s="345">
        <f>M30+M37</f>
        <v>2172.73</v>
      </c>
      <c r="N38" s="346">
        <f>H38+L38+M38</f>
        <v>131406.41</v>
      </c>
      <c r="O38" s="347">
        <f t="shared" si="10"/>
        <v>39750.439025</v>
      </c>
      <c r="P38" s="331">
        <f>P30+P37</f>
        <v>220.7</v>
      </c>
      <c r="Q38" s="348">
        <f>Q30+Q37</f>
        <v>351.51</v>
      </c>
      <c r="R38" s="348">
        <f>R30+R37</f>
        <v>21.69</v>
      </c>
      <c r="S38" s="348">
        <f>S30+S37</f>
        <v>147.09</v>
      </c>
      <c r="T38" s="381">
        <f>T30+T37</f>
        <v>740.99000000000012</v>
      </c>
      <c r="U38" s="333">
        <f t="shared" ref="U38" si="14">T38*0.3025</f>
        <v>224.14947500000002</v>
      </c>
      <c r="V38" s="349">
        <f t="shared" si="7"/>
        <v>132147.4</v>
      </c>
      <c r="W38" s="350">
        <f t="shared" si="7"/>
        <v>39974.588499999998</v>
      </c>
      <c r="X38" s="351">
        <f>X30+X37</f>
        <v>297</v>
      </c>
      <c r="Y38" s="352">
        <f>Y30+Y37</f>
        <v>268</v>
      </c>
    </row>
    <row r="39" spans="2:25" ht="5.0999999999999996" customHeight="1">
      <c r="O39" s="51"/>
      <c r="P39" s="55"/>
    </row>
    <row r="40" spans="2:25" ht="20.100000000000001" customHeight="1">
      <c r="B40" s="353" t="s">
        <v>171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2:25" ht="9.9499999999999993" customHeight="1"/>
    <row r="42" spans="2:25" ht="30" customHeight="1">
      <c r="I42" s="8"/>
      <c r="J42" s="8"/>
      <c r="N42" s="8"/>
      <c r="O42" s="354"/>
      <c r="P42" s="8"/>
    </row>
    <row r="43" spans="2:25" ht="30" customHeight="1"/>
    <row r="44" spans="2:25" ht="30" customHeight="1">
      <c r="H44" s="51"/>
    </row>
    <row r="45" spans="2:25" ht="30" customHeight="1"/>
    <row r="46" spans="2:25" ht="30" customHeight="1"/>
  </sheetData>
  <mergeCells count="61">
    <mergeCell ref="B9:C9"/>
    <mergeCell ref="D9:F9"/>
    <mergeCell ref="G9:H9"/>
    <mergeCell ref="B3:C3"/>
    <mergeCell ref="B4:C4"/>
    <mergeCell ref="B5:C5"/>
    <mergeCell ref="D5:F5"/>
    <mergeCell ref="B6:C6"/>
    <mergeCell ref="D6:F6"/>
    <mergeCell ref="G6:H6"/>
    <mergeCell ref="B7:C7"/>
    <mergeCell ref="D7:F7"/>
    <mergeCell ref="B8:C8"/>
    <mergeCell ref="D8:F8"/>
    <mergeCell ref="B10:C10"/>
    <mergeCell ref="D10:F10"/>
    <mergeCell ref="G10:H10"/>
    <mergeCell ref="B11:B13"/>
    <mergeCell ref="D11:F11"/>
    <mergeCell ref="G11:H11"/>
    <mergeCell ref="D12:F12"/>
    <mergeCell ref="G12:H12"/>
    <mergeCell ref="D13:F13"/>
    <mergeCell ref="G13:H13"/>
    <mergeCell ref="B14:C14"/>
    <mergeCell ref="D14:F14"/>
    <mergeCell ref="G14:H14"/>
    <mergeCell ref="B15:C15"/>
    <mergeCell ref="D15:F15"/>
    <mergeCell ref="G15:H15"/>
    <mergeCell ref="B16:C16"/>
    <mergeCell ref="D16:F16"/>
    <mergeCell ref="G16:H16"/>
    <mergeCell ref="B17:C17"/>
    <mergeCell ref="D17:E17"/>
    <mergeCell ref="H17:I17"/>
    <mergeCell ref="B25:B27"/>
    <mergeCell ref="C25:O25"/>
    <mergeCell ref="B18:C20"/>
    <mergeCell ref="D18:E18"/>
    <mergeCell ref="F18:F20"/>
    <mergeCell ref="G18:H18"/>
    <mergeCell ref="D19:E19"/>
    <mergeCell ref="G19:H19"/>
    <mergeCell ref="D20:E20"/>
    <mergeCell ref="G20:H20"/>
    <mergeCell ref="B21:C21"/>
    <mergeCell ref="D21:E21"/>
    <mergeCell ref="G21:I21"/>
    <mergeCell ref="B22:C22"/>
    <mergeCell ref="D22:I22"/>
    <mergeCell ref="P25:U25"/>
    <mergeCell ref="V25:W26"/>
    <mergeCell ref="X25:Y26"/>
    <mergeCell ref="C26:H26"/>
    <mergeCell ref="I26:L26"/>
    <mergeCell ref="M26:M27"/>
    <mergeCell ref="N26:O26"/>
    <mergeCell ref="P26:R26"/>
    <mergeCell ref="S26:S27"/>
    <mergeCell ref="T26:U26"/>
  </mergeCells>
  <phoneticPr fontId="2" type="noConversion"/>
  <pageMargins left="0.7" right="0.7" top="0.75" bottom="0.75" header="0.3" footer="0.3"/>
  <pageSetup paperSize="8" scale="6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B1:AA46"/>
  <sheetViews>
    <sheetView showGridLines="0" topLeftCell="B1" zoomScale="85" zoomScaleNormal="85" workbookViewId="0">
      <selection activeCell="G6" sqref="G6:H6"/>
    </sheetView>
  </sheetViews>
  <sheetFormatPr defaultRowHeight="16.5"/>
  <cols>
    <col min="1" max="1" width="3.625" customWidth="1"/>
    <col min="2" max="2" width="15.625" customWidth="1"/>
    <col min="3" max="25" width="11.625" customWidth="1"/>
    <col min="26" max="26" width="3.25" customWidth="1"/>
  </cols>
  <sheetData>
    <row r="1" spans="2:27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2:27" ht="35.1" customHeight="1" thickBot="1">
      <c r="B2" s="78" t="s">
        <v>118</v>
      </c>
      <c r="C2" s="6"/>
      <c r="D2" s="6"/>
      <c r="E2" s="6"/>
      <c r="F2" s="6"/>
      <c r="G2" s="6"/>
      <c r="H2" s="6"/>
      <c r="I2" s="6"/>
      <c r="J2" s="1"/>
      <c r="K2" s="78" t="s">
        <v>119</v>
      </c>
      <c r="L2" s="78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183"/>
      <c r="AA2" s="183"/>
    </row>
    <row r="3" spans="2:27" ht="32.1" customHeight="1">
      <c r="B3" s="486" t="s">
        <v>120</v>
      </c>
      <c r="C3" s="487"/>
      <c r="D3" s="184" t="s">
        <v>84</v>
      </c>
      <c r="E3" s="185"/>
      <c r="F3" s="185"/>
      <c r="G3" s="185"/>
      <c r="H3" s="185"/>
      <c r="I3" s="185"/>
      <c r="J3" s="7"/>
      <c r="K3" s="186"/>
      <c r="L3" s="186"/>
      <c r="M3" s="186"/>
      <c r="N3" s="187"/>
      <c r="O3" s="188"/>
      <c r="P3" s="187"/>
      <c r="Q3" s="188"/>
      <c r="R3" s="188"/>
      <c r="S3" s="188"/>
      <c r="T3" s="189"/>
      <c r="U3" s="189"/>
      <c r="V3" s="189"/>
      <c r="W3" s="189"/>
      <c r="X3" s="189"/>
      <c r="Y3" s="189"/>
    </row>
    <row r="4" spans="2:27" ht="32.1" customHeight="1">
      <c r="B4" s="488" t="s">
        <v>121</v>
      </c>
      <c r="C4" s="489"/>
      <c r="D4" s="190" t="s">
        <v>75</v>
      </c>
      <c r="E4" s="191"/>
      <c r="F4" s="192"/>
      <c r="G4" s="193"/>
      <c r="H4" s="193"/>
      <c r="I4" s="193"/>
      <c r="J4" s="7"/>
      <c r="K4" s="194"/>
      <c r="L4" s="194"/>
      <c r="M4" s="194"/>
      <c r="N4" s="195"/>
      <c r="O4" s="196"/>
      <c r="P4" s="195"/>
      <c r="Q4" s="196"/>
      <c r="R4" s="196"/>
      <c r="S4" s="196"/>
      <c r="T4" s="197"/>
      <c r="U4" s="197"/>
      <c r="V4" s="197"/>
      <c r="W4" s="197"/>
      <c r="X4" s="197"/>
      <c r="Y4" s="197"/>
    </row>
    <row r="5" spans="2:27" ht="32.1" customHeight="1">
      <c r="B5" s="488" t="s">
        <v>122</v>
      </c>
      <c r="C5" s="489"/>
      <c r="D5" s="490" t="s">
        <v>187</v>
      </c>
      <c r="E5" s="491"/>
      <c r="F5" s="492"/>
      <c r="G5" s="193"/>
      <c r="H5" s="193"/>
      <c r="I5" s="193"/>
      <c r="J5" s="7"/>
      <c r="K5" s="198"/>
      <c r="L5" s="198"/>
      <c r="M5" s="199"/>
      <c r="N5" s="200"/>
      <c r="O5" s="201"/>
      <c r="P5" s="202"/>
      <c r="Q5" s="201"/>
      <c r="R5" s="201"/>
      <c r="S5" s="201"/>
      <c r="T5" s="197"/>
      <c r="U5" s="197"/>
      <c r="V5" s="197"/>
      <c r="W5" s="197"/>
      <c r="X5" s="197"/>
      <c r="Y5" s="197"/>
    </row>
    <row r="6" spans="2:27" ht="32.1" customHeight="1">
      <c r="B6" s="488" t="s">
        <v>123</v>
      </c>
      <c r="C6" s="489"/>
      <c r="D6" s="493">
        <v>29799.9</v>
      </c>
      <c r="E6" s="494"/>
      <c r="F6" s="495"/>
      <c r="G6" s="496">
        <f>D6*0.3025</f>
        <v>9014.4697500000002</v>
      </c>
      <c r="H6" s="497"/>
      <c r="I6" s="203"/>
      <c r="J6" s="7"/>
      <c r="K6" s="204"/>
      <c r="L6" s="204"/>
      <c r="M6" s="199"/>
      <c r="N6" s="205"/>
      <c r="O6" s="205"/>
      <c r="P6" s="206"/>
      <c r="Q6" s="205"/>
      <c r="R6" s="205"/>
      <c r="S6" s="205"/>
      <c r="T6" s="197"/>
      <c r="U6" s="197"/>
      <c r="V6" s="197"/>
      <c r="W6" s="197"/>
      <c r="X6" s="197"/>
      <c r="Y6" s="197"/>
    </row>
    <row r="7" spans="2:27" ht="32.1" customHeight="1">
      <c r="B7" s="413" t="s">
        <v>124</v>
      </c>
      <c r="C7" s="414"/>
      <c r="D7" s="498" t="s">
        <v>125</v>
      </c>
      <c r="E7" s="499"/>
      <c r="F7" s="499"/>
      <c r="G7" s="384"/>
      <c r="H7" s="207"/>
      <c r="I7" s="208"/>
      <c r="J7" s="7"/>
      <c r="K7" s="204"/>
      <c r="L7" s="204"/>
      <c r="M7" s="199"/>
      <c r="N7" s="205"/>
      <c r="O7" s="205"/>
      <c r="P7" s="206"/>
      <c r="Q7" s="205"/>
      <c r="R7" s="205"/>
      <c r="S7" s="205"/>
      <c r="T7" s="197"/>
      <c r="U7" s="197"/>
      <c r="V7" s="197"/>
      <c r="W7" s="197"/>
      <c r="X7" s="197"/>
      <c r="Y7" s="197"/>
    </row>
    <row r="8" spans="2:27" ht="32.1" hidden="1" customHeight="1">
      <c r="B8" s="413" t="s">
        <v>126</v>
      </c>
      <c r="C8" s="414"/>
      <c r="D8" s="500">
        <v>0</v>
      </c>
      <c r="E8" s="501"/>
      <c r="F8" s="502"/>
      <c r="G8" s="384"/>
      <c r="H8" s="207"/>
      <c r="I8" s="208"/>
      <c r="J8" s="7"/>
      <c r="K8" s="204"/>
      <c r="L8" s="204"/>
      <c r="M8" s="199"/>
      <c r="N8" s="205"/>
      <c r="O8" s="205"/>
      <c r="P8" s="206"/>
      <c r="Q8" s="205"/>
      <c r="R8" s="205"/>
      <c r="S8" s="205"/>
      <c r="T8" s="197"/>
      <c r="U8" s="197"/>
      <c r="V8" s="197"/>
      <c r="W8" s="197"/>
      <c r="X8" s="197"/>
      <c r="Y8" s="197"/>
    </row>
    <row r="9" spans="2:27" ht="32.1" customHeight="1">
      <c r="B9" s="413" t="s">
        <v>185</v>
      </c>
      <c r="C9" s="414"/>
      <c r="D9" s="481" t="s">
        <v>186</v>
      </c>
      <c r="E9" s="482"/>
      <c r="F9" s="483"/>
      <c r="G9" s="484"/>
      <c r="H9" s="485"/>
      <c r="I9" s="208"/>
      <c r="J9" s="7"/>
      <c r="K9" s="204"/>
      <c r="L9" s="204"/>
      <c r="M9" s="199"/>
      <c r="N9" s="205"/>
      <c r="O9" s="205"/>
      <c r="P9" s="206"/>
      <c r="Q9" s="205"/>
      <c r="R9" s="205"/>
      <c r="S9" s="205"/>
      <c r="T9" s="197"/>
      <c r="U9" s="197"/>
      <c r="V9" s="197"/>
      <c r="W9" s="197"/>
      <c r="X9" s="197"/>
      <c r="Y9" s="197"/>
    </row>
    <row r="10" spans="2:27" ht="32.1" customHeight="1">
      <c r="B10" s="503" t="s">
        <v>28</v>
      </c>
      <c r="C10" s="437"/>
      <c r="D10" s="504">
        <v>20832.79</v>
      </c>
      <c r="E10" s="505"/>
      <c r="F10" s="506"/>
      <c r="G10" s="430">
        <f t="shared" ref="G10:G14" si="0">D10*0.3025</f>
        <v>6301.9189750000005</v>
      </c>
      <c r="H10" s="431"/>
      <c r="I10" s="207"/>
      <c r="J10" s="7"/>
      <c r="K10" s="209"/>
      <c r="L10" s="204"/>
      <c r="M10" s="199"/>
      <c r="N10" s="205"/>
      <c r="O10" s="205"/>
      <c r="P10" s="206"/>
      <c r="Q10" s="205"/>
      <c r="R10" s="205"/>
      <c r="S10" s="205"/>
      <c r="T10" s="197"/>
      <c r="U10" s="197"/>
      <c r="V10" s="197"/>
      <c r="W10" s="197"/>
      <c r="X10" s="197"/>
      <c r="Y10" s="197"/>
    </row>
    <row r="11" spans="2:27" ht="32.1" customHeight="1">
      <c r="B11" s="507" t="s">
        <v>7</v>
      </c>
      <c r="C11" s="54" t="s">
        <v>11</v>
      </c>
      <c r="D11" s="509">
        <f>V37</f>
        <v>103893.98</v>
      </c>
      <c r="E11" s="510"/>
      <c r="F11" s="511"/>
      <c r="G11" s="512">
        <f t="shared" si="0"/>
        <v>31427.928949999998</v>
      </c>
      <c r="H11" s="513"/>
      <c r="I11" s="356"/>
      <c r="J11" s="7"/>
      <c r="K11" s="204"/>
      <c r="L11" s="204"/>
      <c r="M11" s="199"/>
      <c r="N11" s="205"/>
      <c r="O11" s="205"/>
      <c r="P11" s="206"/>
      <c r="Q11" s="205"/>
      <c r="R11" s="205"/>
      <c r="S11" s="205"/>
      <c r="T11" s="197"/>
      <c r="U11" s="197"/>
      <c r="V11" s="197"/>
      <c r="W11" s="197"/>
      <c r="X11" s="197"/>
      <c r="Y11" s="197"/>
    </row>
    <row r="12" spans="2:27" ht="32.1" customHeight="1">
      <c r="B12" s="508"/>
      <c r="C12" s="54" t="s">
        <v>12</v>
      </c>
      <c r="D12" s="509">
        <f>V30</f>
        <v>28195.980000000003</v>
      </c>
      <c r="E12" s="510"/>
      <c r="F12" s="511"/>
      <c r="G12" s="512">
        <f t="shared" si="0"/>
        <v>8529.2839500000009</v>
      </c>
      <c r="H12" s="513"/>
      <c r="I12" s="356"/>
      <c r="J12" s="7"/>
      <c r="K12" s="204"/>
      <c r="L12" s="204"/>
      <c r="M12" s="199"/>
      <c r="N12" s="205"/>
      <c r="O12" s="205"/>
      <c r="P12" s="206"/>
      <c r="Q12" s="205"/>
      <c r="R12" s="205"/>
      <c r="S12" s="205"/>
      <c r="T12" s="197"/>
      <c r="U12" s="197"/>
      <c r="V12" s="197"/>
      <c r="W12" s="197"/>
      <c r="X12" s="197"/>
      <c r="Y12" s="197"/>
    </row>
    <row r="13" spans="2:27" ht="32.1" customHeight="1">
      <c r="B13" s="508"/>
      <c r="C13" s="210" t="s">
        <v>13</v>
      </c>
      <c r="D13" s="514">
        <f>SUM(D11:F12)</f>
        <v>132089.96</v>
      </c>
      <c r="E13" s="515"/>
      <c r="F13" s="516"/>
      <c r="G13" s="517">
        <f t="shared" si="0"/>
        <v>39957.212899999999</v>
      </c>
      <c r="H13" s="518"/>
      <c r="I13" s="211"/>
      <c r="J13" s="7"/>
      <c r="K13" s="204"/>
      <c r="L13" s="204"/>
      <c r="M13" s="199"/>
      <c r="N13" s="205"/>
      <c r="O13" s="205"/>
      <c r="P13" s="206"/>
      <c r="Q13" s="205"/>
      <c r="R13" s="205"/>
      <c r="S13" s="205"/>
      <c r="T13" s="197"/>
      <c r="U13" s="197"/>
      <c r="V13" s="197"/>
      <c r="W13" s="197"/>
      <c r="X13" s="197"/>
      <c r="Y13" s="197"/>
    </row>
    <row r="14" spans="2:27" ht="32.1" customHeight="1">
      <c r="B14" s="413" t="s">
        <v>132</v>
      </c>
      <c r="C14" s="414"/>
      <c r="D14" s="509">
        <f>V38-H30-L30-M30-T30-L37</f>
        <v>72075.7</v>
      </c>
      <c r="E14" s="510"/>
      <c r="F14" s="511"/>
      <c r="G14" s="512">
        <f t="shared" si="0"/>
        <v>21802.899249999999</v>
      </c>
      <c r="H14" s="513"/>
      <c r="I14" s="208"/>
      <c r="J14" s="7"/>
      <c r="K14" s="204"/>
      <c r="L14" s="212"/>
      <c r="M14" s="199"/>
      <c r="N14" s="205"/>
      <c r="O14" s="205"/>
      <c r="P14" s="206"/>
      <c r="Q14" s="205"/>
      <c r="R14" s="205"/>
      <c r="S14" s="205"/>
      <c r="T14" s="197"/>
      <c r="U14" s="197"/>
      <c r="V14" s="197"/>
      <c r="W14" s="197"/>
      <c r="X14" s="197"/>
      <c r="Y14" s="197"/>
    </row>
    <row r="15" spans="2:27" ht="32.1" customHeight="1">
      <c r="B15" s="519" t="s">
        <v>30</v>
      </c>
      <c r="C15" s="520"/>
      <c r="D15" s="521">
        <f>D10/D6</f>
        <v>0.69908925868878757</v>
      </c>
      <c r="E15" s="522"/>
      <c r="F15" s="523"/>
      <c r="G15" s="524" t="s">
        <v>70</v>
      </c>
      <c r="H15" s="525"/>
      <c r="I15" s="211"/>
      <c r="J15" s="7"/>
      <c r="K15" s="204"/>
      <c r="L15" s="204"/>
      <c r="M15" s="199"/>
      <c r="N15" s="205"/>
      <c r="O15" s="205"/>
      <c r="P15" s="206"/>
      <c r="Q15" s="205"/>
      <c r="R15" s="205"/>
      <c r="S15" s="205"/>
      <c r="T15" s="197"/>
      <c r="U15" s="197"/>
      <c r="V15" s="197"/>
      <c r="W15" s="197"/>
      <c r="X15" s="197"/>
      <c r="Y15" s="197"/>
    </row>
    <row r="16" spans="2:27" ht="32.1" customHeight="1">
      <c r="B16" s="519" t="s">
        <v>31</v>
      </c>
      <c r="C16" s="520"/>
      <c r="D16" s="531">
        <f>D14/D6</f>
        <v>2.4186557673012326</v>
      </c>
      <c r="E16" s="532"/>
      <c r="F16" s="532"/>
      <c r="G16" s="524" t="s">
        <v>76</v>
      </c>
      <c r="H16" s="525"/>
      <c r="I16" s="211"/>
      <c r="J16" s="7"/>
      <c r="K16" s="204"/>
      <c r="L16" s="204"/>
      <c r="M16" s="199"/>
      <c r="N16" s="205"/>
      <c r="O16" s="205"/>
      <c r="P16" s="206"/>
      <c r="Q16" s="205"/>
      <c r="R16" s="205"/>
      <c r="S16" s="205"/>
      <c r="T16" s="197"/>
      <c r="U16" s="197"/>
      <c r="V16" s="197"/>
      <c r="W16" s="197"/>
      <c r="X16" s="197"/>
      <c r="Y16" s="197"/>
    </row>
    <row r="17" spans="2:25" ht="32.1" customHeight="1">
      <c r="B17" s="533" t="s">
        <v>135</v>
      </c>
      <c r="C17" s="534"/>
      <c r="D17" s="535">
        <f>V38-L38</f>
        <v>95661.069999999992</v>
      </c>
      <c r="E17" s="536"/>
      <c r="F17" s="357">
        <f>D17/D13</f>
        <v>0.72421151463744859</v>
      </c>
      <c r="G17" s="213"/>
      <c r="H17" s="537" t="s">
        <v>136</v>
      </c>
      <c r="I17" s="537"/>
      <c r="J17" s="7"/>
      <c r="K17" s="204"/>
      <c r="L17" s="204"/>
      <c r="M17" s="199"/>
      <c r="N17" s="205"/>
      <c r="O17" s="205"/>
      <c r="P17" s="206"/>
      <c r="Q17" s="205"/>
      <c r="R17" s="205"/>
      <c r="S17" s="205"/>
      <c r="T17" s="197"/>
      <c r="U17" s="197"/>
      <c r="V17" s="197"/>
      <c r="W17" s="197"/>
      <c r="X17" s="197"/>
      <c r="Y17" s="197"/>
    </row>
    <row r="18" spans="2:25" ht="32.1" customHeight="1">
      <c r="B18" s="413" t="s">
        <v>137</v>
      </c>
      <c r="C18" s="455"/>
      <c r="D18" s="538">
        <f>V38-L38</f>
        <v>95661.069999999992</v>
      </c>
      <c r="E18" s="539"/>
      <c r="F18" s="540" t="s">
        <v>138</v>
      </c>
      <c r="G18" s="586" t="s">
        <v>189</v>
      </c>
      <c r="H18" s="587"/>
      <c r="I18" s="359">
        <f>X38</f>
        <v>297</v>
      </c>
      <c r="J18" s="7"/>
      <c r="K18" s="204"/>
      <c r="L18" s="204"/>
      <c r="M18" s="199"/>
      <c r="N18" s="205"/>
      <c r="O18" s="205"/>
      <c r="P18" s="205"/>
      <c r="Q18" s="205"/>
      <c r="R18" s="205"/>
      <c r="S18" s="205"/>
      <c r="T18" s="197"/>
      <c r="U18" s="197"/>
      <c r="V18" s="197"/>
      <c r="W18" s="197"/>
      <c r="X18" s="197"/>
      <c r="Y18" s="197"/>
    </row>
    <row r="19" spans="2:25" ht="32.1" customHeight="1">
      <c r="B19" s="456"/>
      <c r="C19" s="457"/>
      <c r="D19" s="582">
        <f>D18/400</f>
        <v>239.15267499999999</v>
      </c>
      <c r="E19" s="583"/>
      <c r="F19" s="541"/>
      <c r="G19" s="588" t="s">
        <v>139</v>
      </c>
      <c r="H19" s="589"/>
      <c r="I19" s="361">
        <f>Y38</f>
        <v>268</v>
      </c>
      <c r="J19" s="7"/>
      <c r="K19" s="204"/>
      <c r="L19" s="204"/>
      <c r="M19" s="199"/>
      <c r="N19" s="205"/>
      <c r="O19" s="205"/>
      <c r="P19" s="205"/>
      <c r="Q19" s="205"/>
      <c r="R19" s="205"/>
      <c r="S19" s="205"/>
      <c r="T19" s="197"/>
      <c r="U19" s="197"/>
      <c r="V19" s="197"/>
      <c r="W19" s="197"/>
      <c r="X19" s="197"/>
      <c r="Y19" s="197"/>
    </row>
    <row r="20" spans="2:25" ht="32.1" customHeight="1">
      <c r="B20" s="458"/>
      <c r="C20" s="459"/>
      <c r="D20" s="584"/>
      <c r="E20" s="585"/>
      <c r="F20" s="542"/>
      <c r="G20" s="590" t="s">
        <v>140</v>
      </c>
      <c r="H20" s="591"/>
      <c r="I20" s="363">
        <f>I18+I19</f>
        <v>565</v>
      </c>
      <c r="J20" s="7"/>
      <c r="K20" s="204"/>
      <c r="L20" s="204"/>
      <c r="M20" s="199"/>
      <c r="N20" s="205"/>
      <c r="O20" s="205"/>
      <c r="P20" s="205"/>
      <c r="Q20" s="205"/>
      <c r="R20" s="205"/>
      <c r="S20" s="205"/>
      <c r="T20" s="197"/>
      <c r="U20" s="197"/>
      <c r="V20" s="197"/>
      <c r="W20" s="197"/>
      <c r="X20" s="197"/>
      <c r="Y20" s="197"/>
    </row>
    <row r="21" spans="2:25" ht="52.5" customHeight="1">
      <c r="B21" s="423" t="s">
        <v>141</v>
      </c>
      <c r="C21" s="526"/>
      <c r="D21" s="527">
        <v>3411.94</v>
      </c>
      <c r="E21" s="528"/>
      <c r="F21" s="214">
        <f>D21/D6</f>
        <v>0.11449501508394323</v>
      </c>
      <c r="G21" s="529" t="s">
        <v>184</v>
      </c>
      <c r="H21" s="530"/>
      <c r="I21" s="530"/>
      <c r="J21" s="7"/>
      <c r="K21" s="204"/>
      <c r="L21" s="204"/>
      <c r="M21" s="199"/>
      <c r="N21" s="205"/>
      <c r="O21" s="205"/>
      <c r="P21" s="205"/>
      <c r="Q21" s="205"/>
      <c r="R21" s="205"/>
      <c r="S21" s="205"/>
      <c r="T21" s="197"/>
      <c r="U21" s="197"/>
      <c r="V21" s="197"/>
      <c r="W21" s="197"/>
      <c r="X21" s="197"/>
      <c r="Y21" s="197"/>
    </row>
    <row r="22" spans="2:25" ht="32.1" customHeight="1" thickBot="1">
      <c r="B22" s="549" t="s">
        <v>142</v>
      </c>
      <c r="C22" s="550"/>
      <c r="D22" s="594">
        <f>D38+Q38+R38+S38</f>
        <v>4748.87</v>
      </c>
      <c r="E22" s="595"/>
      <c r="F22" s="595"/>
      <c r="G22" s="595"/>
      <c r="H22" s="595"/>
      <c r="I22" s="595"/>
      <c r="J22" s="7"/>
      <c r="K22" s="215"/>
      <c r="L22" s="215"/>
      <c r="M22" s="216"/>
      <c r="N22" s="217"/>
      <c r="O22" s="217"/>
      <c r="P22" s="217"/>
      <c r="Q22" s="217"/>
      <c r="R22" s="217"/>
      <c r="S22" s="217"/>
      <c r="T22" s="218"/>
      <c r="U22" s="218"/>
      <c r="V22" s="218"/>
      <c r="W22" s="218"/>
      <c r="X22" s="218"/>
      <c r="Y22" s="218"/>
    </row>
    <row r="23" spans="2:25" ht="35.1" customHeight="1" thickTop="1">
      <c r="B23" s="5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2:25" ht="35.1" customHeight="1" thickBot="1">
      <c r="B24" s="75" t="s">
        <v>143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2:25" ht="32.1" customHeight="1">
      <c r="B25" s="553" t="s">
        <v>144</v>
      </c>
      <c r="C25" s="556" t="s">
        <v>145</v>
      </c>
      <c r="D25" s="557"/>
      <c r="E25" s="557"/>
      <c r="F25" s="557"/>
      <c r="G25" s="557"/>
      <c r="H25" s="557"/>
      <c r="I25" s="557"/>
      <c r="J25" s="557"/>
      <c r="K25" s="557"/>
      <c r="L25" s="557"/>
      <c r="M25" s="557"/>
      <c r="N25" s="557"/>
      <c r="O25" s="558"/>
      <c r="P25" s="559" t="s">
        <v>146</v>
      </c>
      <c r="Q25" s="560"/>
      <c r="R25" s="560"/>
      <c r="S25" s="560"/>
      <c r="T25" s="560"/>
      <c r="U25" s="561"/>
      <c r="V25" s="578" t="s">
        <v>147</v>
      </c>
      <c r="W25" s="579"/>
      <c r="X25" s="562" t="s">
        <v>63</v>
      </c>
      <c r="Y25" s="563"/>
    </row>
    <row r="26" spans="2:25" ht="32.1" customHeight="1">
      <c r="B26" s="554"/>
      <c r="C26" s="566" t="s">
        <v>149</v>
      </c>
      <c r="D26" s="567"/>
      <c r="E26" s="567"/>
      <c r="F26" s="567"/>
      <c r="G26" s="567"/>
      <c r="H26" s="567"/>
      <c r="I26" s="568" t="s">
        <v>150</v>
      </c>
      <c r="J26" s="568"/>
      <c r="K26" s="568"/>
      <c r="L26" s="568"/>
      <c r="M26" s="569" t="s">
        <v>151</v>
      </c>
      <c r="N26" s="571" t="s">
        <v>152</v>
      </c>
      <c r="O26" s="572"/>
      <c r="P26" s="573" t="s">
        <v>153</v>
      </c>
      <c r="Q26" s="574"/>
      <c r="R26" s="575"/>
      <c r="S26" s="592" t="s">
        <v>190</v>
      </c>
      <c r="T26" s="576" t="s">
        <v>154</v>
      </c>
      <c r="U26" s="577"/>
      <c r="V26" s="580"/>
      <c r="W26" s="581"/>
      <c r="X26" s="564"/>
      <c r="Y26" s="565"/>
    </row>
    <row r="27" spans="2:25" ht="51" customHeight="1" thickBot="1">
      <c r="B27" s="555"/>
      <c r="C27" s="141" t="s">
        <v>125</v>
      </c>
      <c r="D27" s="219" t="s">
        <v>155</v>
      </c>
      <c r="E27" s="219" t="s">
        <v>191</v>
      </c>
      <c r="F27" s="23" t="s">
        <v>157</v>
      </c>
      <c r="G27" s="22" t="s">
        <v>158</v>
      </c>
      <c r="H27" s="220" t="s">
        <v>159</v>
      </c>
      <c r="I27" s="221" t="s">
        <v>54</v>
      </c>
      <c r="J27" s="221" t="s">
        <v>161</v>
      </c>
      <c r="K27" s="221" t="s">
        <v>162</v>
      </c>
      <c r="L27" s="222" t="s">
        <v>159</v>
      </c>
      <c r="M27" s="570"/>
      <c r="N27" s="223" t="s">
        <v>4</v>
      </c>
      <c r="O27" s="224" t="s">
        <v>5</v>
      </c>
      <c r="P27" s="225" t="s">
        <v>165</v>
      </c>
      <c r="Q27" s="226" t="s">
        <v>166</v>
      </c>
      <c r="R27" s="226" t="s">
        <v>114</v>
      </c>
      <c r="S27" s="593"/>
      <c r="T27" s="375" t="s">
        <v>4</v>
      </c>
      <c r="U27" s="228" t="s">
        <v>5</v>
      </c>
      <c r="V27" s="229" t="s">
        <v>4</v>
      </c>
      <c r="W27" s="230" t="s">
        <v>5</v>
      </c>
      <c r="X27" s="368" t="s">
        <v>188</v>
      </c>
      <c r="Y27" s="232" t="s">
        <v>98</v>
      </c>
    </row>
    <row r="28" spans="2:25" ht="32.1" customHeight="1">
      <c r="B28" s="233" t="s">
        <v>176</v>
      </c>
      <c r="C28" s="234">
        <v>14704.95</v>
      </c>
      <c r="D28" s="235">
        <v>103.87</v>
      </c>
      <c r="E28" s="235">
        <v>11.79</v>
      </c>
      <c r="F28" s="236">
        <v>100.91</v>
      </c>
      <c r="G28" s="237">
        <v>681.3</v>
      </c>
      <c r="H28" s="238">
        <f t="shared" ref="H28:H36" si="1">SUM(C28:G28)</f>
        <v>15602.820000000002</v>
      </c>
      <c r="I28" s="239">
        <v>1738.54</v>
      </c>
      <c r="J28" s="239">
        <v>2872.07</v>
      </c>
      <c r="K28" s="239">
        <v>0</v>
      </c>
      <c r="L28" s="240">
        <f>SUM(I28:K28)</f>
        <v>4610.6100000000006</v>
      </c>
      <c r="M28" s="241">
        <v>2141.86</v>
      </c>
      <c r="N28" s="242">
        <f>M28+L28+H28</f>
        <v>22355.29</v>
      </c>
      <c r="O28" s="243">
        <f>N28*0.3025</f>
        <v>6762.4752250000001</v>
      </c>
      <c r="P28" s="244">
        <v>0</v>
      </c>
      <c r="Q28" s="245">
        <v>0</v>
      </c>
      <c r="R28" s="245">
        <v>0</v>
      </c>
      <c r="S28" s="370">
        <v>0</v>
      </c>
      <c r="T28" s="376">
        <f t="shared" ref="T28:T37" si="2">SUM(P28:S28)</f>
        <v>0</v>
      </c>
      <c r="U28" s="247">
        <f>T28*0.3025</f>
        <v>0</v>
      </c>
      <c r="V28" s="248">
        <f>T28+N28</f>
        <v>22355.29</v>
      </c>
      <c r="W28" s="249">
        <f t="shared" ref="W28:W31" si="3">U28+O28</f>
        <v>6762.4752250000001</v>
      </c>
      <c r="X28" s="250">
        <v>3</v>
      </c>
      <c r="Y28" s="251">
        <v>35</v>
      </c>
    </row>
    <row r="29" spans="2:25" ht="32.1" customHeight="1">
      <c r="B29" s="252" t="s">
        <v>175</v>
      </c>
      <c r="C29" s="253">
        <v>0</v>
      </c>
      <c r="D29" s="254">
        <v>3606.51</v>
      </c>
      <c r="E29" s="254">
        <v>3.55</v>
      </c>
      <c r="F29" s="255">
        <v>147.1</v>
      </c>
      <c r="G29" s="256">
        <v>1458.76</v>
      </c>
      <c r="H29" s="257">
        <f t="shared" si="1"/>
        <v>5215.92</v>
      </c>
      <c r="I29" s="258">
        <v>0</v>
      </c>
      <c r="J29" s="258">
        <v>0</v>
      </c>
      <c r="K29" s="258">
        <v>0</v>
      </c>
      <c r="L29" s="259">
        <f>SUM(I29:K29)</f>
        <v>0</v>
      </c>
      <c r="M29" s="260">
        <v>30.87</v>
      </c>
      <c r="N29" s="261">
        <f>M29+L29+H29</f>
        <v>5246.79</v>
      </c>
      <c r="O29" s="262">
        <f>N29*0.3025</f>
        <v>1587.1539749999999</v>
      </c>
      <c r="P29" s="263">
        <v>220.7</v>
      </c>
      <c r="Q29" s="264">
        <v>351.51</v>
      </c>
      <c r="R29" s="264">
        <v>21.69</v>
      </c>
      <c r="S29" s="371">
        <v>0</v>
      </c>
      <c r="T29" s="377">
        <f t="shared" si="2"/>
        <v>593.90000000000009</v>
      </c>
      <c r="U29" s="247">
        <f>T29*0.3025</f>
        <v>179.65475000000004</v>
      </c>
      <c r="V29" s="248">
        <f>T29+N29</f>
        <v>5840.6900000000005</v>
      </c>
      <c r="W29" s="249">
        <f t="shared" si="3"/>
        <v>1766.8087249999999</v>
      </c>
      <c r="X29" s="266" t="s">
        <v>99</v>
      </c>
      <c r="Y29" s="267" t="s">
        <v>99</v>
      </c>
    </row>
    <row r="30" spans="2:25" ht="32.1" customHeight="1" thickBot="1">
      <c r="B30" s="268" t="s">
        <v>24</v>
      </c>
      <c r="C30" s="269">
        <f>C28+C29</f>
        <v>14704.95</v>
      </c>
      <c r="D30" s="270">
        <f t="shared" ref="D30:G30" si="4">D28+D29</f>
        <v>3710.38</v>
      </c>
      <c r="E30" s="270">
        <f t="shared" si="4"/>
        <v>15.34</v>
      </c>
      <c r="F30" s="270">
        <f t="shared" si="4"/>
        <v>248.01</v>
      </c>
      <c r="G30" s="270">
        <f t="shared" si="4"/>
        <v>2140.06</v>
      </c>
      <c r="H30" s="271">
        <f t="shared" si="1"/>
        <v>20818.740000000002</v>
      </c>
      <c r="I30" s="272">
        <f>SUM(I28:I29)</f>
        <v>1738.54</v>
      </c>
      <c r="J30" s="272">
        <f t="shared" ref="J30:K30" si="5">SUM(J28:J29)</f>
        <v>2872.07</v>
      </c>
      <c r="K30" s="272">
        <f t="shared" si="5"/>
        <v>0</v>
      </c>
      <c r="L30" s="273">
        <f>SUM(I30:K30)</f>
        <v>4610.6100000000006</v>
      </c>
      <c r="M30" s="274">
        <f>SUM(M28:M29)</f>
        <v>2172.73</v>
      </c>
      <c r="N30" s="275">
        <f>H30+L30+M30</f>
        <v>27602.080000000002</v>
      </c>
      <c r="O30" s="276">
        <f>N30*0.3025</f>
        <v>8349.6291999999994</v>
      </c>
      <c r="P30" s="277">
        <f>SUM(P28:P29)</f>
        <v>220.7</v>
      </c>
      <c r="Q30" s="277">
        <f t="shared" ref="Q30:R30" si="6">SUM(Q28:Q29)</f>
        <v>351.51</v>
      </c>
      <c r="R30" s="277">
        <f t="shared" si="6"/>
        <v>21.69</v>
      </c>
      <c r="S30" s="382">
        <f>SUM(S28:S29)</f>
        <v>0</v>
      </c>
      <c r="T30" s="378">
        <f t="shared" si="2"/>
        <v>593.90000000000009</v>
      </c>
      <c r="U30" s="279">
        <f>T30*0.3025</f>
        <v>179.65475000000004</v>
      </c>
      <c r="V30" s="280">
        <f>T30+N30</f>
        <v>28195.980000000003</v>
      </c>
      <c r="W30" s="281">
        <f t="shared" si="3"/>
        <v>8529.2839499999991</v>
      </c>
      <c r="X30" s="282">
        <f>SUM(X28:X29)</f>
        <v>3</v>
      </c>
      <c r="Y30" s="283">
        <f>SUM(Y28:Y29)</f>
        <v>35</v>
      </c>
    </row>
    <row r="31" spans="2:25" ht="32.1" customHeight="1">
      <c r="B31" s="284" t="s">
        <v>177</v>
      </c>
      <c r="C31" s="285">
        <v>13450.63</v>
      </c>
      <c r="D31" s="286">
        <v>114.26</v>
      </c>
      <c r="E31" s="286">
        <v>11.79</v>
      </c>
      <c r="F31" s="287">
        <v>108.31</v>
      </c>
      <c r="G31" s="288">
        <v>714.62</v>
      </c>
      <c r="H31" s="289">
        <f>SUM(C31:G31)</f>
        <v>14399.61</v>
      </c>
      <c r="I31" s="290">
        <v>1617.99</v>
      </c>
      <c r="J31" s="290">
        <v>4723.49</v>
      </c>
      <c r="K31" s="290">
        <v>0</v>
      </c>
      <c r="L31" s="291">
        <f>SUM(I31:K31)</f>
        <v>6341.48</v>
      </c>
      <c r="M31" s="292">
        <v>0</v>
      </c>
      <c r="N31" s="293">
        <f>H31+L31+M31</f>
        <v>20741.09</v>
      </c>
      <c r="O31" s="294">
        <f>N31*0.3025</f>
        <v>6274.179725</v>
      </c>
      <c r="P31" s="295">
        <v>0</v>
      </c>
      <c r="Q31" s="296">
        <v>0</v>
      </c>
      <c r="R31" s="296">
        <v>0</v>
      </c>
      <c r="S31" s="372">
        <v>147.09</v>
      </c>
      <c r="T31" s="379">
        <f t="shared" si="2"/>
        <v>147.09</v>
      </c>
      <c r="U31" s="298">
        <f>T31*0.3025</f>
        <v>44.494725000000003</v>
      </c>
      <c r="V31" s="299">
        <f>T31+N31</f>
        <v>20888.18</v>
      </c>
      <c r="W31" s="300">
        <f t="shared" si="3"/>
        <v>6318.6744499999995</v>
      </c>
      <c r="X31" s="301">
        <v>51</v>
      </c>
      <c r="Y31" s="302">
        <v>36</v>
      </c>
    </row>
    <row r="32" spans="2:25" ht="32.1" customHeight="1">
      <c r="B32" s="303" t="s">
        <v>178</v>
      </c>
      <c r="C32" s="304">
        <v>13463.03</v>
      </c>
      <c r="D32" s="305">
        <v>104.3</v>
      </c>
      <c r="E32" s="305">
        <v>11.79</v>
      </c>
      <c r="F32" s="306">
        <v>108.31</v>
      </c>
      <c r="G32" s="307">
        <v>683.84</v>
      </c>
      <c r="H32" s="308">
        <f t="shared" si="1"/>
        <v>14371.27</v>
      </c>
      <c r="I32" s="309">
        <v>1645.71</v>
      </c>
      <c r="J32" s="309">
        <v>4723.49</v>
      </c>
      <c r="K32" s="309">
        <v>0</v>
      </c>
      <c r="L32" s="310">
        <f>SUM(I32:K32)</f>
        <v>6369.2</v>
      </c>
      <c r="M32" s="311">
        <v>0</v>
      </c>
      <c r="N32" s="261">
        <f>H32+L32+M32</f>
        <v>20740.47</v>
      </c>
      <c r="O32" s="262">
        <f>N32*0.3025</f>
        <v>6273.9921750000003</v>
      </c>
      <c r="P32" s="312">
        <v>0</v>
      </c>
      <c r="Q32" s="313">
        <v>0</v>
      </c>
      <c r="R32" s="313">
        <v>0</v>
      </c>
      <c r="S32" s="373">
        <v>0</v>
      </c>
      <c r="T32" s="380">
        <f t="shared" si="2"/>
        <v>0</v>
      </c>
      <c r="U32" s="315">
        <f>T32*0.3025</f>
        <v>0</v>
      </c>
      <c r="V32" s="316">
        <f t="shared" ref="V32:W38" si="7">N32+T32</f>
        <v>20740.47</v>
      </c>
      <c r="W32" s="317">
        <f t="shared" si="7"/>
        <v>6273.9921750000003</v>
      </c>
      <c r="X32" s="318" t="s">
        <v>99</v>
      </c>
      <c r="Y32" s="319">
        <v>38</v>
      </c>
    </row>
    <row r="33" spans="2:25" ht="32.1" customHeight="1">
      <c r="B33" s="303" t="s">
        <v>169</v>
      </c>
      <c r="C33" s="304">
        <v>13477.67</v>
      </c>
      <c r="D33" s="305">
        <v>104.3</v>
      </c>
      <c r="E33" s="305">
        <v>11.79</v>
      </c>
      <c r="F33" s="306">
        <v>108.31</v>
      </c>
      <c r="G33" s="307">
        <v>683.84</v>
      </c>
      <c r="H33" s="308">
        <f t="shared" si="1"/>
        <v>14385.91</v>
      </c>
      <c r="I33" s="309">
        <v>1645.71</v>
      </c>
      <c r="J33" s="309">
        <v>4723.49</v>
      </c>
      <c r="K33" s="309">
        <v>0</v>
      </c>
      <c r="L33" s="310">
        <f t="shared" ref="L33:L37" si="8">SUM(I33:K33)</f>
        <v>6369.2</v>
      </c>
      <c r="M33" s="311">
        <v>0</v>
      </c>
      <c r="N33" s="261">
        <f t="shared" ref="N33:N36" si="9">H33+L33+M33</f>
        <v>20755.11</v>
      </c>
      <c r="O33" s="262">
        <f t="shared" ref="O33:O38" si="10">N33*0.3025</f>
        <v>6278.4207749999996</v>
      </c>
      <c r="P33" s="312">
        <v>0</v>
      </c>
      <c r="Q33" s="313">
        <v>0</v>
      </c>
      <c r="R33" s="313">
        <v>0</v>
      </c>
      <c r="S33" s="373">
        <v>0</v>
      </c>
      <c r="T33" s="380">
        <f t="shared" si="2"/>
        <v>0</v>
      </c>
      <c r="U33" s="315">
        <f t="shared" ref="U33:U36" si="11">T33*0.3025</f>
        <v>0</v>
      </c>
      <c r="V33" s="316">
        <f t="shared" si="7"/>
        <v>20755.11</v>
      </c>
      <c r="W33" s="317">
        <f t="shared" si="7"/>
        <v>6278.4207749999996</v>
      </c>
      <c r="X33" s="318" t="s">
        <v>99</v>
      </c>
      <c r="Y33" s="319">
        <v>38</v>
      </c>
    </row>
    <row r="34" spans="2:25" ht="32.1" customHeight="1">
      <c r="B34" s="303" t="s">
        <v>179</v>
      </c>
      <c r="C34" s="304">
        <v>13485.93</v>
      </c>
      <c r="D34" s="305">
        <v>97.67</v>
      </c>
      <c r="E34" s="305">
        <v>11.79</v>
      </c>
      <c r="F34" s="306">
        <v>108.31</v>
      </c>
      <c r="G34" s="307">
        <v>682.21</v>
      </c>
      <c r="H34" s="308">
        <f t="shared" si="1"/>
        <v>14385.91</v>
      </c>
      <c r="I34" s="309">
        <v>1645.71</v>
      </c>
      <c r="J34" s="309">
        <v>4723.49</v>
      </c>
      <c r="K34" s="309">
        <v>0</v>
      </c>
      <c r="L34" s="240">
        <f t="shared" si="8"/>
        <v>6369.2</v>
      </c>
      <c r="M34" s="241">
        <v>0</v>
      </c>
      <c r="N34" s="261">
        <f t="shared" si="9"/>
        <v>20755.11</v>
      </c>
      <c r="O34" s="262">
        <f t="shared" si="10"/>
        <v>6278.4207749999996</v>
      </c>
      <c r="P34" s="312">
        <v>0</v>
      </c>
      <c r="Q34" s="313">
        <v>0</v>
      </c>
      <c r="R34" s="313">
        <v>0</v>
      </c>
      <c r="S34" s="373">
        <v>0</v>
      </c>
      <c r="T34" s="380">
        <f t="shared" si="2"/>
        <v>0</v>
      </c>
      <c r="U34" s="315">
        <f t="shared" si="11"/>
        <v>0</v>
      </c>
      <c r="V34" s="316">
        <f t="shared" si="7"/>
        <v>20755.11</v>
      </c>
      <c r="W34" s="317">
        <f t="shared" si="7"/>
        <v>6278.4207749999996</v>
      </c>
      <c r="X34" s="250" t="s">
        <v>99</v>
      </c>
      <c r="Y34" s="251">
        <v>38</v>
      </c>
    </row>
    <row r="35" spans="2:25" ht="32.1" customHeight="1">
      <c r="B35" s="303" t="s">
        <v>180</v>
      </c>
      <c r="C35" s="304">
        <v>13485.93</v>
      </c>
      <c r="D35" s="305">
        <v>97.67</v>
      </c>
      <c r="E35" s="305">
        <v>11.79</v>
      </c>
      <c r="F35" s="306">
        <v>108.31</v>
      </c>
      <c r="G35" s="307">
        <v>682.21</v>
      </c>
      <c r="H35" s="308">
        <f t="shared" si="1"/>
        <v>14385.91</v>
      </c>
      <c r="I35" s="309">
        <v>1645.71</v>
      </c>
      <c r="J35" s="309">
        <v>4723.49</v>
      </c>
      <c r="K35" s="309">
        <v>0</v>
      </c>
      <c r="L35" s="240">
        <f t="shared" si="8"/>
        <v>6369.2</v>
      </c>
      <c r="M35" s="241">
        <v>0</v>
      </c>
      <c r="N35" s="261">
        <f t="shared" si="9"/>
        <v>20755.11</v>
      </c>
      <c r="O35" s="262">
        <f t="shared" si="10"/>
        <v>6278.4207749999996</v>
      </c>
      <c r="P35" s="312">
        <v>0</v>
      </c>
      <c r="Q35" s="313">
        <v>0</v>
      </c>
      <c r="R35" s="313">
        <v>0</v>
      </c>
      <c r="S35" s="373">
        <v>0</v>
      </c>
      <c r="T35" s="380">
        <f t="shared" si="2"/>
        <v>0</v>
      </c>
      <c r="U35" s="315">
        <f t="shared" si="11"/>
        <v>0</v>
      </c>
      <c r="V35" s="316">
        <f t="shared" si="7"/>
        <v>20755.11</v>
      </c>
      <c r="W35" s="317">
        <f t="shared" si="7"/>
        <v>6278.4207749999996</v>
      </c>
      <c r="X35" s="250" t="s">
        <v>99</v>
      </c>
      <c r="Y35" s="251">
        <v>38</v>
      </c>
    </row>
    <row r="36" spans="2:25" ht="32.1" customHeight="1">
      <c r="B36" s="303" t="s">
        <v>192</v>
      </c>
      <c r="C36" s="234">
        <v>0</v>
      </c>
      <c r="D36" s="235">
        <v>0</v>
      </c>
      <c r="E36" s="235">
        <v>0</v>
      </c>
      <c r="F36" s="236">
        <v>0</v>
      </c>
      <c r="G36" s="237">
        <v>0</v>
      </c>
      <c r="H36" s="308">
        <f t="shared" si="1"/>
        <v>0</v>
      </c>
      <c r="I36" s="239">
        <v>0</v>
      </c>
      <c r="J36" s="239">
        <v>0</v>
      </c>
      <c r="K36" s="239">
        <v>0</v>
      </c>
      <c r="L36" s="240">
        <f t="shared" si="8"/>
        <v>0</v>
      </c>
      <c r="M36" s="241">
        <v>0</v>
      </c>
      <c r="N36" s="261">
        <f t="shared" si="9"/>
        <v>0</v>
      </c>
      <c r="O36" s="262">
        <f t="shared" si="10"/>
        <v>0</v>
      </c>
      <c r="P36" s="320">
        <v>0</v>
      </c>
      <c r="Q36" s="313">
        <v>0</v>
      </c>
      <c r="R36" s="313">
        <v>0</v>
      </c>
      <c r="S36" s="373">
        <v>0</v>
      </c>
      <c r="T36" s="380">
        <f t="shared" si="2"/>
        <v>0</v>
      </c>
      <c r="U36" s="321">
        <f t="shared" si="11"/>
        <v>0</v>
      </c>
      <c r="V36" s="316">
        <f t="shared" si="7"/>
        <v>0</v>
      </c>
      <c r="W36" s="317">
        <f t="shared" si="7"/>
        <v>0</v>
      </c>
      <c r="X36" s="250">
        <v>243</v>
      </c>
      <c r="Y36" s="251">
        <v>45</v>
      </c>
    </row>
    <row r="37" spans="2:25" ht="32.1" customHeight="1" thickBot="1">
      <c r="B37" s="322" t="s">
        <v>25</v>
      </c>
      <c r="C37" s="269">
        <f>SUM(C31:C36)</f>
        <v>67363.19</v>
      </c>
      <c r="D37" s="270">
        <f>SUM(D31:D36)</f>
        <v>518.20000000000005</v>
      </c>
      <c r="E37" s="270">
        <f>SUM(E31:E36)</f>
        <v>58.949999999999996</v>
      </c>
      <c r="F37" s="323">
        <f>SUM(F31:F36)</f>
        <v>541.54999999999995</v>
      </c>
      <c r="G37" s="324">
        <f>SUM(G31:G36)</f>
        <v>3446.7200000000003</v>
      </c>
      <c r="H37" s="325">
        <f>SUM(C37:G37)</f>
        <v>71928.61</v>
      </c>
      <c r="I37" s="326">
        <f>SUM(I31:I36)</f>
        <v>8200.83</v>
      </c>
      <c r="J37" s="326">
        <f>SUM(J31:J36)</f>
        <v>23617.449999999997</v>
      </c>
      <c r="K37" s="326">
        <f>SUM(K31:K36)</f>
        <v>0</v>
      </c>
      <c r="L37" s="327">
        <f t="shared" si="8"/>
        <v>31818.28</v>
      </c>
      <c r="M37" s="328">
        <f>SUM(M31:M36)</f>
        <v>0</v>
      </c>
      <c r="N37" s="329">
        <f>H37+L37+M37</f>
        <v>103746.89</v>
      </c>
      <c r="O37" s="330">
        <f t="shared" si="10"/>
        <v>31383.434224999997</v>
      </c>
      <c r="P37" s="331">
        <f>SUM(P31:P36)</f>
        <v>0</v>
      </c>
      <c r="Q37" s="331">
        <f t="shared" ref="Q37:R37" si="12">SUM(Q31:Q36)</f>
        <v>0</v>
      </c>
      <c r="R37" s="331">
        <f t="shared" si="12"/>
        <v>0</v>
      </c>
      <c r="S37" s="374">
        <f>SUM(S31:S36)</f>
        <v>147.09</v>
      </c>
      <c r="T37" s="381">
        <f t="shared" si="2"/>
        <v>147.09</v>
      </c>
      <c r="U37" s="333">
        <f>T37*0.3025</f>
        <v>44.494725000000003</v>
      </c>
      <c r="V37" s="334">
        <f>N37+T37</f>
        <v>103893.98</v>
      </c>
      <c r="W37" s="335">
        <f t="shared" si="7"/>
        <v>31427.928949999998</v>
      </c>
      <c r="X37" s="336">
        <f>SUM(X31:X36)</f>
        <v>294</v>
      </c>
      <c r="Y37" s="337">
        <f>SUM(Y31:Y36)</f>
        <v>233</v>
      </c>
    </row>
    <row r="38" spans="2:25" ht="32.1" customHeight="1" thickBot="1">
      <c r="B38" s="338" t="s">
        <v>13</v>
      </c>
      <c r="C38" s="339">
        <f>C30+C37</f>
        <v>82068.14</v>
      </c>
      <c r="D38" s="340">
        <f>D30+D37</f>
        <v>4228.58</v>
      </c>
      <c r="E38" s="340">
        <f t="shared" ref="E38:F38" si="13">E30+E37</f>
        <v>74.289999999999992</v>
      </c>
      <c r="F38" s="340">
        <f t="shared" si="13"/>
        <v>789.56</v>
      </c>
      <c r="G38" s="341">
        <f>G30+G37</f>
        <v>5586.7800000000007</v>
      </c>
      <c r="H38" s="342">
        <f>SUM(C38:G38)</f>
        <v>92747.349999999991</v>
      </c>
      <c r="I38" s="343">
        <f>I30+I37</f>
        <v>9939.369999999999</v>
      </c>
      <c r="J38" s="343">
        <f>J30+J37</f>
        <v>26489.519999999997</v>
      </c>
      <c r="K38" s="343">
        <f>K30+K37</f>
        <v>0</v>
      </c>
      <c r="L38" s="344">
        <f>SUM(I38:K38)</f>
        <v>36428.89</v>
      </c>
      <c r="M38" s="345">
        <f>M30+M37</f>
        <v>2172.73</v>
      </c>
      <c r="N38" s="346">
        <f>H38+L38+M38</f>
        <v>131348.97</v>
      </c>
      <c r="O38" s="347">
        <f t="shared" si="10"/>
        <v>39733.063425</v>
      </c>
      <c r="P38" s="331">
        <f>P30+P37</f>
        <v>220.7</v>
      </c>
      <c r="Q38" s="348">
        <f>Q30+Q37</f>
        <v>351.51</v>
      </c>
      <c r="R38" s="348">
        <f>R30+R37</f>
        <v>21.69</v>
      </c>
      <c r="S38" s="348">
        <f>S30+S37</f>
        <v>147.09</v>
      </c>
      <c r="T38" s="381">
        <f>T30+T37</f>
        <v>740.99000000000012</v>
      </c>
      <c r="U38" s="333">
        <f t="shared" ref="U38" si="14">T38*0.3025</f>
        <v>224.14947500000002</v>
      </c>
      <c r="V38" s="349">
        <f t="shared" si="7"/>
        <v>132089.96</v>
      </c>
      <c r="W38" s="350">
        <f t="shared" si="7"/>
        <v>39957.212899999999</v>
      </c>
      <c r="X38" s="351">
        <f>X30+X37</f>
        <v>297</v>
      </c>
      <c r="Y38" s="352">
        <f>Y30+Y37</f>
        <v>268</v>
      </c>
    </row>
    <row r="39" spans="2:25" ht="5.0999999999999996" customHeight="1">
      <c r="O39" s="51"/>
      <c r="P39" s="55"/>
    </row>
    <row r="40" spans="2:25" ht="20.100000000000001" customHeight="1">
      <c r="B40" s="353" t="s">
        <v>171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2:25" ht="9.9499999999999993" customHeight="1"/>
    <row r="42" spans="2:25" ht="30" customHeight="1">
      <c r="I42" s="8"/>
      <c r="J42" s="8"/>
      <c r="N42" s="8"/>
      <c r="O42" s="354"/>
      <c r="P42" s="8"/>
    </row>
    <row r="43" spans="2:25" ht="30" customHeight="1"/>
    <row r="44" spans="2:25" ht="30" customHeight="1">
      <c r="H44" s="51"/>
    </row>
    <row r="45" spans="2:25" ht="30" customHeight="1"/>
    <row r="46" spans="2:25" ht="30" customHeight="1"/>
  </sheetData>
  <mergeCells count="61">
    <mergeCell ref="B9:C9"/>
    <mergeCell ref="D9:F9"/>
    <mergeCell ref="G9:H9"/>
    <mergeCell ref="B3:C3"/>
    <mergeCell ref="B4:C4"/>
    <mergeCell ref="B5:C5"/>
    <mergeCell ref="D5:F5"/>
    <mergeCell ref="B6:C6"/>
    <mergeCell ref="D6:F6"/>
    <mergeCell ref="G6:H6"/>
    <mergeCell ref="B7:C7"/>
    <mergeCell ref="D7:F7"/>
    <mergeCell ref="B8:C8"/>
    <mergeCell ref="D8:F8"/>
    <mergeCell ref="B10:C10"/>
    <mergeCell ref="D10:F10"/>
    <mergeCell ref="G10:H10"/>
    <mergeCell ref="B11:B13"/>
    <mergeCell ref="D11:F11"/>
    <mergeCell ref="G11:H11"/>
    <mergeCell ref="D12:F12"/>
    <mergeCell ref="G12:H12"/>
    <mergeCell ref="D13:F13"/>
    <mergeCell ref="G13:H13"/>
    <mergeCell ref="B14:C14"/>
    <mergeCell ref="D14:F14"/>
    <mergeCell ref="G14:H14"/>
    <mergeCell ref="B15:C15"/>
    <mergeCell ref="D15:F15"/>
    <mergeCell ref="G15:H15"/>
    <mergeCell ref="B16:C16"/>
    <mergeCell ref="D16:F16"/>
    <mergeCell ref="G16:H16"/>
    <mergeCell ref="B17:C17"/>
    <mergeCell ref="D17:E17"/>
    <mergeCell ref="H17:I17"/>
    <mergeCell ref="B25:B27"/>
    <mergeCell ref="C25:O25"/>
    <mergeCell ref="B18:C20"/>
    <mergeCell ref="D18:E18"/>
    <mergeCell ref="F18:F20"/>
    <mergeCell ref="G18:H18"/>
    <mergeCell ref="D19:E19"/>
    <mergeCell ref="G19:H19"/>
    <mergeCell ref="D20:E20"/>
    <mergeCell ref="G20:H20"/>
    <mergeCell ref="B21:C21"/>
    <mergeCell ref="D21:E21"/>
    <mergeCell ref="G21:I21"/>
    <mergeCell ref="B22:C22"/>
    <mergeCell ref="D22:I22"/>
    <mergeCell ref="P25:U25"/>
    <mergeCell ref="V25:W26"/>
    <mergeCell ref="X25:Y26"/>
    <mergeCell ref="C26:H26"/>
    <mergeCell ref="I26:L26"/>
    <mergeCell ref="M26:M27"/>
    <mergeCell ref="N26:O26"/>
    <mergeCell ref="P26:R26"/>
    <mergeCell ref="S26:S27"/>
    <mergeCell ref="T26:U26"/>
  </mergeCells>
  <phoneticPr fontId="2" type="noConversion"/>
  <pageMargins left="0.7" right="0.7" top="0.75" bottom="0.75" header="0.3" footer="0.3"/>
  <pageSetup paperSize="8" scale="6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  <pageSetUpPr fitToPage="1"/>
  </sheetPr>
  <dimension ref="B1:AA46"/>
  <sheetViews>
    <sheetView showGridLines="0" topLeftCell="A19" zoomScale="70" zoomScaleNormal="70" workbookViewId="0">
      <selection activeCell="I28" sqref="I28"/>
    </sheetView>
  </sheetViews>
  <sheetFormatPr defaultRowHeight="16.5"/>
  <cols>
    <col min="1" max="1" width="3.625" customWidth="1"/>
    <col min="2" max="2" width="15.625" customWidth="1"/>
    <col min="3" max="25" width="11.625" customWidth="1"/>
    <col min="26" max="26" width="3.25" customWidth="1"/>
  </cols>
  <sheetData>
    <row r="1" spans="2:27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2:27" ht="35.1" customHeight="1" thickBot="1">
      <c r="B2" s="78" t="s">
        <v>118</v>
      </c>
      <c r="C2" s="6"/>
      <c r="D2" s="6"/>
      <c r="E2" s="6"/>
      <c r="F2" s="6"/>
      <c r="G2" s="6"/>
      <c r="H2" s="6"/>
      <c r="I2" s="6"/>
      <c r="J2" s="1"/>
      <c r="K2" s="78" t="s">
        <v>119</v>
      </c>
      <c r="L2" s="78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183"/>
      <c r="AA2" s="183"/>
    </row>
    <row r="3" spans="2:27" ht="32.1" customHeight="1">
      <c r="B3" s="486" t="s">
        <v>120</v>
      </c>
      <c r="C3" s="487"/>
      <c r="D3" s="184" t="s">
        <v>84</v>
      </c>
      <c r="E3" s="185"/>
      <c r="F3" s="185"/>
      <c r="G3" s="185"/>
      <c r="H3" s="185"/>
      <c r="I3" s="185"/>
      <c r="J3" s="7"/>
      <c r="K3" s="186"/>
      <c r="L3" s="186"/>
      <c r="M3" s="186"/>
      <c r="N3" s="187"/>
      <c r="O3" s="188"/>
      <c r="P3" s="187"/>
      <c r="Q3" s="188"/>
      <c r="R3" s="188"/>
      <c r="S3" s="188"/>
      <c r="T3" s="189"/>
      <c r="U3" s="189"/>
      <c r="V3" s="189"/>
      <c r="W3" s="189"/>
      <c r="X3" s="189"/>
      <c r="Y3" s="189"/>
    </row>
    <row r="4" spans="2:27" ht="32.1" customHeight="1">
      <c r="B4" s="488" t="s">
        <v>121</v>
      </c>
      <c r="C4" s="489"/>
      <c r="D4" s="190" t="s">
        <v>75</v>
      </c>
      <c r="E4" s="191"/>
      <c r="F4" s="192"/>
      <c r="G4" s="193"/>
      <c r="H4" s="193"/>
      <c r="I4" s="193"/>
      <c r="J4" s="7"/>
      <c r="K4" s="194"/>
      <c r="L4" s="194"/>
      <c r="M4" s="194"/>
      <c r="N4" s="195"/>
      <c r="O4" s="196"/>
      <c r="P4" s="195"/>
      <c r="Q4" s="196"/>
      <c r="R4" s="196"/>
      <c r="S4" s="196"/>
      <c r="T4" s="197"/>
      <c r="U4" s="197"/>
      <c r="V4" s="197"/>
      <c r="W4" s="197"/>
      <c r="X4" s="197"/>
      <c r="Y4" s="197"/>
    </row>
    <row r="5" spans="2:27" ht="32.1" customHeight="1">
      <c r="B5" s="488" t="s">
        <v>122</v>
      </c>
      <c r="C5" s="489"/>
      <c r="D5" s="490" t="s">
        <v>187</v>
      </c>
      <c r="E5" s="491"/>
      <c r="F5" s="492"/>
      <c r="G5" s="193"/>
      <c r="H5" s="193"/>
      <c r="I5" s="193"/>
      <c r="J5" s="7"/>
      <c r="K5" s="198"/>
      <c r="L5" s="198"/>
      <c r="M5" s="199"/>
      <c r="N5" s="200"/>
      <c r="O5" s="201"/>
      <c r="P5" s="202"/>
      <c r="Q5" s="201"/>
      <c r="R5" s="201"/>
      <c r="S5" s="201"/>
      <c r="T5" s="197"/>
      <c r="U5" s="197"/>
      <c r="V5" s="197"/>
      <c r="W5" s="197"/>
      <c r="X5" s="197"/>
      <c r="Y5" s="197"/>
    </row>
    <row r="6" spans="2:27" ht="32.1" customHeight="1">
      <c r="B6" s="488" t="s">
        <v>123</v>
      </c>
      <c r="C6" s="489"/>
      <c r="D6" s="493">
        <v>29799.9</v>
      </c>
      <c r="E6" s="494"/>
      <c r="F6" s="495"/>
      <c r="G6" s="496">
        <f>D6*0.3025</f>
        <v>9014.4697500000002</v>
      </c>
      <c r="H6" s="497"/>
      <c r="I6" s="203"/>
      <c r="J6" s="7"/>
      <c r="K6" s="204"/>
      <c r="L6" s="204"/>
      <c r="M6" s="199"/>
      <c r="N6" s="205"/>
      <c r="O6" s="205"/>
      <c r="P6" s="206"/>
      <c r="Q6" s="205"/>
      <c r="R6" s="205"/>
      <c r="S6" s="205"/>
      <c r="T6" s="197"/>
      <c r="U6" s="197"/>
      <c r="V6" s="197"/>
      <c r="W6" s="197"/>
      <c r="X6" s="197"/>
      <c r="Y6" s="197"/>
    </row>
    <row r="7" spans="2:27" ht="32.1" customHeight="1">
      <c r="B7" s="413" t="s">
        <v>124</v>
      </c>
      <c r="C7" s="414"/>
      <c r="D7" s="498" t="s">
        <v>125</v>
      </c>
      <c r="E7" s="499"/>
      <c r="F7" s="499"/>
      <c r="G7" s="385"/>
      <c r="H7" s="207"/>
      <c r="I7" s="208"/>
      <c r="J7" s="7"/>
      <c r="K7" s="204"/>
      <c r="L7" s="204"/>
      <c r="M7" s="199"/>
      <c r="N7" s="205"/>
      <c r="O7" s="205"/>
      <c r="P7" s="206"/>
      <c r="Q7" s="205"/>
      <c r="R7" s="205"/>
      <c r="S7" s="205"/>
      <c r="T7" s="197"/>
      <c r="U7" s="197"/>
      <c r="V7" s="197"/>
      <c r="W7" s="197"/>
      <c r="X7" s="197"/>
      <c r="Y7" s="197"/>
    </row>
    <row r="8" spans="2:27" ht="32.1" hidden="1" customHeight="1">
      <c r="B8" s="413" t="s">
        <v>126</v>
      </c>
      <c r="C8" s="414"/>
      <c r="D8" s="500">
        <v>0</v>
      </c>
      <c r="E8" s="501"/>
      <c r="F8" s="502"/>
      <c r="G8" s="385"/>
      <c r="H8" s="207"/>
      <c r="I8" s="208"/>
      <c r="J8" s="7"/>
      <c r="K8" s="204"/>
      <c r="L8" s="204"/>
      <c r="M8" s="199"/>
      <c r="N8" s="205"/>
      <c r="O8" s="205"/>
      <c r="P8" s="206"/>
      <c r="Q8" s="205"/>
      <c r="R8" s="205"/>
      <c r="S8" s="205"/>
      <c r="T8" s="197"/>
      <c r="U8" s="197"/>
      <c r="V8" s="197"/>
      <c r="W8" s="197"/>
      <c r="X8" s="197"/>
      <c r="Y8" s="197"/>
    </row>
    <row r="9" spans="2:27" ht="32.1" customHeight="1">
      <c r="B9" s="413" t="s">
        <v>185</v>
      </c>
      <c r="C9" s="414"/>
      <c r="D9" s="481" t="s">
        <v>186</v>
      </c>
      <c r="E9" s="482"/>
      <c r="F9" s="483"/>
      <c r="G9" s="484"/>
      <c r="H9" s="485"/>
      <c r="I9" s="208"/>
      <c r="J9" s="7"/>
      <c r="K9" s="204"/>
      <c r="L9" s="204"/>
      <c r="M9" s="199"/>
      <c r="N9" s="205"/>
      <c r="O9" s="205"/>
      <c r="P9" s="206"/>
      <c r="Q9" s="205"/>
      <c r="R9" s="205"/>
      <c r="S9" s="205"/>
      <c r="T9" s="197"/>
      <c r="U9" s="197"/>
      <c r="V9" s="197"/>
      <c r="W9" s="197"/>
      <c r="X9" s="197"/>
      <c r="Y9" s="197"/>
    </row>
    <row r="10" spans="2:27" ht="32.1" customHeight="1">
      <c r="B10" s="503" t="s">
        <v>28</v>
      </c>
      <c r="C10" s="437"/>
      <c r="D10" s="504">
        <v>20832.79</v>
      </c>
      <c r="E10" s="505"/>
      <c r="F10" s="506"/>
      <c r="G10" s="430">
        <f t="shared" ref="G10:G14" si="0">D10*0.3025</f>
        <v>6301.9189750000005</v>
      </c>
      <c r="H10" s="431"/>
      <c r="I10" s="207"/>
      <c r="J10" s="7"/>
      <c r="K10" s="209"/>
      <c r="L10" s="204"/>
      <c r="M10" s="199"/>
      <c r="N10" s="205"/>
      <c r="O10" s="205"/>
      <c r="P10" s="206"/>
      <c r="Q10" s="205"/>
      <c r="R10" s="205"/>
      <c r="S10" s="205"/>
      <c r="T10" s="197"/>
      <c r="U10" s="197"/>
      <c r="V10" s="197"/>
      <c r="W10" s="197"/>
      <c r="X10" s="197"/>
      <c r="Y10" s="197"/>
    </row>
    <row r="11" spans="2:27" ht="32.1" customHeight="1">
      <c r="B11" s="507" t="s">
        <v>7</v>
      </c>
      <c r="C11" s="54" t="s">
        <v>11</v>
      </c>
      <c r="D11" s="509">
        <f>V37</f>
        <v>103875.42</v>
      </c>
      <c r="E11" s="510"/>
      <c r="F11" s="511"/>
      <c r="G11" s="512">
        <f t="shared" si="0"/>
        <v>31422.314549999999</v>
      </c>
      <c r="H11" s="513"/>
      <c r="I11" s="356"/>
      <c r="J11" s="7"/>
      <c r="K11" s="204"/>
      <c r="L11" s="204"/>
      <c r="M11" s="199"/>
      <c r="N11" s="205"/>
      <c r="O11" s="205"/>
      <c r="P11" s="206"/>
      <c r="Q11" s="205"/>
      <c r="R11" s="205"/>
      <c r="S11" s="205"/>
      <c r="T11" s="197"/>
      <c r="U11" s="197"/>
      <c r="V11" s="197"/>
      <c r="W11" s="197"/>
      <c r="X11" s="197"/>
      <c r="Y11" s="197"/>
    </row>
    <row r="12" spans="2:27" ht="32.1" customHeight="1">
      <c r="B12" s="508"/>
      <c r="C12" s="54" t="s">
        <v>12</v>
      </c>
      <c r="D12" s="509">
        <f>V30</f>
        <v>28157.95</v>
      </c>
      <c r="E12" s="510"/>
      <c r="F12" s="511"/>
      <c r="G12" s="512">
        <f t="shared" si="0"/>
        <v>8517.7798750000002</v>
      </c>
      <c r="H12" s="513"/>
      <c r="I12" s="356"/>
      <c r="J12" s="7"/>
      <c r="K12" s="204"/>
      <c r="L12" s="204"/>
      <c r="M12" s="199"/>
      <c r="N12" s="205"/>
      <c r="O12" s="205"/>
      <c r="P12" s="206"/>
      <c r="Q12" s="205"/>
      <c r="R12" s="205"/>
      <c r="S12" s="205"/>
      <c r="T12" s="197"/>
      <c r="U12" s="197"/>
      <c r="V12" s="197"/>
      <c r="W12" s="197"/>
      <c r="X12" s="197"/>
      <c r="Y12" s="197"/>
    </row>
    <row r="13" spans="2:27" ht="32.1" customHeight="1">
      <c r="B13" s="508"/>
      <c r="C13" s="210" t="s">
        <v>13</v>
      </c>
      <c r="D13" s="514">
        <f>SUM(D11:F12)</f>
        <v>132033.37</v>
      </c>
      <c r="E13" s="515"/>
      <c r="F13" s="516"/>
      <c r="G13" s="517">
        <f t="shared" si="0"/>
        <v>39940.094424999996</v>
      </c>
      <c r="H13" s="518"/>
      <c r="I13" s="211"/>
      <c r="J13" s="7"/>
      <c r="K13" s="204"/>
      <c r="L13" s="204"/>
      <c r="M13" s="199"/>
      <c r="N13" s="205"/>
      <c r="O13" s="205"/>
      <c r="P13" s="206"/>
      <c r="Q13" s="205"/>
      <c r="R13" s="205"/>
      <c r="S13" s="205"/>
      <c r="T13" s="197"/>
      <c r="U13" s="197"/>
      <c r="V13" s="197"/>
      <c r="W13" s="197"/>
      <c r="X13" s="197"/>
      <c r="Y13" s="197"/>
    </row>
    <row r="14" spans="2:27" ht="32.1" customHeight="1">
      <c r="B14" s="413" t="s">
        <v>132</v>
      </c>
      <c r="C14" s="414"/>
      <c r="D14" s="509">
        <f>V38-H30-L30-M30-T30-L37</f>
        <v>72057.140000000014</v>
      </c>
      <c r="E14" s="510"/>
      <c r="F14" s="511"/>
      <c r="G14" s="512">
        <f t="shared" si="0"/>
        <v>21797.284850000004</v>
      </c>
      <c r="H14" s="513"/>
      <c r="I14" s="208"/>
      <c r="J14" s="7"/>
      <c r="K14" s="204"/>
      <c r="L14" s="212"/>
      <c r="M14" s="199"/>
      <c r="N14" s="205"/>
      <c r="O14" s="205"/>
      <c r="P14" s="206"/>
      <c r="Q14" s="205"/>
      <c r="R14" s="205"/>
      <c r="S14" s="205"/>
      <c r="T14" s="197"/>
      <c r="U14" s="197"/>
      <c r="V14" s="197"/>
      <c r="W14" s="197"/>
      <c r="X14" s="197"/>
      <c r="Y14" s="197"/>
    </row>
    <row r="15" spans="2:27" ht="32.1" customHeight="1">
      <c r="B15" s="519" t="s">
        <v>30</v>
      </c>
      <c r="C15" s="520"/>
      <c r="D15" s="521">
        <f>D10/D6</f>
        <v>0.69908925868878757</v>
      </c>
      <c r="E15" s="522"/>
      <c r="F15" s="523"/>
      <c r="G15" s="524" t="s">
        <v>70</v>
      </c>
      <c r="H15" s="525"/>
      <c r="I15" s="211"/>
      <c r="J15" s="7"/>
      <c r="K15" s="204"/>
      <c r="L15" s="204"/>
      <c r="M15" s="199"/>
      <c r="N15" s="205"/>
      <c r="O15" s="205"/>
      <c r="P15" s="206"/>
      <c r="Q15" s="205"/>
      <c r="R15" s="205"/>
      <c r="S15" s="205"/>
      <c r="T15" s="197"/>
      <c r="U15" s="197"/>
      <c r="V15" s="197"/>
      <c r="W15" s="197"/>
      <c r="X15" s="197"/>
      <c r="Y15" s="197"/>
    </row>
    <row r="16" spans="2:27" ht="32.1" customHeight="1">
      <c r="B16" s="519" t="s">
        <v>31</v>
      </c>
      <c r="C16" s="520"/>
      <c r="D16" s="531">
        <f>D14/D6</f>
        <v>2.4180329464192836</v>
      </c>
      <c r="E16" s="532"/>
      <c r="F16" s="532"/>
      <c r="G16" s="524" t="s">
        <v>76</v>
      </c>
      <c r="H16" s="525"/>
      <c r="I16" s="211"/>
      <c r="J16" s="7"/>
      <c r="K16" s="204"/>
      <c r="L16" s="204"/>
      <c r="M16" s="199"/>
      <c r="N16" s="205"/>
      <c r="O16" s="205"/>
      <c r="P16" s="206"/>
      <c r="Q16" s="205"/>
      <c r="R16" s="205"/>
      <c r="S16" s="205"/>
      <c r="T16" s="197"/>
      <c r="U16" s="197"/>
      <c r="V16" s="197"/>
      <c r="W16" s="197"/>
      <c r="X16" s="197"/>
      <c r="Y16" s="197"/>
    </row>
    <row r="17" spans="2:25" ht="32.1" customHeight="1">
      <c r="B17" s="533" t="s">
        <v>135</v>
      </c>
      <c r="C17" s="534"/>
      <c r="D17" s="535">
        <f>V38-L38</f>
        <v>95604.479999999996</v>
      </c>
      <c r="E17" s="536"/>
      <c r="F17" s="357">
        <f>D17/D13</f>
        <v>0.72409331065320837</v>
      </c>
      <c r="G17" s="213"/>
      <c r="H17" s="537" t="s">
        <v>136</v>
      </c>
      <c r="I17" s="537"/>
      <c r="J17" s="7"/>
      <c r="K17" s="204"/>
      <c r="L17" s="204"/>
      <c r="M17" s="199"/>
      <c r="N17" s="205"/>
      <c r="O17" s="205"/>
      <c r="P17" s="206"/>
      <c r="Q17" s="205"/>
      <c r="R17" s="205"/>
      <c r="S17" s="205"/>
      <c r="T17" s="197"/>
      <c r="U17" s="197"/>
      <c r="V17" s="197"/>
      <c r="W17" s="197"/>
      <c r="X17" s="197"/>
      <c r="Y17" s="197"/>
    </row>
    <row r="18" spans="2:25" ht="32.1" customHeight="1">
      <c r="B18" s="413" t="s">
        <v>137</v>
      </c>
      <c r="C18" s="455"/>
      <c r="D18" s="538">
        <f>V38-L38</f>
        <v>95604.479999999996</v>
      </c>
      <c r="E18" s="539"/>
      <c r="F18" s="540" t="s">
        <v>138</v>
      </c>
      <c r="G18" s="586" t="s">
        <v>189</v>
      </c>
      <c r="H18" s="587"/>
      <c r="I18" s="359">
        <f>X38</f>
        <v>297</v>
      </c>
      <c r="J18" s="7"/>
      <c r="K18" s="204"/>
      <c r="L18" s="204"/>
      <c r="M18" s="199"/>
      <c r="N18" s="205"/>
      <c r="O18" s="205"/>
      <c r="P18" s="205"/>
      <c r="Q18" s="205"/>
      <c r="R18" s="205"/>
      <c r="S18" s="205"/>
      <c r="T18" s="197"/>
      <c r="U18" s="197"/>
      <c r="V18" s="197"/>
      <c r="W18" s="197"/>
      <c r="X18" s="197"/>
      <c r="Y18" s="197"/>
    </row>
    <row r="19" spans="2:25" ht="32.1" customHeight="1">
      <c r="B19" s="456"/>
      <c r="C19" s="457"/>
      <c r="D19" s="582">
        <f>D18/400</f>
        <v>239.0112</v>
      </c>
      <c r="E19" s="583"/>
      <c r="F19" s="541"/>
      <c r="G19" s="588" t="s">
        <v>139</v>
      </c>
      <c r="H19" s="589"/>
      <c r="I19" s="361">
        <f>Y38</f>
        <v>268</v>
      </c>
      <c r="J19" s="7"/>
      <c r="K19" s="204"/>
      <c r="L19" s="204"/>
      <c r="M19" s="199"/>
      <c r="N19" s="205"/>
      <c r="O19" s="205"/>
      <c r="P19" s="205"/>
      <c r="Q19" s="205"/>
      <c r="R19" s="205"/>
      <c r="S19" s="205"/>
      <c r="T19" s="197"/>
      <c r="U19" s="197"/>
      <c r="V19" s="197"/>
      <c r="W19" s="197"/>
      <c r="X19" s="197"/>
      <c r="Y19" s="197"/>
    </row>
    <row r="20" spans="2:25" ht="32.1" customHeight="1">
      <c r="B20" s="458"/>
      <c r="C20" s="459"/>
      <c r="D20" s="584"/>
      <c r="E20" s="585"/>
      <c r="F20" s="542"/>
      <c r="G20" s="590" t="s">
        <v>140</v>
      </c>
      <c r="H20" s="591"/>
      <c r="I20" s="363">
        <f>I18+I19</f>
        <v>565</v>
      </c>
      <c r="J20" s="7"/>
      <c r="K20" s="204"/>
      <c r="L20" s="204"/>
      <c r="M20" s="199"/>
      <c r="N20" s="205"/>
      <c r="O20" s="205"/>
      <c r="P20" s="205"/>
      <c r="Q20" s="205"/>
      <c r="R20" s="205"/>
      <c r="S20" s="205"/>
      <c r="T20" s="197"/>
      <c r="U20" s="197"/>
      <c r="V20" s="197"/>
      <c r="W20" s="197"/>
      <c r="X20" s="197"/>
      <c r="Y20" s="197"/>
    </row>
    <row r="21" spans="2:25" ht="52.5" customHeight="1">
      <c r="B21" s="423" t="s">
        <v>141</v>
      </c>
      <c r="C21" s="526"/>
      <c r="D21" s="527">
        <v>3411.94</v>
      </c>
      <c r="E21" s="528"/>
      <c r="F21" s="214">
        <f>D21/D6</f>
        <v>0.11449501508394323</v>
      </c>
      <c r="G21" s="529" t="s">
        <v>184</v>
      </c>
      <c r="H21" s="530"/>
      <c r="I21" s="530"/>
      <c r="J21" s="7"/>
      <c r="K21" s="204"/>
      <c r="L21" s="204"/>
      <c r="M21" s="199"/>
      <c r="N21" s="205"/>
      <c r="O21" s="205"/>
      <c r="P21" s="205"/>
      <c r="Q21" s="205"/>
      <c r="R21" s="205"/>
      <c r="S21" s="205"/>
      <c r="T21" s="197"/>
      <c r="U21" s="197"/>
      <c r="V21" s="197"/>
      <c r="W21" s="197"/>
      <c r="X21" s="197"/>
      <c r="Y21" s="197"/>
    </row>
    <row r="22" spans="2:25" ht="32.1" customHeight="1" thickBot="1">
      <c r="B22" s="549" t="s">
        <v>142</v>
      </c>
      <c r="C22" s="550"/>
      <c r="D22" s="594">
        <f>D38+Q38+R38+S38</f>
        <v>4748.87</v>
      </c>
      <c r="E22" s="595"/>
      <c r="F22" s="595"/>
      <c r="G22" s="595"/>
      <c r="H22" s="595"/>
      <c r="I22" s="595"/>
      <c r="J22" s="7"/>
      <c r="K22" s="215"/>
      <c r="L22" s="215"/>
      <c r="M22" s="216"/>
      <c r="N22" s="217"/>
      <c r="O22" s="217"/>
      <c r="P22" s="217"/>
      <c r="Q22" s="217"/>
      <c r="R22" s="217"/>
      <c r="S22" s="217"/>
      <c r="T22" s="218"/>
      <c r="U22" s="218"/>
      <c r="V22" s="218"/>
      <c r="W22" s="218"/>
      <c r="X22" s="218"/>
      <c r="Y22" s="218"/>
    </row>
    <row r="23" spans="2:25" ht="35.1" customHeight="1" thickTop="1">
      <c r="B23" s="5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2:25" ht="35.1" customHeight="1" thickBot="1">
      <c r="B24" s="75" t="s">
        <v>143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2:25" ht="32.1" customHeight="1">
      <c r="B25" s="553" t="s">
        <v>144</v>
      </c>
      <c r="C25" s="556" t="s">
        <v>145</v>
      </c>
      <c r="D25" s="557"/>
      <c r="E25" s="557"/>
      <c r="F25" s="557"/>
      <c r="G25" s="557"/>
      <c r="H25" s="557"/>
      <c r="I25" s="557"/>
      <c r="J25" s="557"/>
      <c r="K25" s="557"/>
      <c r="L25" s="557"/>
      <c r="M25" s="557"/>
      <c r="N25" s="557"/>
      <c r="O25" s="558"/>
      <c r="P25" s="559" t="s">
        <v>146</v>
      </c>
      <c r="Q25" s="560"/>
      <c r="R25" s="560"/>
      <c r="S25" s="560"/>
      <c r="T25" s="560"/>
      <c r="U25" s="561"/>
      <c r="V25" s="578" t="s">
        <v>147</v>
      </c>
      <c r="W25" s="579"/>
      <c r="X25" s="562" t="s">
        <v>63</v>
      </c>
      <c r="Y25" s="563"/>
    </row>
    <row r="26" spans="2:25" ht="32.1" customHeight="1">
      <c r="B26" s="554"/>
      <c r="C26" s="566" t="s">
        <v>149</v>
      </c>
      <c r="D26" s="567"/>
      <c r="E26" s="567"/>
      <c r="F26" s="567"/>
      <c r="G26" s="567"/>
      <c r="H26" s="567"/>
      <c r="I26" s="568" t="s">
        <v>150</v>
      </c>
      <c r="J26" s="568"/>
      <c r="K26" s="568"/>
      <c r="L26" s="568"/>
      <c r="M26" s="569" t="s">
        <v>151</v>
      </c>
      <c r="N26" s="571" t="s">
        <v>152</v>
      </c>
      <c r="O26" s="572"/>
      <c r="P26" s="573" t="s">
        <v>153</v>
      </c>
      <c r="Q26" s="574"/>
      <c r="R26" s="575"/>
      <c r="S26" s="592" t="s">
        <v>190</v>
      </c>
      <c r="T26" s="576" t="s">
        <v>154</v>
      </c>
      <c r="U26" s="577"/>
      <c r="V26" s="580"/>
      <c r="W26" s="581"/>
      <c r="X26" s="564"/>
      <c r="Y26" s="565"/>
    </row>
    <row r="27" spans="2:25" ht="51" customHeight="1" thickBot="1">
      <c r="B27" s="555"/>
      <c r="C27" s="141" t="s">
        <v>125</v>
      </c>
      <c r="D27" s="219" t="s">
        <v>155</v>
      </c>
      <c r="E27" s="219" t="s">
        <v>191</v>
      </c>
      <c r="F27" s="23" t="s">
        <v>157</v>
      </c>
      <c r="G27" s="22" t="s">
        <v>158</v>
      </c>
      <c r="H27" s="220" t="s">
        <v>159</v>
      </c>
      <c r="I27" s="221" t="s">
        <v>54</v>
      </c>
      <c r="J27" s="221" t="s">
        <v>161</v>
      </c>
      <c r="K27" s="221" t="s">
        <v>162</v>
      </c>
      <c r="L27" s="222" t="s">
        <v>159</v>
      </c>
      <c r="M27" s="570"/>
      <c r="N27" s="223" t="s">
        <v>4</v>
      </c>
      <c r="O27" s="224" t="s">
        <v>5</v>
      </c>
      <c r="P27" s="225" t="s">
        <v>165</v>
      </c>
      <c r="Q27" s="226" t="s">
        <v>166</v>
      </c>
      <c r="R27" s="226" t="s">
        <v>114</v>
      </c>
      <c r="S27" s="593"/>
      <c r="T27" s="375" t="s">
        <v>4</v>
      </c>
      <c r="U27" s="228" t="s">
        <v>5</v>
      </c>
      <c r="V27" s="229" t="s">
        <v>4</v>
      </c>
      <c r="W27" s="230" t="s">
        <v>5</v>
      </c>
      <c r="X27" s="368" t="s">
        <v>188</v>
      </c>
      <c r="Y27" s="232" t="s">
        <v>98</v>
      </c>
    </row>
    <row r="28" spans="2:25" ht="32.1" customHeight="1">
      <c r="B28" s="233" t="s">
        <v>176</v>
      </c>
      <c r="C28" s="234">
        <v>14704.95</v>
      </c>
      <c r="D28" s="235">
        <v>103.87</v>
      </c>
      <c r="E28" s="235">
        <v>11.79</v>
      </c>
      <c r="F28" s="236">
        <v>100.91</v>
      </c>
      <c r="G28" s="237">
        <v>643.27</v>
      </c>
      <c r="H28" s="238">
        <f t="shared" ref="H28:H36" si="1">SUM(C28:G28)</f>
        <v>15564.790000000003</v>
      </c>
      <c r="I28" s="239">
        <v>1738.54</v>
      </c>
      <c r="J28" s="239">
        <v>2872.07</v>
      </c>
      <c r="K28" s="239">
        <v>0</v>
      </c>
      <c r="L28" s="240">
        <f>SUM(I28:K28)</f>
        <v>4610.6100000000006</v>
      </c>
      <c r="M28" s="241">
        <v>2141.86</v>
      </c>
      <c r="N28" s="242">
        <f>M28+L28+H28</f>
        <v>22317.260000000002</v>
      </c>
      <c r="O28" s="243">
        <f>N28*0.3025</f>
        <v>6750.9711500000003</v>
      </c>
      <c r="P28" s="244">
        <v>0</v>
      </c>
      <c r="Q28" s="245">
        <v>0</v>
      </c>
      <c r="R28" s="245">
        <v>0</v>
      </c>
      <c r="S28" s="370">
        <v>0</v>
      </c>
      <c r="T28" s="376">
        <f t="shared" ref="T28:T37" si="2">SUM(P28:S28)</f>
        <v>0</v>
      </c>
      <c r="U28" s="247">
        <f>T28*0.3025</f>
        <v>0</v>
      </c>
      <c r="V28" s="248">
        <f>T28+N28</f>
        <v>22317.260000000002</v>
      </c>
      <c r="W28" s="249">
        <f t="shared" ref="W28:W31" si="3">U28+O28</f>
        <v>6750.9711500000003</v>
      </c>
      <c r="X28" s="250">
        <v>3</v>
      </c>
      <c r="Y28" s="251">
        <v>35</v>
      </c>
    </row>
    <row r="29" spans="2:25" ht="32.1" customHeight="1">
      <c r="B29" s="252" t="s">
        <v>175</v>
      </c>
      <c r="C29" s="253">
        <v>0</v>
      </c>
      <c r="D29" s="254">
        <v>3606.51</v>
      </c>
      <c r="E29" s="254">
        <v>3.55</v>
      </c>
      <c r="F29" s="255">
        <v>147.1</v>
      </c>
      <c r="G29" s="256">
        <v>1458.76</v>
      </c>
      <c r="H29" s="257">
        <f t="shared" si="1"/>
        <v>5215.92</v>
      </c>
      <c r="I29" s="258">
        <v>0</v>
      </c>
      <c r="J29" s="258">
        <v>0</v>
      </c>
      <c r="K29" s="258">
        <v>0</v>
      </c>
      <c r="L29" s="259">
        <f>SUM(I29:K29)</f>
        <v>0</v>
      </c>
      <c r="M29" s="260">
        <v>30.87</v>
      </c>
      <c r="N29" s="261">
        <f>M29+L29+H29</f>
        <v>5246.79</v>
      </c>
      <c r="O29" s="262">
        <f>N29*0.3025</f>
        <v>1587.1539749999999</v>
      </c>
      <c r="P29" s="263">
        <v>220.7</v>
      </c>
      <c r="Q29" s="264">
        <v>351.51</v>
      </c>
      <c r="R29" s="264">
        <v>21.69</v>
      </c>
      <c r="S29" s="371">
        <v>0</v>
      </c>
      <c r="T29" s="377">
        <f t="shared" si="2"/>
        <v>593.90000000000009</v>
      </c>
      <c r="U29" s="247">
        <f>T29*0.3025</f>
        <v>179.65475000000004</v>
      </c>
      <c r="V29" s="248">
        <f>T29+N29</f>
        <v>5840.6900000000005</v>
      </c>
      <c r="W29" s="249">
        <f t="shared" si="3"/>
        <v>1766.8087249999999</v>
      </c>
      <c r="X29" s="266" t="s">
        <v>99</v>
      </c>
      <c r="Y29" s="267" t="s">
        <v>99</v>
      </c>
    </row>
    <row r="30" spans="2:25" ht="32.1" customHeight="1" thickBot="1">
      <c r="B30" s="268" t="s">
        <v>24</v>
      </c>
      <c r="C30" s="269">
        <f>C28+C29</f>
        <v>14704.95</v>
      </c>
      <c r="D30" s="270">
        <f t="shared" ref="D30:G30" si="4">D28+D29</f>
        <v>3710.38</v>
      </c>
      <c r="E30" s="270">
        <f t="shared" si="4"/>
        <v>15.34</v>
      </c>
      <c r="F30" s="270">
        <f t="shared" si="4"/>
        <v>248.01</v>
      </c>
      <c r="G30" s="270">
        <f t="shared" si="4"/>
        <v>2102.0299999999997</v>
      </c>
      <c r="H30" s="271">
        <f t="shared" si="1"/>
        <v>20780.71</v>
      </c>
      <c r="I30" s="272">
        <f>SUM(I28:I29)</f>
        <v>1738.54</v>
      </c>
      <c r="J30" s="272">
        <f t="shared" ref="J30:K30" si="5">SUM(J28:J29)</f>
        <v>2872.07</v>
      </c>
      <c r="K30" s="272">
        <f t="shared" si="5"/>
        <v>0</v>
      </c>
      <c r="L30" s="273">
        <f>SUM(I30:K30)</f>
        <v>4610.6100000000006</v>
      </c>
      <c r="M30" s="274">
        <f>SUM(M28:M29)</f>
        <v>2172.73</v>
      </c>
      <c r="N30" s="275">
        <f>H30+L30+M30</f>
        <v>27564.05</v>
      </c>
      <c r="O30" s="276">
        <f>N30*0.3025</f>
        <v>8338.1251249999987</v>
      </c>
      <c r="P30" s="277">
        <f>SUM(P28:P29)</f>
        <v>220.7</v>
      </c>
      <c r="Q30" s="277">
        <f t="shared" ref="Q30:R30" si="6">SUM(Q28:Q29)</f>
        <v>351.51</v>
      </c>
      <c r="R30" s="277">
        <f t="shared" si="6"/>
        <v>21.69</v>
      </c>
      <c r="S30" s="382">
        <f>SUM(S28:S29)</f>
        <v>0</v>
      </c>
      <c r="T30" s="378">
        <f t="shared" si="2"/>
        <v>593.90000000000009</v>
      </c>
      <c r="U30" s="279">
        <f>T30*0.3025</f>
        <v>179.65475000000004</v>
      </c>
      <c r="V30" s="280">
        <f>T30+N30</f>
        <v>28157.95</v>
      </c>
      <c r="W30" s="281">
        <f t="shared" si="3"/>
        <v>8517.7798749999984</v>
      </c>
      <c r="X30" s="282">
        <f>SUM(X28:X29)</f>
        <v>3</v>
      </c>
      <c r="Y30" s="283">
        <f>SUM(Y28:Y29)</f>
        <v>35</v>
      </c>
    </row>
    <row r="31" spans="2:25" ht="32.1" customHeight="1">
      <c r="B31" s="284" t="s">
        <v>177</v>
      </c>
      <c r="C31" s="285">
        <v>13450.63</v>
      </c>
      <c r="D31" s="286">
        <v>114.26</v>
      </c>
      <c r="E31" s="286">
        <v>11.79</v>
      </c>
      <c r="F31" s="287">
        <v>108.31</v>
      </c>
      <c r="G31" s="288">
        <v>696.06</v>
      </c>
      <c r="H31" s="289">
        <f>SUM(C31:G31)</f>
        <v>14381.05</v>
      </c>
      <c r="I31" s="290">
        <v>1617.99</v>
      </c>
      <c r="J31" s="290">
        <v>4723.49</v>
      </c>
      <c r="K31" s="290">
        <v>0</v>
      </c>
      <c r="L31" s="291">
        <f>SUM(I31:K31)</f>
        <v>6341.48</v>
      </c>
      <c r="M31" s="292">
        <v>0</v>
      </c>
      <c r="N31" s="293">
        <f>H31+L31+M31</f>
        <v>20722.53</v>
      </c>
      <c r="O31" s="294">
        <f>N31*0.3025</f>
        <v>6268.5653249999996</v>
      </c>
      <c r="P31" s="295">
        <v>0</v>
      </c>
      <c r="Q31" s="296">
        <v>0</v>
      </c>
      <c r="R31" s="296">
        <v>0</v>
      </c>
      <c r="S31" s="372">
        <v>147.09</v>
      </c>
      <c r="T31" s="379">
        <f t="shared" si="2"/>
        <v>147.09</v>
      </c>
      <c r="U31" s="298">
        <f>T31*0.3025</f>
        <v>44.494725000000003</v>
      </c>
      <c r="V31" s="299">
        <f>T31+N31</f>
        <v>20869.62</v>
      </c>
      <c r="W31" s="300">
        <f t="shared" si="3"/>
        <v>6313.0600499999991</v>
      </c>
      <c r="X31" s="301">
        <v>51</v>
      </c>
      <c r="Y31" s="302">
        <v>36</v>
      </c>
    </row>
    <row r="32" spans="2:25" ht="32.1" customHeight="1">
      <c r="B32" s="303" t="s">
        <v>178</v>
      </c>
      <c r="C32" s="304">
        <v>13463.03</v>
      </c>
      <c r="D32" s="305">
        <v>104.3</v>
      </c>
      <c r="E32" s="305">
        <v>11.79</v>
      </c>
      <c r="F32" s="306">
        <v>108.31</v>
      </c>
      <c r="G32" s="307">
        <v>683.84</v>
      </c>
      <c r="H32" s="308">
        <f t="shared" si="1"/>
        <v>14371.27</v>
      </c>
      <c r="I32" s="309">
        <v>1645.71</v>
      </c>
      <c r="J32" s="309">
        <v>4723.49</v>
      </c>
      <c r="K32" s="309">
        <v>0</v>
      </c>
      <c r="L32" s="310">
        <f>SUM(I32:K32)</f>
        <v>6369.2</v>
      </c>
      <c r="M32" s="311">
        <v>0</v>
      </c>
      <c r="N32" s="261">
        <f>H32+L32+M32</f>
        <v>20740.47</v>
      </c>
      <c r="O32" s="262">
        <f>N32*0.3025</f>
        <v>6273.9921750000003</v>
      </c>
      <c r="P32" s="312">
        <v>0</v>
      </c>
      <c r="Q32" s="313">
        <v>0</v>
      </c>
      <c r="R32" s="313">
        <v>0</v>
      </c>
      <c r="S32" s="373">
        <v>0</v>
      </c>
      <c r="T32" s="380">
        <f t="shared" si="2"/>
        <v>0</v>
      </c>
      <c r="U32" s="315">
        <f>T32*0.3025</f>
        <v>0</v>
      </c>
      <c r="V32" s="316">
        <f t="shared" ref="V32:W38" si="7">N32+T32</f>
        <v>20740.47</v>
      </c>
      <c r="W32" s="317">
        <f t="shared" si="7"/>
        <v>6273.9921750000003</v>
      </c>
      <c r="X32" s="318" t="s">
        <v>99</v>
      </c>
      <c r="Y32" s="319">
        <v>38</v>
      </c>
    </row>
    <row r="33" spans="2:25" ht="32.1" customHeight="1">
      <c r="B33" s="303" t="s">
        <v>169</v>
      </c>
      <c r="C33" s="304">
        <v>13477.67</v>
      </c>
      <c r="D33" s="305">
        <v>104.3</v>
      </c>
      <c r="E33" s="305">
        <v>11.79</v>
      </c>
      <c r="F33" s="306">
        <v>108.31</v>
      </c>
      <c r="G33" s="307">
        <v>683.84</v>
      </c>
      <c r="H33" s="308">
        <f t="shared" si="1"/>
        <v>14385.91</v>
      </c>
      <c r="I33" s="309">
        <v>1645.71</v>
      </c>
      <c r="J33" s="309">
        <v>4723.49</v>
      </c>
      <c r="K33" s="309">
        <v>0</v>
      </c>
      <c r="L33" s="310">
        <f t="shared" ref="L33:L37" si="8">SUM(I33:K33)</f>
        <v>6369.2</v>
      </c>
      <c r="M33" s="311">
        <v>0</v>
      </c>
      <c r="N33" s="261">
        <f t="shared" ref="N33:N36" si="9">H33+L33+M33</f>
        <v>20755.11</v>
      </c>
      <c r="O33" s="262">
        <f t="shared" ref="O33:O38" si="10">N33*0.3025</f>
        <v>6278.4207749999996</v>
      </c>
      <c r="P33" s="312">
        <v>0</v>
      </c>
      <c r="Q33" s="313">
        <v>0</v>
      </c>
      <c r="R33" s="313">
        <v>0</v>
      </c>
      <c r="S33" s="373">
        <v>0</v>
      </c>
      <c r="T33" s="380">
        <f t="shared" si="2"/>
        <v>0</v>
      </c>
      <c r="U33" s="315">
        <f t="shared" ref="U33:U36" si="11">T33*0.3025</f>
        <v>0</v>
      </c>
      <c r="V33" s="316">
        <f t="shared" si="7"/>
        <v>20755.11</v>
      </c>
      <c r="W33" s="317">
        <f t="shared" si="7"/>
        <v>6278.4207749999996</v>
      </c>
      <c r="X33" s="318" t="s">
        <v>99</v>
      </c>
      <c r="Y33" s="319">
        <v>38</v>
      </c>
    </row>
    <row r="34" spans="2:25" ht="32.1" customHeight="1">
      <c r="B34" s="303" t="s">
        <v>179</v>
      </c>
      <c r="C34" s="304">
        <v>13485.93</v>
      </c>
      <c r="D34" s="305">
        <v>97.67</v>
      </c>
      <c r="E34" s="305">
        <v>11.79</v>
      </c>
      <c r="F34" s="306">
        <v>108.31</v>
      </c>
      <c r="G34" s="307">
        <v>682.21</v>
      </c>
      <c r="H34" s="308">
        <f t="shared" si="1"/>
        <v>14385.91</v>
      </c>
      <c r="I34" s="309">
        <v>1645.71</v>
      </c>
      <c r="J34" s="309">
        <v>4723.49</v>
      </c>
      <c r="K34" s="309">
        <v>0</v>
      </c>
      <c r="L34" s="240">
        <f t="shared" si="8"/>
        <v>6369.2</v>
      </c>
      <c r="M34" s="241">
        <v>0</v>
      </c>
      <c r="N34" s="261">
        <f t="shared" si="9"/>
        <v>20755.11</v>
      </c>
      <c r="O34" s="262">
        <f t="shared" si="10"/>
        <v>6278.4207749999996</v>
      </c>
      <c r="P34" s="312">
        <v>0</v>
      </c>
      <c r="Q34" s="313">
        <v>0</v>
      </c>
      <c r="R34" s="313">
        <v>0</v>
      </c>
      <c r="S34" s="373">
        <v>0</v>
      </c>
      <c r="T34" s="380">
        <f t="shared" si="2"/>
        <v>0</v>
      </c>
      <c r="U34" s="315">
        <f t="shared" si="11"/>
        <v>0</v>
      </c>
      <c r="V34" s="316">
        <f t="shared" si="7"/>
        <v>20755.11</v>
      </c>
      <c r="W34" s="317">
        <f t="shared" si="7"/>
        <v>6278.4207749999996</v>
      </c>
      <c r="X34" s="250" t="s">
        <v>99</v>
      </c>
      <c r="Y34" s="251">
        <v>38</v>
      </c>
    </row>
    <row r="35" spans="2:25" ht="32.1" customHeight="1">
      <c r="B35" s="303" t="s">
        <v>180</v>
      </c>
      <c r="C35" s="304">
        <v>13485.93</v>
      </c>
      <c r="D35" s="305">
        <v>97.67</v>
      </c>
      <c r="E35" s="305">
        <v>11.79</v>
      </c>
      <c r="F35" s="306">
        <v>108.31</v>
      </c>
      <c r="G35" s="307">
        <v>682.21</v>
      </c>
      <c r="H35" s="308">
        <f t="shared" si="1"/>
        <v>14385.91</v>
      </c>
      <c r="I35" s="309">
        <v>1645.71</v>
      </c>
      <c r="J35" s="309">
        <v>4723.49</v>
      </c>
      <c r="K35" s="309">
        <v>0</v>
      </c>
      <c r="L35" s="240">
        <f t="shared" si="8"/>
        <v>6369.2</v>
      </c>
      <c r="M35" s="241">
        <v>0</v>
      </c>
      <c r="N35" s="261">
        <f t="shared" si="9"/>
        <v>20755.11</v>
      </c>
      <c r="O35" s="262">
        <f t="shared" si="10"/>
        <v>6278.4207749999996</v>
      </c>
      <c r="P35" s="312">
        <v>0</v>
      </c>
      <c r="Q35" s="313">
        <v>0</v>
      </c>
      <c r="R35" s="313">
        <v>0</v>
      </c>
      <c r="S35" s="373">
        <v>0</v>
      </c>
      <c r="T35" s="380">
        <f t="shared" si="2"/>
        <v>0</v>
      </c>
      <c r="U35" s="315">
        <f t="shared" si="11"/>
        <v>0</v>
      </c>
      <c r="V35" s="316">
        <f t="shared" si="7"/>
        <v>20755.11</v>
      </c>
      <c r="W35" s="317">
        <f t="shared" si="7"/>
        <v>6278.4207749999996</v>
      </c>
      <c r="X35" s="250" t="s">
        <v>99</v>
      </c>
      <c r="Y35" s="251">
        <v>38</v>
      </c>
    </row>
    <row r="36" spans="2:25" ht="32.1" customHeight="1">
      <c r="B36" s="303" t="s">
        <v>192</v>
      </c>
      <c r="C36" s="234">
        <v>0</v>
      </c>
      <c r="D36" s="235">
        <v>0</v>
      </c>
      <c r="E36" s="235">
        <v>0</v>
      </c>
      <c r="F36" s="236">
        <v>0</v>
      </c>
      <c r="G36" s="237">
        <v>0</v>
      </c>
      <c r="H36" s="308">
        <f t="shared" si="1"/>
        <v>0</v>
      </c>
      <c r="I36" s="239">
        <v>0</v>
      </c>
      <c r="J36" s="239">
        <v>0</v>
      </c>
      <c r="K36" s="239">
        <v>0</v>
      </c>
      <c r="L36" s="240">
        <f t="shared" si="8"/>
        <v>0</v>
      </c>
      <c r="M36" s="241">
        <v>0</v>
      </c>
      <c r="N36" s="261">
        <f t="shared" si="9"/>
        <v>0</v>
      </c>
      <c r="O36" s="262">
        <f t="shared" si="10"/>
        <v>0</v>
      </c>
      <c r="P36" s="320">
        <v>0</v>
      </c>
      <c r="Q36" s="313">
        <v>0</v>
      </c>
      <c r="R36" s="313">
        <v>0</v>
      </c>
      <c r="S36" s="373">
        <v>0</v>
      </c>
      <c r="T36" s="380">
        <f t="shared" si="2"/>
        <v>0</v>
      </c>
      <c r="U36" s="321">
        <f t="shared" si="11"/>
        <v>0</v>
      </c>
      <c r="V36" s="316">
        <f t="shared" si="7"/>
        <v>0</v>
      </c>
      <c r="W36" s="317">
        <f t="shared" si="7"/>
        <v>0</v>
      </c>
      <c r="X36" s="250">
        <v>243</v>
      </c>
      <c r="Y36" s="251">
        <v>45</v>
      </c>
    </row>
    <row r="37" spans="2:25" ht="32.1" customHeight="1" thickBot="1">
      <c r="B37" s="322" t="s">
        <v>25</v>
      </c>
      <c r="C37" s="269">
        <f>SUM(C31:C36)</f>
        <v>67363.19</v>
      </c>
      <c r="D37" s="270">
        <f>SUM(D31:D36)</f>
        <v>518.20000000000005</v>
      </c>
      <c r="E37" s="270">
        <f>SUM(E31:E36)</f>
        <v>58.949999999999996</v>
      </c>
      <c r="F37" s="323">
        <f>SUM(F31:F36)</f>
        <v>541.54999999999995</v>
      </c>
      <c r="G37" s="324">
        <f>SUM(G31:G36)</f>
        <v>3428.1600000000003</v>
      </c>
      <c r="H37" s="325">
        <f>SUM(C37:G37)</f>
        <v>71910.05</v>
      </c>
      <c r="I37" s="326">
        <f>SUM(I31:I36)</f>
        <v>8200.83</v>
      </c>
      <c r="J37" s="326">
        <f>SUM(J31:J36)</f>
        <v>23617.449999999997</v>
      </c>
      <c r="K37" s="326">
        <f>SUM(K31:K36)</f>
        <v>0</v>
      </c>
      <c r="L37" s="327">
        <f t="shared" si="8"/>
        <v>31818.28</v>
      </c>
      <c r="M37" s="328">
        <f>SUM(M31:M36)</f>
        <v>0</v>
      </c>
      <c r="N37" s="329">
        <f>H37+L37+M37</f>
        <v>103728.33</v>
      </c>
      <c r="O37" s="330">
        <f t="shared" si="10"/>
        <v>31377.819824999999</v>
      </c>
      <c r="P37" s="331">
        <f>SUM(P31:P36)</f>
        <v>0</v>
      </c>
      <c r="Q37" s="331">
        <f t="shared" ref="Q37:R37" si="12">SUM(Q31:Q36)</f>
        <v>0</v>
      </c>
      <c r="R37" s="331">
        <f t="shared" si="12"/>
        <v>0</v>
      </c>
      <c r="S37" s="374">
        <f>SUM(S31:S36)</f>
        <v>147.09</v>
      </c>
      <c r="T37" s="381">
        <f t="shared" si="2"/>
        <v>147.09</v>
      </c>
      <c r="U37" s="333">
        <f>T37*0.3025</f>
        <v>44.494725000000003</v>
      </c>
      <c r="V37" s="334">
        <f>N37+T37</f>
        <v>103875.42</v>
      </c>
      <c r="W37" s="335">
        <f t="shared" si="7"/>
        <v>31422.314549999999</v>
      </c>
      <c r="X37" s="336">
        <f>SUM(X31:X36)</f>
        <v>294</v>
      </c>
      <c r="Y37" s="337">
        <f>SUM(Y31:Y36)</f>
        <v>233</v>
      </c>
    </row>
    <row r="38" spans="2:25" ht="32.1" customHeight="1" thickBot="1">
      <c r="B38" s="338" t="s">
        <v>13</v>
      </c>
      <c r="C38" s="339">
        <f>C30+C37</f>
        <v>82068.14</v>
      </c>
      <c r="D38" s="340">
        <f>D30+D37</f>
        <v>4228.58</v>
      </c>
      <c r="E38" s="340">
        <f t="shared" ref="E38:F38" si="13">E30+E37</f>
        <v>74.289999999999992</v>
      </c>
      <c r="F38" s="340">
        <f t="shared" si="13"/>
        <v>789.56</v>
      </c>
      <c r="G38" s="341">
        <f>G30+G37</f>
        <v>5530.1900000000005</v>
      </c>
      <c r="H38" s="342">
        <f>SUM(C38:G38)</f>
        <v>92690.76</v>
      </c>
      <c r="I38" s="343">
        <f>I30+I37</f>
        <v>9939.369999999999</v>
      </c>
      <c r="J38" s="343">
        <f>J30+J37</f>
        <v>26489.519999999997</v>
      </c>
      <c r="K38" s="343">
        <f>K30+K37</f>
        <v>0</v>
      </c>
      <c r="L38" s="344">
        <f>SUM(I38:K38)</f>
        <v>36428.89</v>
      </c>
      <c r="M38" s="345">
        <f>M30+M37</f>
        <v>2172.73</v>
      </c>
      <c r="N38" s="346">
        <f>H38+L38+M38</f>
        <v>131292.38</v>
      </c>
      <c r="O38" s="347">
        <f t="shared" si="10"/>
        <v>39715.944949999997</v>
      </c>
      <c r="P38" s="331">
        <f>P30+P37</f>
        <v>220.7</v>
      </c>
      <c r="Q38" s="348">
        <f>Q30+Q37</f>
        <v>351.51</v>
      </c>
      <c r="R38" s="348">
        <f>R30+R37</f>
        <v>21.69</v>
      </c>
      <c r="S38" s="348">
        <f>S30+S37</f>
        <v>147.09</v>
      </c>
      <c r="T38" s="381">
        <f>T30+T37</f>
        <v>740.99000000000012</v>
      </c>
      <c r="U38" s="333">
        <f t="shared" ref="U38" si="14">T38*0.3025</f>
        <v>224.14947500000002</v>
      </c>
      <c r="V38" s="349">
        <f t="shared" si="7"/>
        <v>132033.37</v>
      </c>
      <c r="W38" s="350">
        <f t="shared" si="7"/>
        <v>39940.094424999996</v>
      </c>
      <c r="X38" s="351">
        <f>X30+X37</f>
        <v>297</v>
      </c>
      <c r="Y38" s="352">
        <f>Y30+Y37</f>
        <v>268</v>
      </c>
    </row>
    <row r="39" spans="2:25" ht="5.0999999999999996" customHeight="1">
      <c r="O39" s="51"/>
      <c r="P39" s="55"/>
    </row>
    <row r="40" spans="2:25" ht="20.100000000000001" customHeight="1">
      <c r="B40" s="353" t="s">
        <v>171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2:25" ht="9.9499999999999993" customHeight="1"/>
    <row r="42" spans="2:25" ht="30" customHeight="1">
      <c r="I42" s="8"/>
      <c r="J42" s="8"/>
      <c r="N42" s="8"/>
      <c r="O42" s="354"/>
      <c r="P42" s="8"/>
    </row>
    <row r="43" spans="2:25" ht="30" customHeight="1"/>
    <row r="44" spans="2:25" ht="30" customHeight="1">
      <c r="H44" s="51"/>
    </row>
    <row r="45" spans="2:25" ht="30" customHeight="1"/>
    <row r="46" spans="2:25" ht="30" customHeight="1"/>
  </sheetData>
  <mergeCells count="61">
    <mergeCell ref="P25:U25"/>
    <mergeCell ref="V25:W26"/>
    <mergeCell ref="X25:Y26"/>
    <mergeCell ref="C26:H26"/>
    <mergeCell ref="I26:L26"/>
    <mergeCell ref="M26:M27"/>
    <mergeCell ref="N26:O26"/>
    <mergeCell ref="P26:R26"/>
    <mergeCell ref="S26:S27"/>
    <mergeCell ref="T26:U26"/>
    <mergeCell ref="B25:B27"/>
    <mergeCell ref="C25:O25"/>
    <mergeCell ref="B18:C20"/>
    <mergeCell ref="D18:E18"/>
    <mergeCell ref="F18:F20"/>
    <mergeCell ref="G18:H18"/>
    <mergeCell ref="D19:E19"/>
    <mergeCell ref="G19:H19"/>
    <mergeCell ref="D20:E20"/>
    <mergeCell ref="G20:H20"/>
    <mergeCell ref="B21:C21"/>
    <mergeCell ref="D21:E21"/>
    <mergeCell ref="G21:I21"/>
    <mergeCell ref="B22:C22"/>
    <mergeCell ref="D22:I22"/>
    <mergeCell ref="B16:C16"/>
    <mergeCell ref="D16:F16"/>
    <mergeCell ref="G16:H16"/>
    <mergeCell ref="B17:C17"/>
    <mergeCell ref="D17:E17"/>
    <mergeCell ref="H17:I17"/>
    <mergeCell ref="B14:C14"/>
    <mergeCell ref="D14:F14"/>
    <mergeCell ref="G14:H14"/>
    <mergeCell ref="B15:C15"/>
    <mergeCell ref="D15:F15"/>
    <mergeCell ref="G15:H15"/>
    <mergeCell ref="B10:C10"/>
    <mergeCell ref="D10:F10"/>
    <mergeCell ref="G10:H10"/>
    <mergeCell ref="B11:B13"/>
    <mergeCell ref="D11:F11"/>
    <mergeCell ref="G11:H11"/>
    <mergeCell ref="D12:F12"/>
    <mergeCell ref="G12:H12"/>
    <mergeCell ref="D13:F13"/>
    <mergeCell ref="G13:H13"/>
    <mergeCell ref="B9:C9"/>
    <mergeCell ref="D9:F9"/>
    <mergeCell ref="G9:H9"/>
    <mergeCell ref="B3:C3"/>
    <mergeCell ref="B4:C4"/>
    <mergeCell ref="B5:C5"/>
    <mergeCell ref="D5:F5"/>
    <mergeCell ref="B6:C6"/>
    <mergeCell ref="D6:F6"/>
    <mergeCell ref="G6:H6"/>
    <mergeCell ref="B7:C7"/>
    <mergeCell ref="D7:F7"/>
    <mergeCell ref="B8:C8"/>
    <mergeCell ref="D8:F8"/>
  </mergeCells>
  <phoneticPr fontId="2" type="noConversion"/>
  <pageMargins left="0.7" right="0.7" top="0.75" bottom="0.75" header="0.3" footer="0.3"/>
  <pageSetup paperSize="8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U59"/>
  <sheetViews>
    <sheetView showGridLines="0" zoomScale="85" zoomScaleNormal="85" workbookViewId="0">
      <selection activeCell="F68" sqref="F68"/>
    </sheetView>
  </sheetViews>
  <sheetFormatPr defaultRowHeight="16.5"/>
  <cols>
    <col min="1" max="1" width="10.625" customWidth="1"/>
    <col min="2" max="16" width="12.625" customWidth="1"/>
    <col min="17" max="17" width="12.625" style="125" customWidth="1"/>
    <col min="18" max="18" width="12.625" customWidth="1"/>
    <col min="19" max="20" width="9.875" bestFit="1" customWidth="1"/>
  </cols>
  <sheetData>
    <row r="1" spans="2:18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8" ht="24.95" customHeight="1" thickBot="1">
      <c r="B2" s="78" t="s">
        <v>74</v>
      </c>
      <c r="C2" s="6"/>
      <c r="D2" s="6"/>
      <c r="E2" s="6"/>
      <c r="F2" s="6"/>
      <c r="G2" s="6"/>
      <c r="H2" s="6"/>
      <c r="I2" s="6"/>
      <c r="J2" s="1"/>
      <c r="K2" s="74" t="s">
        <v>14</v>
      </c>
      <c r="L2" s="6"/>
      <c r="M2" s="6"/>
      <c r="N2" s="6"/>
      <c r="O2" s="3"/>
      <c r="P2" s="3"/>
      <c r="Q2" s="101"/>
      <c r="R2" s="3"/>
    </row>
    <row r="3" spans="2:18" ht="20.100000000000001" customHeight="1" thickBot="1">
      <c r="B3" s="390" t="s">
        <v>8</v>
      </c>
      <c r="C3" s="440"/>
      <c r="D3" s="9" t="s">
        <v>84</v>
      </c>
      <c r="E3" s="10"/>
      <c r="F3" s="10"/>
      <c r="G3" s="10"/>
      <c r="H3" s="10"/>
      <c r="I3" s="10"/>
      <c r="J3" s="7"/>
      <c r="K3" s="53" t="s">
        <v>15</v>
      </c>
      <c r="L3" s="19" t="s">
        <v>16</v>
      </c>
      <c r="M3" s="20" t="s">
        <v>17</v>
      </c>
      <c r="N3" s="36" t="s">
        <v>26</v>
      </c>
      <c r="O3" s="57" t="s">
        <v>27</v>
      </c>
      <c r="P3" s="56" t="s">
        <v>35</v>
      </c>
      <c r="Q3" s="102" t="s">
        <v>36</v>
      </c>
      <c r="R3" s="58" t="s">
        <v>18</v>
      </c>
    </row>
    <row r="4" spans="2:18" ht="20.100000000000001" customHeight="1">
      <c r="B4" s="413" t="s">
        <v>9</v>
      </c>
      <c r="C4" s="419"/>
      <c r="D4" s="441" t="s">
        <v>75</v>
      </c>
      <c r="E4" s="442"/>
      <c r="F4" s="442"/>
      <c r="G4" s="442"/>
      <c r="H4" s="442"/>
      <c r="I4" s="442"/>
      <c r="J4" s="7"/>
      <c r="K4" s="60"/>
      <c r="L4" s="61"/>
      <c r="M4" s="20"/>
      <c r="N4" s="84"/>
      <c r="O4" s="85"/>
      <c r="P4" s="84"/>
      <c r="Q4" s="85"/>
      <c r="R4" s="62"/>
    </row>
    <row r="5" spans="2:18" ht="20.100000000000001" customHeight="1">
      <c r="B5" s="413" t="s">
        <v>10</v>
      </c>
      <c r="C5" s="54" t="s">
        <v>39</v>
      </c>
      <c r="D5" s="428">
        <v>29799.9</v>
      </c>
      <c r="E5" s="429"/>
      <c r="F5" s="430">
        <f>D5*0.3025</f>
        <v>9014.4697500000002</v>
      </c>
      <c r="G5" s="445"/>
      <c r="H5" s="124"/>
      <c r="I5" s="124"/>
      <c r="J5" s="7"/>
      <c r="K5" s="63"/>
      <c r="L5" s="64"/>
      <c r="M5" s="65"/>
      <c r="N5" s="86"/>
      <c r="O5" s="87"/>
      <c r="P5" s="86"/>
      <c r="Q5" s="103"/>
      <c r="R5" s="69"/>
    </row>
    <row r="6" spans="2:18" ht="20.100000000000001" hidden="1" customHeight="1">
      <c r="B6" s="443"/>
      <c r="C6" s="54" t="s">
        <v>65</v>
      </c>
      <c r="D6" s="428">
        <v>0</v>
      </c>
      <c r="E6" s="446"/>
      <c r="F6" s="430">
        <f t="shared" ref="F6:F13" si="0">D6*0.3025</f>
        <v>0</v>
      </c>
      <c r="G6" s="445"/>
      <c r="H6" s="124"/>
      <c r="I6" s="124" t="s">
        <v>69</v>
      </c>
      <c r="J6" s="7"/>
      <c r="K6" s="63"/>
      <c r="L6" s="64"/>
      <c r="M6" s="65"/>
      <c r="N6" s="86"/>
      <c r="O6" s="87"/>
      <c r="P6" s="86"/>
      <c r="Q6" s="103"/>
      <c r="R6" s="69"/>
    </row>
    <row r="7" spans="2:18" ht="20.100000000000001" hidden="1" customHeight="1">
      <c r="B7" s="443"/>
      <c r="C7" s="54" t="s">
        <v>66</v>
      </c>
      <c r="D7" s="428">
        <v>0</v>
      </c>
      <c r="E7" s="446"/>
      <c r="F7" s="430">
        <f t="shared" si="0"/>
        <v>0</v>
      </c>
      <c r="G7" s="445"/>
      <c r="H7" s="124"/>
      <c r="I7" s="124" t="s">
        <v>68</v>
      </c>
      <c r="J7" s="7"/>
      <c r="K7" s="63"/>
      <c r="L7" s="64"/>
      <c r="M7" s="65"/>
      <c r="N7" s="86"/>
      <c r="O7" s="87"/>
      <c r="P7" s="86"/>
      <c r="Q7" s="103"/>
      <c r="R7" s="69"/>
    </row>
    <row r="8" spans="2:18" ht="20.100000000000001" hidden="1" customHeight="1">
      <c r="B8" s="444"/>
      <c r="C8" s="54" t="s">
        <v>64</v>
      </c>
      <c r="D8" s="428">
        <f>N31</f>
        <v>0</v>
      </c>
      <c r="E8" s="446"/>
      <c r="F8" s="430">
        <f t="shared" si="0"/>
        <v>0</v>
      </c>
      <c r="G8" s="445"/>
      <c r="H8" s="124"/>
      <c r="I8" s="124" t="s">
        <v>67</v>
      </c>
      <c r="J8" s="7"/>
      <c r="K8" s="63"/>
      <c r="L8" s="64"/>
      <c r="M8" s="65"/>
      <c r="N8" s="86"/>
      <c r="O8" s="87"/>
      <c r="P8" s="88"/>
      <c r="Q8" s="103"/>
      <c r="R8" s="69"/>
    </row>
    <row r="9" spans="2:18" ht="20.100000000000001" customHeight="1">
      <c r="B9" s="438" t="s">
        <v>7</v>
      </c>
      <c r="C9" s="54" t="s">
        <v>11</v>
      </c>
      <c r="D9" s="428">
        <f>O49</f>
        <v>97961</v>
      </c>
      <c r="E9" s="429"/>
      <c r="F9" s="430">
        <f t="shared" si="0"/>
        <v>29633.202499999999</v>
      </c>
      <c r="G9" s="431"/>
      <c r="H9" s="124"/>
      <c r="I9" s="124"/>
      <c r="J9" s="7"/>
      <c r="K9" s="63"/>
      <c r="L9" s="64"/>
      <c r="M9" s="65"/>
      <c r="N9" s="86"/>
      <c r="O9" s="87"/>
      <c r="P9" s="86"/>
      <c r="Q9" s="103"/>
      <c r="R9" s="69"/>
    </row>
    <row r="10" spans="2:18" ht="20.100000000000001" customHeight="1">
      <c r="B10" s="439"/>
      <c r="C10" s="54" t="s">
        <v>12</v>
      </c>
      <c r="D10" s="428">
        <f>O39</f>
        <v>28559</v>
      </c>
      <c r="E10" s="429"/>
      <c r="F10" s="430">
        <f t="shared" si="0"/>
        <v>8639.0974999999999</v>
      </c>
      <c r="G10" s="431"/>
      <c r="H10" s="124"/>
      <c r="I10" s="124"/>
      <c r="J10" s="7"/>
      <c r="K10" s="70"/>
      <c r="L10" s="64"/>
      <c r="M10" s="65"/>
      <c r="N10" s="86"/>
      <c r="O10" s="87"/>
      <c r="P10" s="86"/>
      <c r="Q10" s="103"/>
      <c r="R10" s="71"/>
    </row>
    <row r="11" spans="2:18" ht="20.100000000000001" customHeight="1">
      <c r="B11" s="439"/>
      <c r="C11" s="54" t="s">
        <v>13</v>
      </c>
      <c r="D11" s="428">
        <f>SUM(D9:E10)</f>
        <v>126520</v>
      </c>
      <c r="E11" s="429"/>
      <c r="F11" s="430">
        <f t="shared" si="0"/>
        <v>38272.299999999996</v>
      </c>
      <c r="G11" s="431"/>
      <c r="H11" s="124"/>
      <c r="I11" s="124"/>
      <c r="J11" s="7"/>
      <c r="K11" s="63"/>
      <c r="L11" s="64"/>
      <c r="M11" s="65"/>
      <c r="N11" s="86"/>
      <c r="O11" s="87"/>
      <c r="P11" s="88"/>
      <c r="Q11" s="103"/>
      <c r="R11" s="69"/>
    </row>
    <row r="12" spans="2:18" ht="20.100000000000001" customHeight="1">
      <c r="B12" s="413" t="s">
        <v>29</v>
      </c>
      <c r="C12" s="419"/>
      <c r="D12" s="428">
        <f>O49-K49-I49</f>
        <v>70985</v>
      </c>
      <c r="E12" s="429"/>
      <c r="F12" s="430">
        <f t="shared" si="0"/>
        <v>21472.962499999998</v>
      </c>
      <c r="G12" s="431"/>
      <c r="H12" s="124"/>
      <c r="I12" s="124"/>
      <c r="J12" s="7"/>
      <c r="K12" s="63"/>
      <c r="L12" s="64"/>
      <c r="M12" s="65"/>
      <c r="N12" s="86"/>
      <c r="O12" s="87"/>
      <c r="P12" s="88"/>
      <c r="Q12" s="103"/>
      <c r="R12" s="72"/>
    </row>
    <row r="13" spans="2:18" ht="20.100000000000001" customHeight="1">
      <c r="B13" s="413" t="s">
        <v>28</v>
      </c>
      <c r="C13" s="437"/>
      <c r="D13" s="428">
        <v>20653</v>
      </c>
      <c r="E13" s="429"/>
      <c r="F13" s="430">
        <f t="shared" si="0"/>
        <v>6247.5325000000003</v>
      </c>
      <c r="G13" s="431"/>
      <c r="H13" s="436"/>
      <c r="I13" s="436"/>
      <c r="J13" s="7"/>
      <c r="K13" s="63"/>
      <c r="L13" s="64"/>
      <c r="M13" s="65"/>
      <c r="N13" s="86"/>
      <c r="O13" s="87"/>
      <c r="P13" s="86"/>
      <c r="Q13" s="103"/>
      <c r="R13" s="69"/>
    </row>
    <row r="14" spans="2:18" ht="20.100000000000001" customHeight="1">
      <c r="B14" s="413" t="s">
        <v>30</v>
      </c>
      <c r="C14" s="419"/>
      <c r="D14" s="434">
        <f>D13/D5</f>
        <v>0.69305601696649988</v>
      </c>
      <c r="E14" s="435"/>
      <c r="F14" s="422" t="s">
        <v>70</v>
      </c>
      <c r="G14" s="421"/>
      <c r="H14" s="124"/>
      <c r="I14" s="124"/>
      <c r="J14" s="7"/>
      <c r="K14" s="63"/>
      <c r="L14" s="64"/>
      <c r="M14" s="65"/>
      <c r="N14" s="86"/>
      <c r="O14" s="87"/>
      <c r="P14" s="88"/>
      <c r="Q14" s="103"/>
      <c r="R14" s="73"/>
    </row>
    <row r="15" spans="2:18" ht="20.100000000000001" customHeight="1">
      <c r="B15" s="413" t="s">
        <v>31</v>
      </c>
      <c r="C15" s="419"/>
      <c r="D15" s="434">
        <f>D12/D5</f>
        <v>2.3820549733388368</v>
      </c>
      <c r="E15" s="435"/>
      <c r="F15" s="422" t="s">
        <v>76</v>
      </c>
      <c r="G15" s="421"/>
      <c r="H15" s="124"/>
      <c r="I15" s="124"/>
      <c r="J15" s="7"/>
      <c r="K15" s="63"/>
      <c r="L15" s="64"/>
      <c r="M15" s="65"/>
      <c r="N15" s="86"/>
      <c r="O15" s="87"/>
      <c r="P15" s="86"/>
      <c r="Q15" s="103"/>
      <c r="R15" s="76"/>
    </row>
    <row r="16" spans="2:18" ht="20.100000000000001" customHeight="1">
      <c r="B16" s="423" t="s">
        <v>58</v>
      </c>
      <c r="C16" s="424"/>
      <c r="D16" s="428">
        <f>$O$50-$K$50</f>
        <v>103940</v>
      </c>
      <c r="E16" s="429"/>
      <c r="F16" s="430">
        <f t="shared" ref="F16" si="1">D16*0.3025</f>
        <v>31441.85</v>
      </c>
      <c r="G16" s="431"/>
      <c r="H16" s="432" t="s">
        <v>61</v>
      </c>
      <c r="I16" s="433"/>
      <c r="J16" s="7"/>
      <c r="K16" s="63"/>
      <c r="L16" s="64"/>
      <c r="M16" s="65"/>
      <c r="N16" s="86"/>
      <c r="O16" s="87"/>
      <c r="P16" s="86"/>
      <c r="Q16" s="103"/>
      <c r="R16" s="69"/>
    </row>
    <row r="17" spans="2:18" ht="20.100000000000001" customHeight="1">
      <c r="B17" s="413" t="s">
        <v>57</v>
      </c>
      <c r="C17" s="419"/>
      <c r="D17" s="434">
        <f>D16/$O$50</f>
        <v>0.8215301928548846</v>
      </c>
      <c r="E17" s="435"/>
      <c r="F17" s="422" t="s">
        <v>38</v>
      </c>
      <c r="G17" s="421"/>
      <c r="H17" s="124"/>
      <c r="I17" s="124"/>
      <c r="J17" s="7"/>
      <c r="K17" s="63"/>
      <c r="L17" s="64"/>
      <c r="M17" s="65"/>
      <c r="N17" s="86"/>
      <c r="O17" s="87"/>
      <c r="P17" s="88"/>
      <c r="Q17" s="103"/>
      <c r="R17" s="69"/>
    </row>
    <row r="18" spans="2:18" ht="20.100000000000001" customHeight="1">
      <c r="B18" s="423" t="s">
        <v>59</v>
      </c>
      <c r="C18" s="424"/>
      <c r="D18" s="428">
        <f>$O$50-$K$50-$I$50</f>
        <v>93738</v>
      </c>
      <c r="E18" s="429"/>
      <c r="F18" s="430">
        <f t="shared" ref="F18" si="2">D18*0.3025</f>
        <v>28355.744999999999</v>
      </c>
      <c r="G18" s="431"/>
      <c r="H18" s="432" t="s">
        <v>62</v>
      </c>
      <c r="I18" s="433"/>
      <c r="J18" s="7"/>
      <c r="K18" s="63"/>
      <c r="L18" s="64"/>
      <c r="M18" s="65"/>
      <c r="N18" s="86"/>
      <c r="O18" s="87"/>
      <c r="P18" s="88"/>
      <c r="Q18" s="103"/>
      <c r="R18" s="69"/>
    </row>
    <row r="19" spans="2:18" ht="20.100000000000001" customHeight="1">
      <c r="B19" s="413" t="s">
        <v>60</v>
      </c>
      <c r="C19" s="419"/>
      <c r="D19" s="434">
        <f>D18/$O$50</f>
        <v>0.7408947202023396</v>
      </c>
      <c r="E19" s="435"/>
      <c r="F19" s="422" t="s">
        <v>38</v>
      </c>
      <c r="G19" s="421"/>
      <c r="H19" s="124"/>
      <c r="I19" s="124"/>
      <c r="J19" s="7"/>
      <c r="K19" s="63"/>
      <c r="L19" s="64"/>
      <c r="M19" s="65"/>
      <c r="N19" s="86"/>
      <c r="O19" s="87"/>
      <c r="P19" s="88"/>
      <c r="Q19" s="103"/>
      <c r="R19" s="72"/>
    </row>
    <row r="20" spans="2:18" ht="20.100000000000001" customHeight="1">
      <c r="B20" s="413" t="s">
        <v>32</v>
      </c>
      <c r="C20" s="419"/>
      <c r="D20" s="420" t="s">
        <v>87</v>
      </c>
      <c r="E20" s="421"/>
      <c r="F20" s="422" t="s">
        <v>77</v>
      </c>
      <c r="G20" s="421"/>
      <c r="H20" s="124"/>
      <c r="I20" s="124"/>
      <c r="J20" s="7"/>
      <c r="K20" s="63"/>
      <c r="L20" s="64"/>
      <c r="M20" s="65"/>
      <c r="N20" s="86"/>
      <c r="O20" s="87"/>
      <c r="P20" s="88"/>
      <c r="Q20" s="103"/>
      <c r="R20" s="72"/>
    </row>
    <row r="21" spans="2:18" ht="20.100000000000001" customHeight="1" thickBot="1">
      <c r="B21" s="423" t="s">
        <v>23</v>
      </c>
      <c r="C21" s="424"/>
      <c r="D21" s="420">
        <v>8.5000000000000006E-2</v>
      </c>
      <c r="E21" s="425"/>
      <c r="F21" s="426" t="s">
        <v>34</v>
      </c>
      <c r="G21" s="427"/>
      <c r="H21" s="411"/>
      <c r="I21" s="412"/>
      <c r="J21" s="7"/>
      <c r="K21" s="63"/>
      <c r="L21" s="64"/>
      <c r="M21" s="65"/>
      <c r="N21" s="86"/>
      <c r="O21" s="87"/>
      <c r="P21" s="88"/>
      <c r="Q21" s="103"/>
      <c r="R21" s="72"/>
    </row>
    <row r="22" spans="2:18" ht="20.100000000000001" hidden="1" customHeight="1">
      <c r="B22" s="413" t="s">
        <v>63</v>
      </c>
      <c r="C22" s="414"/>
      <c r="D22" s="396"/>
      <c r="E22" s="397"/>
      <c r="F22" s="397"/>
      <c r="G22" s="397"/>
      <c r="H22" s="397"/>
      <c r="I22" s="397"/>
      <c r="J22" s="7"/>
      <c r="K22" s="63"/>
      <c r="L22" s="64"/>
      <c r="M22" s="65"/>
      <c r="N22" s="66"/>
      <c r="O22" s="67"/>
      <c r="P22" s="68"/>
      <c r="Q22" s="104"/>
      <c r="R22" s="72"/>
    </row>
    <row r="23" spans="2:18" ht="20.100000000000001" hidden="1" customHeight="1">
      <c r="B23" s="415"/>
      <c r="C23" s="416"/>
      <c r="D23" s="396"/>
      <c r="E23" s="397"/>
      <c r="F23" s="397"/>
      <c r="G23" s="397"/>
      <c r="H23" s="397"/>
      <c r="I23" s="397"/>
      <c r="J23" s="7"/>
      <c r="K23" s="63"/>
      <c r="L23" s="64"/>
      <c r="M23" s="65"/>
      <c r="N23" s="66"/>
      <c r="O23" s="67"/>
      <c r="P23" s="68"/>
      <c r="Q23" s="104"/>
      <c r="R23" s="72"/>
    </row>
    <row r="24" spans="2:18" ht="20.100000000000001" hidden="1" customHeight="1">
      <c r="B24" s="415"/>
      <c r="C24" s="416"/>
      <c r="D24" s="396"/>
      <c r="E24" s="397"/>
      <c r="F24" s="397"/>
      <c r="G24" s="397"/>
      <c r="H24" s="397"/>
      <c r="I24" s="397"/>
      <c r="J24" s="7"/>
      <c r="K24" s="63"/>
      <c r="L24" s="64"/>
      <c r="M24" s="65"/>
      <c r="N24" s="66"/>
      <c r="O24" s="67"/>
      <c r="P24" s="68"/>
      <c r="Q24" s="104"/>
      <c r="R24" s="72"/>
    </row>
    <row r="25" spans="2:18" ht="20.100000000000001" hidden="1" customHeight="1">
      <c r="B25" s="415"/>
      <c r="C25" s="416"/>
      <c r="D25" s="396"/>
      <c r="E25" s="397"/>
      <c r="F25" s="397"/>
      <c r="G25" s="397"/>
      <c r="H25" s="397"/>
      <c r="I25" s="397"/>
      <c r="J25" s="7"/>
      <c r="K25" s="63"/>
      <c r="L25" s="64"/>
      <c r="M25" s="65"/>
      <c r="N25" s="66"/>
      <c r="O25" s="67"/>
      <c r="P25" s="68"/>
      <c r="Q25" s="104"/>
      <c r="R25" s="72"/>
    </row>
    <row r="26" spans="2:18" ht="20.100000000000001" hidden="1" customHeight="1">
      <c r="B26" s="415"/>
      <c r="C26" s="416"/>
      <c r="D26" s="396"/>
      <c r="E26" s="397"/>
      <c r="F26" s="397"/>
      <c r="G26" s="397"/>
      <c r="H26" s="397"/>
      <c r="I26" s="397"/>
      <c r="J26" s="7"/>
      <c r="K26" s="63"/>
      <c r="L26" s="64"/>
      <c r="M26" s="65"/>
      <c r="N26" s="66"/>
      <c r="O26" s="67"/>
      <c r="P26" s="68"/>
      <c r="Q26" s="104"/>
      <c r="R26" s="72"/>
    </row>
    <row r="27" spans="2:18" ht="20.100000000000001" hidden="1" customHeight="1">
      <c r="B27" s="415"/>
      <c r="C27" s="416"/>
      <c r="D27" s="396"/>
      <c r="E27" s="397"/>
      <c r="F27" s="397"/>
      <c r="G27" s="397"/>
      <c r="H27" s="397"/>
      <c r="I27" s="397"/>
      <c r="J27" s="7"/>
      <c r="K27" s="63"/>
      <c r="L27" s="64"/>
      <c r="M27" s="65"/>
      <c r="N27" s="66"/>
      <c r="O27" s="67"/>
      <c r="P27" s="68"/>
      <c r="Q27" s="104"/>
      <c r="R27" s="72"/>
    </row>
    <row r="28" spans="2:18" ht="20.100000000000001" hidden="1" customHeight="1">
      <c r="B28" s="415"/>
      <c r="C28" s="416"/>
      <c r="D28" s="396"/>
      <c r="E28" s="397"/>
      <c r="F28" s="397"/>
      <c r="G28" s="397"/>
      <c r="H28" s="397"/>
      <c r="I28" s="397"/>
      <c r="J28" s="7"/>
      <c r="K28" s="63"/>
      <c r="L28" s="64"/>
      <c r="M28" s="65"/>
      <c r="N28" s="66"/>
      <c r="O28" s="67"/>
      <c r="P28" s="68"/>
      <c r="Q28" s="104"/>
      <c r="R28" s="72"/>
    </row>
    <row r="29" spans="2:18" ht="20.100000000000001" hidden="1" customHeight="1">
      <c r="B29" s="415"/>
      <c r="C29" s="416"/>
      <c r="D29" s="396"/>
      <c r="E29" s="397"/>
      <c r="F29" s="397"/>
      <c r="G29" s="397"/>
      <c r="H29" s="397"/>
      <c r="I29" s="397"/>
      <c r="J29" s="7"/>
      <c r="K29" s="63"/>
      <c r="L29" s="64"/>
      <c r="M29" s="65"/>
      <c r="N29" s="66"/>
      <c r="O29" s="67"/>
      <c r="P29" s="68"/>
      <c r="Q29" s="104"/>
      <c r="R29" s="72"/>
    </row>
    <row r="30" spans="2:18" ht="20.100000000000001" hidden="1" customHeight="1" thickBot="1">
      <c r="B30" s="415"/>
      <c r="C30" s="416"/>
      <c r="D30" s="396"/>
      <c r="E30" s="397"/>
      <c r="F30" s="397"/>
      <c r="G30" s="397"/>
      <c r="H30" s="397"/>
      <c r="I30" s="397"/>
      <c r="J30" s="7"/>
      <c r="K30" s="63"/>
      <c r="L30" s="64"/>
      <c r="M30" s="65"/>
      <c r="N30" s="66"/>
      <c r="O30" s="67"/>
      <c r="P30" s="68"/>
      <c r="Q30" s="104"/>
      <c r="R30" s="72"/>
    </row>
    <row r="31" spans="2:18" ht="20.100000000000001" customHeight="1" thickBot="1">
      <c r="B31" s="417"/>
      <c r="C31" s="418"/>
      <c r="D31" s="398" t="s">
        <v>81</v>
      </c>
      <c r="E31" s="399"/>
      <c r="F31" s="400"/>
      <c r="G31" s="100">
        <f>(O50-I50-K50)/400</f>
        <v>234.345</v>
      </c>
      <c r="H31" s="401" t="s">
        <v>82</v>
      </c>
      <c r="I31" s="402"/>
      <c r="J31" s="7"/>
      <c r="K31" s="403" t="s">
        <v>19</v>
      </c>
      <c r="L31" s="404"/>
      <c r="M31" s="405"/>
      <c r="N31" s="89">
        <f>SUM(N4:N30)</f>
        <v>0</v>
      </c>
      <c r="O31" s="90">
        <f>N31*0.3025</f>
        <v>0</v>
      </c>
      <c r="P31" s="91">
        <f>SUM(P4:P30)</f>
        <v>0</v>
      </c>
      <c r="Q31" s="92">
        <f>P31*0.3025</f>
        <v>0</v>
      </c>
      <c r="R31" s="59"/>
    </row>
    <row r="32" spans="2:18" ht="6" customHeight="1" thickTop="1">
      <c r="B32" s="5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2:21" ht="24.95" customHeight="1" thickBot="1">
      <c r="B33" s="75" t="s">
        <v>22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101"/>
      <c r="R33" s="3"/>
    </row>
    <row r="34" spans="2:21" ht="20.100000000000001" customHeight="1">
      <c r="B34" s="407" t="s">
        <v>40</v>
      </c>
      <c r="C34" s="390" t="s">
        <v>55</v>
      </c>
      <c r="D34" s="409"/>
      <c r="E34" s="410" t="s">
        <v>56</v>
      </c>
      <c r="F34" s="409"/>
      <c r="G34" s="410" t="s">
        <v>48</v>
      </c>
      <c r="H34" s="409"/>
      <c r="I34" s="388" t="s">
        <v>54</v>
      </c>
      <c r="J34" s="406"/>
      <c r="K34" s="388" t="s">
        <v>33</v>
      </c>
      <c r="L34" s="406"/>
      <c r="M34" s="388" t="s">
        <v>50</v>
      </c>
      <c r="N34" s="389"/>
      <c r="O34" s="390" t="s">
        <v>6</v>
      </c>
      <c r="P34" s="391"/>
      <c r="Q34" s="392" t="s">
        <v>49</v>
      </c>
      <c r="R34" s="394" t="s">
        <v>18</v>
      </c>
      <c r="T34" s="50" t="s">
        <v>49</v>
      </c>
    </row>
    <row r="35" spans="2:21" ht="20.100000000000001" customHeight="1" thickBot="1">
      <c r="B35" s="408"/>
      <c r="C35" s="21" t="s">
        <v>4</v>
      </c>
      <c r="D35" s="22" t="s">
        <v>5</v>
      </c>
      <c r="E35" s="23" t="s">
        <v>4</v>
      </c>
      <c r="F35" s="22" t="s">
        <v>5</v>
      </c>
      <c r="G35" s="23" t="s">
        <v>4</v>
      </c>
      <c r="H35" s="22" t="s">
        <v>5</v>
      </c>
      <c r="I35" s="22" t="s">
        <v>4</v>
      </c>
      <c r="J35" s="22" t="s">
        <v>5</v>
      </c>
      <c r="K35" s="22" t="s">
        <v>4</v>
      </c>
      <c r="L35" s="22" t="s">
        <v>5</v>
      </c>
      <c r="M35" s="22" t="s">
        <v>4</v>
      </c>
      <c r="N35" s="24" t="s">
        <v>5</v>
      </c>
      <c r="O35" s="25" t="s">
        <v>4</v>
      </c>
      <c r="P35" s="26" t="s">
        <v>5</v>
      </c>
      <c r="Q35" s="393"/>
      <c r="R35" s="395"/>
      <c r="T35" s="50" t="s">
        <v>51</v>
      </c>
      <c r="U35" s="50" t="s">
        <v>52</v>
      </c>
    </row>
    <row r="36" spans="2:21" ht="20.100000000000001" hidden="1" customHeight="1">
      <c r="B36" s="33" t="s">
        <v>42</v>
      </c>
      <c r="C36" s="117">
        <v>0</v>
      </c>
      <c r="D36" s="113">
        <f>C36*0.3025</f>
        <v>0</v>
      </c>
      <c r="E36" s="114">
        <v>0</v>
      </c>
      <c r="F36" s="113">
        <f>E36*0.3025</f>
        <v>0</v>
      </c>
      <c r="G36" s="114">
        <v>0</v>
      </c>
      <c r="H36" s="113">
        <f>G36*0.3025</f>
        <v>0</v>
      </c>
      <c r="I36" s="115">
        <v>0</v>
      </c>
      <c r="J36" s="115">
        <f>I36*0.3025</f>
        <v>0</v>
      </c>
      <c r="K36" s="115">
        <v>0</v>
      </c>
      <c r="L36" s="113">
        <f>K36*0.3025</f>
        <v>0</v>
      </c>
      <c r="M36" s="115">
        <v>0</v>
      </c>
      <c r="N36" s="77">
        <f>M36*0.3025</f>
        <v>0</v>
      </c>
      <c r="O36" s="13">
        <f>C36+E36+G36+I36+K36+M36</f>
        <v>0</v>
      </c>
      <c r="P36" s="14">
        <f t="shared" ref="P36:P50" si="3">O36*0.3025</f>
        <v>0</v>
      </c>
      <c r="Q36" s="105"/>
      <c r="R36" s="79" t="s">
        <v>41</v>
      </c>
    </row>
    <row r="37" spans="2:21" ht="20.100000000000001" customHeight="1">
      <c r="B37" s="33" t="s">
        <v>37</v>
      </c>
      <c r="C37" s="97">
        <v>0</v>
      </c>
      <c r="D37" s="96">
        <f>C37*0.3025</f>
        <v>0</v>
      </c>
      <c r="E37" s="15">
        <f>16560-100</f>
        <v>16460</v>
      </c>
      <c r="F37" s="16">
        <f t="shared" ref="F37:F38" si="4">E37*0.3025</f>
        <v>4979.1499999999996</v>
      </c>
      <c r="G37" s="15">
        <f>149+326-30</f>
        <v>445</v>
      </c>
      <c r="H37" s="16">
        <f t="shared" ref="H37:H38" si="5">G37*0.3025</f>
        <v>134.61249999999998</v>
      </c>
      <c r="I37" s="16">
        <v>1802</v>
      </c>
      <c r="J37" s="16">
        <f t="shared" ref="J37:J38" si="6">I37*0.3025</f>
        <v>545.10500000000002</v>
      </c>
      <c r="K37" s="16">
        <v>4004</v>
      </c>
      <c r="L37" s="16">
        <f t="shared" ref="L37:L38" si="7">K37*0.3025</f>
        <v>1211.21</v>
      </c>
      <c r="M37" s="16">
        <v>1546</v>
      </c>
      <c r="N37" s="118">
        <f>M37*0.3025</f>
        <v>467.66499999999996</v>
      </c>
      <c r="O37" s="13">
        <f>C37+E37+G37+I37+K37+M37</f>
        <v>24257</v>
      </c>
      <c r="P37" s="14">
        <f t="shared" si="3"/>
        <v>7337.7424999999994</v>
      </c>
      <c r="Q37" s="106"/>
      <c r="R37" s="80" t="s">
        <v>56</v>
      </c>
    </row>
    <row r="38" spans="2:21" ht="20.100000000000001" customHeight="1" thickBot="1">
      <c r="B38" s="37" t="s">
        <v>0</v>
      </c>
      <c r="C38" s="119">
        <v>0</v>
      </c>
      <c r="D38" s="120">
        <f>C38*0.3025</f>
        <v>0</v>
      </c>
      <c r="E38" s="121">
        <v>0</v>
      </c>
      <c r="F38" s="122">
        <f t="shared" si="4"/>
        <v>0</v>
      </c>
      <c r="G38" s="121">
        <f>4352-50</f>
        <v>4302</v>
      </c>
      <c r="H38" s="122">
        <f t="shared" si="5"/>
        <v>1301.355</v>
      </c>
      <c r="I38" s="122">
        <v>0</v>
      </c>
      <c r="J38" s="122">
        <f t="shared" si="6"/>
        <v>0</v>
      </c>
      <c r="K38" s="122">
        <v>0</v>
      </c>
      <c r="L38" s="122">
        <f t="shared" si="7"/>
        <v>0</v>
      </c>
      <c r="M38" s="122">
        <v>0</v>
      </c>
      <c r="N38" s="123">
        <f>M38*0.3025</f>
        <v>0</v>
      </c>
      <c r="O38" s="40">
        <f>C38+E38+G38+I38+K38+M38</f>
        <v>4302</v>
      </c>
      <c r="P38" s="41">
        <f t="shared" si="3"/>
        <v>1301.355</v>
      </c>
      <c r="Q38" s="107"/>
      <c r="R38" s="95" t="s">
        <v>85</v>
      </c>
      <c r="T38" s="50">
        <v>25</v>
      </c>
      <c r="U38" s="50">
        <v>57</v>
      </c>
    </row>
    <row r="39" spans="2:21" ht="20.100000000000001" customHeight="1" thickBot="1">
      <c r="B39" s="27" t="s">
        <v>24</v>
      </c>
      <c r="C39" s="42">
        <f>SUM(C36:C38)</f>
        <v>0</v>
      </c>
      <c r="D39" s="29">
        <f>C39*0.3025</f>
        <v>0</v>
      </c>
      <c r="E39" s="43">
        <f>SUM(E36:E38)</f>
        <v>16460</v>
      </c>
      <c r="F39" s="30">
        <f>E39*0.3025</f>
        <v>4979.1499999999996</v>
      </c>
      <c r="G39" s="43">
        <f>SUM(G36:G38)</f>
        <v>4747</v>
      </c>
      <c r="H39" s="30">
        <f>G39*0.3025</f>
        <v>1435.9675</v>
      </c>
      <c r="I39" s="30">
        <f>SUM(I36:I38)</f>
        <v>1802</v>
      </c>
      <c r="J39" s="30">
        <f>I39*0.3025</f>
        <v>545.10500000000002</v>
      </c>
      <c r="K39" s="30">
        <f>SUM(K36:K38)</f>
        <v>4004</v>
      </c>
      <c r="L39" s="30">
        <f>K39*0.3025</f>
        <v>1211.21</v>
      </c>
      <c r="M39" s="30">
        <f>SUM(M36:M38)</f>
        <v>1546</v>
      </c>
      <c r="N39" s="31">
        <f>M39*0.3025</f>
        <v>467.66499999999996</v>
      </c>
      <c r="O39" s="28">
        <f>SUM(O36:O38)</f>
        <v>28559</v>
      </c>
      <c r="P39" s="32">
        <f t="shared" si="3"/>
        <v>8639.0974999999999</v>
      </c>
      <c r="Q39" s="108"/>
      <c r="R39" s="82"/>
    </row>
    <row r="40" spans="2:21" ht="20.100000000000001" customHeight="1">
      <c r="B40" s="33" t="s">
        <v>1</v>
      </c>
      <c r="C40" s="112">
        <v>0</v>
      </c>
      <c r="D40" s="113">
        <f t="shared" ref="D40:D50" si="8">C40*0.3025</f>
        <v>0</v>
      </c>
      <c r="E40" s="114">
        <f>13828-100</f>
        <v>13728</v>
      </c>
      <c r="F40" s="115">
        <f t="shared" ref="F40:F48" si="9">E40*0.3025</f>
        <v>4152.72</v>
      </c>
      <c r="G40" s="114">
        <f>149+350-30</f>
        <v>469</v>
      </c>
      <c r="H40" s="115">
        <f t="shared" ref="H40:H48" si="10">G40*0.3025</f>
        <v>141.8725</v>
      </c>
      <c r="I40" s="115">
        <v>1680</v>
      </c>
      <c r="J40" s="115">
        <f t="shared" ref="J40:J50" si="11">I40*0.3025</f>
        <v>508.2</v>
      </c>
      <c r="K40" s="115">
        <v>4644</v>
      </c>
      <c r="L40" s="115">
        <f t="shared" ref="L40:L50" si="12">K40*0.3025</f>
        <v>1404.81</v>
      </c>
      <c r="M40" s="38">
        <v>0</v>
      </c>
      <c r="N40" s="39">
        <f t="shared" ref="N40:N50" si="13">M40*0.3025</f>
        <v>0</v>
      </c>
      <c r="O40" s="13">
        <f>C40+E40+G40+I40+K40+M40</f>
        <v>20521</v>
      </c>
      <c r="P40" s="14">
        <f t="shared" si="3"/>
        <v>6207.6025</v>
      </c>
      <c r="Q40" s="105"/>
      <c r="R40" s="79" t="s">
        <v>86</v>
      </c>
      <c r="T40" s="50">
        <v>25</v>
      </c>
      <c r="U40" s="50">
        <v>57</v>
      </c>
    </row>
    <row r="41" spans="2:21" ht="20.100000000000001" customHeight="1">
      <c r="B41" s="34" t="s">
        <v>2</v>
      </c>
      <c r="C41" s="116">
        <v>0</v>
      </c>
      <c r="D41" s="96">
        <f t="shared" si="8"/>
        <v>0</v>
      </c>
      <c r="E41" s="15">
        <f>13828-100</f>
        <v>13728</v>
      </c>
      <c r="F41" s="16">
        <f t="shared" si="9"/>
        <v>4152.72</v>
      </c>
      <c r="G41" s="15">
        <f>149+350-30</f>
        <v>469</v>
      </c>
      <c r="H41" s="16">
        <f t="shared" si="10"/>
        <v>141.8725</v>
      </c>
      <c r="I41" s="16">
        <v>1680</v>
      </c>
      <c r="J41" s="16">
        <f t="shared" si="11"/>
        <v>508.2</v>
      </c>
      <c r="K41" s="16">
        <v>4644</v>
      </c>
      <c r="L41" s="16">
        <f t="shared" si="12"/>
        <v>1404.81</v>
      </c>
      <c r="M41" s="16">
        <v>0</v>
      </c>
      <c r="N41" s="17">
        <f t="shared" si="13"/>
        <v>0</v>
      </c>
      <c r="O41" s="13">
        <f t="shared" ref="O41:O48" si="14">C41+E41+G41+I41+K41+M41</f>
        <v>20521</v>
      </c>
      <c r="P41" s="18">
        <f t="shared" si="3"/>
        <v>6207.6025</v>
      </c>
      <c r="Q41" s="106"/>
      <c r="R41" s="80" t="s">
        <v>86</v>
      </c>
      <c r="T41" s="50">
        <v>6</v>
      </c>
      <c r="U41" s="50">
        <f>U40</f>
        <v>57</v>
      </c>
    </row>
    <row r="42" spans="2:21" ht="20.100000000000001" customHeight="1">
      <c r="B42" s="35" t="s">
        <v>3</v>
      </c>
      <c r="C42" s="116">
        <f>13828-100</f>
        <v>13728</v>
      </c>
      <c r="D42" s="96">
        <f t="shared" si="8"/>
        <v>4152.72</v>
      </c>
      <c r="E42" s="15">
        <v>0</v>
      </c>
      <c r="F42" s="16">
        <f t="shared" si="9"/>
        <v>0</v>
      </c>
      <c r="G42" s="15">
        <f>149+350-30</f>
        <v>469</v>
      </c>
      <c r="H42" s="16">
        <f t="shared" ref="H42" si="15">G42*0.3025</f>
        <v>141.8725</v>
      </c>
      <c r="I42" s="16">
        <v>1680</v>
      </c>
      <c r="J42" s="16">
        <f t="shared" ref="J42" si="16">I42*0.3025</f>
        <v>508.2</v>
      </c>
      <c r="K42" s="16">
        <v>4644</v>
      </c>
      <c r="L42" s="16">
        <f t="shared" ref="L42" si="17">K42*0.3025</f>
        <v>1404.81</v>
      </c>
      <c r="M42" s="16">
        <v>0</v>
      </c>
      <c r="N42" s="17">
        <f t="shared" si="13"/>
        <v>0</v>
      </c>
      <c r="O42" s="13">
        <f t="shared" si="14"/>
        <v>20521</v>
      </c>
      <c r="P42" s="18">
        <f t="shared" si="3"/>
        <v>6207.6025</v>
      </c>
      <c r="Q42" s="106"/>
      <c r="R42" s="80" t="s">
        <v>78</v>
      </c>
      <c r="T42" s="50">
        <f t="shared" ref="T42:U46" si="18">T41</f>
        <v>6</v>
      </c>
      <c r="U42" s="50">
        <f t="shared" si="18"/>
        <v>57</v>
      </c>
    </row>
    <row r="43" spans="2:21" ht="20.100000000000001" customHeight="1">
      <c r="B43" s="35" t="s">
        <v>43</v>
      </c>
      <c r="C43" s="116">
        <f t="shared" ref="C43:C44" si="19">13828-100</f>
        <v>13728</v>
      </c>
      <c r="D43" s="96">
        <f t="shared" ref="D43:D44" si="20">C43*0.3025</f>
        <v>4152.72</v>
      </c>
      <c r="E43" s="15">
        <v>0</v>
      </c>
      <c r="F43" s="16">
        <f t="shared" ref="F43:F44" si="21">E43*0.3025</f>
        <v>0</v>
      </c>
      <c r="G43" s="15">
        <f t="shared" ref="G43:G44" si="22">149+350-30</f>
        <v>469</v>
      </c>
      <c r="H43" s="16">
        <f t="shared" ref="H43:H44" si="23">G43*0.3025</f>
        <v>141.8725</v>
      </c>
      <c r="I43" s="16">
        <v>1680</v>
      </c>
      <c r="J43" s="16">
        <f t="shared" ref="J43:J44" si="24">I43*0.3025</f>
        <v>508.2</v>
      </c>
      <c r="K43" s="16">
        <v>4644</v>
      </c>
      <c r="L43" s="16">
        <f t="shared" ref="L43:L44" si="25">K43*0.3025</f>
        <v>1404.81</v>
      </c>
      <c r="M43" s="16">
        <v>0</v>
      </c>
      <c r="N43" s="17">
        <f t="shared" si="13"/>
        <v>0</v>
      </c>
      <c r="O43" s="13">
        <f t="shared" si="14"/>
        <v>20521</v>
      </c>
      <c r="P43" s="18">
        <f t="shared" si="3"/>
        <v>6207.6025</v>
      </c>
      <c r="Q43" s="106"/>
      <c r="R43" s="80" t="s">
        <v>55</v>
      </c>
      <c r="T43" s="50">
        <f t="shared" si="18"/>
        <v>6</v>
      </c>
      <c r="U43" s="50">
        <f t="shared" si="18"/>
        <v>57</v>
      </c>
    </row>
    <row r="44" spans="2:21" ht="20.100000000000001" customHeight="1" thickBot="1">
      <c r="B44" s="35" t="s">
        <v>44</v>
      </c>
      <c r="C44" s="116">
        <f t="shared" si="19"/>
        <v>13728</v>
      </c>
      <c r="D44" s="96">
        <f t="shared" si="20"/>
        <v>4152.72</v>
      </c>
      <c r="E44" s="15">
        <v>0</v>
      </c>
      <c r="F44" s="16">
        <f t="shared" si="21"/>
        <v>0</v>
      </c>
      <c r="G44" s="15">
        <f t="shared" si="22"/>
        <v>469</v>
      </c>
      <c r="H44" s="16">
        <f t="shared" si="23"/>
        <v>141.8725</v>
      </c>
      <c r="I44" s="16">
        <v>1680</v>
      </c>
      <c r="J44" s="16">
        <f t="shared" si="24"/>
        <v>508.2</v>
      </c>
      <c r="K44" s="16">
        <v>0</v>
      </c>
      <c r="L44" s="16">
        <f t="shared" si="25"/>
        <v>0</v>
      </c>
      <c r="M44" s="16">
        <v>0</v>
      </c>
      <c r="N44" s="17">
        <f t="shared" si="13"/>
        <v>0</v>
      </c>
      <c r="O44" s="13">
        <f t="shared" si="14"/>
        <v>15877</v>
      </c>
      <c r="P44" s="18">
        <f t="shared" si="3"/>
        <v>4802.7924999999996</v>
      </c>
      <c r="Q44" s="106"/>
      <c r="R44" s="80" t="s">
        <v>55</v>
      </c>
      <c r="T44" s="50">
        <f t="shared" si="18"/>
        <v>6</v>
      </c>
      <c r="U44" s="50">
        <f t="shared" si="18"/>
        <v>57</v>
      </c>
    </row>
    <row r="45" spans="2:21" ht="20.100000000000001" hidden="1" customHeight="1">
      <c r="B45" s="35" t="s">
        <v>45</v>
      </c>
      <c r="C45" s="97">
        <v>0</v>
      </c>
      <c r="D45" s="96">
        <f t="shared" si="8"/>
        <v>0</v>
      </c>
      <c r="E45" s="15">
        <v>0</v>
      </c>
      <c r="F45" s="16">
        <f t="shared" si="9"/>
        <v>0</v>
      </c>
      <c r="G45" s="15">
        <v>0</v>
      </c>
      <c r="H45" s="16">
        <f t="shared" si="10"/>
        <v>0</v>
      </c>
      <c r="I45" s="16">
        <v>0</v>
      </c>
      <c r="J45" s="16">
        <f t="shared" si="11"/>
        <v>0</v>
      </c>
      <c r="K45" s="16">
        <v>0</v>
      </c>
      <c r="L45" s="16">
        <f t="shared" si="12"/>
        <v>0</v>
      </c>
      <c r="M45" s="16">
        <v>0</v>
      </c>
      <c r="N45" s="17">
        <f t="shared" si="13"/>
        <v>0</v>
      </c>
      <c r="O45" s="13">
        <f t="shared" si="14"/>
        <v>0</v>
      </c>
      <c r="P45" s="18">
        <f t="shared" si="3"/>
        <v>0</v>
      </c>
      <c r="Q45" s="106"/>
      <c r="R45" s="80" t="s">
        <v>55</v>
      </c>
      <c r="T45" s="50">
        <f t="shared" si="18"/>
        <v>6</v>
      </c>
      <c r="U45" s="50">
        <f t="shared" si="18"/>
        <v>57</v>
      </c>
    </row>
    <row r="46" spans="2:21" ht="20.100000000000001" hidden="1" customHeight="1">
      <c r="B46" s="35" t="s">
        <v>46</v>
      </c>
      <c r="C46" s="97">
        <v>0</v>
      </c>
      <c r="D46" s="96">
        <f t="shared" si="8"/>
        <v>0</v>
      </c>
      <c r="E46" s="15">
        <v>0</v>
      </c>
      <c r="F46" s="16">
        <f t="shared" si="9"/>
        <v>0</v>
      </c>
      <c r="G46" s="15">
        <v>0</v>
      </c>
      <c r="H46" s="16">
        <f t="shared" si="10"/>
        <v>0</v>
      </c>
      <c r="I46" s="16">
        <v>0</v>
      </c>
      <c r="J46" s="16">
        <f t="shared" si="11"/>
        <v>0</v>
      </c>
      <c r="K46" s="16">
        <v>0</v>
      </c>
      <c r="L46" s="16">
        <f t="shared" si="12"/>
        <v>0</v>
      </c>
      <c r="M46" s="16">
        <v>0</v>
      </c>
      <c r="N46" s="17">
        <f t="shared" si="13"/>
        <v>0</v>
      </c>
      <c r="O46" s="13">
        <f t="shared" si="14"/>
        <v>0</v>
      </c>
      <c r="P46" s="18">
        <f t="shared" si="3"/>
        <v>0</v>
      </c>
      <c r="Q46" s="106"/>
      <c r="R46" s="80" t="s">
        <v>55</v>
      </c>
      <c r="T46" s="50">
        <f t="shared" si="18"/>
        <v>6</v>
      </c>
      <c r="U46" s="50">
        <f t="shared" si="18"/>
        <v>57</v>
      </c>
    </row>
    <row r="47" spans="2:21" ht="20.100000000000001" hidden="1" customHeight="1">
      <c r="B47" s="35" t="s">
        <v>47</v>
      </c>
      <c r="C47" s="15">
        <v>0</v>
      </c>
      <c r="D47" s="11">
        <f t="shared" si="8"/>
        <v>0</v>
      </c>
      <c r="E47" s="12">
        <v>0</v>
      </c>
      <c r="F47" s="12">
        <f t="shared" si="9"/>
        <v>0</v>
      </c>
      <c r="G47" s="15">
        <v>0</v>
      </c>
      <c r="H47" s="16">
        <f t="shared" si="10"/>
        <v>0</v>
      </c>
      <c r="I47" s="16">
        <v>0</v>
      </c>
      <c r="J47" s="16">
        <f t="shared" si="11"/>
        <v>0</v>
      </c>
      <c r="K47" s="16">
        <v>0</v>
      </c>
      <c r="L47" s="16">
        <f t="shared" si="12"/>
        <v>0</v>
      </c>
      <c r="M47" s="16">
        <v>0</v>
      </c>
      <c r="N47" s="17">
        <f t="shared" si="13"/>
        <v>0</v>
      </c>
      <c r="O47" s="13">
        <f t="shared" si="14"/>
        <v>0</v>
      </c>
      <c r="P47" s="18">
        <f t="shared" si="3"/>
        <v>0</v>
      </c>
      <c r="Q47" s="106"/>
      <c r="R47" s="80" t="s">
        <v>72</v>
      </c>
      <c r="T47" s="50">
        <v>378</v>
      </c>
      <c r="U47" s="50"/>
    </row>
    <row r="48" spans="2:21" ht="20.100000000000001" hidden="1" customHeight="1" thickBot="1">
      <c r="B48" s="35" t="s">
        <v>71</v>
      </c>
      <c r="C48" s="15">
        <v>0</v>
      </c>
      <c r="D48" s="11">
        <f t="shared" si="8"/>
        <v>0</v>
      </c>
      <c r="E48" s="12">
        <v>0</v>
      </c>
      <c r="F48" s="12">
        <f t="shared" si="9"/>
        <v>0</v>
      </c>
      <c r="G48" s="15">
        <v>0</v>
      </c>
      <c r="H48" s="16">
        <f t="shared" si="10"/>
        <v>0</v>
      </c>
      <c r="I48" s="16">
        <v>0</v>
      </c>
      <c r="J48" s="16">
        <f t="shared" si="11"/>
        <v>0</v>
      </c>
      <c r="K48" s="16">
        <v>0</v>
      </c>
      <c r="L48" s="16">
        <f t="shared" si="12"/>
        <v>0</v>
      </c>
      <c r="M48" s="16">
        <v>0</v>
      </c>
      <c r="N48" s="17">
        <f t="shared" si="13"/>
        <v>0</v>
      </c>
      <c r="O48" s="13">
        <f t="shared" si="14"/>
        <v>0</v>
      </c>
      <c r="P48" s="18">
        <f t="shared" si="3"/>
        <v>0</v>
      </c>
      <c r="Q48" s="106"/>
      <c r="R48" s="81" t="s">
        <v>72</v>
      </c>
      <c r="T48" s="50">
        <f>SUM(T38:T47)</f>
        <v>464</v>
      </c>
      <c r="U48" s="50">
        <f>SUM(U38:U47)</f>
        <v>456</v>
      </c>
    </row>
    <row r="49" spans="2:21" ht="20.100000000000001" customHeight="1" thickBot="1">
      <c r="B49" s="27" t="s">
        <v>25</v>
      </c>
      <c r="C49" s="42">
        <f>SUM(C40:C48)</f>
        <v>41184</v>
      </c>
      <c r="D49" s="29">
        <f>C49*0.3025</f>
        <v>12458.16</v>
      </c>
      <c r="E49" s="43">
        <f>SUM(E40:E48)</f>
        <v>27456</v>
      </c>
      <c r="F49" s="30">
        <f>E49*0.3025</f>
        <v>8305.44</v>
      </c>
      <c r="G49" s="43">
        <f>SUM(G40:G48)</f>
        <v>2345</v>
      </c>
      <c r="H49" s="30">
        <f>G49*0.3025</f>
        <v>709.36249999999995</v>
      </c>
      <c r="I49" s="30">
        <f>SUM(I40:I48)</f>
        <v>8400</v>
      </c>
      <c r="J49" s="30">
        <f>I49*0.3025</f>
        <v>2541</v>
      </c>
      <c r="K49" s="30">
        <f>SUM(K40:K48)</f>
        <v>18576</v>
      </c>
      <c r="L49" s="30">
        <f t="shared" si="12"/>
        <v>5619.24</v>
      </c>
      <c r="M49" s="30">
        <f>SUM(M40:M48)</f>
        <v>0</v>
      </c>
      <c r="N49" s="31">
        <f t="shared" si="13"/>
        <v>0</v>
      </c>
      <c r="O49" s="28">
        <f>C49+E49+G49+I49+K49+M49</f>
        <v>97961</v>
      </c>
      <c r="P49" s="32">
        <f t="shared" si="3"/>
        <v>29633.202499999999</v>
      </c>
      <c r="Q49" s="109"/>
      <c r="R49" s="82"/>
      <c r="T49" s="50" t="s">
        <v>13</v>
      </c>
      <c r="U49" s="50">
        <f>T48+U48</f>
        <v>920</v>
      </c>
    </row>
    <row r="50" spans="2:21" ht="20.100000000000001" customHeight="1" thickBot="1">
      <c r="B50" s="44" t="s">
        <v>13</v>
      </c>
      <c r="C50" s="45">
        <f>C39+C49</f>
        <v>41184</v>
      </c>
      <c r="D50" s="46">
        <f t="shared" si="8"/>
        <v>12458.16</v>
      </c>
      <c r="E50" s="47">
        <f>E39+E49</f>
        <v>43916</v>
      </c>
      <c r="F50" s="47">
        <f t="shared" ref="F50" si="26">E50*0.3025</f>
        <v>13284.59</v>
      </c>
      <c r="G50" s="47">
        <f>G39+G49</f>
        <v>7092</v>
      </c>
      <c r="H50" s="47">
        <f t="shared" ref="H50" si="27">G50*0.3025</f>
        <v>2145.33</v>
      </c>
      <c r="I50" s="47">
        <f>I39+I49</f>
        <v>10202</v>
      </c>
      <c r="J50" s="47">
        <f t="shared" si="11"/>
        <v>3086.105</v>
      </c>
      <c r="K50" s="47">
        <f>K39+K49</f>
        <v>22580</v>
      </c>
      <c r="L50" s="47">
        <f t="shared" si="12"/>
        <v>6830.45</v>
      </c>
      <c r="M50" s="47">
        <f>M39+M49</f>
        <v>1546</v>
      </c>
      <c r="N50" s="48">
        <f t="shared" si="13"/>
        <v>467.66499999999996</v>
      </c>
      <c r="O50" s="45">
        <f>C50+E50+G50+I50+K50+M50</f>
        <v>126520</v>
      </c>
      <c r="P50" s="49">
        <f t="shared" si="3"/>
        <v>38272.299999999996</v>
      </c>
      <c r="Q50" s="110"/>
      <c r="R50" s="83"/>
      <c r="S50" s="51">
        <f>O39+O49</f>
        <v>126520</v>
      </c>
      <c r="T50" s="51"/>
    </row>
    <row r="51" spans="2:21" ht="6" customHeight="1">
      <c r="M51" s="51"/>
      <c r="N51" s="52"/>
      <c r="O51" s="55"/>
      <c r="P51" s="55"/>
    </row>
    <row r="52" spans="2:21" ht="21.95" customHeight="1">
      <c r="B52" s="4" t="s">
        <v>20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111"/>
      <c r="R52" s="5" t="s">
        <v>21</v>
      </c>
      <c r="T52" s="51"/>
    </row>
    <row r="53" spans="2:21">
      <c r="H53" s="8"/>
      <c r="S53" s="93" t="s">
        <v>53</v>
      </c>
      <c r="T53" s="51">
        <f>C50+E50+G50+M50</f>
        <v>93738</v>
      </c>
      <c r="U53" s="8">
        <f>T53/300</f>
        <v>312.45999999999998</v>
      </c>
    </row>
    <row r="54" spans="2:21">
      <c r="U54" s="94">
        <f>U49/U53</f>
        <v>2.9443768802406711</v>
      </c>
    </row>
    <row r="56" spans="2:21">
      <c r="E56">
        <f>D5*0.008</f>
        <v>238.39920000000001</v>
      </c>
      <c r="F56">
        <f>E56/7</f>
        <v>34.057028571428575</v>
      </c>
    </row>
    <row r="57" spans="2:21">
      <c r="E57">
        <f>121*8</f>
        <v>968</v>
      </c>
    </row>
    <row r="58" spans="2:21">
      <c r="E58">
        <f>E57/8</f>
        <v>121</v>
      </c>
    </row>
    <row r="59" spans="2:21">
      <c r="E59">
        <f>E58/12</f>
        <v>10.083333333333334</v>
      </c>
    </row>
  </sheetData>
  <mergeCells count="76">
    <mergeCell ref="M34:N34"/>
    <mergeCell ref="O34:P34"/>
    <mergeCell ref="Q34:Q35"/>
    <mergeCell ref="R34:R35"/>
    <mergeCell ref="D30:I30"/>
    <mergeCell ref="D31:F31"/>
    <mergeCell ref="H31:I31"/>
    <mergeCell ref="K31:M31"/>
    <mergeCell ref="K34:L34"/>
    <mergeCell ref="B34:B35"/>
    <mergeCell ref="C34:D34"/>
    <mergeCell ref="E34:F34"/>
    <mergeCell ref="G34:H34"/>
    <mergeCell ref="I34:J34"/>
    <mergeCell ref="H21:I21"/>
    <mergeCell ref="B22:C31"/>
    <mergeCell ref="D22:I22"/>
    <mergeCell ref="D23:I23"/>
    <mergeCell ref="D24:I24"/>
    <mergeCell ref="D25:I25"/>
    <mergeCell ref="D26:I26"/>
    <mergeCell ref="D27:I27"/>
    <mergeCell ref="D28:I28"/>
    <mergeCell ref="D29:I29"/>
    <mergeCell ref="B20:C20"/>
    <mergeCell ref="D20:E20"/>
    <mergeCell ref="F20:G20"/>
    <mergeCell ref="B21:C21"/>
    <mergeCell ref="D21:E21"/>
    <mergeCell ref="F21:G21"/>
    <mergeCell ref="B18:C18"/>
    <mergeCell ref="D18:E18"/>
    <mergeCell ref="F18:G18"/>
    <mergeCell ref="H18:I18"/>
    <mergeCell ref="B19:C19"/>
    <mergeCell ref="D19:E19"/>
    <mergeCell ref="F19:G19"/>
    <mergeCell ref="B16:C16"/>
    <mergeCell ref="D16:E16"/>
    <mergeCell ref="F16:G16"/>
    <mergeCell ref="H16:I16"/>
    <mergeCell ref="B17:C17"/>
    <mergeCell ref="D17:E17"/>
    <mergeCell ref="F17:G17"/>
    <mergeCell ref="H13:I13"/>
    <mergeCell ref="B14:C14"/>
    <mergeCell ref="D14:E14"/>
    <mergeCell ref="F14:G14"/>
    <mergeCell ref="B15:C15"/>
    <mergeCell ref="D15:E15"/>
    <mergeCell ref="F15:G15"/>
    <mergeCell ref="B12:C12"/>
    <mergeCell ref="D12:E12"/>
    <mergeCell ref="F12:G12"/>
    <mergeCell ref="B13:C13"/>
    <mergeCell ref="D13:E13"/>
    <mergeCell ref="F13:G13"/>
    <mergeCell ref="B9:B11"/>
    <mergeCell ref="D9:E9"/>
    <mergeCell ref="F9:G9"/>
    <mergeCell ref="D10:E10"/>
    <mergeCell ref="F10:G10"/>
    <mergeCell ref="D11:E11"/>
    <mergeCell ref="F11:G11"/>
    <mergeCell ref="B3:C3"/>
    <mergeCell ref="B4:C4"/>
    <mergeCell ref="D4:I4"/>
    <mergeCell ref="B5:B8"/>
    <mergeCell ref="D5:E5"/>
    <mergeCell ref="F5:G5"/>
    <mergeCell ref="D6:E6"/>
    <mergeCell ref="F6:G6"/>
    <mergeCell ref="D7:E7"/>
    <mergeCell ref="F7:G7"/>
    <mergeCell ref="D8:E8"/>
    <mergeCell ref="F8:G8"/>
  </mergeCells>
  <phoneticPr fontId="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70C0"/>
    <pageSetUpPr fitToPage="1"/>
  </sheetPr>
  <dimension ref="B1:AA46"/>
  <sheetViews>
    <sheetView showGridLines="0" topLeftCell="A6" zoomScale="70" zoomScaleNormal="70" workbookViewId="0">
      <selection activeCell="AH38" sqref="AH38"/>
    </sheetView>
  </sheetViews>
  <sheetFormatPr defaultRowHeight="16.5"/>
  <cols>
    <col min="1" max="1" width="3.625" customWidth="1"/>
    <col min="2" max="2" width="15.625" customWidth="1"/>
    <col min="3" max="25" width="11.625" customWidth="1"/>
    <col min="26" max="26" width="3.25" customWidth="1"/>
  </cols>
  <sheetData>
    <row r="1" spans="2:27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2:27" ht="35.1" customHeight="1" thickBot="1">
      <c r="B2" s="78" t="s">
        <v>118</v>
      </c>
      <c r="C2" s="6"/>
      <c r="D2" s="6"/>
      <c r="E2" s="6"/>
      <c r="F2" s="6"/>
      <c r="G2" s="6"/>
      <c r="H2" s="6"/>
      <c r="I2" s="6"/>
      <c r="J2" s="1"/>
      <c r="K2" s="78" t="s">
        <v>119</v>
      </c>
      <c r="L2" s="78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183"/>
      <c r="AA2" s="183"/>
    </row>
    <row r="3" spans="2:27" ht="32.1" customHeight="1">
      <c r="B3" s="486" t="s">
        <v>120</v>
      </c>
      <c r="C3" s="487"/>
      <c r="D3" s="184" t="s">
        <v>84</v>
      </c>
      <c r="E3" s="185"/>
      <c r="F3" s="185"/>
      <c r="G3" s="185"/>
      <c r="H3" s="185"/>
      <c r="I3" s="185"/>
      <c r="J3" s="7"/>
      <c r="K3" s="186"/>
      <c r="L3" s="186"/>
      <c r="M3" s="186"/>
      <c r="N3" s="187"/>
      <c r="O3" s="188"/>
      <c r="P3" s="187"/>
      <c r="Q3" s="188"/>
      <c r="R3" s="188"/>
      <c r="S3" s="188"/>
      <c r="T3" s="189"/>
      <c r="U3" s="189"/>
      <c r="V3" s="189"/>
      <c r="W3" s="189"/>
      <c r="X3" s="189"/>
      <c r="Y3" s="189"/>
    </row>
    <row r="4" spans="2:27" ht="32.1" customHeight="1">
      <c r="B4" s="488" t="s">
        <v>121</v>
      </c>
      <c r="C4" s="489"/>
      <c r="D4" s="190" t="s">
        <v>75</v>
      </c>
      <c r="E4" s="191"/>
      <c r="F4" s="192"/>
      <c r="G4" s="193"/>
      <c r="H4" s="193"/>
      <c r="I4" s="193"/>
      <c r="J4" s="7"/>
      <c r="K4" s="194"/>
      <c r="L4" s="194"/>
      <c r="M4" s="194"/>
      <c r="N4" s="195"/>
      <c r="O4" s="196"/>
      <c r="P4" s="195"/>
      <c r="Q4" s="196"/>
      <c r="R4" s="196"/>
      <c r="S4" s="196"/>
      <c r="T4" s="197"/>
      <c r="U4" s="197"/>
      <c r="V4" s="197"/>
      <c r="W4" s="197"/>
      <c r="X4" s="197"/>
      <c r="Y4" s="197"/>
    </row>
    <row r="5" spans="2:27" ht="32.1" customHeight="1">
      <c r="B5" s="488" t="s">
        <v>122</v>
      </c>
      <c r="C5" s="489"/>
      <c r="D5" s="490" t="s">
        <v>187</v>
      </c>
      <c r="E5" s="491"/>
      <c r="F5" s="492"/>
      <c r="G5" s="193"/>
      <c r="H5" s="193"/>
      <c r="I5" s="193"/>
      <c r="J5" s="7"/>
      <c r="K5" s="198"/>
      <c r="L5" s="198"/>
      <c r="M5" s="199"/>
      <c r="N5" s="200"/>
      <c r="O5" s="201"/>
      <c r="P5" s="202"/>
      <c r="Q5" s="201"/>
      <c r="R5" s="201"/>
      <c r="S5" s="201"/>
      <c r="T5" s="197"/>
      <c r="U5" s="197"/>
      <c r="V5" s="197"/>
      <c r="W5" s="197"/>
      <c r="X5" s="197"/>
      <c r="Y5" s="197"/>
    </row>
    <row r="6" spans="2:27" ht="32.1" customHeight="1">
      <c r="B6" s="488" t="s">
        <v>123</v>
      </c>
      <c r="C6" s="489"/>
      <c r="D6" s="493">
        <v>29799.9</v>
      </c>
      <c r="E6" s="494"/>
      <c r="F6" s="495"/>
      <c r="G6" s="496">
        <f>D6*0.3025</f>
        <v>9014.4697500000002</v>
      </c>
      <c r="H6" s="497"/>
      <c r="I6" s="203"/>
      <c r="J6" s="7"/>
      <c r="K6" s="204"/>
      <c r="L6" s="204"/>
      <c r="M6" s="199"/>
      <c r="N6" s="205"/>
      <c r="O6" s="205"/>
      <c r="P6" s="206"/>
      <c r="Q6" s="205"/>
      <c r="R6" s="205"/>
      <c r="S6" s="205"/>
      <c r="T6" s="197"/>
      <c r="U6" s="197"/>
      <c r="V6" s="197"/>
      <c r="W6" s="197"/>
      <c r="X6" s="197"/>
      <c r="Y6" s="197"/>
    </row>
    <row r="7" spans="2:27" ht="32.1" customHeight="1">
      <c r="B7" s="413" t="s">
        <v>124</v>
      </c>
      <c r="C7" s="414"/>
      <c r="D7" s="498" t="s">
        <v>125</v>
      </c>
      <c r="E7" s="499"/>
      <c r="F7" s="499"/>
      <c r="G7" s="386"/>
      <c r="H7" s="207"/>
      <c r="I7" s="208"/>
      <c r="J7" s="7"/>
      <c r="K7" s="204"/>
      <c r="L7" s="204"/>
      <c r="M7" s="199"/>
      <c r="N7" s="205"/>
      <c r="O7" s="205"/>
      <c r="P7" s="206"/>
      <c r="Q7" s="205"/>
      <c r="R7" s="205"/>
      <c r="S7" s="205"/>
      <c r="T7" s="197"/>
      <c r="U7" s="197"/>
      <c r="V7" s="197"/>
      <c r="W7" s="197"/>
      <c r="X7" s="197"/>
      <c r="Y7" s="197"/>
    </row>
    <row r="8" spans="2:27" ht="32.1" hidden="1" customHeight="1">
      <c r="B8" s="413" t="s">
        <v>126</v>
      </c>
      <c r="C8" s="414"/>
      <c r="D8" s="500">
        <v>0</v>
      </c>
      <c r="E8" s="501"/>
      <c r="F8" s="502"/>
      <c r="G8" s="386"/>
      <c r="H8" s="207"/>
      <c r="I8" s="208"/>
      <c r="J8" s="7"/>
      <c r="K8" s="204"/>
      <c r="L8" s="204"/>
      <c r="M8" s="199"/>
      <c r="N8" s="205"/>
      <c r="O8" s="205"/>
      <c r="P8" s="206"/>
      <c r="Q8" s="205"/>
      <c r="R8" s="205"/>
      <c r="S8" s="205"/>
      <c r="T8" s="197"/>
      <c r="U8" s="197"/>
      <c r="V8" s="197"/>
      <c r="W8" s="197"/>
      <c r="X8" s="197"/>
      <c r="Y8" s="197"/>
    </row>
    <row r="9" spans="2:27" ht="32.1" customHeight="1">
      <c r="B9" s="413" t="s">
        <v>185</v>
      </c>
      <c r="C9" s="414"/>
      <c r="D9" s="481" t="s">
        <v>186</v>
      </c>
      <c r="E9" s="482"/>
      <c r="F9" s="483"/>
      <c r="G9" s="484"/>
      <c r="H9" s="485"/>
      <c r="I9" s="208"/>
      <c r="J9" s="7"/>
      <c r="K9" s="204"/>
      <c r="L9" s="204"/>
      <c r="M9" s="199"/>
      <c r="N9" s="205"/>
      <c r="O9" s="205"/>
      <c r="P9" s="206"/>
      <c r="Q9" s="205"/>
      <c r="R9" s="205"/>
      <c r="S9" s="205"/>
      <c r="T9" s="197"/>
      <c r="U9" s="197"/>
      <c r="V9" s="197"/>
      <c r="W9" s="197"/>
      <c r="X9" s="197"/>
      <c r="Y9" s="197"/>
    </row>
    <row r="10" spans="2:27" ht="32.1" customHeight="1">
      <c r="B10" s="503" t="s">
        <v>28</v>
      </c>
      <c r="C10" s="437"/>
      <c r="D10" s="504">
        <v>20832.79</v>
      </c>
      <c r="E10" s="505"/>
      <c r="F10" s="506"/>
      <c r="G10" s="430">
        <f t="shared" ref="G10:G14" si="0">D10*0.3025</f>
        <v>6301.9189750000005</v>
      </c>
      <c r="H10" s="431"/>
      <c r="I10" s="207"/>
      <c r="J10" s="7"/>
      <c r="K10" s="209"/>
      <c r="L10" s="204"/>
      <c r="M10" s="199"/>
      <c r="N10" s="205"/>
      <c r="O10" s="205"/>
      <c r="P10" s="206"/>
      <c r="Q10" s="205"/>
      <c r="R10" s="205"/>
      <c r="S10" s="205"/>
      <c r="T10" s="197"/>
      <c r="U10" s="197"/>
      <c r="V10" s="197"/>
      <c r="W10" s="197"/>
      <c r="X10" s="197"/>
      <c r="Y10" s="197"/>
    </row>
    <row r="11" spans="2:27" ht="32.1" customHeight="1">
      <c r="B11" s="507" t="s">
        <v>7</v>
      </c>
      <c r="C11" s="54" t="s">
        <v>11</v>
      </c>
      <c r="D11" s="509">
        <f>V37</f>
        <v>103875.42</v>
      </c>
      <c r="E11" s="510"/>
      <c r="F11" s="511"/>
      <c r="G11" s="512">
        <f t="shared" si="0"/>
        <v>31422.314549999999</v>
      </c>
      <c r="H11" s="513"/>
      <c r="I11" s="356"/>
      <c r="J11" s="7"/>
      <c r="K11" s="204"/>
      <c r="L11" s="204"/>
      <c r="M11" s="199"/>
      <c r="N11" s="205"/>
      <c r="O11" s="205"/>
      <c r="P11" s="206"/>
      <c r="Q11" s="205"/>
      <c r="R11" s="205"/>
      <c r="S11" s="205"/>
      <c r="T11" s="197"/>
      <c r="U11" s="197"/>
      <c r="V11" s="197"/>
      <c r="W11" s="197"/>
      <c r="X11" s="197"/>
      <c r="Y11" s="197"/>
    </row>
    <row r="12" spans="2:27" ht="32.1" customHeight="1">
      <c r="B12" s="508"/>
      <c r="C12" s="54" t="s">
        <v>12</v>
      </c>
      <c r="D12" s="509">
        <f>V30</f>
        <v>28157.95</v>
      </c>
      <c r="E12" s="510"/>
      <c r="F12" s="511"/>
      <c r="G12" s="512">
        <f t="shared" si="0"/>
        <v>8517.7798750000002</v>
      </c>
      <c r="H12" s="513"/>
      <c r="I12" s="356"/>
      <c r="J12" s="7"/>
      <c r="K12" s="204"/>
      <c r="L12" s="204"/>
      <c r="M12" s="199"/>
      <c r="N12" s="205"/>
      <c r="O12" s="205"/>
      <c r="P12" s="206"/>
      <c r="Q12" s="205"/>
      <c r="R12" s="205"/>
      <c r="S12" s="205"/>
      <c r="T12" s="197"/>
      <c r="U12" s="197"/>
      <c r="V12" s="197"/>
      <c r="W12" s="197"/>
      <c r="X12" s="197"/>
      <c r="Y12" s="197"/>
    </row>
    <row r="13" spans="2:27" ht="32.1" customHeight="1">
      <c r="B13" s="508"/>
      <c r="C13" s="210" t="s">
        <v>13</v>
      </c>
      <c r="D13" s="514">
        <f>SUM(D11:F12)</f>
        <v>132033.37</v>
      </c>
      <c r="E13" s="515"/>
      <c r="F13" s="516"/>
      <c r="G13" s="517">
        <f t="shared" si="0"/>
        <v>39940.094424999996</v>
      </c>
      <c r="H13" s="518"/>
      <c r="I13" s="211"/>
      <c r="J13" s="7"/>
      <c r="K13" s="204"/>
      <c r="L13" s="204"/>
      <c r="M13" s="199"/>
      <c r="N13" s="205"/>
      <c r="O13" s="205"/>
      <c r="P13" s="206"/>
      <c r="Q13" s="205"/>
      <c r="R13" s="205"/>
      <c r="S13" s="205"/>
      <c r="T13" s="197"/>
      <c r="U13" s="197"/>
      <c r="V13" s="197"/>
      <c r="W13" s="197"/>
      <c r="X13" s="197"/>
      <c r="Y13" s="197"/>
    </row>
    <row r="14" spans="2:27" ht="32.1" customHeight="1">
      <c r="B14" s="413" t="s">
        <v>132</v>
      </c>
      <c r="C14" s="414"/>
      <c r="D14" s="509">
        <f>V38-H30-L30-M30-T30-L37</f>
        <v>72057.140000000014</v>
      </c>
      <c r="E14" s="510"/>
      <c r="F14" s="511"/>
      <c r="G14" s="512">
        <f t="shared" si="0"/>
        <v>21797.284850000004</v>
      </c>
      <c r="H14" s="513"/>
      <c r="I14" s="208"/>
      <c r="J14" s="7"/>
      <c r="K14" s="204"/>
      <c r="L14" s="212"/>
      <c r="M14" s="199"/>
      <c r="N14" s="205"/>
      <c r="O14" s="205"/>
      <c r="P14" s="206"/>
      <c r="Q14" s="205"/>
      <c r="R14" s="205"/>
      <c r="S14" s="205"/>
      <c r="T14" s="197"/>
      <c r="U14" s="197"/>
      <c r="V14" s="197"/>
      <c r="W14" s="197"/>
      <c r="X14" s="197"/>
      <c r="Y14" s="197"/>
    </row>
    <row r="15" spans="2:27" ht="32.1" customHeight="1">
      <c r="B15" s="519" t="s">
        <v>30</v>
      </c>
      <c r="C15" s="520"/>
      <c r="D15" s="521">
        <f>D10/D6</f>
        <v>0.69908925868878757</v>
      </c>
      <c r="E15" s="522"/>
      <c r="F15" s="523"/>
      <c r="G15" s="524" t="s">
        <v>70</v>
      </c>
      <c r="H15" s="525"/>
      <c r="I15" s="211"/>
      <c r="J15" s="7"/>
      <c r="K15" s="204"/>
      <c r="L15" s="204"/>
      <c r="M15" s="199"/>
      <c r="N15" s="205"/>
      <c r="O15" s="205"/>
      <c r="P15" s="206"/>
      <c r="Q15" s="205"/>
      <c r="R15" s="205"/>
      <c r="S15" s="205"/>
      <c r="T15" s="197"/>
      <c r="U15" s="197"/>
      <c r="V15" s="197"/>
      <c r="W15" s="197"/>
      <c r="X15" s="197"/>
      <c r="Y15" s="197"/>
    </row>
    <row r="16" spans="2:27" ht="32.1" customHeight="1">
      <c r="B16" s="519" t="s">
        <v>31</v>
      </c>
      <c r="C16" s="520"/>
      <c r="D16" s="531">
        <f>D14/D6</f>
        <v>2.4180329464192836</v>
      </c>
      <c r="E16" s="532"/>
      <c r="F16" s="532"/>
      <c r="G16" s="524" t="s">
        <v>76</v>
      </c>
      <c r="H16" s="525"/>
      <c r="I16" s="211"/>
      <c r="J16" s="7"/>
      <c r="K16" s="204"/>
      <c r="L16" s="204"/>
      <c r="M16" s="199"/>
      <c r="N16" s="205"/>
      <c r="O16" s="205"/>
      <c r="P16" s="206"/>
      <c r="Q16" s="205"/>
      <c r="R16" s="205"/>
      <c r="S16" s="205"/>
      <c r="T16" s="197"/>
      <c r="U16" s="197"/>
      <c r="V16" s="197"/>
      <c r="W16" s="197"/>
      <c r="X16" s="197"/>
      <c r="Y16" s="197"/>
    </row>
    <row r="17" spans="2:25" ht="32.1" customHeight="1">
      <c r="B17" s="533" t="s">
        <v>135</v>
      </c>
      <c r="C17" s="534"/>
      <c r="D17" s="535">
        <f>V38-L38</f>
        <v>95604.479999999996</v>
      </c>
      <c r="E17" s="536"/>
      <c r="F17" s="357">
        <f>D17/D13</f>
        <v>0.72409331065320837</v>
      </c>
      <c r="G17" s="213"/>
      <c r="H17" s="537" t="s">
        <v>136</v>
      </c>
      <c r="I17" s="537"/>
      <c r="J17" s="7"/>
      <c r="K17" s="204"/>
      <c r="L17" s="204"/>
      <c r="M17" s="199"/>
      <c r="N17" s="205"/>
      <c r="O17" s="205"/>
      <c r="P17" s="206"/>
      <c r="Q17" s="205"/>
      <c r="R17" s="205"/>
      <c r="S17" s="205"/>
      <c r="T17" s="197"/>
      <c r="U17" s="197"/>
      <c r="V17" s="197"/>
      <c r="W17" s="197"/>
      <c r="X17" s="197"/>
      <c r="Y17" s="197"/>
    </row>
    <row r="18" spans="2:25" ht="32.1" customHeight="1">
      <c r="B18" s="413" t="s">
        <v>137</v>
      </c>
      <c r="C18" s="455"/>
      <c r="D18" s="538">
        <f>V38-L38</f>
        <v>95604.479999999996</v>
      </c>
      <c r="E18" s="539"/>
      <c r="F18" s="540" t="s">
        <v>138</v>
      </c>
      <c r="G18" s="586" t="s">
        <v>189</v>
      </c>
      <c r="H18" s="587"/>
      <c r="I18" s="359">
        <f>X38</f>
        <v>297</v>
      </c>
      <c r="J18" s="7"/>
      <c r="K18" s="204"/>
      <c r="L18" s="204"/>
      <c r="M18" s="199"/>
      <c r="N18" s="205"/>
      <c r="O18" s="205"/>
      <c r="P18" s="205"/>
      <c r="Q18" s="205"/>
      <c r="R18" s="205"/>
      <c r="S18" s="205"/>
      <c r="T18" s="197"/>
      <c r="U18" s="197"/>
      <c r="V18" s="197"/>
      <c r="W18" s="197"/>
      <c r="X18" s="197"/>
      <c r="Y18" s="197"/>
    </row>
    <row r="19" spans="2:25" ht="32.1" customHeight="1">
      <c r="B19" s="456"/>
      <c r="C19" s="457"/>
      <c r="D19" s="582">
        <f>D18/400</f>
        <v>239.0112</v>
      </c>
      <c r="E19" s="583"/>
      <c r="F19" s="541"/>
      <c r="G19" s="588" t="s">
        <v>139</v>
      </c>
      <c r="H19" s="589"/>
      <c r="I19" s="361">
        <f>Y38</f>
        <v>268</v>
      </c>
      <c r="J19" s="7"/>
      <c r="K19" s="204"/>
      <c r="L19" s="204"/>
      <c r="M19" s="199"/>
      <c r="N19" s="205"/>
      <c r="O19" s="205"/>
      <c r="P19" s="205"/>
      <c r="Q19" s="205"/>
      <c r="R19" s="205"/>
      <c r="S19" s="205"/>
      <c r="T19" s="197"/>
      <c r="U19" s="197"/>
      <c r="V19" s="197"/>
      <c r="W19" s="197"/>
      <c r="X19" s="197"/>
      <c r="Y19" s="197"/>
    </row>
    <row r="20" spans="2:25" ht="32.1" customHeight="1">
      <c r="B20" s="458"/>
      <c r="C20" s="459"/>
      <c r="D20" s="584"/>
      <c r="E20" s="585"/>
      <c r="F20" s="542"/>
      <c r="G20" s="590" t="s">
        <v>140</v>
      </c>
      <c r="H20" s="591"/>
      <c r="I20" s="363">
        <f>I18+I19</f>
        <v>565</v>
      </c>
      <c r="J20" s="7"/>
      <c r="K20" s="204"/>
      <c r="L20" s="204"/>
      <c r="M20" s="199"/>
      <c r="N20" s="205"/>
      <c r="O20" s="205"/>
      <c r="P20" s="205"/>
      <c r="Q20" s="205"/>
      <c r="R20" s="205"/>
      <c r="S20" s="205"/>
      <c r="T20" s="197"/>
      <c r="U20" s="197"/>
      <c r="V20" s="197"/>
      <c r="W20" s="197"/>
      <c r="X20" s="197"/>
      <c r="Y20" s="197"/>
    </row>
    <row r="21" spans="2:25" ht="52.5" customHeight="1">
      <c r="B21" s="423" t="s">
        <v>141</v>
      </c>
      <c r="C21" s="526"/>
      <c r="D21" s="527">
        <v>3411.94</v>
      </c>
      <c r="E21" s="528"/>
      <c r="F21" s="214">
        <f>D21/D6</f>
        <v>0.11449501508394323</v>
      </c>
      <c r="G21" s="529" t="s">
        <v>184</v>
      </c>
      <c r="H21" s="530"/>
      <c r="I21" s="530"/>
      <c r="J21" s="7"/>
      <c r="K21" s="204"/>
      <c r="L21" s="204"/>
      <c r="M21" s="199"/>
      <c r="N21" s="205"/>
      <c r="O21" s="205"/>
      <c r="P21" s="205"/>
      <c r="Q21" s="205"/>
      <c r="R21" s="205"/>
      <c r="S21" s="205"/>
      <c r="T21" s="197"/>
      <c r="U21" s="197"/>
      <c r="V21" s="197"/>
      <c r="W21" s="197"/>
      <c r="X21" s="197"/>
      <c r="Y21" s="197"/>
    </row>
    <row r="22" spans="2:25" ht="32.1" customHeight="1" thickBot="1">
      <c r="B22" s="549" t="s">
        <v>142</v>
      </c>
      <c r="C22" s="550"/>
      <c r="D22" s="594">
        <f>D38+Q38+R38+S38</f>
        <v>4748.87</v>
      </c>
      <c r="E22" s="595"/>
      <c r="F22" s="595"/>
      <c r="G22" s="595"/>
      <c r="H22" s="595"/>
      <c r="I22" s="595"/>
      <c r="J22" s="7"/>
      <c r="K22" s="215"/>
      <c r="L22" s="215"/>
      <c r="M22" s="216"/>
      <c r="N22" s="217"/>
      <c r="O22" s="217"/>
      <c r="P22" s="217"/>
      <c r="Q22" s="217"/>
      <c r="R22" s="217"/>
      <c r="S22" s="217"/>
      <c r="T22" s="218"/>
      <c r="U22" s="218"/>
      <c r="V22" s="218"/>
      <c r="W22" s="218"/>
      <c r="X22" s="218"/>
      <c r="Y22" s="218"/>
    </row>
    <row r="23" spans="2:25" ht="35.1" customHeight="1" thickTop="1">
      <c r="B23" s="5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2:25" ht="35.1" customHeight="1" thickBot="1">
      <c r="B24" s="75" t="s">
        <v>143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2:25" ht="32.1" customHeight="1">
      <c r="B25" s="553" t="s">
        <v>144</v>
      </c>
      <c r="C25" s="556" t="s">
        <v>145</v>
      </c>
      <c r="D25" s="557"/>
      <c r="E25" s="557"/>
      <c r="F25" s="557"/>
      <c r="G25" s="557"/>
      <c r="H25" s="557"/>
      <c r="I25" s="557"/>
      <c r="J25" s="557"/>
      <c r="K25" s="557"/>
      <c r="L25" s="557"/>
      <c r="M25" s="557"/>
      <c r="N25" s="557"/>
      <c r="O25" s="558"/>
      <c r="P25" s="559" t="s">
        <v>146</v>
      </c>
      <c r="Q25" s="560"/>
      <c r="R25" s="560"/>
      <c r="S25" s="560"/>
      <c r="T25" s="560"/>
      <c r="U25" s="561"/>
      <c r="V25" s="578" t="s">
        <v>147</v>
      </c>
      <c r="W25" s="579"/>
      <c r="X25" s="562" t="s">
        <v>63</v>
      </c>
      <c r="Y25" s="563"/>
    </row>
    <row r="26" spans="2:25" ht="32.1" customHeight="1">
      <c r="B26" s="554"/>
      <c r="C26" s="566" t="s">
        <v>149</v>
      </c>
      <c r="D26" s="567"/>
      <c r="E26" s="567"/>
      <c r="F26" s="567"/>
      <c r="G26" s="567"/>
      <c r="H26" s="567"/>
      <c r="I26" s="568" t="s">
        <v>150</v>
      </c>
      <c r="J26" s="568"/>
      <c r="K26" s="568"/>
      <c r="L26" s="568"/>
      <c r="M26" s="569" t="s">
        <v>151</v>
      </c>
      <c r="N26" s="571" t="s">
        <v>152</v>
      </c>
      <c r="O26" s="572"/>
      <c r="P26" s="573" t="s">
        <v>153</v>
      </c>
      <c r="Q26" s="574"/>
      <c r="R26" s="575"/>
      <c r="S26" s="592" t="s">
        <v>190</v>
      </c>
      <c r="T26" s="576" t="s">
        <v>154</v>
      </c>
      <c r="U26" s="577"/>
      <c r="V26" s="580"/>
      <c r="W26" s="581"/>
      <c r="X26" s="564"/>
      <c r="Y26" s="565"/>
    </row>
    <row r="27" spans="2:25" ht="51" customHeight="1" thickBot="1">
      <c r="B27" s="555"/>
      <c r="C27" s="141" t="s">
        <v>125</v>
      </c>
      <c r="D27" s="219" t="s">
        <v>155</v>
      </c>
      <c r="E27" s="219" t="s">
        <v>191</v>
      </c>
      <c r="F27" s="23" t="s">
        <v>157</v>
      </c>
      <c r="G27" s="22" t="s">
        <v>158</v>
      </c>
      <c r="H27" s="220" t="s">
        <v>159</v>
      </c>
      <c r="I27" s="387" t="s">
        <v>193</v>
      </c>
      <c r="J27" s="387" t="s">
        <v>194</v>
      </c>
      <c r="K27" s="221" t="s">
        <v>162</v>
      </c>
      <c r="L27" s="222" t="s">
        <v>159</v>
      </c>
      <c r="M27" s="570"/>
      <c r="N27" s="223" t="s">
        <v>4</v>
      </c>
      <c r="O27" s="224" t="s">
        <v>5</v>
      </c>
      <c r="P27" s="225" t="s">
        <v>165</v>
      </c>
      <c r="Q27" s="226" t="s">
        <v>166</v>
      </c>
      <c r="R27" s="226" t="s">
        <v>114</v>
      </c>
      <c r="S27" s="593"/>
      <c r="T27" s="375" t="s">
        <v>4</v>
      </c>
      <c r="U27" s="228" t="s">
        <v>5</v>
      </c>
      <c r="V27" s="229" t="s">
        <v>4</v>
      </c>
      <c r="W27" s="230" t="s">
        <v>5</v>
      </c>
      <c r="X27" s="368" t="s">
        <v>188</v>
      </c>
      <c r="Y27" s="232" t="s">
        <v>98</v>
      </c>
    </row>
    <row r="28" spans="2:25" ht="32.1" customHeight="1">
      <c r="B28" s="233" t="s">
        <v>176</v>
      </c>
      <c r="C28" s="234">
        <v>14704.95</v>
      </c>
      <c r="D28" s="235">
        <v>103.87</v>
      </c>
      <c r="E28" s="235">
        <v>11.79</v>
      </c>
      <c r="F28" s="236">
        <v>100.91</v>
      </c>
      <c r="G28" s="237">
        <v>643.27</v>
      </c>
      <c r="H28" s="238">
        <f t="shared" ref="H28:H36" si="1">SUM(C28:G28)</f>
        <v>15564.790000000003</v>
      </c>
      <c r="I28" s="239">
        <v>1738.54</v>
      </c>
      <c r="J28" s="239">
        <v>2872.07</v>
      </c>
      <c r="K28" s="239">
        <v>0</v>
      </c>
      <c r="L28" s="240">
        <f>SUM(I28:K28)</f>
        <v>4610.6100000000006</v>
      </c>
      <c r="M28" s="241">
        <v>2141.86</v>
      </c>
      <c r="N28" s="242">
        <f>M28+L28+H28</f>
        <v>22317.260000000002</v>
      </c>
      <c r="O28" s="243">
        <f>N28*0.3025</f>
        <v>6750.9711500000003</v>
      </c>
      <c r="P28" s="244">
        <v>0</v>
      </c>
      <c r="Q28" s="245">
        <v>0</v>
      </c>
      <c r="R28" s="245">
        <v>0</v>
      </c>
      <c r="S28" s="370">
        <v>0</v>
      </c>
      <c r="T28" s="376">
        <f t="shared" ref="T28:T37" si="2">SUM(P28:S28)</f>
        <v>0</v>
      </c>
      <c r="U28" s="247">
        <f>T28*0.3025</f>
        <v>0</v>
      </c>
      <c r="V28" s="248">
        <f>T28+N28</f>
        <v>22317.260000000002</v>
      </c>
      <c r="W28" s="249">
        <f t="shared" ref="W28:W31" si="3">U28+O28</f>
        <v>6750.9711500000003</v>
      </c>
      <c r="X28" s="250">
        <v>3</v>
      </c>
      <c r="Y28" s="251">
        <v>35</v>
      </c>
    </row>
    <row r="29" spans="2:25" ht="32.1" customHeight="1">
      <c r="B29" s="252" t="s">
        <v>175</v>
      </c>
      <c r="C29" s="253">
        <v>0</v>
      </c>
      <c r="D29" s="254">
        <v>3606.51</v>
      </c>
      <c r="E29" s="254">
        <v>3.55</v>
      </c>
      <c r="F29" s="255">
        <v>147.1</v>
      </c>
      <c r="G29" s="256">
        <v>1458.76</v>
      </c>
      <c r="H29" s="257">
        <f t="shared" si="1"/>
        <v>5215.92</v>
      </c>
      <c r="I29" s="258">
        <v>0</v>
      </c>
      <c r="J29" s="258">
        <v>0</v>
      </c>
      <c r="K29" s="258">
        <v>0</v>
      </c>
      <c r="L29" s="259">
        <f>SUM(I29:K29)</f>
        <v>0</v>
      </c>
      <c r="M29" s="260">
        <v>30.87</v>
      </c>
      <c r="N29" s="261">
        <f>M29+L29+H29</f>
        <v>5246.79</v>
      </c>
      <c r="O29" s="262">
        <f>N29*0.3025</f>
        <v>1587.1539749999999</v>
      </c>
      <c r="P29" s="263">
        <v>220.7</v>
      </c>
      <c r="Q29" s="264">
        <v>351.51</v>
      </c>
      <c r="R29" s="264">
        <v>21.69</v>
      </c>
      <c r="S29" s="371">
        <v>0</v>
      </c>
      <c r="T29" s="377">
        <f t="shared" si="2"/>
        <v>593.90000000000009</v>
      </c>
      <c r="U29" s="247">
        <f>T29*0.3025</f>
        <v>179.65475000000004</v>
      </c>
      <c r="V29" s="248">
        <f>T29+N29</f>
        <v>5840.6900000000005</v>
      </c>
      <c r="W29" s="249">
        <f t="shared" si="3"/>
        <v>1766.8087249999999</v>
      </c>
      <c r="X29" s="266" t="s">
        <v>99</v>
      </c>
      <c r="Y29" s="267" t="s">
        <v>99</v>
      </c>
    </row>
    <row r="30" spans="2:25" ht="32.1" customHeight="1" thickBot="1">
      <c r="B30" s="268" t="s">
        <v>24</v>
      </c>
      <c r="C30" s="269">
        <f>C28+C29</f>
        <v>14704.95</v>
      </c>
      <c r="D30" s="270">
        <f t="shared" ref="D30:G30" si="4">D28+D29</f>
        <v>3710.38</v>
      </c>
      <c r="E30" s="270">
        <f t="shared" si="4"/>
        <v>15.34</v>
      </c>
      <c r="F30" s="270">
        <f t="shared" si="4"/>
        <v>248.01</v>
      </c>
      <c r="G30" s="270">
        <f t="shared" si="4"/>
        <v>2102.0299999999997</v>
      </c>
      <c r="H30" s="271">
        <f t="shared" si="1"/>
        <v>20780.71</v>
      </c>
      <c r="I30" s="272">
        <f>SUM(I28:I29)</f>
        <v>1738.54</v>
      </c>
      <c r="J30" s="272">
        <f t="shared" ref="J30:K30" si="5">SUM(J28:J29)</f>
        <v>2872.07</v>
      </c>
      <c r="K30" s="272">
        <f t="shared" si="5"/>
        <v>0</v>
      </c>
      <c r="L30" s="273">
        <f>SUM(I30:K30)</f>
        <v>4610.6100000000006</v>
      </c>
      <c r="M30" s="274">
        <f>SUM(M28:M29)</f>
        <v>2172.73</v>
      </c>
      <c r="N30" s="275">
        <f>H30+L30+M30</f>
        <v>27564.05</v>
      </c>
      <c r="O30" s="276">
        <f>N30*0.3025</f>
        <v>8338.1251249999987</v>
      </c>
      <c r="P30" s="277">
        <f>SUM(P28:P29)</f>
        <v>220.7</v>
      </c>
      <c r="Q30" s="277">
        <f t="shared" ref="Q30:R30" si="6">SUM(Q28:Q29)</f>
        <v>351.51</v>
      </c>
      <c r="R30" s="277">
        <f t="shared" si="6"/>
        <v>21.69</v>
      </c>
      <c r="S30" s="382">
        <f>SUM(S28:S29)</f>
        <v>0</v>
      </c>
      <c r="T30" s="378">
        <f t="shared" si="2"/>
        <v>593.90000000000009</v>
      </c>
      <c r="U30" s="279">
        <f>T30*0.3025</f>
        <v>179.65475000000004</v>
      </c>
      <c r="V30" s="280">
        <f>T30+N30</f>
        <v>28157.95</v>
      </c>
      <c r="W30" s="281">
        <f t="shared" si="3"/>
        <v>8517.7798749999984</v>
      </c>
      <c r="X30" s="282">
        <f>SUM(X28:X29)</f>
        <v>3</v>
      </c>
      <c r="Y30" s="283">
        <f>SUM(Y28:Y29)</f>
        <v>35</v>
      </c>
    </row>
    <row r="31" spans="2:25" ht="32.1" customHeight="1">
      <c r="B31" s="284" t="s">
        <v>177</v>
      </c>
      <c r="C31" s="285">
        <v>13450.63</v>
      </c>
      <c r="D31" s="286">
        <v>114.26</v>
      </c>
      <c r="E31" s="286">
        <v>11.79</v>
      </c>
      <c r="F31" s="287">
        <v>108.31</v>
      </c>
      <c r="G31" s="288">
        <v>696.06</v>
      </c>
      <c r="H31" s="289">
        <f>SUM(C31:G31)</f>
        <v>14381.05</v>
      </c>
      <c r="I31" s="290">
        <v>1617.99</v>
      </c>
      <c r="J31" s="290">
        <v>4723.49</v>
      </c>
      <c r="K31" s="290">
        <v>0</v>
      </c>
      <c r="L31" s="291">
        <f>SUM(I31:K31)</f>
        <v>6341.48</v>
      </c>
      <c r="M31" s="292">
        <v>0</v>
      </c>
      <c r="N31" s="293">
        <f>H31+L31+M31</f>
        <v>20722.53</v>
      </c>
      <c r="O31" s="294">
        <f>N31*0.3025</f>
        <v>6268.5653249999996</v>
      </c>
      <c r="P31" s="295">
        <v>0</v>
      </c>
      <c r="Q31" s="296">
        <v>0</v>
      </c>
      <c r="R31" s="296">
        <v>0</v>
      </c>
      <c r="S31" s="372">
        <v>147.09</v>
      </c>
      <c r="T31" s="379">
        <f t="shared" si="2"/>
        <v>147.09</v>
      </c>
      <c r="U31" s="298">
        <f>T31*0.3025</f>
        <v>44.494725000000003</v>
      </c>
      <c r="V31" s="299">
        <f>T31+N31</f>
        <v>20869.62</v>
      </c>
      <c r="W31" s="300">
        <f t="shared" si="3"/>
        <v>6313.0600499999991</v>
      </c>
      <c r="X31" s="301">
        <v>51</v>
      </c>
      <c r="Y31" s="302">
        <v>36</v>
      </c>
    </row>
    <row r="32" spans="2:25" ht="32.1" customHeight="1">
      <c r="B32" s="303" t="s">
        <v>178</v>
      </c>
      <c r="C32" s="304">
        <v>13463.03</v>
      </c>
      <c r="D32" s="305">
        <v>104.3</v>
      </c>
      <c r="E32" s="305">
        <v>11.79</v>
      </c>
      <c r="F32" s="306">
        <v>108.31</v>
      </c>
      <c r="G32" s="307">
        <v>683.84</v>
      </c>
      <c r="H32" s="308">
        <f t="shared" si="1"/>
        <v>14371.27</v>
      </c>
      <c r="I32" s="309">
        <v>1645.71</v>
      </c>
      <c r="J32" s="309">
        <v>4723.49</v>
      </c>
      <c r="K32" s="309">
        <v>0</v>
      </c>
      <c r="L32" s="310">
        <f>SUM(I32:K32)</f>
        <v>6369.2</v>
      </c>
      <c r="M32" s="311">
        <v>0</v>
      </c>
      <c r="N32" s="261">
        <f>H32+L32+M32</f>
        <v>20740.47</v>
      </c>
      <c r="O32" s="262">
        <f>N32*0.3025</f>
        <v>6273.9921750000003</v>
      </c>
      <c r="P32" s="312">
        <v>0</v>
      </c>
      <c r="Q32" s="313">
        <v>0</v>
      </c>
      <c r="R32" s="313">
        <v>0</v>
      </c>
      <c r="S32" s="373">
        <v>0</v>
      </c>
      <c r="T32" s="380">
        <f t="shared" si="2"/>
        <v>0</v>
      </c>
      <c r="U32" s="315">
        <f>T32*0.3025</f>
        <v>0</v>
      </c>
      <c r="V32" s="316">
        <f t="shared" ref="V32:W38" si="7">N32+T32</f>
        <v>20740.47</v>
      </c>
      <c r="W32" s="317">
        <f t="shared" si="7"/>
        <v>6273.9921750000003</v>
      </c>
      <c r="X32" s="318" t="s">
        <v>99</v>
      </c>
      <c r="Y32" s="319">
        <v>38</v>
      </c>
    </row>
    <row r="33" spans="2:25" ht="32.1" customHeight="1">
      <c r="B33" s="303" t="s">
        <v>169</v>
      </c>
      <c r="C33" s="304">
        <v>13477.67</v>
      </c>
      <c r="D33" s="305">
        <v>104.3</v>
      </c>
      <c r="E33" s="305">
        <v>11.79</v>
      </c>
      <c r="F33" s="306">
        <v>108.31</v>
      </c>
      <c r="G33" s="307">
        <v>683.84</v>
      </c>
      <c r="H33" s="308">
        <f t="shared" si="1"/>
        <v>14385.91</v>
      </c>
      <c r="I33" s="309">
        <v>1645.71</v>
      </c>
      <c r="J33" s="309">
        <v>4723.49</v>
      </c>
      <c r="K33" s="309">
        <v>0</v>
      </c>
      <c r="L33" s="310">
        <f t="shared" ref="L33:L37" si="8">SUM(I33:K33)</f>
        <v>6369.2</v>
      </c>
      <c r="M33" s="311">
        <v>0</v>
      </c>
      <c r="N33" s="261">
        <f t="shared" ref="N33:N36" si="9">H33+L33+M33</f>
        <v>20755.11</v>
      </c>
      <c r="O33" s="262">
        <f t="shared" ref="O33:O38" si="10">N33*0.3025</f>
        <v>6278.4207749999996</v>
      </c>
      <c r="P33" s="312">
        <v>0</v>
      </c>
      <c r="Q33" s="313">
        <v>0</v>
      </c>
      <c r="R33" s="313">
        <v>0</v>
      </c>
      <c r="S33" s="373">
        <v>0</v>
      </c>
      <c r="T33" s="380">
        <f t="shared" si="2"/>
        <v>0</v>
      </c>
      <c r="U33" s="315">
        <f t="shared" ref="U33:U36" si="11">T33*0.3025</f>
        <v>0</v>
      </c>
      <c r="V33" s="316">
        <f t="shared" si="7"/>
        <v>20755.11</v>
      </c>
      <c r="W33" s="317">
        <f t="shared" si="7"/>
        <v>6278.4207749999996</v>
      </c>
      <c r="X33" s="318" t="s">
        <v>99</v>
      </c>
      <c r="Y33" s="319">
        <v>38</v>
      </c>
    </row>
    <row r="34" spans="2:25" ht="32.1" customHeight="1">
      <c r="B34" s="303" t="s">
        <v>179</v>
      </c>
      <c r="C34" s="304">
        <v>13485.93</v>
      </c>
      <c r="D34" s="305">
        <v>97.67</v>
      </c>
      <c r="E34" s="305">
        <v>11.79</v>
      </c>
      <c r="F34" s="306">
        <v>108.31</v>
      </c>
      <c r="G34" s="307">
        <v>682.21</v>
      </c>
      <c r="H34" s="308">
        <f t="shared" si="1"/>
        <v>14385.91</v>
      </c>
      <c r="I34" s="309">
        <v>1645.71</v>
      </c>
      <c r="J34" s="309">
        <v>4723.49</v>
      </c>
      <c r="K34" s="309">
        <v>0</v>
      </c>
      <c r="L34" s="240">
        <f t="shared" si="8"/>
        <v>6369.2</v>
      </c>
      <c r="M34" s="241">
        <v>0</v>
      </c>
      <c r="N34" s="261">
        <f t="shared" si="9"/>
        <v>20755.11</v>
      </c>
      <c r="O34" s="262">
        <f t="shared" si="10"/>
        <v>6278.4207749999996</v>
      </c>
      <c r="P34" s="312">
        <v>0</v>
      </c>
      <c r="Q34" s="313">
        <v>0</v>
      </c>
      <c r="R34" s="313">
        <v>0</v>
      </c>
      <c r="S34" s="373">
        <v>0</v>
      </c>
      <c r="T34" s="380">
        <f t="shared" si="2"/>
        <v>0</v>
      </c>
      <c r="U34" s="315">
        <f t="shared" si="11"/>
        <v>0</v>
      </c>
      <c r="V34" s="316">
        <f t="shared" si="7"/>
        <v>20755.11</v>
      </c>
      <c r="W34" s="317">
        <f t="shared" si="7"/>
        <v>6278.4207749999996</v>
      </c>
      <c r="X34" s="250" t="s">
        <v>99</v>
      </c>
      <c r="Y34" s="251">
        <v>38</v>
      </c>
    </row>
    <row r="35" spans="2:25" ht="32.1" customHeight="1">
      <c r="B35" s="303" t="s">
        <v>180</v>
      </c>
      <c r="C35" s="304">
        <v>13485.93</v>
      </c>
      <c r="D35" s="305">
        <v>97.67</v>
      </c>
      <c r="E35" s="305">
        <v>11.79</v>
      </c>
      <c r="F35" s="306">
        <v>108.31</v>
      </c>
      <c r="G35" s="307">
        <v>682.21</v>
      </c>
      <c r="H35" s="308">
        <f t="shared" si="1"/>
        <v>14385.91</v>
      </c>
      <c r="I35" s="309">
        <v>1645.71</v>
      </c>
      <c r="J35" s="309">
        <v>4723.49</v>
      </c>
      <c r="K35" s="309">
        <v>0</v>
      </c>
      <c r="L35" s="240">
        <f t="shared" si="8"/>
        <v>6369.2</v>
      </c>
      <c r="M35" s="241">
        <v>0</v>
      </c>
      <c r="N35" s="261">
        <f t="shared" si="9"/>
        <v>20755.11</v>
      </c>
      <c r="O35" s="262">
        <f t="shared" si="10"/>
        <v>6278.4207749999996</v>
      </c>
      <c r="P35" s="312">
        <v>0</v>
      </c>
      <c r="Q35" s="313">
        <v>0</v>
      </c>
      <c r="R35" s="313">
        <v>0</v>
      </c>
      <c r="S35" s="373">
        <v>0</v>
      </c>
      <c r="T35" s="380">
        <f t="shared" si="2"/>
        <v>0</v>
      </c>
      <c r="U35" s="315">
        <f t="shared" si="11"/>
        <v>0</v>
      </c>
      <c r="V35" s="316">
        <f t="shared" si="7"/>
        <v>20755.11</v>
      </c>
      <c r="W35" s="317">
        <f t="shared" si="7"/>
        <v>6278.4207749999996</v>
      </c>
      <c r="X35" s="250" t="s">
        <v>99</v>
      </c>
      <c r="Y35" s="251">
        <v>38</v>
      </c>
    </row>
    <row r="36" spans="2:25" ht="32.1" customHeight="1">
      <c r="B36" s="303" t="s">
        <v>192</v>
      </c>
      <c r="C36" s="234">
        <v>0</v>
      </c>
      <c r="D36" s="235">
        <v>0</v>
      </c>
      <c r="E36" s="235">
        <v>0</v>
      </c>
      <c r="F36" s="236">
        <v>0</v>
      </c>
      <c r="G36" s="237">
        <v>0</v>
      </c>
      <c r="H36" s="308">
        <f t="shared" si="1"/>
        <v>0</v>
      </c>
      <c r="I36" s="239">
        <v>0</v>
      </c>
      <c r="J36" s="239">
        <v>0</v>
      </c>
      <c r="K36" s="239">
        <v>0</v>
      </c>
      <c r="L36" s="240">
        <f t="shared" si="8"/>
        <v>0</v>
      </c>
      <c r="M36" s="241">
        <v>0</v>
      </c>
      <c r="N36" s="261">
        <f t="shared" si="9"/>
        <v>0</v>
      </c>
      <c r="O36" s="262">
        <f t="shared" si="10"/>
        <v>0</v>
      </c>
      <c r="P36" s="320">
        <v>0</v>
      </c>
      <c r="Q36" s="313">
        <v>0</v>
      </c>
      <c r="R36" s="313">
        <v>0</v>
      </c>
      <c r="S36" s="373">
        <v>0</v>
      </c>
      <c r="T36" s="380">
        <f t="shared" si="2"/>
        <v>0</v>
      </c>
      <c r="U36" s="321">
        <f t="shared" si="11"/>
        <v>0</v>
      </c>
      <c r="V36" s="316">
        <f t="shared" si="7"/>
        <v>0</v>
      </c>
      <c r="W36" s="317">
        <f t="shared" si="7"/>
        <v>0</v>
      </c>
      <c r="X36" s="250">
        <v>243</v>
      </c>
      <c r="Y36" s="251">
        <v>45</v>
      </c>
    </row>
    <row r="37" spans="2:25" ht="32.1" customHeight="1" thickBot="1">
      <c r="B37" s="322" t="s">
        <v>25</v>
      </c>
      <c r="C37" s="269">
        <f>SUM(C31:C36)</f>
        <v>67363.19</v>
      </c>
      <c r="D37" s="270">
        <f>SUM(D31:D36)</f>
        <v>518.20000000000005</v>
      </c>
      <c r="E37" s="270">
        <f>SUM(E31:E36)</f>
        <v>58.949999999999996</v>
      </c>
      <c r="F37" s="323">
        <f>SUM(F31:F36)</f>
        <v>541.54999999999995</v>
      </c>
      <c r="G37" s="324">
        <f>SUM(G31:G36)</f>
        <v>3428.1600000000003</v>
      </c>
      <c r="H37" s="325">
        <f>SUM(C37:G37)</f>
        <v>71910.05</v>
      </c>
      <c r="I37" s="326">
        <f>SUM(I31:I36)</f>
        <v>8200.83</v>
      </c>
      <c r="J37" s="326">
        <f>SUM(J31:J36)</f>
        <v>23617.449999999997</v>
      </c>
      <c r="K37" s="326">
        <f>SUM(K31:K36)</f>
        <v>0</v>
      </c>
      <c r="L37" s="327">
        <f t="shared" si="8"/>
        <v>31818.28</v>
      </c>
      <c r="M37" s="328">
        <f>SUM(M31:M36)</f>
        <v>0</v>
      </c>
      <c r="N37" s="329">
        <f>H37+L37+M37</f>
        <v>103728.33</v>
      </c>
      <c r="O37" s="330">
        <f t="shared" si="10"/>
        <v>31377.819824999999</v>
      </c>
      <c r="P37" s="331">
        <f>SUM(P31:P36)</f>
        <v>0</v>
      </c>
      <c r="Q37" s="331">
        <f t="shared" ref="Q37:R37" si="12">SUM(Q31:Q36)</f>
        <v>0</v>
      </c>
      <c r="R37" s="331">
        <f t="shared" si="12"/>
        <v>0</v>
      </c>
      <c r="S37" s="374">
        <f>SUM(S31:S36)</f>
        <v>147.09</v>
      </c>
      <c r="T37" s="381">
        <f t="shared" si="2"/>
        <v>147.09</v>
      </c>
      <c r="U37" s="333">
        <f>T37*0.3025</f>
        <v>44.494725000000003</v>
      </c>
      <c r="V37" s="334">
        <f>N37+T37</f>
        <v>103875.42</v>
      </c>
      <c r="W37" s="335">
        <f t="shared" si="7"/>
        <v>31422.314549999999</v>
      </c>
      <c r="X37" s="336">
        <f>SUM(X31:X36)</f>
        <v>294</v>
      </c>
      <c r="Y37" s="337">
        <f>SUM(Y31:Y36)</f>
        <v>233</v>
      </c>
    </row>
    <row r="38" spans="2:25" ht="32.1" customHeight="1" thickBot="1">
      <c r="B38" s="338" t="s">
        <v>13</v>
      </c>
      <c r="C38" s="339">
        <f>C30+C37</f>
        <v>82068.14</v>
      </c>
      <c r="D38" s="340">
        <f>D30+D37</f>
        <v>4228.58</v>
      </c>
      <c r="E38" s="340">
        <f t="shared" ref="E38:F38" si="13">E30+E37</f>
        <v>74.289999999999992</v>
      </c>
      <c r="F38" s="340">
        <f t="shared" si="13"/>
        <v>789.56</v>
      </c>
      <c r="G38" s="341">
        <f>G30+G37</f>
        <v>5530.1900000000005</v>
      </c>
      <c r="H38" s="342">
        <f>SUM(C38:G38)</f>
        <v>92690.76</v>
      </c>
      <c r="I38" s="343">
        <f>I30+I37</f>
        <v>9939.369999999999</v>
      </c>
      <c r="J38" s="343">
        <f>J30+J37</f>
        <v>26489.519999999997</v>
      </c>
      <c r="K38" s="343">
        <f>K30+K37</f>
        <v>0</v>
      </c>
      <c r="L38" s="344">
        <f>SUM(I38:K38)</f>
        <v>36428.89</v>
      </c>
      <c r="M38" s="345">
        <f>M30+M37</f>
        <v>2172.73</v>
      </c>
      <c r="N38" s="346">
        <f>H38+L38+M38</f>
        <v>131292.38</v>
      </c>
      <c r="O38" s="347">
        <f t="shared" si="10"/>
        <v>39715.944949999997</v>
      </c>
      <c r="P38" s="331">
        <f>P30+P37</f>
        <v>220.7</v>
      </c>
      <c r="Q38" s="348">
        <f>Q30+Q37</f>
        <v>351.51</v>
      </c>
      <c r="R38" s="348">
        <f>R30+R37</f>
        <v>21.69</v>
      </c>
      <c r="S38" s="348">
        <f>S30+S37</f>
        <v>147.09</v>
      </c>
      <c r="T38" s="381">
        <f>T30+T37</f>
        <v>740.99000000000012</v>
      </c>
      <c r="U38" s="333">
        <f t="shared" ref="U38" si="14">T38*0.3025</f>
        <v>224.14947500000002</v>
      </c>
      <c r="V38" s="349">
        <f t="shared" si="7"/>
        <v>132033.37</v>
      </c>
      <c r="W38" s="350">
        <f t="shared" si="7"/>
        <v>39940.094424999996</v>
      </c>
      <c r="X38" s="351">
        <f>X30+X37</f>
        <v>297</v>
      </c>
      <c r="Y38" s="352">
        <f>Y30+Y37</f>
        <v>268</v>
      </c>
    </row>
    <row r="39" spans="2:25" ht="5.0999999999999996" customHeight="1">
      <c r="O39" s="51"/>
      <c r="P39" s="55"/>
    </row>
    <row r="40" spans="2:25" ht="20.100000000000001" customHeight="1">
      <c r="B40" s="353" t="s">
        <v>171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2:25" ht="9.9499999999999993" customHeight="1"/>
    <row r="42" spans="2:25" ht="30" customHeight="1">
      <c r="I42" s="8"/>
      <c r="J42" s="8"/>
      <c r="N42" s="8"/>
      <c r="O42" s="354"/>
      <c r="P42" s="8"/>
    </row>
    <row r="43" spans="2:25" ht="30" customHeight="1"/>
    <row r="44" spans="2:25" ht="30" customHeight="1">
      <c r="H44" s="51"/>
    </row>
    <row r="45" spans="2:25" ht="30" customHeight="1"/>
    <row r="46" spans="2:25" ht="30" customHeight="1"/>
  </sheetData>
  <mergeCells count="61">
    <mergeCell ref="B9:C9"/>
    <mergeCell ref="D9:F9"/>
    <mergeCell ref="G9:H9"/>
    <mergeCell ref="B3:C3"/>
    <mergeCell ref="B4:C4"/>
    <mergeCell ref="B5:C5"/>
    <mergeCell ref="D5:F5"/>
    <mergeCell ref="B6:C6"/>
    <mergeCell ref="D6:F6"/>
    <mergeCell ref="G6:H6"/>
    <mergeCell ref="B7:C7"/>
    <mergeCell ref="D7:F7"/>
    <mergeCell ref="B8:C8"/>
    <mergeCell ref="D8:F8"/>
    <mergeCell ref="B10:C10"/>
    <mergeCell ref="D10:F10"/>
    <mergeCell ref="G10:H10"/>
    <mergeCell ref="B11:B13"/>
    <mergeCell ref="D11:F11"/>
    <mergeCell ref="G11:H11"/>
    <mergeCell ref="D12:F12"/>
    <mergeCell ref="G12:H12"/>
    <mergeCell ref="D13:F13"/>
    <mergeCell ref="G13:H13"/>
    <mergeCell ref="B14:C14"/>
    <mergeCell ref="D14:F14"/>
    <mergeCell ref="G14:H14"/>
    <mergeCell ref="B15:C15"/>
    <mergeCell ref="D15:F15"/>
    <mergeCell ref="G15:H15"/>
    <mergeCell ref="B16:C16"/>
    <mergeCell ref="D16:F16"/>
    <mergeCell ref="G16:H16"/>
    <mergeCell ref="B17:C17"/>
    <mergeCell ref="D17:E17"/>
    <mergeCell ref="H17:I17"/>
    <mergeCell ref="B25:B27"/>
    <mergeCell ref="C25:O25"/>
    <mergeCell ref="B18:C20"/>
    <mergeCell ref="D18:E18"/>
    <mergeCell ref="F18:F20"/>
    <mergeCell ref="G18:H18"/>
    <mergeCell ref="D19:E19"/>
    <mergeCell ref="G19:H19"/>
    <mergeCell ref="D20:E20"/>
    <mergeCell ref="G20:H20"/>
    <mergeCell ref="B21:C21"/>
    <mergeCell ref="D21:E21"/>
    <mergeCell ref="G21:I21"/>
    <mergeCell ref="B22:C22"/>
    <mergeCell ref="D22:I22"/>
    <mergeCell ref="P25:U25"/>
    <mergeCell ref="V25:W26"/>
    <mergeCell ref="X25:Y26"/>
    <mergeCell ref="C26:H26"/>
    <mergeCell ref="I26:L26"/>
    <mergeCell ref="M26:M27"/>
    <mergeCell ref="N26:O26"/>
    <mergeCell ref="P26:R26"/>
    <mergeCell ref="S26:S27"/>
    <mergeCell ref="T26:U26"/>
  </mergeCells>
  <phoneticPr fontId="2" type="noConversion"/>
  <pageMargins left="0.7" right="0.7" top="0.75" bottom="0.75" header="0.3" footer="0.3"/>
  <pageSetup paperSize="8" scale="6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3A57E-8F25-48DB-9C22-69C354D54867}">
  <sheetPr>
    <tabColor rgb="FF0070C0"/>
    <pageSetUpPr fitToPage="1"/>
  </sheetPr>
  <dimension ref="B1:AA46"/>
  <sheetViews>
    <sheetView showGridLines="0" tabSelected="1" topLeftCell="A4" zoomScale="70" zoomScaleNormal="70" workbookViewId="0">
      <selection activeCell="AC36" sqref="AC36"/>
    </sheetView>
  </sheetViews>
  <sheetFormatPr defaultRowHeight="16.5"/>
  <cols>
    <col min="1" max="1" width="3.625" customWidth="1"/>
    <col min="2" max="2" width="15.625" customWidth="1"/>
    <col min="3" max="25" width="11.625" customWidth="1"/>
    <col min="26" max="26" width="3.25" customWidth="1"/>
  </cols>
  <sheetData>
    <row r="1" spans="2:27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2:27" ht="35.1" customHeight="1" thickBot="1">
      <c r="B2" s="596" t="s">
        <v>118</v>
      </c>
      <c r="C2" s="597"/>
      <c r="D2" s="597"/>
      <c r="E2" s="597"/>
      <c r="F2" s="597"/>
      <c r="G2" s="597"/>
      <c r="H2" s="597"/>
      <c r="I2" s="597"/>
      <c r="J2" s="598"/>
      <c r="K2" s="596" t="s">
        <v>119</v>
      </c>
      <c r="L2" s="596"/>
      <c r="M2" s="597"/>
      <c r="N2" s="597"/>
      <c r="O2" s="597"/>
      <c r="P2" s="597"/>
      <c r="Q2" s="597"/>
      <c r="R2" s="597"/>
      <c r="S2" s="597"/>
      <c r="T2" s="597"/>
      <c r="U2" s="597"/>
      <c r="V2" s="597"/>
      <c r="W2" s="597"/>
      <c r="X2" s="597"/>
      <c r="Y2" s="597"/>
      <c r="Z2" s="183"/>
      <c r="AA2" s="183"/>
    </row>
    <row r="3" spans="2:27" ht="32.1" customHeight="1">
      <c r="B3" s="599" t="s">
        <v>120</v>
      </c>
      <c r="C3" s="600"/>
      <c r="D3" s="601" t="s">
        <v>84</v>
      </c>
      <c r="E3" s="602"/>
      <c r="F3" s="602"/>
      <c r="G3" s="602"/>
      <c r="H3" s="602"/>
      <c r="I3" s="602"/>
      <c r="J3" s="603"/>
      <c r="K3" s="604"/>
      <c r="L3" s="604"/>
      <c r="M3" s="604"/>
      <c r="N3" s="605"/>
      <c r="O3" s="606"/>
      <c r="P3" s="605"/>
      <c r="Q3" s="606"/>
      <c r="R3" s="606"/>
      <c r="S3" s="606"/>
      <c r="T3" s="607"/>
      <c r="U3" s="607"/>
      <c r="V3" s="607"/>
      <c r="W3" s="607"/>
      <c r="X3" s="607"/>
      <c r="Y3" s="607"/>
    </row>
    <row r="4" spans="2:27" ht="32.1" customHeight="1">
      <c r="B4" s="608" t="s">
        <v>121</v>
      </c>
      <c r="C4" s="609"/>
      <c r="D4" s="610" t="s">
        <v>75</v>
      </c>
      <c r="E4" s="611"/>
      <c r="F4" s="612"/>
      <c r="G4" s="613"/>
      <c r="H4" s="613"/>
      <c r="I4" s="613"/>
      <c r="J4" s="603"/>
      <c r="K4" s="614"/>
      <c r="L4" s="614"/>
      <c r="M4" s="614"/>
      <c r="N4" s="615"/>
      <c r="O4" s="616"/>
      <c r="P4" s="615"/>
      <c r="Q4" s="616"/>
      <c r="R4" s="616"/>
      <c r="S4" s="616"/>
      <c r="T4" s="617"/>
      <c r="U4" s="617"/>
      <c r="V4" s="617"/>
      <c r="W4" s="617"/>
      <c r="X4" s="617"/>
      <c r="Y4" s="617"/>
    </row>
    <row r="5" spans="2:27" ht="32.1" customHeight="1">
      <c r="B5" s="608" t="s">
        <v>122</v>
      </c>
      <c r="C5" s="609"/>
      <c r="D5" s="618" t="s">
        <v>187</v>
      </c>
      <c r="E5" s="619"/>
      <c r="F5" s="620"/>
      <c r="G5" s="613"/>
      <c r="H5" s="613"/>
      <c r="I5" s="613"/>
      <c r="J5" s="603"/>
      <c r="K5" s="621"/>
      <c r="L5" s="621"/>
      <c r="M5" s="622"/>
      <c r="N5" s="623"/>
      <c r="O5" s="624"/>
      <c r="P5" s="625"/>
      <c r="Q5" s="624"/>
      <c r="R5" s="624"/>
      <c r="S5" s="624"/>
      <c r="T5" s="617"/>
      <c r="U5" s="617"/>
      <c r="V5" s="617"/>
      <c r="W5" s="617"/>
      <c r="X5" s="617"/>
      <c r="Y5" s="617"/>
    </row>
    <row r="6" spans="2:27" ht="32.1" customHeight="1">
      <c r="B6" s="608" t="s">
        <v>123</v>
      </c>
      <c r="C6" s="609"/>
      <c r="D6" s="626">
        <v>29799.9</v>
      </c>
      <c r="E6" s="627"/>
      <c r="F6" s="628"/>
      <c r="G6" s="629">
        <f>D6*0.3025</f>
        <v>9014.4697500000002</v>
      </c>
      <c r="H6" s="630"/>
      <c r="I6" s="631"/>
      <c r="J6" s="603"/>
      <c r="K6" s="632"/>
      <c r="L6" s="632"/>
      <c r="M6" s="622"/>
      <c r="N6" s="633"/>
      <c r="O6" s="633"/>
      <c r="P6" s="634"/>
      <c r="Q6" s="633"/>
      <c r="R6" s="633"/>
      <c r="S6" s="633"/>
      <c r="T6" s="617"/>
      <c r="U6" s="617"/>
      <c r="V6" s="617"/>
      <c r="W6" s="617"/>
      <c r="X6" s="617"/>
      <c r="Y6" s="617"/>
    </row>
    <row r="7" spans="2:27" ht="32.1" customHeight="1">
      <c r="B7" s="635" t="s">
        <v>124</v>
      </c>
      <c r="C7" s="636"/>
      <c r="D7" s="637" t="s">
        <v>125</v>
      </c>
      <c r="E7" s="638"/>
      <c r="F7" s="638"/>
      <c r="G7" s="639"/>
      <c r="H7" s="640"/>
      <c r="I7" s="641"/>
      <c r="J7" s="603"/>
      <c r="K7" s="632"/>
      <c r="L7" s="632"/>
      <c r="M7" s="622"/>
      <c r="N7" s="633"/>
      <c r="O7" s="633"/>
      <c r="P7" s="634"/>
      <c r="Q7" s="633"/>
      <c r="R7" s="633"/>
      <c r="S7" s="633"/>
      <c r="T7" s="617"/>
      <c r="U7" s="617"/>
      <c r="V7" s="617"/>
      <c r="W7" s="617"/>
      <c r="X7" s="617"/>
      <c r="Y7" s="617"/>
    </row>
    <row r="8" spans="2:27" ht="32.1" hidden="1" customHeight="1">
      <c r="B8" s="635" t="s">
        <v>126</v>
      </c>
      <c r="C8" s="636"/>
      <c r="D8" s="642">
        <v>0</v>
      </c>
      <c r="E8" s="643"/>
      <c r="F8" s="644"/>
      <c r="G8" s="639"/>
      <c r="H8" s="640"/>
      <c r="I8" s="641"/>
      <c r="J8" s="603"/>
      <c r="K8" s="632"/>
      <c r="L8" s="632"/>
      <c r="M8" s="622"/>
      <c r="N8" s="633"/>
      <c r="O8" s="633"/>
      <c r="P8" s="634"/>
      <c r="Q8" s="633"/>
      <c r="R8" s="633"/>
      <c r="S8" s="633"/>
      <c r="T8" s="617"/>
      <c r="U8" s="617"/>
      <c r="V8" s="617"/>
      <c r="W8" s="617"/>
      <c r="X8" s="617"/>
      <c r="Y8" s="617"/>
    </row>
    <row r="9" spans="2:27" ht="32.1" customHeight="1">
      <c r="B9" s="635" t="s">
        <v>185</v>
      </c>
      <c r="C9" s="636"/>
      <c r="D9" s="645" t="s">
        <v>186</v>
      </c>
      <c r="E9" s="646"/>
      <c r="F9" s="647"/>
      <c r="G9" s="648"/>
      <c r="H9" s="649"/>
      <c r="I9" s="641"/>
      <c r="J9" s="603"/>
      <c r="K9" s="632"/>
      <c r="L9" s="632"/>
      <c r="M9" s="622"/>
      <c r="N9" s="633"/>
      <c r="O9" s="633"/>
      <c r="P9" s="634"/>
      <c r="Q9" s="633"/>
      <c r="R9" s="633"/>
      <c r="S9" s="633"/>
      <c r="T9" s="617"/>
      <c r="U9" s="617"/>
      <c r="V9" s="617"/>
      <c r="W9" s="617"/>
      <c r="X9" s="617"/>
      <c r="Y9" s="617"/>
    </row>
    <row r="10" spans="2:27" ht="32.1" customHeight="1">
      <c r="B10" s="635" t="s">
        <v>28</v>
      </c>
      <c r="C10" s="650"/>
      <c r="D10" s="651">
        <v>20832.79</v>
      </c>
      <c r="E10" s="652"/>
      <c r="F10" s="653"/>
      <c r="G10" s="654">
        <f t="shared" ref="G10:G14" si="0">D10*0.3025</f>
        <v>6301.9189750000005</v>
      </c>
      <c r="H10" s="655"/>
      <c r="I10" s="640"/>
      <c r="J10" s="603"/>
      <c r="K10" s="656"/>
      <c r="L10" s="632"/>
      <c r="M10" s="622"/>
      <c r="N10" s="633"/>
      <c r="O10" s="633"/>
      <c r="P10" s="634"/>
      <c r="Q10" s="633"/>
      <c r="R10" s="633"/>
      <c r="S10" s="633"/>
      <c r="T10" s="617"/>
      <c r="U10" s="617"/>
      <c r="V10" s="617"/>
      <c r="W10" s="617"/>
      <c r="X10" s="617"/>
      <c r="Y10" s="617"/>
    </row>
    <row r="11" spans="2:27" ht="32.1" customHeight="1">
      <c r="B11" s="657" t="s">
        <v>7</v>
      </c>
      <c r="C11" s="658" t="s">
        <v>11</v>
      </c>
      <c r="D11" s="659">
        <f>V37</f>
        <v>103875.42</v>
      </c>
      <c r="E11" s="660"/>
      <c r="F11" s="661"/>
      <c r="G11" s="662">
        <f t="shared" si="0"/>
        <v>31422.314549999999</v>
      </c>
      <c r="H11" s="663"/>
      <c r="I11" s="664"/>
      <c r="J11" s="603"/>
      <c r="K11" s="632"/>
      <c r="L11" s="632"/>
      <c r="M11" s="622"/>
      <c r="N11" s="633"/>
      <c r="O11" s="633"/>
      <c r="P11" s="634"/>
      <c r="Q11" s="633"/>
      <c r="R11" s="633"/>
      <c r="S11" s="633"/>
      <c r="T11" s="617"/>
      <c r="U11" s="617"/>
      <c r="V11" s="617"/>
      <c r="W11" s="617"/>
      <c r="X11" s="617"/>
      <c r="Y11" s="617"/>
    </row>
    <row r="12" spans="2:27" ht="32.1" customHeight="1">
      <c r="B12" s="665"/>
      <c r="C12" s="658" t="s">
        <v>12</v>
      </c>
      <c r="D12" s="659">
        <f>V30</f>
        <v>28195.980000000003</v>
      </c>
      <c r="E12" s="660"/>
      <c r="F12" s="661"/>
      <c r="G12" s="662">
        <f t="shared" si="0"/>
        <v>8529.2839500000009</v>
      </c>
      <c r="H12" s="663"/>
      <c r="I12" s="664"/>
      <c r="J12" s="603"/>
      <c r="K12" s="632"/>
      <c r="L12" s="632"/>
      <c r="M12" s="622"/>
      <c r="N12" s="633"/>
      <c r="O12" s="633"/>
      <c r="P12" s="634"/>
      <c r="Q12" s="633"/>
      <c r="R12" s="633"/>
      <c r="S12" s="633"/>
      <c r="T12" s="617"/>
      <c r="U12" s="617"/>
      <c r="V12" s="617"/>
      <c r="W12" s="617"/>
      <c r="X12" s="617"/>
      <c r="Y12" s="617"/>
    </row>
    <row r="13" spans="2:27" ht="32.1" customHeight="1">
      <c r="B13" s="665"/>
      <c r="C13" s="666" t="s">
        <v>13</v>
      </c>
      <c r="D13" s="667">
        <f>SUM(D11:F12)</f>
        <v>132071.4</v>
      </c>
      <c r="E13" s="668"/>
      <c r="F13" s="669"/>
      <c r="G13" s="670">
        <f t="shared" si="0"/>
        <v>39951.5985</v>
      </c>
      <c r="H13" s="671"/>
      <c r="I13" s="672"/>
      <c r="J13" s="603"/>
      <c r="K13" s="632"/>
      <c r="L13" s="632"/>
      <c r="M13" s="622"/>
      <c r="N13" s="633"/>
      <c r="O13" s="633"/>
      <c r="P13" s="634"/>
      <c r="Q13" s="633"/>
      <c r="R13" s="633"/>
      <c r="S13" s="633"/>
      <c r="T13" s="617"/>
      <c r="U13" s="617"/>
      <c r="V13" s="617"/>
      <c r="W13" s="617"/>
      <c r="X13" s="617"/>
      <c r="Y13" s="617"/>
    </row>
    <row r="14" spans="2:27" ht="32.1" customHeight="1">
      <c r="B14" s="635" t="s">
        <v>132</v>
      </c>
      <c r="C14" s="636"/>
      <c r="D14" s="659">
        <f>V38-H30-L30-M30-T30-L37</f>
        <v>72057.14</v>
      </c>
      <c r="E14" s="660"/>
      <c r="F14" s="661"/>
      <c r="G14" s="662">
        <f t="shared" si="0"/>
        <v>21797.28485</v>
      </c>
      <c r="H14" s="663"/>
      <c r="I14" s="641"/>
      <c r="J14" s="603"/>
      <c r="K14" s="632"/>
      <c r="L14" s="673"/>
      <c r="M14" s="622"/>
      <c r="N14" s="633"/>
      <c r="O14" s="633"/>
      <c r="P14" s="634"/>
      <c r="Q14" s="633"/>
      <c r="R14" s="633"/>
      <c r="S14" s="633"/>
      <c r="T14" s="617"/>
      <c r="U14" s="617"/>
      <c r="V14" s="617"/>
      <c r="W14" s="617"/>
      <c r="X14" s="617"/>
      <c r="Y14" s="617"/>
    </row>
    <row r="15" spans="2:27" ht="32.1" customHeight="1">
      <c r="B15" s="674" t="s">
        <v>30</v>
      </c>
      <c r="C15" s="675"/>
      <c r="D15" s="676">
        <f>D10/D6</f>
        <v>0.69908925868878757</v>
      </c>
      <c r="E15" s="677"/>
      <c r="F15" s="678"/>
      <c r="G15" s="679" t="s">
        <v>70</v>
      </c>
      <c r="H15" s="680"/>
      <c r="I15" s="672"/>
      <c r="J15" s="603"/>
      <c r="K15" s="632"/>
      <c r="L15" s="632"/>
      <c r="M15" s="622"/>
      <c r="N15" s="633"/>
      <c r="O15" s="633"/>
      <c r="P15" s="634"/>
      <c r="Q15" s="633"/>
      <c r="R15" s="633"/>
      <c r="S15" s="633"/>
      <c r="T15" s="617"/>
      <c r="U15" s="617"/>
      <c r="V15" s="617"/>
      <c r="W15" s="617"/>
      <c r="X15" s="617"/>
      <c r="Y15" s="617"/>
    </row>
    <row r="16" spans="2:27" ht="32.1" customHeight="1">
      <c r="B16" s="674" t="s">
        <v>31</v>
      </c>
      <c r="C16" s="675"/>
      <c r="D16" s="681">
        <f>D14/D6</f>
        <v>2.4180329464192831</v>
      </c>
      <c r="E16" s="682"/>
      <c r="F16" s="682"/>
      <c r="G16" s="679" t="s">
        <v>76</v>
      </c>
      <c r="H16" s="680"/>
      <c r="I16" s="672"/>
      <c r="J16" s="603"/>
      <c r="K16" s="632"/>
      <c r="L16" s="632"/>
      <c r="M16" s="622"/>
      <c r="N16" s="633"/>
      <c r="O16" s="633"/>
      <c r="P16" s="634"/>
      <c r="Q16" s="633"/>
      <c r="R16" s="633"/>
      <c r="S16" s="633"/>
      <c r="T16" s="617"/>
      <c r="U16" s="617"/>
      <c r="V16" s="617"/>
      <c r="W16" s="617"/>
      <c r="X16" s="617"/>
      <c r="Y16" s="617"/>
    </row>
    <row r="17" spans="2:25" ht="32.1" customHeight="1">
      <c r="B17" s="683" t="s">
        <v>135</v>
      </c>
      <c r="C17" s="684"/>
      <c r="D17" s="685">
        <f>V38-L38</f>
        <v>95642.51</v>
      </c>
      <c r="E17" s="686"/>
      <c r="F17" s="687">
        <f>D17/D13</f>
        <v>0.7241727580687416</v>
      </c>
      <c r="G17" s="688"/>
      <c r="H17" s="689" t="s">
        <v>136</v>
      </c>
      <c r="I17" s="689"/>
      <c r="J17" s="603"/>
      <c r="K17" s="632"/>
      <c r="L17" s="632"/>
      <c r="M17" s="622"/>
      <c r="N17" s="633"/>
      <c r="O17" s="633"/>
      <c r="P17" s="634"/>
      <c r="Q17" s="633"/>
      <c r="R17" s="633"/>
      <c r="S17" s="633"/>
      <c r="T17" s="617"/>
      <c r="U17" s="617"/>
      <c r="V17" s="617"/>
      <c r="W17" s="617"/>
      <c r="X17" s="617"/>
      <c r="Y17" s="617"/>
    </row>
    <row r="18" spans="2:25" ht="32.1" customHeight="1">
      <c r="B18" s="635" t="s">
        <v>137</v>
      </c>
      <c r="C18" s="690"/>
      <c r="D18" s="691">
        <f>V38-L38</f>
        <v>95642.51</v>
      </c>
      <c r="E18" s="692"/>
      <c r="F18" s="693" t="s">
        <v>138</v>
      </c>
      <c r="G18" s="694" t="s">
        <v>189</v>
      </c>
      <c r="H18" s="695"/>
      <c r="I18" s="696">
        <f>X38</f>
        <v>297</v>
      </c>
      <c r="J18" s="603"/>
      <c r="K18" s="632"/>
      <c r="L18" s="632"/>
      <c r="M18" s="622"/>
      <c r="N18" s="633"/>
      <c r="O18" s="633"/>
      <c r="P18" s="633"/>
      <c r="Q18" s="633"/>
      <c r="R18" s="633"/>
      <c r="S18" s="633"/>
      <c r="T18" s="617"/>
      <c r="U18" s="617"/>
      <c r="V18" s="617"/>
      <c r="W18" s="617"/>
      <c r="X18" s="617"/>
      <c r="Y18" s="617"/>
    </row>
    <row r="19" spans="2:25" ht="32.1" customHeight="1">
      <c r="B19" s="697"/>
      <c r="C19" s="698"/>
      <c r="D19" s="699">
        <f>D18/400</f>
        <v>239.10627499999998</v>
      </c>
      <c r="E19" s="700"/>
      <c r="F19" s="701"/>
      <c r="G19" s="702" t="s">
        <v>139</v>
      </c>
      <c r="H19" s="703"/>
      <c r="I19" s="704">
        <f>Y38</f>
        <v>268</v>
      </c>
      <c r="J19" s="603"/>
      <c r="K19" s="632"/>
      <c r="L19" s="632"/>
      <c r="M19" s="622"/>
      <c r="N19" s="633"/>
      <c r="O19" s="633"/>
      <c r="P19" s="633"/>
      <c r="Q19" s="633"/>
      <c r="R19" s="633"/>
      <c r="S19" s="633"/>
      <c r="T19" s="617"/>
      <c r="U19" s="617"/>
      <c r="V19" s="617"/>
      <c r="W19" s="617"/>
      <c r="X19" s="617"/>
      <c r="Y19" s="617"/>
    </row>
    <row r="20" spans="2:25" ht="32.1" customHeight="1">
      <c r="B20" s="705"/>
      <c r="C20" s="706"/>
      <c r="D20" s="707"/>
      <c r="E20" s="708"/>
      <c r="F20" s="709"/>
      <c r="G20" s="710" t="s">
        <v>140</v>
      </c>
      <c r="H20" s="711"/>
      <c r="I20" s="712">
        <f>I18+I19</f>
        <v>565</v>
      </c>
      <c r="J20" s="603"/>
      <c r="K20" s="632"/>
      <c r="L20" s="632"/>
      <c r="M20" s="622"/>
      <c r="N20" s="633"/>
      <c r="O20" s="633"/>
      <c r="P20" s="633"/>
      <c r="Q20" s="633"/>
      <c r="R20" s="633"/>
      <c r="S20" s="633"/>
      <c r="T20" s="617"/>
      <c r="U20" s="617"/>
      <c r="V20" s="617"/>
      <c r="W20" s="617"/>
      <c r="X20" s="617"/>
      <c r="Y20" s="617"/>
    </row>
    <row r="21" spans="2:25" ht="52.5" customHeight="1">
      <c r="B21" s="713" t="s">
        <v>141</v>
      </c>
      <c r="C21" s="714"/>
      <c r="D21" s="715">
        <v>3535.76</v>
      </c>
      <c r="E21" s="716"/>
      <c r="F21" s="717">
        <f>D21/D6</f>
        <v>0.11865006258410263</v>
      </c>
      <c r="G21" s="718" t="s">
        <v>184</v>
      </c>
      <c r="H21" s="719"/>
      <c r="I21" s="719"/>
      <c r="J21" s="603"/>
      <c r="K21" s="632"/>
      <c r="L21" s="632"/>
      <c r="M21" s="622"/>
      <c r="N21" s="633"/>
      <c r="O21" s="633"/>
      <c r="P21" s="633"/>
      <c r="Q21" s="633"/>
      <c r="R21" s="633"/>
      <c r="S21" s="633"/>
      <c r="T21" s="617"/>
      <c r="U21" s="617"/>
      <c r="V21" s="617"/>
      <c r="W21" s="617"/>
      <c r="X21" s="617"/>
      <c r="Y21" s="617"/>
    </row>
    <row r="22" spans="2:25" ht="32.1" customHeight="1" thickBot="1">
      <c r="B22" s="720" t="s">
        <v>142</v>
      </c>
      <c r="C22" s="721"/>
      <c r="D22" s="722">
        <f>D38+Q38+R38+S38</f>
        <v>4748.87</v>
      </c>
      <c r="E22" s="723"/>
      <c r="F22" s="723"/>
      <c r="G22" s="723"/>
      <c r="H22" s="723"/>
      <c r="I22" s="723"/>
      <c r="J22" s="603"/>
      <c r="K22" s="724"/>
      <c r="L22" s="724"/>
      <c r="M22" s="725"/>
      <c r="N22" s="726"/>
      <c r="O22" s="726"/>
      <c r="P22" s="726"/>
      <c r="Q22" s="726"/>
      <c r="R22" s="726"/>
      <c r="S22" s="726"/>
      <c r="T22" s="727"/>
      <c r="U22" s="727"/>
      <c r="V22" s="727"/>
      <c r="W22" s="727"/>
      <c r="X22" s="727"/>
      <c r="Y22" s="727"/>
    </row>
    <row r="23" spans="2:25" ht="35.1" customHeight="1" thickTop="1">
      <c r="B23" s="728"/>
      <c r="C23" s="598"/>
      <c r="D23" s="598"/>
      <c r="E23" s="598"/>
      <c r="F23" s="598"/>
      <c r="G23" s="598"/>
      <c r="H23" s="598"/>
      <c r="I23" s="598"/>
      <c r="J23" s="598"/>
      <c r="K23" s="598"/>
      <c r="L23" s="598"/>
      <c r="M23" s="598"/>
      <c r="N23" s="598"/>
      <c r="O23" s="598"/>
      <c r="P23" s="729"/>
      <c r="Q23" s="729"/>
      <c r="R23" s="729"/>
      <c r="S23" s="729"/>
      <c r="T23" s="729"/>
      <c r="U23" s="729"/>
      <c r="V23" s="729"/>
      <c r="W23" s="729"/>
      <c r="X23" s="729"/>
      <c r="Y23" s="729"/>
    </row>
    <row r="24" spans="2:25" ht="35.1" customHeight="1" thickBot="1">
      <c r="B24" s="730" t="s">
        <v>143</v>
      </c>
      <c r="C24" s="731"/>
      <c r="D24" s="731"/>
      <c r="E24" s="731"/>
      <c r="F24" s="731"/>
      <c r="G24" s="731"/>
      <c r="H24" s="731"/>
      <c r="I24" s="731"/>
      <c r="J24" s="731"/>
      <c r="K24" s="731"/>
      <c r="L24" s="731"/>
      <c r="M24" s="731"/>
      <c r="N24" s="731"/>
      <c r="O24" s="731"/>
      <c r="P24" s="731"/>
      <c r="Q24" s="731"/>
      <c r="R24" s="731"/>
      <c r="S24" s="731"/>
      <c r="T24" s="731"/>
      <c r="U24" s="731"/>
      <c r="V24" s="731"/>
      <c r="W24" s="731"/>
      <c r="X24" s="731"/>
      <c r="Y24" s="731"/>
    </row>
    <row r="25" spans="2:25" ht="32.1" customHeight="1">
      <c r="B25" s="732" t="s">
        <v>144</v>
      </c>
      <c r="C25" s="733" t="s">
        <v>145</v>
      </c>
      <c r="D25" s="734"/>
      <c r="E25" s="734"/>
      <c r="F25" s="734"/>
      <c r="G25" s="734"/>
      <c r="H25" s="734"/>
      <c r="I25" s="734"/>
      <c r="J25" s="734"/>
      <c r="K25" s="734"/>
      <c r="L25" s="734"/>
      <c r="M25" s="734"/>
      <c r="N25" s="734"/>
      <c r="O25" s="735"/>
      <c r="P25" s="736" t="s">
        <v>146</v>
      </c>
      <c r="Q25" s="737"/>
      <c r="R25" s="737"/>
      <c r="S25" s="737"/>
      <c r="T25" s="737"/>
      <c r="U25" s="738"/>
      <c r="V25" s="739" t="s">
        <v>147</v>
      </c>
      <c r="W25" s="740"/>
      <c r="X25" s="741" t="s">
        <v>63</v>
      </c>
      <c r="Y25" s="742"/>
    </row>
    <row r="26" spans="2:25" ht="32.1" customHeight="1">
      <c r="B26" s="743"/>
      <c r="C26" s="744" t="s">
        <v>149</v>
      </c>
      <c r="D26" s="745"/>
      <c r="E26" s="745"/>
      <c r="F26" s="745"/>
      <c r="G26" s="745"/>
      <c r="H26" s="745"/>
      <c r="I26" s="568" t="s">
        <v>150</v>
      </c>
      <c r="J26" s="568"/>
      <c r="K26" s="568"/>
      <c r="L26" s="568"/>
      <c r="M26" s="569" t="s">
        <v>151</v>
      </c>
      <c r="N26" s="746" t="s">
        <v>152</v>
      </c>
      <c r="O26" s="747"/>
      <c r="P26" s="748" t="s">
        <v>153</v>
      </c>
      <c r="Q26" s="749"/>
      <c r="R26" s="750"/>
      <c r="S26" s="751" t="s">
        <v>190</v>
      </c>
      <c r="T26" s="752" t="s">
        <v>154</v>
      </c>
      <c r="U26" s="753"/>
      <c r="V26" s="754"/>
      <c r="W26" s="755"/>
      <c r="X26" s="756"/>
      <c r="Y26" s="757"/>
    </row>
    <row r="27" spans="2:25" ht="51" customHeight="1" thickBot="1">
      <c r="B27" s="758"/>
      <c r="C27" s="759" t="s">
        <v>125</v>
      </c>
      <c r="D27" s="760" t="s">
        <v>155</v>
      </c>
      <c r="E27" s="760" t="s">
        <v>191</v>
      </c>
      <c r="F27" s="23" t="s">
        <v>157</v>
      </c>
      <c r="G27" s="23" t="s">
        <v>158</v>
      </c>
      <c r="H27" s="761" t="s">
        <v>159</v>
      </c>
      <c r="I27" s="387" t="s">
        <v>193</v>
      </c>
      <c r="J27" s="387" t="s">
        <v>194</v>
      </c>
      <c r="K27" s="221" t="s">
        <v>162</v>
      </c>
      <c r="L27" s="222" t="s">
        <v>159</v>
      </c>
      <c r="M27" s="570"/>
      <c r="N27" s="762" t="s">
        <v>4</v>
      </c>
      <c r="O27" s="763" t="s">
        <v>5</v>
      </c>
      <c r="P27" s="764" t="s">
        <v>165</v>
      </c>
      <c r="Q27" s="765" t="s">
        <v>166</v>
      </c>
      <c r="R27" s="765" t="s">
        <v>114</v>
      </c>
      <c r="S27" s="766"/>
      <c r="T27" s="767" t="s">
        <v>4</v>
      </c>
      <c r="U27" s="768" t="s">
        <v>5</v>
      </c>
      <c r="V27" s="769" t="s">
        <v>4</v>
      </c>
      <c r="W27" s="770" t="s">
        <v>5</v>
      </c>
      <c r="X27" s="771" t="s">
        <v>188</v>
      </c>
      <c r="Y27" s="772" t="s">
        <v>98</v>
      </c>
    </row>
    <row r="28" spans="2:25" ht="32.1" customHeight="1">
      <c r="B28" s="773" t="s">
        <v>195</v>
      </c>
      <c r="C28" s="774">
        <v>14704.95</v>
      </c>
      <c r="D28" s="775">
        <v>103.87</v>
      </c>
      <c r="E28" s="775">
        <v>11.79</v>
      </c>
      <c r="F28" s="776">
        <v>100.91</v>
      </c>
      <c r="G28" s="777">
        <v>681.3</v>
      </c>
      <c r="H28" s="778">
        <f t="shared" ref="H28:H36" si="1">SUM(C28:G28)</f>
        <v>15602.820000000002</v>
      </c>
      <c r="I28" s="779">
        <v>1738.54</v>
      </c>
      <c r="J28" s="779">
        <v>2872.07</v>
      </c>
      <c r="K28" s="779">
        <v>0</v>
      </c>
      <c r="L28" s="780">
        <f>SUM(I28:K28)</f>
        <v>4610.6100000000006</v>
      </c>
      <c r="M28" s="781">
        <v>2141.86</v>
      </c>
      <c r="N28" s="782">
        <f>M28+L28+H28</f>
        <v>22355.29</v>
      </c>
      <c r="O28" s="783">
        <f>N28*0.3025</f>
        <v>6762.4752250000001</v>
      </c>
      <c r="P28" s="784">
        <v>0</v>
      </c>
      <c r="Q28" s="785">
        <v>0</v>
      </c>
      <c r="R28" s="785">
        <v>0</v>
      </c>
      <c r="S28" s="786">
        <v>0</v>
      </c>
      <c r="T28" s="787">
        <f t="shared" ref="T28:T37" si="2">SUM(P28:S28)</f>
        <v>0</v>
      </c>
      <c r="U28" s="788">
        <f>T28*0.3025</f>
        <v>0</v>
      </c>
      <c r="V28" s="789">
        <f>T28+N28</f>
        <v>22355.29</v>
      </c>
      <c r="W28" s="790">
        <f t="shared" ref="W28:W31" si="3">U28+O28</f>
        <v>6762.4752250000001</v>
      </c>
      <c r="X28" s="791">
        <v>3</v>
      </c>
      <c r="Y28" s="792">
        <v>35</v>
      </c>
    </row>
    <row r="29" spans="2:25" ht="32.1" customHeight="1">
      <c r="B29" s="793" t="s">
        <v>175</v>
      </c>
      <c r="C29" s="794">
        <v>0</v>
      </c>
      <c r="D29" s="795">
        <v>3606.51</v>
      </c>
      <c r="E29" s="795">
        <v>3.55</v>
      </c>
      <c r="F29" s="796">
        <v>147.1</v>
      </c>
      <c r="G29" s="797">
        <v>1458.76</v>
      </c>
      <c r="H29" s="798">
        <f t="shared" si="1"/>
        <v>5215.92</v>
      </c>
      <c r="I29" s="799">
        <v>0</v>
      </c>
      <c r="J29" s="799">
        <v>0</v>
      </c>
      <c r="K29" s="799">
        <v>0</v>
      </c>
      <c r="L29" s="800">
        <f>SUM(I29:K29)</f>
        <v>0</v>
      </c>
      <c r="M29" s="801">
        <v>30.87</v>
      </c>
      <c r="N29" s="802">
        <f>M29+L29+H29</f>
        <v>5246.79</v>
      </c>
      <c r="O29" s="803">
        <f>N29*0.3025</f>
        <v>1587.1539749999999</v>
      </c>
      <c r="P29" s="804">
        <v>220.7</v>
      </c>
      <c r="Q29" s="805">
        <v>351.51</v>
      </c>
      <c r="R29" s="805">
        <v>21.69</v>
      </c>
      <c r="S29" s="806">
        <v>0</v>
      </c>
      <c r="T29" s="807">
        <f t="shared" si="2"/>
        <v>593.90000000000009</v>
      </c>
      <c r="U29" s="788">
        <f>T29*0.3025</f>
        <v>179.65475000000004</v>
      </c>
      <c r="V29" s="789">
        <f>T29+N29</f>
        <v>5840.6900000000005</v>
      </c>
      <c r="W29" s="790">
        <f t="shared" si="3"/>
        <v>1766.8087249999999</v>
      </c>
      <c r="X29" s="808" t="s">
        <v>99</v>
      </c>
      <c r="Y29" s="809" t="s">
        <v>99</v>
      </c>
    </row>
    <row r="30" spans="2:25" ht="32.1" customHeight="1" thickBot="1">
      <c r="B30" s="810" t="s">
        <v>24</v>
      </c>
      <c r="C30" s="811">
        <f>C28+C29</f>
        <v>14704.95</v>
      </c>
      <c r="D30" s="812">
        <f t="shared" ref="D30:G30" si="4">D28+D29</f>
        <v>3710.38</v>
      </c>
      <c r="E30" s="812">
        <f t="shared" si="4"/>
        <v>15.34</v>
      </c>
      <c r="F30" s="812">
        <f t="shared" si="4"/>
        <v>248.01</v>
      </c>
      <c r="G30" s="812">
        <f t="shared" si="4"/>
        <v>2140.06</v>
      </c>
      <c r="H30" s="813">
        <f t="shared" si="1"/>
        <v>20818.740000000002</v>
      </c>
      <c r="I30" s="814">
        <f>SUM(I28:I29)</f>
        <v>1738.54</v>
      </c>
      <c r="J30" s="814">
        <f t="shared" ref="J30:K30" si="5">SUM(J28:J29)</f>
        <v>2872.07</v>
      </c>
      <c r="K30" s="814">
        <f t="shared" si="5"/>
        <v>0</v>
      </c>
      <c r="L30" s="815">
        <f>SUM(I30:K30)</f>
        <v>4610.6100000000006</v>
      </c>
      <c r="M30" s="816">
        <f>SUM(M28:M29)</f>
        <v>2172.73</v>
      </c>
      <c r="N30" s="817">
        <f>H30+L30+M30</f>
        <v>27602.080000000002</v>
      </c>
      <c r="O30" s="818">
        <f>N30*0.3025</f>
        <v>8349.6291999999994</v>
      </c>
      <c r="P30" s="819">
        <f>SUM(P28:P29)</f>
        <v>220.7</v>
      </c>
      <c r="Q30" s="819">
        <f t="shared" ref="Q30:R30" si="6">SUM(Q28:Q29)</f>
        <v>351.51</v>
      </c>
      <c r="R30" s="819">
        <f t="shared" si="6"/>
        <v>21.69</v>
      </c>
      <c r="S30" s="820">
        <f>SUM(S28:S29)</f>
        <v>0</v>
      </c>
      <c r="T30" s="821">
        <f t="shared" si="2"/>
        <v>593.90000000000009</v>
      </c>
      <c r="U30" s="822">
        <f>T30*0.3025</f>
        <v>179.65475000000004</v>
      </c>
      <c r="V30" s="823">
        <f>T30+N30</f>
        <v>28195.980000000003</v>
      </c>
      <c r="W30" s="824">
        <f t="shared" si="3"/>
        <v>8529.2839499999991</v>
      </c>
      <c r="X30" s="825">
        <f>SUM(X28:X29)</f>
        <v>3</v>
      </c>
      <c r="Y30" s="826">
        <f>SUM(Y28:Y29)</f>
        <v>35</v>
      </c>
    </row>
    <row r="31" spans="2:25" ht="32.1" customHeight="1">
      <c r="B31" s="827" t="s">
        <v>196</v>
      </c>
      <c r="C31" s="828">
        <v>13450.63</v>
      </c>
      <c r="D31" s="829">
        <v>114.26</v>
      </c>
      <c r="E31" s="829">
        <v>11.79</v>
      </c>
      <c r="F31" s="830">
        <v>108.31</v>
      </c>
      <c r="G31" s="831">
        <v>696.06</v>
      </c>
      <c r="H31" s="832">
        <f>SUM(C31:G31)</f>
        <v>14381.05</v>
      </c>
      <c r="I31" s="833">
        <v>1617.99</v>
      </c>
      <c r="J31" s="833">
        <v>4723.49</v>
      </c>
      <c r="K31" s="833">
        <v>0</v>
      </c>
      <c r="L31" s="834">
        <f>SUM(I31:K31)</f>
        <v>6341.48</v>
      </c>
      <c r="M31" s="835">
        <v>0</v>
      </c>
      <c r="N31" s="836">
        <f>H31+L31+M31</f>
        <v>20722.53</v>
      </c>
      <c r="O31" s="837">
        <f>N31*0.3025</f>
        <v>6268.5653249999996</v>
      </c>
      <c r="P31" s="838">
        <v>0</v>
      </c>
      <c r="Q31" s="839">
        <v>0</v>
      </c>
      <c r="R31" s="839">
        <v>0</v>
      </c>
      <c r="S31" s="840">
        <v>147.09</v>
      </c>
      <c r="T31" s="841">
        <f t="shared" si="2"/>
        <v>147.09</v>
      </c>
      <c r="U31" s="842">
        <f>T31*0.3025</f>
        <v>44.494725000000003</v>
      </c>
      <c r="V31" s="843">
        <f>T31+N31</f>
        <v>20869.62</v>
      </c>
      <c r="W31" s="844">
        <f t="shared" si="3"/>
        <v>6313.0600499999991</v>
      </c>
      <c r="X31" s="845">
        <v>51</v>
      </c>
      <c r="Y31" s="846">
        <v>36</v>
      </c>
    </row>
    <row r="32" spans="2:25" ht="32.1" customHeight="1">
      <c r="B32" s="847" t="s">
        <v>197</v>
      </c>
      <c r="C32" s="848">
        <v>13463.03</v>
      </c>
      <c r="D32" s="849">
        <v>104.3</v>
      </c>
      <c r="E32" s="849">
        <v>11.79</v>
      </c>
      <c r="F32" s="850">
        <v>108.31</v>
      </c>
      <c r="G32" s="851">
        <v>683.84</v>
      </c>
      <c r="H32" s="852">
        <f t="shared" si="1"/>
        <v>14371.27</v>
      </c>
      <c r="I32" s="853">
        <v>1645.71</v>
      </c>
      <c r="J32" s="853">
        <v>4723.49</v>
      </c>
      <c r="K32" s="853">
        <v>0</v>
      </c>
      <c r="L32" s="854">
        <f>SUM(I32:K32)</f>
        <v>6369.2</v>
      </c>
      <c r="M32" s="855">
        <v>0</v>
      </c>
      <c r="N32" s="802">
        <f>H32+L32+M32</f>
        <v>20740.47</v>
      </c>
      <c r="O32" s="803">
        <f>N32*0.3025</f>
        <v>6273.9921750000003</v>
      </c>
      <c r="P32" s="856">
        <v>0</v>
      </c>
      <c r="Q32" s="857">
        <v>0</v>
      </c>
      <c r="R32" s="857">
        <v>0</v>
      </c>
      <c r="S32" s="858">
        <v>0</v>
      </c>
      <c r="T32" s="859">
        <f t="shared" si="2"/>
        <v>0</v>
      </c>
      <c r="U32" s="860">
        <f>T32*0.3025</f>
        <v>0</v>
      </c>
      <c r="V32" s="861">
        <f t="shared" ref="V32:W38" si="7">N32+T32</f>
        <v>20740.47</v>
      </c>
      <c r="W32" s="862">
        <f t="shared" si="7"/>
        <v>6273.9921750000003</v>
      </c>
      <c r="X32" s="863" t="s">
        <v>99</v>
      </c>
      <c r="Y32" s="864">
        <v>38</v>
      </c>
    </row>
    <row r="33" spans="2:25" ht="32.1" customHeight="1">
      <c r="B33" s="847" t="s">
        <v>198</v>
      </c>
      <c r="C33" s="848">
        <v>13477.67</v>
      </c>
      <c r="D33" s="849">
        <v>104.3</v>
      </c>
      <c r="E33" s="849">
        <v>11.79</v>
      </c>
      <c r="F33" s="850">
        <v>108.31</v>
      </c>
      <c r="G33" s="851">
        <v>683.84</v>
      </c>
      <c r="H33" s="852">
        <f t="shared" si="1"/>
        <v>14385.91</v>
      </c>
      <c r="I33" s="853">
        <v>1645.71</v>
      </c>
      <c r="J33" s="853">
        <v>4723.49</v>
      </c>
      <c r="K33" s="853">
        <v>0</v>
      </c>
      <c r="L33" s="854">
        <f t="shared" ref="L33:L37" si="8">SUM(I33:K33)</f>
        <v>6369.2</v>
      </c>
      <c r="M33" s="855">
        <v>0</v>
      </c>
      <c r="N33" s="802">
        <f t="shared" ref="N33:N36" si="9">H33+L33+M33</f>
        <v>20755.11</v>
      </c>
      <c r="O33" s="803">
        <f t="shared" ref="O33:O38" si="10">N33*0.3025</f>
        <v>6278.4207749999996</v>
      </c>
      <c r="P33" s="856">
        <v>0</v>
      </c>
      <c r="Q33" s="857">
        <v>0</v>
      </c>
      <c r="R33" s="857">
        <v>0</v>
      </c>
      <c r="S33" s="858">
        <v>0</v>
      </c>
      <c r="T33" s="859">
        <f t="shared" si="2"/>
        <v>0</v>
      </c>
      <c r="U33" s="860">
        <f t="shared" ref="U33:U36" si="11">T33*0.3025</f>
        <v>0</v>
      </c>
      <c r="V33" s="861">
        <f t="shared" si="7"/>
        <v>20755.11</v>
      </c>
      <c r="W33" s="862">
        <f t="shared" si="7"/>
        <v>6278.4207749999996</v>
      </c>
      <c r="X33" s="863" t="s">
        <v>99</v>
      </c>
      <c r="Y33" s="864">
        <v>38</v>
      </c>
    </row>
    <row r="34" spans="2:25" ht="32.1" customHeight="1">
      <c r="B34" s="847" t="s">
        <v>199</v>
      </c>
      <c r="C34" s="848">
        <v>13485.93</v>
      </c>
      <c r="D34" s="849">
        <v>97.67</v>
      </c>
      <c r="E34" s="849">
        <v>11.79</v>
      </c>
      <c r="F34" s="850">
        <v>108.31</v>
      </c>
      <c r="G34" s="851">
        <v>682.21</v>
      </c>
      <c r="H34" s="852">
        <f t="shared" si="1"/>
        <v>14385.91</v>
      </c>
      <c r="I34" s="853">
        <v>1645.71</v>
      </c>
      <c r="J34" s="853">
        <v>4723.49</v>
      </c>
      <c r="K34" s="853">
        <v>0</v>
      </c>
      <c r="L34" s="780">
        <f t="shared" si="8"/>
        <v>6369.2</v>
      </c>
      <c r="M34" s="781">
        <v>0</v>
      </c>
      <c r="N34" s="802">
        <f t="shared" si="9"/>
        <v>20755.11</v>
      </c>
      <c r="O34" s="803">
        <f t="shared" si="10"/>
        <v>6278.4207749999996</v>
      </c>
      <c r="P34" s="856">
        <v>0</v>
      </c>
      <c r="Q34" s="857">
        <v>0</v>
      </c>
      <c r="R34" s="857">
        <v>0</v>
      </c>
      <c r="S34" s="858">
        <v>0</v>
      </c>
      <c r="T34" s="859">
        <f t="shared" si="2"/>
        <v>0</v>
      </c>
      <c r="U34" s="860">
        <f t="shared" si="11"/>
        <v>0</v>
      </c>
      <c r="V34" s="861">
        <f t="shared" si="7"/>
        <v>20755.11</v>
      </c>
      <c r="W34" s="862">
        <f t="shared" si="7"/>
        <v>6278.4207749999996</v>
      </c>
      <c r="X34" s="791" t="s">
        <v>99</v>
      </c>
      <c r="Y34" s="792">
        <v>38</v>
      </c>
    </row>
    <row r="35" spans="2:25" ht="32.1" customHeight="1">
      <c r="B35" s="847" t="s">
        <v>200</v>
      </c>
      <c r="C35" s="848">
        <v>13485.93</v>
      </c>
      <c r="D35" s="849">
        <v>97.67</v>
      </c>
      <c r="E35" s="849">
        <v>11.79</v>
      </c>
      <c r="F35" s="850">
        <v>108.31</v>
      </c>
      <c r="G35" s="851">
        <v>682.21</v>
      </c>
      <c r="H35" s="852">
        <f t="shared" si="1"/>
        <v>14385.91</v>
      </c>
      <c r="I35" s="853">
        <v>1645.71</v>
      </c>
      <c r="J35" s="853">
        <v>4723.49</v>
      </c>
      <c r="K35" s="853">
        <v>0</v>
      </c>
      <c r="L35" s="780">
        <f t="shared" si="8"/>
        <v>6369.2</v>
      </c>
      <c r="M35" s="781">
        <v>0</v>
      </c>
      <c r="N35" s="802">
        <f t="shared" si="9"/>
        <v>20755.11</v>
      </c>
      <c r="O35" s="803">
        <f t="shared" si="10"/>
        <v>6278.4207749999996</v>
      </c>
      <c r="P35" s="856">
        <v>0</v>
      </c>
      <c r="Q35" s="857">
        <v>0</v>
      </c>
      <c r="R35" s="857">
        <v>0</v>
      </c>
      <c r="S35" s="858">
        <v>0</v>
      </c>
      <c r="T35" s="859">
        <f t="shared" si="2"/>
        <v>0</v>
      </c>
      <c r="U35" s="860">
        <f t="shared" si="11"/>
        <v>0</v>
      </c>
      <c r="V35" s="861">
        <f t="shared" si="7"/>
        <v>20755.11</v>
      </c>
      <c r="W35" s="862">
        <f t="shared" si="7"/>
        <v>6278.4207749999996</v>
      </c>
      <c r="X35" s="791" t="s">
        <v>99</v>
      </c>
      <c r="Y35" s="792">
        <v>38</v>
      </c>
    </row>
    <row r="36" spans="2:25" ht="32.1" customHeight="1">
      <c r="B36" s="847" t="s">
        <v>192</v>
      </c>
      <c r="C36" s="774">
        <v>0</v>
      </c>
      <c r="D36" s="775">
        <v>0</v>
      </c>
      <c r="E36" s="775">
        <v>0</v>
      </c>
      <c r="F36" s="776">
        <v>0</v>
      </c>
      <c r="G36" s="777">
        <v>0</v>
      </c>
      <c r="H36" s="852">
        <f t="shared" si="1"/>
        <v>0</v>
      </c>
      <c r="I36" s="779">
        <v>0</v>
      </c>
      <c r="J36" s="779">
        <v>0</v>
      </c>
      <c r="K36" s="779">
        <v>0</v>
      </c>
      <c r="L36" s="780">
        <f t="shared" si="8"/>
        <v>0</v>
      </c>
      <c r="M36" s="781">
        <v>0</v>
      </c>
      <c r="N36" s="802">
        <f t="shared" si="9"/>
        <v>0</v>
      </c>
      <c r="O36" s="803">
        <f t="shared" si="10"/>
        <v>0</v>
      </c>
      <c r="P36" s="865">
        <v>0</v>
      </c>
      <c r="Q36" s="857">
        <v>0</v>
      </c>
      <c r="R36" s="857">
        <v>0</v>
      </c>
      <c r="S36" s="858">
        <v>0</v>
      </c>
      <c r="T36" s="859">
        <f t="shared" si="2"/>
        <v>0</v>
      </c>
      <c r="U36" s="866">
        <f t="shared" si="11"/>
        <v>0</v>
      </c>
      <c r="V36" s="861">
        <f t="shared" si="7"/>
        <v>0</v>
      </c>
      <c r="W36" s="862">
        <f t="shared" si="7"/>
        <v>0</v>
      </c>
      <c r="X36" s="791">
        <v>243</v>
      </c>
      <c r="Y36" s="792">
        <v>45</v>
      </c>
    </row>
    <row r="37" spans="2:25" ht="32.1" customHeight="1" thickBot="1">
      <c r="B37" s="867" t="s">
        <v>25</v>
      </c>
      <c r="C37" s="811">
        <f>SUM(C31:C36)</f>
        <v>67363.19</v>
      </c>
      <c r="D37" s="812">
        <f>SUM(D31:D36)</f>
        <v>518.20000000000005</v>
      </c>
      <c r="E37" s="812">
        <f>SUM(E31:E36)</f>
        <v>58.949999999999996</v>
      </c>
      <c r="F37" s="868">
        <f>SUM(F31:F36)</f>
        <v>541.54999999999995</v>
      </c>
      <c r="G37" s="869">
        <f>SUM(G31:G36)</f>
        <v>3428.1600000000003</v>
      </c>
      <c r="H37" s="870">
        <f>SUM(C37:G37)</f>
        <v>71910.05</v>
      </c>
      <c r="I37" s="871">
        <f>SUM(I31:I36)</f>
        <v>8200.83</v>
      </c>
      <c r="J37" s="871">
        <f>SUM(J31:J36)</f>
        <v>23617.449999999997</v>
      </c>
      <c r="K37" s="871">
        <f>SUM(K31:K36)</f>
        <v>0</v>
      </c>
      <c r="L37" s="872">
        <f t="shared" si="8"/>
        <v>31818.28</v>
      </c>
      <c r="M37" s="873">
        <f>SUM(M31:M36)</f>
        <v>0</v>
      </c>
      <c r="N37" s="874">
        <f>H37+L37+M37</f>
        <v>103728.33</v>
      </c>
      <c r="O37" s="875">
        <f t="shared" si="10"/>
        <v>31377.819824999999</v>
      </c>
      <c r="P37" s="876">
        <f>SUM(P31:P36)</f>
        <v>0</v>
      </c>
      <c r="Q37" s="876">
        <f t="shared" ref="Q37:R37" si="12">SUM(Q31:Q36)</f>
        <v>0</v>
      </c>
      <c r="R37" s="876">
        <f t="shared" si="12"/>
        <v>0</v>
      </c>
      <c r="S37" s="877">
        <f>SUM(S31:S36)</f>
        <v>147.09</v>
      </c>
      <c r="T37" s="878">
        <f t="shared" si="2"/>
        <v>147.09</v>
      </c>
      <c r="U37" s="879">
        <f>T37*0.3025</f>
        <v>44.494725000000003</v>
      </c>
      <c r="V37" s="880">
        <f>N37+T37</f>
        <v>103875.42</v>
      </c>
      <c r="W37" s="881">
        <f t="shared" si="7"/>
        <v>31422.314549999999</v>
      </c>
      <c r="X37" s="882">
        <f>SUM(X31:X36)</f>
        <v>294</v>
      </c>
      <c r="Y37" s="883">
        <f>SUM(Y31:Y36)</f>
        <v>233</v>
      </c>
    </row>
    <row r="38" spans="2:25" ht="32.1" customHeight="1" thickBot="1">
      <c r="B38" s="884" t="s">
        <v>13</v>
      </c>
      <c r="C38" s="885">
        <f>C30+C37</f>
        <v>82068.14</v>
      </c>
      <c r="D38" s="886">
        <f>D30+D37</f>
        <v>4228.58</v>
      </c>
      <c r="E38" s="886">
        <f t="shared" ref="E38:F38" si="13">E30+E37</f>
        <v>74.289999999999992</v>
      </c>
      <c r="F38" s="886">
        <f t="shared" si="13"/>
        <v>789.56</v>
      </c>
      <c r="G38" s="887">
        <f>G30+G37</f>
        <v>5568.22</v>
      </c>
      <c r="H38" s="888">
        <f>SUM(C38:G38)</f>
        <v>92728.79</v>
      </c>
      <c r="I38" s="889">
        <f>I30+I37</f>
        <v>9939.369999999999</v>
      </c>
      <c r="J38" s="889">
        <f>J30+J37</f>
        <v>26489.519999999997</v>
      </c>
      <c r="K38" s="889">
        <f>K30+K37</f>
        <v>0</v>
      </c>
      <c r="L38" s="890">
        <f>SUM(I38:K38)</f>
        <v>36428.89</v>
      </c>
      <c r="M38" s="891">
        <f>M30+M37</f>
        <v>2172.73</v>
      </c>
      <c r="N38" s="892">
        <f>H38+L38+M38</f>
        <v>131330.41</v>
      </c>
      <c r="O38" s="893">
        <f t="shared" si="10"/>
        <v>39727.449025000002</v>
      </c>
      <c r="P38" s="876">
        <f>P30+P37</f>
        <v>220.7</v>
      </c>
      <c r="Q38" s="894">
        <f>Q30+Q37</f>
        <v>351.51</v>
      </c>
      <c r="R38" s="894">
        <f>R30+R37</f>
        <v>21.69</v>
      </c>
      <c r="S38" s="894">
        <f>S30+S37</f>
        <v>147.09</v>
      </c>
      <c r="T38" s="878">
        <f>T30+T37</f>
        <v>740.99000000000012</v>
      </c>
      <c r="U38" s="879">
        <f t="shared" ref="U38" si="14">T38*0.3025</f>
        <v>224.14947500000002</v>
      </c>
      <c r="V38" s="895">
        <f t="shared" si="7"/>
        <v>132071.4</v>
      </c>
      <c r="W38" s="896">
        <f t="shared" si="7"/>
        <v>39951.5985</v>
      </c>
      <c r="X38" s="897">
        <f>X30+X37</f>
        <v>297</v>
      </c>
      <c r="Y38" s="898">
        <f>Y30+Y37</f>
        <v>268</v>
      </c>
    </row>
    <row r="39" spans="2:25" ht="5.0999999999999996" customHeight="1">
      <c r="B39" s="729"/>
      <c r="C39" s="729"/>
      <c r="D39" s="729"/>
      <c r="E39" s="729"/>
      <c r="F39" s="729"/>
      <c r="G39" s="729"/>
      <c r="H39" s="729"/>
      <c r="I39" s="729"/>
      <c r="J39" s="729"/>
      <c r="K39" s="729"/>
      <c r="L39" s="729"/>
      <c r="M39" s="729"/>
      <c r="N39" s="729"/>
      <c r="O39" s="899"/>
      <c r="P39" s="900"/>
      <c r="Q39" s="729"/>
      <c r="R39" s="729"/>
      <c r="S39" s="729"/>
      <c r="T39" s="729"/>
      <c r="U39" s="729"/>
      <c r="V39" s="729"/>
      <c r="W39" s="729"/>
      <c r="X39" s="729"/>
      <c r="Y39" s="729"/>
    </row>
    <row r="40" spans="2:25" ht="20.100000000000001" customHeight="1">
      <c r="B40" s="901" t="s">
        <v>171</v>
      </c>
      <c r="C40" s="902"/>
      <c r="D40" s="902"/>
      <c r="E40" s="902"/>
      <c r="F40" s="902"/>
      <c r="G40" s="902"/>
      <c r="H40" s="902"/>
      <c r="I40" s="902"/>
      <c r="J40" s="902"/>
      <c r="K40" s="902"/>
      <c r="L40" s="902"/>
      <c r="M40" s="902"/>
      <c r="N40" s="902"/>
      <c r="O40" s="902"/>
      <c r="P40" s="902"/>
      <c r="Q40" s="902"/>
      <c r="R40" s="902"/>
      <c r="S40" s="902"/>
      <c r="T40" s="902"/>
      <c r="U40" s="902"/>
      <c r="V40" s="902"/>
      <c r="W40" s="902"/>
      <c r="X40" s="902"/>
      <c r="Y40" s="902"/>
    </row>
    <row r="41" spans="2:25" ht="9.9499999999999993" customHeight="1"/>
    <row r="42" spans="2:25" ht="30" customHeight="1">
      <c r="I42" s="8"/>
      <c r="J42" s="8"/>
      <c r="N42" s="8"/>
      <c r="O42" s="354"/>
      <c r="P42" s="8"/>
    </row>
    <row r="43" spans="2:25" ht="30" customHeight="1"/>
    <row r="44" spans="2:25" ht="30" customHeight="1">
      <c r="H44" s="51"/>
    </row>
    <row r="45" spans="2:25" ht="30" customHeight="1"/>
    <row r="46" spans="2:25" ht="30" customHeight="1"/>
  </sheetData>
  <mergeCells count="61">
    <mergeCell ref="P25:U25"/>
    <mergeCell ref="V25:W26"/>
    <mergeCell ref="X25:Y26"/>
    <mergeCell ref="C26:H26"/>
    <mergeCell ref="I26:L26"/>
    <mergeCell ref="M26:M27"/>
    <mergeCell ref="N26:O26"/>
    <mergeCell ref="P26:R26"/>
    <mergeCell ref="S26:S27"/>
    <mergeCell ref="T26:U26"/>
    <mergeCell ref="B21:C21"/>
    <mergeCell ref="D21:E21"/>
    <mergeCell ref="G21:I21"/>
    <mergeCell ref="B22:C22"/>
    <mergeCell ref="D22:I22"/>
    <mergeCell ref="B25:B27"/>
    <mergeCell ref="C25:O25"/>
    <mergeCell ref="B18:C20"/>
    <mergeCell ref="D18:E18"/>
    <mergeCell ref="F18:F20"/>
    <mergeCell ref="G18:H18"/>
    <mergeCell ref="D19:E19"/>
    <mergeCell ref="G19:H19"/>
    <mergeCell ref="D20:E20"/>
    <mergeCell ref="G20:H20"/>
    <mergeCell ref="B16:C16"/>
    <mergeCell ref="D16:F16"/>
    <mergeCell ref="G16:H16"/>
    <mergeCell ref="B17:C17"/>
    <mergeCell ref="D17:E17"/>
    <mergeCell ref="H17:I17"/>
    <mergeCell ref="B14:C14"/>
    <mergeCell ref="D14:F14"/>
    <mergeCell ref="G14:H14"/>
    <mergeCell ref="B15:C15"/>
    <mergeCell ref="D15:F15"/>
    <mergeCell ref="G15:H15"/>
    <mergeCell ref="B10:C10"/>
    <mergeCell ref="D10:F10"/>
    <mergeCell ref="G10:H10"/>
    <mergeCell ref="B11:B13"/>
    <mergeCell ref="D11:F11"/>
    <mergeCell ref="G11:H11"/>
    <mergeCell ref="D12:F12"/>
    <mergeCell ref="G12:H12"/>
    <mergeCell ref="D13:F13"/>
    <mergeCell ref="G13:H13"/>
    <mergeCell ref="G6:H6"/>
    <mergeCell ref="B7:C7"/>
    <mergeCell ref="D7:F7"/>
    <mergeCell ref="B8:C8"/>
    <mergeCell ref="D8:F8"/>
    <mergeCell ref="B9:C9"/>
    <mergeCell ref="D9:F9"/>
    <mergeCell ref="G9:H9"/>
    <mergeCell ref="B3:C3"/>
    <mergeCell ref="B4:C4"/>
    <mergeCell ref="B5:C5"/>
    <mergeCell ref="D5:F5"/>
    <mergeCell ref="B6:C6"/>
    <mergeCell ref="D6:F6"/>
  </mergeCells>
  <phoneticPr fontId="2" type="noConversion"/>
  <pageMargins left="0.7" right="0.7" top="0.75" bottom="0.75" header="0.3" footer="0.3"/>
  <pageSetup paperSize="8" scale="6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59"/>
  <sheetViews>
    <sheetView showGridLines="0" zoomScale="85" zoomScaleNormal="85" workbookViewId="0">
      <selection activeCell="K14" sqref="K14"/>
    </sheetView>
  </sheetViews>
  <sheetFormatPr defaultRowHeight="16.5"/>
  <cols>
    <col min="1" max="1" width="10.625" customWidth="1"/>
    <col min="2" max="16" width="12.625" customWidth="1"/>
    <col min="17" max="17" width="12.625" style="127" customWidth="1"/>
    <col min="18" max="18" width="12.625" customWidth="1"/>
    <col min="19" max="20" width="9.875" bestFit="1" customWidth="1"/>
  </cols>
  <sheetData>
    <row r="1" spans="2:18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8" ht="24.95" customHeight="1" thickBot="1">
      <c r="B2" s="78" t="s">
        <v>74</v>
      </c>
      <c r="C2" s="6"/>
      <c r="D2" s="6"/>
      <c r="E2" s="6"/>
      <c r="F2" s="6"/>
      <c r="G2" s="6"/>
      <c r="H2" s="6"/>
      <c r="I2" s="6"/>
      <c r="J2" s="1"/>
      <c r="K2" s="74" t="s">
        <v>14</v>
      </c>
      <c r="L2" s="6"/>
      <c r="M2" s="6"/>
      <c r="N2" s="6"/>
      <c r="O2" s="3"/>
      <c r="P2" s="3"/>
      <c r="Q2" s="101"/>
      <c r="R2" s="3"/>
    </row>
    <row r="3" spans="2:18" ht="20.100000000000001" customHeight="1" thickBot="1">
      <c r="B3" s="390" t="s">
        <v>8</v>
      </c>
      <c r="C3" s="440"/>
      <c r="D3" s="9" t="s">
        <v>84</v>
      </c>
      <c r="E3" s="10"/>
      <c r="F3" s="10"/>
      <c r="G3" s="10"/>
      <c r="H3" s="10"/>
      <c r="I3" s="10"/>
      <c r="J3" s="7"/>
      <c r="K3" s="53" t="s">
        <v>15</v>
      </c>
      <c r="L3" s="19" t="s">
        <v>16</v>
      </c>
      <c r="M3" s="20" t="s">
        <v>17</v>
      </c>
      <c r="N3" s="36" t="s">
        <v>26</v>
      </c>
      <c r="O3" s="57" t="s">
        <v>27</v>
      </c>
      <c r="P3" s="56" t="s">
        <v>35</v>
      </c>
      <c r="Q3" s="102" t="s">
        <v>36</v>
      </c>
      <c r="R3" s="58" t="s">
        <v>18</v>
      </c>
    </row>
    <row r="4" spans="2:18" ht="20.100000000000001" customHeight="1">
      <c r="B4" s="413" t="s">
        <v>9</v>
      </c>
      <c r="C4" s="419"/>
      <c r="D4" s="441" t="s">
        <v>75</v>
      </c>
      <c r="E4" s="442"/>
      <c r="F4" s="442"/>
      <c r="G4" s="442"/>
      <c r="H4" s="442"/>
      <c r="I4" s="442"/>
      <c r="J4" s="7"/>
      <c r="K4" s="60"/>
      <c r="L4" s="61"/>
      <c r="M4" s="20"/>
      <c r="N4" s="84"/>
      <c r="O4" s="85"/>
      <c r="P4" s="84"/>
      <c r="Q4" s="85"/>
      <c r="R4" s="62"/>
    </row>
    <row r="5" spans="2:18" ht="20.100000000000001" customHeight="1">
      <c r="B5" s="413" t="s">
        <v>10</v>
      </c>
      <c r="C5" s="54" t="s">
        <v>39</v>
      </c>
      <c r="D5" s="428">
        <v>29799.9</v>
      </c>
      <c r="E5" s="429"/>
      <c r="F5" s="430">
        <f>D5*0.3025</f>
        <v>9014.4697500000002</v>
      </c>
      <c r="G5" s="445"/>
      <c r="H5" s="126"/>
      <c r="I5" s="126"/>
      <c r="J5" s="7"/>
      <c r="K5" s="63"/>
      <c r="L5" s="64"/>
      <c r="M5" s="65"/>
      <c r="N5" s="86"/>
      <c r="O5" s="87"/>
      <c r="P5" s="86"/>
      <c r="Q5" s="103"/>
      <c r="R5" s="69"/>
    </row>
    <row r="6" spans="2:18" ht="20.100000000000001" hidden="1" customHeight="1">
      <c r="B6" s="443"/>
      <c r="C6" s="54" t="s">
        <v>65</v>
      </c>
      <c r="D6" s="428">
        <v>0</v>
      </c>
      <c r="E6" s="446"/>
      <c r="F6" s="430">
        <f t="shared" ref="F6:F13" si="0">D6*0.3025</f>
        <v>0</v>
      </c>
      <c r="G6" s="445"/>
      <c r="H6" s="126"/>
      <c r="I6" s="126" t="s">
        <v>69</v>
      </c>
      <c r="J6" s="7"/>
      <c r="K6" s="63"/>
      <c r="L6" s="64"/>
      <c r="M6" s="65"/>
      <c r="N6" s="86"/>
      <c r="O6" s="87"/>
      <c r="P6" s="86"/>
      <c r="Q6" s="103"/>
      <c r="R6" s="69"/>
    </row>
    <row r="7" spans="2:18" ht="20.100000000000001" hidden="1" customHeight="1">
      <c r="B7" s="443"/>
      <c r="C7" s="54" t="s">
        <v>66</v>
      </c>
      <c r="D7" s="428">
        <v>0</v>
      </c>
      <c r="E7" s="446"/>
      <c r="F7" s="430">
        <f t="shared" si="0"/>
        <v>0</v>
      </c>
      <c r="G7" s="445"/>
      <c r="H7" s="126"/>
      <c r="I7" s="126" t="s">
        <v>68</v>
      </c>
      <c r="J7" s="7"/>
      <c r="K7" s="63"/>
      <c r="L7" s="64"/>
      <c r="M7" s="65"/>
      <c r="N7" s="86"/>
      <c r="O7" s="87"/>
      <c r="P7" s="86"/>
      <c r="Q7" s="103"/>
      <c r="R7" s="69"/>
    </row>
    <row r="8" spans="2:18" ht="20.100000000000001" hidden="1" customHeight="1">
      <c r="B8" s="444"/>
      <c r="C8" s="54" t="s">
        <v>64</v>
      </c>
      <c r="D8" s="428">
        <f>N31</f>
        <v>0</v>
      </c>
      <c r="E8" s="446"/>
      <c r="F8" s="430">
        <f t="shared" si="0"/>
        <v>0</v>
      </c>
      <c r="G8" s="445"/>
      <c r="H8" s="126"/>
      <c r="I8" s="126" t="s">
        <v>67</v>
      </c>
      <c r="J8" s="7"/>
      <c r="K8" s="63"/>
      <c r="L8" s="64"/>
      <c r="M8" s="65"/>
      <c r="N8" s="86"/>
      <c r="O8" s="87"/>
      <c r="P8" s="88"/>
      <c r="Q8" s="103"/>
      <c r="R8" s="69"/>
    </row>
    <row r="9" spans="2:18" ht="20.100000000000001" customHeight="1">
      <c r="B9" s="438" t="s">
        <v>7</v>
      </c>
      <c r="C9" s="54" t="s">
        <v>11</v>
      </c>
      <c r="D9" s="428">
        <f>O49</f>
        <v>97961</v>
      </c>
      <c r="E9" s="429"/>
      <c r="F9" s="430">
        <f t="shared" si="0"/>
        <v>29633.202499999999</v>
      </c>
      <c r="G9" s="431"/>
      <c r="H9" s="126"/>
      <c r="I9" s="126"/>
      <c r="J9" s="7"/>
      <c r="K9" s="63"/>
      <c r="L9" s="64"/>
      <c r="M9" s="65"/>
      <c r="N9" s="86"/>
      <c r="O9" s="87"/>
      <c r="P9" s="86"/>
      <c r="Q9" s="103"/>
      <c r="R9" s="69"/>
    </row>
    <row r="10" spans="2:18" ht="20.100000000000001" customHeight="1">
      <c r="B10" s="439"/>
      <c r="C10" s="54" t="s">
        <v>12</v>
      </c>
      <c r="D10" s="428">
        <f>O39</f>
        <v>28817</v>
      </c>
      <c r="E10" s="429"/>
      <c r="F10" s="430">
        <f t="shared" si="0"/>
        <v>8717.1424999999999</v>
      </c>
      <c r="G10" s="431"/>
      <c r="H10" s="126"/>
      <c r="I10" s="126"/>
      <c r="J10" s="7"/>
      <c r="K10" s="70"/>
      <c r="L10" s="64"/>
      <c r="M10" s="65"/>
      <c r="N10" s="86"/>
      <c r="O10" s="87"/>
      <c r="P10" s="86"/>
      <c r="Q10" s="103"/>
      <c r="R10" s="71"/>
    </row>
    <row r="11" spans="2:18" ht="20.100000000000001" customHeight="1">
      <c r="B11" s="439"/>
      <c r="C11" s="54" t="s">
        <v>13</v>
      </c>
      <c r="D11" s="428">
        <f>SUM(D9:E10)</f>
        <v>126778</v>
      </c>
      <c r="E11" s="429"/>
      <c r="F11" s="430">
        <f t="shared" si="0"/>
        <v>38350.345000000001</v>
      </c>
      <c r="G11" s="431"/>
      <c r="H11" s="126"/>
      <c r="I11" s="126"/>
      <c r="J11" s="7"/>
      <c r="K11" s="63"/>
      <c r="L11" s="64"/>
      <c r="M11" s="65"/>
      <c r="N11" s="86"/>
      <c r="O11" s="87"/>
      <c r="P11" s="88"/>
      <c r="Q11" s="103"/>
      <c r="R11" s="69"/>
    </row>
    <row r="12" spans="2:18" ht="20.100000000000001" customHeight="1">
      <c r="B12" s="413" t="s">
        <v>29</v>
      </c>
      <c r="C12" s="419"/>
      <c r="D12" s="428">
        <f>O49-K49-I49</f>
        <v>70985</v>
      </c>
      <c r="E12" s="429"/>
      <c r="F12" s="430">
        <f t="shared" si="0"/>
        <v>21472.962499999998</v>
      </c>
      <c r="G12" s="431"/>
      <c r="H12" s="126"/>
      <c r="I12" s="126"/>
      <c r="J12" s="7"/>
      <c r="K12" s="63"/>
      <c r="L12" s="64"/>
      <c r="M12" s="65"/>
      <c r="N12" s="86"/>
      <c r="O12" s="87"/>
      <c r="P12" s="88"/>
      <c r="Q12" s="103"/>
      <c r="R12" s="72"/>
    </row>
    <row r="13" spans="2:18" ht="20.100000000000001" customHeight="1">
      <c r="B13" s="413" t="s">
        <v>28</v>
      </c>
      <c r="C13" s="437"/>
      <c r="D13" s="428">
        <v>20653</v>
      </c>
      <c r="E13" s="429"/>
      <c r="F13" s="430">
        <f t="shared" si="0"/>
        <v>6247.5325000000003</v>
      </c>
      <c r="G13" s="431"/>
      <c r="H13" s="436"/>
      <c r="I13" s="436"/>
      <c r="J13" s="7"/>
      <c r="K13" s="63"/>
      <c r="L13" s="64"/>
      <c r="M13" s="65"/>
      <c r="N13" s="86"/>
      <c r="O13" s="87"/>
      <c r="P13" s="86"/>
      <c r="Q13" s="103"/>
      <c r="R13" s="69"/>
    </row>
    <row r="14" spans="2:18" ht="20.100000000000001" customHeight="1">
      <c r="B14" s="413" t="s">
        <v>30</v>
      </c>
      <c r="C14" s="419"/>
      <c r="D14" s="434">
        <f>D13/D5</f>
        <v>0.69305601696649988</v>
      </c>
      <c r="E14" s="435"/>
      <c r="F14" s="422" t="s">
        <v>70</v>
      </c>
      <c r="G14" s="421"/>
      <c r="H14" s="126"/>
      <c r="I14" s="126"/>
      <c r="J14" s="7"/>
      <c r="K14" s="63"/>
      <c r="L14" s="64"/>
      <c r="M14" s="65"/>
      <c r="N14" s="86"/>
      <c r="O14" s="87"/>
      <c r="P14" s="88"/>
      <c r="Q14" s="103"/>
      <c r="R14" s="73"/>
    </row>
    <row r="15" spans="2:18" ht="20.100000000000001" customHeight="1">
      <c r="B15" s="413" t="s">
        <v>31</v>
      </c>
      <c r="C15" s="419"/>
      <c r="D15" s="434">
        <f>D12/D5</f>
        <v>2.3820549733388368</v>
      </c>
      <c r="E15" s="435"/>
      <c r="F15" s="422" t="s">
        <v>76</v>
      </c>
      <c r="G15" s="421"/>
      <c r="H15" s="126"/>
      <c r="I15" s="126"/>
      <c r="J15" s="7"/>
      <c r="K15" s="63"/>
      <c r="L15" s="64"/>
      <c r="M15" s="65"/>
      <c r="N15" s="86"/>
      <c r="O15" s="87"/>
      <c r="P15" s="86"/>
      <c r="Q15" s="103"/>
      <c r="R15" s="76"/>
    </row>
    <row r="16" spans="2:18" ht="20.100000000000001" customHeight="1">
      <c r="B16" s="423" t="s">
        <v>58</v>
      </c>
      <c r="C16" s="424"/>
      <c r="D16" s="428">
        <f>$O$50-$K$50</f>
        <v>104198</v>
      </c>
      <c r="E16" s="429"/>
      <c r="F16" s="430">
        <f t="shared" ref="F16" si="1">D16*0.3025</f>
        <v>31519.895</v>
      </c>
      <c r="G16" s="431"/>
      <c r="H16" s="432" t="s">
        <v>61</v>
      </c>
      <c r="I16" s="433"/>
      <c r="J16" s="7"/>
      <c r="K16" s="63"/>
      <c r="L16" s="64"/>
      <c r="M16" s="65"/>
      <c r="N16" s="86"/>
      <c r="O16" s="87"/>
      <c r="P16" s="86"/>
      <c r="Q16" s="103"/>
      <c r="R16" s="69"/>
    </row>
    <row r="17" spans="2:18" ht="20.100000000000001" customHeight="1">
      <c r="B17" s="413" t="s">
        <v>57</v>
      </c>
      <c r="C17" s="419"/>
      <c r="D17" s="434">
        <f>D16/$O$50</f>
        <v>0.82189338844278981</v>
      </c>
      <c r="E17" s="435"/>
      <c r="F17" s="422" t="s">
        <v>38</v>
      </c>
      <c r="G17" s="421"/>
      <c r="H17" s="126"/>
      <c r="I17" s="126"/>
      <c r="J17" s="7"/>
      <c r="K17" s="63"/>
      <c r="L17" s="64"/>
      <c r="M17" s="65"/>
      <c r="N17" s="86"/>
      <c r="O17" s="87"/>
      <c r="P17" s="88"/>
      <c r="Q17" s="103"/>
      <c r="R17" s="69"/>
    </row>
    <row r="18" spans="2:18" ht="20.100000000000001" customHeight="1">
      <c r="B18" s="423" t="s">
        <v>59</v>
      </c>
      <c r="C18" s="424"/>
      <c r="D18" s="428">
        <f>$O$50-$K$50-$I$50</f>
        <v>93996</v>
      </c>
      <c r="E18" s="429"/>
      <c r="F18" s="430">
        <f t="shared" ref="F18" si="2">D18*0.3025</f>
        <v>28433.79</v>
      </c>
      <c r="G18" s="431"/>
      <c r="H18" s="432" t="s">
        <v>62</v>
      </c>
      <c r="I18" s="433"/>
      <c r="J18" s="7"/>
      <c r="K18" s="63"/>
      <c r="L18" s="64"/>
      <c r="M18" s="65"/>
      <c r="N18" s="86"/>
      <c r="O18" s="87"/>
      <c r="P18" s="88"/>
      <c r="Q18" s="103"/>
      <c r="R18" s="69"/>
    </row>
    <row r="19" spans="2:18" ht="20.100000000000001" customHeight="1">
      <c r="B19" s="413" t="s">
        <v>60</v>
      </c>
      <c r="C19" s="419"/>
      <c r="D19" s="434">
        <f>D18/$O$50</f>
        <v>0.74142201328306168</v>
      </c>
      <c r="E19" s="435"/>
      <c r="F19" s="422" t="s">
        <v>38</v>
      </c>
      <c r="G19" s="421"/>
      <c r="H19" s="126"/>
      <c r="I19" s="126"/>
      <c r="J19" s="7"/>
      <c r="K19" s="63"/>
      <c r="L19" s="64"/>
      <c r="M19" s="65"/>
      <c r="N19" s="86"/>
      <c r="O19" s="87"/>
      <c r="P19" s="88"/>
      <c r="Q19" s="103"/>
      <c r="R19" s="72"/>
    </row>
    <row r="20" spans="2:18" ht="20.100000000000001" customHeight="1">
      <c r="B20" s="413" t="s">
        <v>32</v>
      </c>
      <c r="C20" s="419"/>
      <c r="D20" s="420" t="s">
        <v>87</v>
      </c>
      <c r="E20" s="421"/>
      <c r="F20" s="422" t="s">
        <v>77</v>
      </c>
      <c r="G20" s="421"/>
      <c r="H20" s="126"/>
      <c r="I20" s="126"/>
      <c r="J20" s="7"/>
      <c r="K20" s="63"/>
      <c r="L20" s="64"/>
      <c r="M20" s="65"/>
      <c r="N20" s="86"/>
      <c r="O20" s="87"/>
      <c r="P20" s="88"/>
      <c r="Q20" s="103"/>
      <c r="R20" s="72"/>
    </row>
    <row r="21" spans="2:18" ht="20.100000000000001" customHeight="1" thickBot="1">
      <c r="B21" s="423" t="s">
        <v>23</v>
      </c>
      <c r="C21" s="424"/>
      <c r="D21" s="420">
        <v>8.5000000000000006E-2</v>
      </c>
      <c r="E21" s="425"/>
      <c r="F21" s="426" t="s">
        <v>34</v>
      </c>
      <c r="G21" s="427"/>
      <c r="H21" s="411"/>
      <c r="I21" s="412"/>
      <c r="J21" s="7"/>
      <c r="K21" s="63"/>
      <c r="L21" s="64"/>
      <c r="M21" s="65"/>
      <c r="N21" s="86"/>
      <c r="O21" s="87"/>
      <c r="P21" s="88"/>
      <c r="Q21" s="103"/>
      <c r="R21" s="72"/>
    </row>
    <row r="22" spans="2:18" ht="20.100000000000001" hidden="1" customHeight="1">
      <c r="B22" s="413" t="s">
        <v>63</v>
      </c>
      <c r="C22" s="414"/>
      <c r="D22" s="396"/>
      <c r="E22" s="397"/>
      <c r="F22" s="397"/>
      <c r="G22" s="397"/>
      <c r="H22" s="397"/>
      <c r="I22" s="397"/>
      <c r="J22" s="7"/>
      <c r="K22" s="63"/>
      <c r="L22" s="64"/>
      <c r="M22" s="65"/>
      <c r="N22" s="66"/>
      <c r="O22" s="67"/>
      <c r="P22" s="68"/>
      <c r="Q22" s="104"/>
      <c r="R22" s="72"/>
    </row>
    <row r="23" spans="2:18" ht="20.100000000000001" hidden="1" customHeight="1">
      <c r="B23" s="415"/>
      <c r="C23" s="416"/>
      <c r="D23" s="396"/>
      <c r="E23" s="397"/>
      <c r="F23" s="397"/>
      <c r="G23" s="397"/>
      <c r="H23" s="397"/>
      <c r="I23" s="397"/>
      <c r="J23" s="7"/>
      <c r="K23" s="63"/>
      <c r="L23" s="64"/>
      <c r="M23" s="65"/>
      <c r="N23" s="66"/>
      <c r="O23" s="67"/>
      <c r="P23" s="68"/>
      <c r="Q23" s="104"/>
      <c r="R23" s="72"/>
    </row>
    <row r="24" spans="2:18" ht="20.100000000000001" hidden="1" customHeight="1">
      <c r="B24" s="415"/>
      <c r="C24" s="416"/>
      <c r="D24" s="396"/>
      <c r="E24" s="397"/>
      <c r="F24" s="397"/>
      <c r="G24" s="397"/>
      <c r="H24" s="397"/>
      <c r="I24" s="397"/>
      <c r="J24" s="7"/>
      <c r="K24" s="63"/>
      <c r="L24" s="64"/>
      <c r="M24" s="65"/>
      <c r="N24" s="66"/>
      <c r="O24" s="67"/>
      <c r="P24" s="68"/>
      <c r="Q24" s="104"/>
      <c r="R24" s="72"/>
    </row>
    <row r="25" spans="2:18" ht="20.100000000000001" hidden="1" customHeight="1">
      <c r="B25" s="415"/>
      <c r="C25" s="416"/>
      <c r="D25" s="396"/>
      <c r="E25" s="397"/>
      <c r="F25" s="397"/>
      <c r="G25" s="397"/>
      <c r="H25" s="397"/>
      <c r="I25" s="397"/>
      <c r="J25" s="7"/>
      <c r="K25" s="63"/>
      <c r="L25" s="64"/>
      <c r="M25" s="65"/>
      <c r="N25" s="66"/>
      <c r="O25" s="67"/>
      <c r="P25" s="68"/>
      <c r="Q25" s="104"/>
      <c r="R25" s="72"/>
    </row>
    <row r="26" spans="2:18" ht="20.100000000000001" hidden="1" customHeight="1">
      <c r="B26" s="415"/>
      <c r="C26" s="416"/>
      <c r="D26" s="396"/>
      <c r="E26" s="397"/>
      <c r="F26" s="397"/>
      <c r="G26" s="397"/>
      <c r="H26" s="397"/>
      <c r="I26" s="397"/>
      <c r="J26" s="7"/>
      <c r="K26" s="63"/>
      <c r="L26" s="64"/>
      <c r="M26" s="65"/>
      <c r="N26" s="66"/>
      <c r="O26" s="67"/>
      <c r="P26" s="68"/>
      <c r="Q26" s="104"/>
      <c r="R26" s="72"/>
    </row>
    <row r="27" spans="2:18" ht="20.100000000000001" hidden="1" customHeight="1">
      <c r="B27" s="415"/>
      <c r="C27" s="416"/>
      <c r="D27" s="396"/>
      <c r="E27" s="397"/>
      <c r="F27" s="397"/>
      <c r="G27" s="397"/>
      <c r="H27" s="397"/>
      <c r="I27" s="397"/>
      <c r="J27" s="7"/>
      <c r="K27" s="63"/>
      <c r="L27" s="64"/>
      <c r="M27" s="65"/>
      <c r="N27" s="66"/>
      <c r="O27" s="67"/>
      <c r="P27" s="68"/>
      <c r="Q27" s="104"/>
      <c r="R27" s="72"/>
    </row>
    <row r="28" spans="2:18" ht="20.100000000000001" hidden="1" customHeight="1">
      <c r="B28" s="415"/>
      <c r="C28" s="416"/>
      <c r="D28" s="396"/>
      <c r="E28" s="397"/>
      <c r="F28" s="397"/>
      <c r="G28" s="397"/>
      <c r="H28" s="397"/>
      <c r="I28" s="397"/>
      <c r="J28" s="7"/>
      <c r="K28" s="63"/>
      <c r="L28" s="64"/>
      <c r="M28" s="65"/>
      <c r="N28" s="66"/>
      <c r="O28" s="67"/>
      <c r="P28" s="68"/>
      <c r="Q28" s="104"/>
      <c r="R28" s="72"/>
    </row>
    <row r="29" spans="2:18" ht="20.100000000000001" hidden="1" customHeight="1">
      <c r="B29" s="415"/>
      <c r="C29" s="416"/>
      <c r="D29" s="396"/>
      <c r="E29" s="397"/>
      <c r="F29" s="397"/>
      <c r="G29" s="397"/>
      <c r="H29" s="397"/>
      <c r="I29" s="397"/>
      <c r="J29" s="7"/>
      <c r="K29" s="63"/>
      <c r="L29" s="64"/>
      <c r="M29" s="65"/>
      <c r="N29" s="66"/>
      <c r="O29" s="67"/>
      <c r="P29" s="68"/>
      <c r="Q29" s="104"/>
      <c r="R29" s="72"/>
    </row>
    <row r="30" spans="2:18" ht="20.100000000000001" hidden="1" customHeight="1" thickBot="1">
      <c r="B30" s="415"/>
      <c r="C30" s="416"/>
      <c r="D30" s="396"/>
      <c r="E30" s="397"/>
      <c r="F30" s="397"/>
      <c r="G30" s="397"/>
      <c r="H30" s="397"/>
      <c r="I30" s="397"/>
      <c r="J30" s="7"/>
      <c r="K30" s="63"/>
      <c r="L30" s="64"/>
      <c r="M30" s="65"/>
      <c r="N30" s="66"/>
      <c r="O30" s="67"/>
      <c r="P30" s="68"/>
      <c r="Q30" s="104"/>
      <c r="R30" s="72"/>
    </row>
    <row r="31" spans="2:18" ht="20.100000000000001" customHeight="1" thickBot="1">
      <c r="B31" s="417"/>
      <c r="C31" s="418"/>
      <c r="D31" s="398" t="s">
        <v>81</v>
      </c>
      <c r="E31" s="399"/>
      <c r="F31" s="400"/>
      <c r="G31" s="100">
        <f>(O50-I50-K50)/400</f>
        <v>234.99</v>
      </c>
      <c r="H31" s="401" t="s">
        <v>82</v>
      </c>
      <c r="I31" s="402"/>
      <c r="J31" s="7"/>
      <c r="K31" s="403" t="s">
        <v>19</v>
      </c>
      <c r="L31" s="404"/>
      <c r="M31" s="405"/>
      <c r="N31" s="89">
        <f>SUM(N4:N30)</f>
        <v>0</v>
      </c>
      <c r="O31" s="90">
        <f>N31*0.3025</f>
        <v>0</v>
      </c>
      <c r="P31" s="91">
        <f>SUM(P4:P30)</f>
        <v>0</v>
      </c>
      <c r="Q31" s="92">
        <f>P31*0.3025</f>
        <v>0</v>
      </c>
      <c r="R31" s="59"/>
    </row>
    <row r="32" spans="2:18" ht="6" customHeight="1" thickTop="1">
      <c r="B32" s="5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2:21" ht="24.95" customHeight="1" thickBot="1">
      <c r="B33" s="75" t="s">
        <v>22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101"/>
      <c r="R33" s="3"/>
    </row>
    <row r="34" spans="2:21" ht="20.100000000000001" customHeight="1">
      <c r="B34" s="407" t="s">
        <v>40</v>
      </c>
      <c r="C34" s="390" t="s">
        <v>55</v>
      </c>
      <c r="D34" s="409"/>
      <c r="E34" s="410" t="s">
        <v>56</v>
      </c>
      <c r="F34" s="409"/>
      <c r="G34" s="410" t="s">
        <v>48</v>
      </c>
      <c r="H34" s="409"/>
      <c r="I34" s="388" t="s">
        <v>54</v>
      </c>
      <c r="J34" s="406"/>
      <c r="K34" s="388" t="s">
        <v>33</v>
      </c>
      <c r="L34" s="406"/>
      <c r="M34" s="388" t="s">
        <v>50</v>
      </c>
      <c r="N34" s="389"/>
      <c r="O34" s="390" t="s">
        <v>6</v>
      </c>
      <c r="P34" s="391"/>
      <c r="Q34" s="392" t="s">
        <v>49</v>
      </c>
      <c r="R34" s="394" t="s">
        <v>18</v>
      </c>
      <c r="T34" s="50" t="s">
        <v>49</v>
      </c>
    </row>
    <row r="35" spans="2:21" ht="20.100000000000001" customHeight="1" thickBot="1">
      <c r="B35" s="408"/>
      <c r="C35" s="21" t="s">
        <v>4</v>
      </c>
      <c r="D35" s="22" t="s">
        <v>5</v>
      </c>
      <c r="E35" s="23" t="s">
        <v>4</v>
      </c>
      <c r="F35" s="22" t="s">
        <v>5</v>
      </c>
      <c r="G35" s="23" t="s">
        <v>4</v>
      </c>
      <c r="H35" s="22" t="s">
        <v>5</v>
      </c>
      <c r="I35" s="22" t="s">
        <v>4</v>
      </c>
      <c r="J35" s="22" t="s">
        <v>5</v>
      </c>
      <c r="K35" s="22" t="s">
        <v>4</v>
      </c>
      <c r="L35" s="22" t="s">
        <v>5</v>
      </c>
      <c r="M35" s="22" t="s">
        <v>4</v>
      </c>
      <c r="N35" s="24" t="s">
        <v>5</v>
      </c>
      <c r="O35" s="25" t="s">
        <v>4</v>
      </c>
      <c r="P35" s="26" t="s">
        <v>5</v>
      </c>
      <c r="Q35" s="393"/>
      <c r="R35" s="395"/>
      <c r="T35" s="50" t="s">
        <v>51</v>
      </c>
      <c r="U35" s="50" t="s">
        <v>52</v>
      </c>
    </row>
    <row r="36" spans="2:21" ht="20.100000000000001" hidden="1" customHeight="1">
      <c r="B36" s="33" t="s">
        <v>42</v>
      </c>
      <c r="C36" s="117">
        <v>0</v>
      </c>
      <c r="D36" s="113">
        <f>C36*0.3025</f>
        <v>0</v>
      </c>
      <c r="E36" s="114">
        <v>0</v>
      </c>
      <c r="F36" s="113">
        <f>E36*0.3025</f>
        <v>0</v>
      </c>
      <c r="G36" s="114">
        <v>0</v>
      </c>
      <c r="H36" s="113">
        <f>G36*0.3025</f>
        <v>0</v>
      </c>
      <c r="I36" s="115">
        <v>0</v>
      </c>
      <c r="J36" s="115">
        <f>I36*0.3025</f>
        <v>0</v>
      </c>
      <c r="K36" s="115">
        <v>0</v>
      </c>
      <c r="L36" s="113">
        <f>K36*0.3025</f>
        <v>0</v>
      </c>
      <c r="M36" s="115">
        <v>0</v>
      </c>
      <c r="N36" s="77">
        <f>M36*0.3025</f>
        <v>0</v>
      </c>
      <c r="O36" s="13">
        <f>C36+E36+G36+I36+K36+M36</f>
        <v>0</v>
      </c>
      <c r="P36" s="14">
        <f t="shared" ref="P36:P50" si="3">O36*0.3025</f>
        <v>0</v>
      </c>
      <c r="Q36" s="105"/>
      <c r="R36" s="79" t="s">
        <v>41</v>
      </c>
    </row>
    <row r="37" spans="2:21" ht="20.100000000000001" customHeight="1">
      <c r="B37" s="33" t="s">
        <v>37</v>
      </c>
      <c r="C37" s="97">
        <v>0</v>
      </c>
      <c r="D37" s="96">
        <f>C37*0.3025</f>
        <v>0</v>
      </c>
      <c r="E37" s="15">
        <f>16560-100</f>
        <v>16460</v>
      </c>
      <c r="F37" s="16">
        <f t="shared" ref="F37:F38" si="4">E37*0.3025</f>
        <v>4979.1499999999996</v>
      </c>
      <c r="G37" s="15">
        <f>149+326-30</f>
        <v>445</v>
      </c>
      <c r="H37" s="16">
        <f t="shared" ref="H37:H38" si="5">G37*0.3025</f>
        <v>134.61249999999998</v>
      </c>
      <c r="I37" s="16">
        <v>1802</v>
      </c>
      <c r="J37" s="16">
        <f t="shared" ref="J37:J38" si="6">I37*0.3025</f>
        <v>545.10500000000002</v>
      </c>
      <c r="K37" s="16">
        <v>4004</v>
      </c>
      <c r="L37" s="16">
        <f t="shared" ref="L37:L38" si="7">K37*0.3025</f>
        <v>1211.21</v>
      </c>
      <c r="M37" s="16">
        <v>1546</v>
      </c>
      <c r="N37" s="118">
        <f>M37*0.3025</f>
        <v>467.66499999999996</v>
      </c>
      <c r="O37" s="13">
        <f>C37+E37+G37+I37+K37+M37</f>
        <v>24257</v>
      </c>
      <c r="P37" s="14">
        <f t="shared" si="3"/>
        <v>7337.7424999999994</v>
      </c>
      <c r="Q37" s="106"/>
      <c r="R37" s="80" t="s">
        <v>56</v>
      </c>
    </row>
    <row r="38" spans="2:21" ht="20.100000000000001" customHeight="1" thickBot="1">
      <c r="B38" s="37" t="s">
        <v>0</v>
      </c>
      <c r="C38" s="119">
        <v>0</v>
      </c>
      <c r="D38" s="120">
        <f>C38*0.3025</f>
        <v>0</v>
      </c>
      <c r="E38" s="121">
        <v>0</v>
      </c>
      <c r="F38" s="122">
        <f t="shared" si="4"/>
        <v>0</v>
      </c>
      <c r="G38" s="121">
        <v>4560</v>
      </c>
      <c r="H38" s="122">
        <f t="shared" si="5"/>
        <v>1379.3999999999999</v>
      </c>
      <c r="I38" s="122">
        <v>0</v>
      </c>
      <c r="J38" s="122">
        <f t="shared" si="6"/>
        <v>0</v>
      </c>
      <c r="K38" s="122">
        <v>0</v>
      </c>
      <c r="L38" s="122">
        <f t="shared" si="7"/>
        <v>0</v>
      </c>
      <c r="M38" s="122">
        <v>0</v>
      </c>
      <c r="N38" s="123">
        <f>M38*0.3025</f>
        <v>0</v>
      </c>
      <c r="O38" s="40">
        <f>C38+E38+G38+I38+K38+M38</f>
        <v>4560</v>
      </c>
      <c r="P38" s="41">
        <f t="shared" si="3"/>
        <v>1379.3999999999999</v>
      </c>
      <c r="Q38" s="107"/>
      <c r="R38" s="95" t="s">
        <v>72</v>
      </c>
      <c r="T38" s="50">
        <v>25</v>
      </c>
      <c r="U38" s="50">
        <v>57</v>
      </c>
    </row>
    <row r="39" spans="2:21" ht="20.100000000000001" customHeight="1" thickBot="1">
      <c r="B39" s="27" t="s">
        <v>24</v>
      </c>
      <c r="C39" s="42">
        <f>SUM(C36:C38)</f>
        <v>0</v>
      </c>
      <c r="D39" s="29">
        <f>C39*0.3025</f>
        <v>0</v>
      </c>
      <c r="E39" s="43">
        <f>SUM(E36:E38)</f>
        <v>16460</v>
      </c>
      <c r="F39" s="30">
        <f>E39*0.3025</f>
        <v>4979.1499999999996</v>
      </c>
      <c r="G39" s="43">
        <f>SUM(G36:G38)</f>
        <v>5005</v>
      </c>
      <c r="H39" s="30">
        <f>G39*0.3025</f>
        <v>1514.0125</v>
      </c>
      <c r="I39" s="30">
        <f>SUM(I36:I38)</f>
        <v>1802</v>
      </c>
      <c r="J39" s="30">
        <f>I39*0.3025</f>
        <v>545.10500000000002</v>
      </c>
      <c r="K39" s="30">
        <f>SUM(K36:K38)</f>
        <v>4004</v>
      </c>
      <c r="L39" s="30">
        <f>K39*0.3025</f>
        <v>1211.21</v>
      </c>
      <c r="M39" s="30">
        <f>SUM(M36:M38)</f>
        <v>1546</v>
      </c>
      <c r="N39" s="31">
        <f>M39*0.3025</f>
        <v>467.66499999999996</v>
      </c>
      <c r="O39" s="28">
        <f>SUM(O36:O38)</f>
        <v>28817</v>
      </c>
      <c r="P39" s="32">
        <f t="shared" si="3"/>
        <v>8717.1424999999999</v>
      </c>
      <c r="Q39" s="108"/>
      <c r="R39" s="82"/>
    </row>
    <row r="40" spans="2:21" ht="20.100000000000001" customHeight="1">
      <c r="B40" s="33" t="s">
        <v>1</v>
      </c>
      <c r="C40" s="112">
        <v>0</v>
      </c>
      <c r="D40" s="113">
        <f t="shared" ref="D40:D50" si="8">C40*0.3025</f>
        <v>0</v>
      </c>
      <c r="E40" s="114">
        <f>13828-100</f>
        <v>13728</v>
      </c>
      <c r="F40" s="115">
        <f t="shared" ref="F40:F48" si="9">E40*0.3025</f>
        <v>4152.72</v>
      </c>
      <c r="G40" s="114">
        <f>149+350-30</f>
        <v>469</v>
      </c>
      <c r="H40" s="115">
        <f t="shared" ref="H40:H48" si="10">G40*0.3025</f>
        <v>141.8725</v>
      </c>
      <c r="I40" s="115">
        <v>1680</v>
      </c>
      <c r="J40" s="115">
        <f t="shared" ref="J40:J50" si="11">I40*0.3025</f>
        <v>508.2</v>
      </c>
      <c r="K40" s="115">
        <v>4644</v>
      </c>
      <c r="L40" s="115">
        <f t="shared" ref="L40:L50" si="12">K40*0.3025</f>
        <v>1404.81</v>
      </c>
      <c r="M40" s="38">
        <v>0</v>
      </c>
      <c r="N40" s="39">
        <f t="shared" ref="N40:N50" si="13">M40*0.3025</f>
        <v>0</v>
      </c>
      <c r="O40" s="13">
        <f>C40+E40+G40+I40+K40+M40</f>
        <v>20521</v>
      </c>
      <c r="P40" s="14">
        <f t="shared" si="3"/>
        <v>6207.6025</v>
      </c>
      <c r="Q40" s="105"/>
      <c r="R40" s="79" t="s">
        <v>56</v>
      </c>
      <c r="T40" s="50">
        <v>25</v>
      </c>
      <c r="U40" s="50">
        <v>57</v>
      </c>
    </row>
    <row r="41" spans="2:21" ht="20.100000000000001" customHeight="1">
      <c r="B41" s="34" t="s">
        <v>2</v>
      </c>
      <c r="C41" s="116">
        <v>0</v>
      </c>
      <c r="D41" s="96">
        <f t="shared" si="8"/>
        <v>0</v>
      </c>
      <c r="E41" s="15">
        <f>13828-100</f>
        <v>13728</v>
      </c>
      <c r="F41" s="16">
        <f t="shared" si="9"/>
        <v>4152.72</v>
      </c>
      <c r="G41" s="15">
        <f>149+350-30</f>
        <v>469</v>
      </c>
      <c r="H41" s="16">
        <f t="shared" si="10"/>
        <v>141.8725</v>
      </c>
      <c r="I41" s="16">
        <v>1680</v>
      </c>
      <c r="J41" s="16">
        <f t="shared" si="11"/>
        <v>508.2</v>
      </c>
      <c r="K41" s="16">
        <v>4644</v>
      </c>
      <c r="L41" s="16">
        <f t="shared" si="12"/>
        <v>1404.81</v>
      </c>
      <c r="M41" s="16">
        <v>0</v>
      </c>
      <c r="N41" s="17">
        <f t="shared" si="13"/>
        <v>0</v>
      </c>
      <c r="O41" s="13">
        <f t="shared" ref="O41:O48" si="14">C41+E41+G41+I41+K41+M41</f>
        <v>20521</v>
      </c>
      <c r="P41" s="18">
        <f t="shared" si="3"/>
        <v>6207.6025</v>
      </c>
      <c r="Q41" s="106"/>
      <c r="R41" s="80" t="s">
        <v>56</v>
      </c>
      <c r="T41" s="50">
        <v>6</v>
      </c>
      <c r="U41" s="50">
        <f>U40</f>
        <v>57</v>
      </c>
    </row>
    <row r="42" spans="2:21" ht="20.100000000000001" customHeight="1">
      <c r="B42" s="35" t="s">
        <v>3</v>
      </c>
      <c r="C42" s="116">
        <f>13828-100</f>
        <v>13728</v>
      </c>
      <c r="D42" s="96">
        <f t="shared" si="8"/>
        <v>4152.72</v>
      </c>
      <c r="E42" s="15">
        <v>0</v>
      </c>
      <c r="F42" s="16">
        <f t="shared" si="9"/>
        <v>0</v>
      </c>
      <c r="G42" s="15">
        <f>149+350-30</f>
        <v>469</v>
      </c>
      <c r="H42" s="16">
        <f t="shared" si="10"/>
        <v>141.8725</v>
      </c>
      <c r="I42" s="16">
        <v>1680</v>
      </c>
      <c r="J42" s="16">
        <f t="shared" si="11"/>
        <v>508.2</v>
      </c>
      <c r="K42" s="16">
        <v>4644</v>
      </c>
      <c r="L42" s="16">
        <f t="shared" si="12"/>
        <v>1404.81</v>
      </c>
      <c r="M42" s="16">
        <v>0</v>
      </c>
      <c r="N42" s="17">
        <f t="shared" si="13"/>
        <v>0</v>
      </c>
      <c r="O42" s="13">
        <f t="shared" si="14"/>
        <v>20521</v>
      </c>
      <c r="P42" s="18">
        <f t="shared" si="3"/>
        <v>6207.6025</v>
      </c>
      <c r="Q42" s="106"/>
      <c r="R42" s="80" t="s">
        <v>55</v>
      </c>
      <c r="T42" s="50">
        <f t="shared" ref="T42:U46" si="15">T41</f>
        <v>6</v>
      </c>
      <c r="U42" s="50">
        <f t="shared" si="15"/>
        <v>57</v>
      </c>
    </row>
    <row r="43" spans="2:21" ht="20.100000000000001" customHeight="1">
      <c r="B43" s="35" t="s">
        <v>43</v>
      </c>
      <c r="C43" s="116">
        <f t="shared" ref="C43:C44" si="16">13828-100</f>
        <v>13728</v>
      </c>
      <c r="D43" s="96">
        <f t="shared" si="8"/>
        <v>4152.72</v>
      </c>
      <c r="E43" s="15">
        <v>0</v>
      </c>
      <c r="F43" s="16">
        <f t="shared" si="9"/>
        <v>0</v>
      </c>
      <c r="G43" s="15">
        <f t="shared" ref="G43:G44" si="17">149+350-30</f>
        <v>469</v>
      </c>
      <c r="H43" s="16">
        <f t="shared" si="10"/>
        <v>141.8725</v>
      </c>
      <c r="I43" s="16">
        <v>1680</v>
      </c>
      <c r="J43" s="16">
        <f t="shared" si="11"/>
        <v>508.2</v>
      </c>
      <c r="K43" s="16">
        <v>4644</v>
      </c>
      <c r="L43" s="16">
        <f t="shared" si="12"/>
        <v>1404.81</v>
      </c>
      <c r="M43" s="16">
        <v>0</v>
      </c>
      <c r="N43" s="17">
        <f t="shared" si="13"/>
        <v>0</v>
      </c>
      <c r="O43" s="13">
        <f t="shared" si="14"/>
        <v>20521</v>
      </c>
      <c r="P43" s="18">
        <f t="shared" si="3"/>
        <v>6207.6025</v>
      </c>
      <c r="Q43" s="106"/>
      <c r="R43" s="80" t="s">
        <v>55</v>
      </c>
      <c r="T43" s="50">
        <f t="shared" si="15"/>
        <v>6</v>
      </c>
      <c r="U43" s="50">
        <f t="shared" si="15"/>
        <v>57</v>
      </c>
    </row>
    <row r="44" spans="2:21" ht="20.100000000000001" customHeight="1" thickBot="1">
      <c r="B44" s="35" t="s">
        <v>44</v>
      </c>
      <c r="C44" s="116">
        <f t="shared" si="16"/>
        <v>13728</v>
      </c>
      <c r="D44" s="96">
        <f t="shared" si="8"/>
        <v>4152.72</v>
      </c>
      <c r="E44" s="15">
        <v>0</v>
      </c>
      <c r="F44" s="16">
        <f t="shared" si="9"/>
        <v>0</v>
      </c>
      <c r="G44" s="15">
        <f t="shared" si="17"/>
        <v>469</v>
      </c>
      <c r="H44" s="16">
        <f t="shared" si="10"/>
        <v>141.8725</v>
      </c>
      <c r="I44" s="16">
        <v>1680</v>
      </c>
      <c r="J44" s="16">
        <f t="shared" si="11"/>
        <v>508.2</v>
      </c>
      <c r="K44" s="16">
        <v>0</v>
      </c>
      <c r="L44" s="16">
        <f t="shared" si="12"/>
        <v>0</v>
      </c>
      <c r="M44" s="16">
        <v>0</v>
      </c>
      <c r="N44" s="17">
        <f t="shared" si="13"/>
        <v>0</v>
      </c>
      <c r="O44" s="13">
        <f t="shared" si="14"/>
        <v>15877</v>
      </c>
      <c r="P44" s="18">
        <f t="shared" si="3"/>
        <v>4802.7924999999996</v>
      </c>
      <c r="Q44" s="106"/>
      <c r="R44" s="80" t="s">
        <v>55</v>
      </c>
      <c r="T44" s="50">
        <f t="shared" si="15"/>
        <v>6</v>
      </c>
      <c r="U44" s="50">
        <f t="shared" si="15"/>
        <v>57</v>
      </c>
    </row>
    <row r="45" spans="2:21" ht="20.100000000000001" hidden="1" customHeight="1">
      <c r="B45" s="35" t="s">
        <v>45</v>
      </c>
      <c r="C45" s="97">
        <v>0</v>
      </c>
      <c r="D45" s="96">
        <f t="shared" si="8"/>
        <v>0</v>
      </c>
      <c r="E45" s="15">
        <v>0</v>
      </c>
      <c r="F45" s="16">
        <f t="shared" si="9"/>
        <v>0</v>
      </c>
      <c r="G45" s="15">
        <v>0</v>
      </c>
      <c r="H45" s="16">
        <f t="shared" si="10"/>
        <v>0</v>
      </c>
      <c r="I45" s="16">
        <v>0</v>
      </c>
      <c r="J45" s="16">
        <f t="shared" si="11"/>
        <v>0</v>
      </c>
      <c r="K45" s="16">
        <v>0</v>
      </c>
      <c r="L45" s="16">
        <f t="shared" si="12"/>
        <v>0</v>
      </c>
      <c r="M45" s="16">
        <v>0</v>
      </c>
      <c r="N45" s="17">
        <f t="shared" si="13"/>
        <v>0</v>
      </c>
      <c r="O45" s="13">
        <f t="shared" si="14"/>
        <v>0</v>
      </c>
      <c r="P45" s="18">
        <f t="shared" si="3"/>
        <v>0</v>
      </c>
      <c r="Q45" s="106"/>
      <c r="R45" s="80" t="s">
        <v>55</v>
      </c>
      <c r="T45" s="50">
        <f t="shared" si="15"/>
        <v>6</v>
      </c>
      <c r="U45" s="50">
        <f t="shared" si="15"/>
        <v>57</v>
      </c>
    </row>
    <row r="46" spans="2:21" ht="20.100000000000001" hidden="1" customHeight="1">
      <c r="B46" s="35" t="s">
        <v>46</v>
      </c>
      <c r="C46" s="97">
        <v>0</v>
      </c>
      <c r="D46" s="96">
        <f t="shared" si="8"/>
        <v>0</v>
      </c>
      <c r="E46" s="15">
        <v>0</v>
      </c>
      <c r="F46" s="16">
        <f t="shared" si="9"/>
        <v>0</v>
      </c>
      <c r="G46" s="15">
        <v>0</v>
      </c>
      <c r="H46" s="16">
        <f t="shared" si="10"/>
        <v>0</v>
      </c>
      <c r="I46" s="16">
        <v>0</v>
      </c>
      <c r="J46" s="16">
        <f t="shared" si="11"/>
        <v>0</v>
      </c>
      <c r="K46" s="16">
        <v>0</v>
      </c>
      <c r="L46" s="16">
        <f t="shared" si="12"/>
        <v>0</v>
      </c>
      <c r="M46" s="16">
        <v>0</v>
      </c>
      <c r="N46" s="17">
        <f t="shared" si="13"/>
        <v>0</v>
      </c>
      <c r="O46" s="13">
        <f t="shared" si="14"/>
        <v>0</v>
      </c>
      <c r="P46" s="18">
        <f t="shared" si="3"/>
        <v>0</v>
      </c>
      <c r="Q46" s="106"/>
      <c r="R46" s="80" t="s">
        <v>55</v>
      </c>
      <c r="T46" s="50">
        <f t="shared" si="15"/>
        <v>6</v>
      </c>
      <c r="U46" s="50">
        <f t="shared" si="15"/>
        <v>57</v>
      </c>
    </row>
    <row r="47" spans="2:21" ht="20.100000000000001" hidden="1" customHeight="1">
      <c r="B47" s="35" t="s">
        <v>47</v>
      </c>
      <c r="C47" s="15">
        <v>0</v>
      </c>
      <c r="D47" s="11">
        <f t="shared" si="8"/>
        <v>0</v>
      </c>
      <c r="E47" s="12">
        <v>0</v>
      </c>
      <c r="F47" s="12">
        <f t="shared" si="9"/>
        <v>0</v>
      </c>
      <c r="G47" s="15">
        <v>0</v>
      </c>
      <c r="H47" s="16">
        <f t="shared" si="10"/>
        <v>0</v>
      </c>
      <c r="I47" s="16">
        <v>0</v>
      </c>
      <c r="J47" s="16">
        <f t="shared" si="11"/>
        <v>0</v>
      </c>
      <c r="K47" s="16">
        <v>0</v>
      </c>
      <c r="L47" s="16">
        <f t="shared" si="12"/>
        <v>0</v>
      </c>
      <c r="M47" s="16">
        <v>0</v>
      </c>
      <c r="N47" s="17">
        <f t="shared" si="13"/>
        <v>0</v>
      </c>
      <c r="O47" s="13">
        <f t="shared" si="14"/>
        <v>0</v>
      </c>
      <c r="P47" s="18">
        <f t="shared" si="3"/>
        <v>0</v>
      </c>
      <c r="Q47" s="106"/>
      <c r="R47" s="80" t="s">
        <v>72</v>
      </c>
      <c r="T47" s="50">
        <v>378</v>
      </c>
      <c r="U47" s="50"/>
    </row>
    <row r="48" spans="2:21" ht="20.100000000000001" hidden="1" customHeight="1" thickBot="1">
      <c r="B48" s="35" t="s">
        <v>71</v>
      </c>
      <c r="C48" s="15">
        <v>0</v>
      </c>
      <c r="D48" s="11">
        <f t="shared" si="8"/>
        <v>0</v>
      </c>
      <c r="E48" s="12">
        <v>0</v>
      </c>
      <c r="F48" s="12">
        <f t="shared" si="9"/>
        <v>0</v>
      </c>
      <c r="G48" s="15">
        <v>0</v>
      </c>
      <c r="H48" s="16">
        <f t="shared" si="10"/>
        <v>0</v>
      </c>
      <c r="I48" s="16">
        <v>0</v>
      </c>
      <c r="J48" s="16">
        <f t="shared" si="11"/>
        <v>0</v>
      </c>
      <c r="K48" s="16">
        <v>0</v>
      </c>
      <c r="L48" s="16">
        <f t="shared" si="12"/>
        <v>0</v>
      </c>
      <c r="M48" s="16">
        <v>0</v>
      </c>
      <c r="N48" s="17">
        <f t="shared" si="13"/>
        <v>0</v>
      </c>
      <c r="O48" s="13">
        <f t="shared" si="14"/>
        <v>0</v>
      </c>
      <c r="P48" s="18">
        <f t="shared" si="3"/>
        <v>0</v>
      </c>
      <c r="Q48" s="106"/>
      <c r="R48" s="81" t="s">
        <v>72</v>
      </c>
      <c r="T48" s="50">
        <f>SUM(T38:T47)</f>
        <v>464</v>
      </c>
      <c r="U48" s="50">
        <f>SUM(U38:U47)</f>
        <v>456</v>
      </c>
    </row>
    <row r="49" spans="2:21" ht="20.100000000000001" customHeight="1" thickBot="1">
      <c r="B49" s="27" t="s">
        <v>25</v>
      </c>
      <c r="C49" s="42">
        <f>SUM(C40:C48)</f>
        <v>41184</v>
      </c>
      <c r="D49" s="29">
        <f>C49*0.3025</f>
        <v>12458.16</v>
      </c>
      <c r="E49" s="43">
        <f>SUM(E40:E48)</f>
        <v>27456</v>
      </c>
      <c r="F49" s="30">
        <f>E49*0.3025</f>
        <v>8305.44</v>
      </c>
      <c r="G49" s="43">
        <f>SUM(G40:G48)</f>
        <v>2345</v>
      </c>
      <c r="H49" s="30">
        <f>G49*0.3025</f>
        <v>709.36249999999995</v>
      </c>
      <c r="I49" s="30">
        <f>SUM(I40:I48)</f>
        <v>8400</v>
      </c>
      <c r="J49" s="30">
        <f>I49*0.3025</f>
        <v>2541</v>
      </c>
      <c r="K49" s="30">
        <f>SUM(K40:K48)</f>
        <v>18576</v>
      </c>
      <c r="L49" s="30">
        <f t="shared" si="12"/>
        <v>5619.24</v>
      </c>
      <c r="M49" s="30">
        <f>SUM(M40:M48)</f>
        <v>0</v>
      </c>
      <c r="N49" s="31">
        <f t="shared" si="13"/>
        <v>0</v>
      </c>
      <c r="O49" s="28">
        <f>C49+E49+G49+I49+K49+M49</f>
        <v>97961</v>
      </c>
      <c r="P49" s="32">
        <f t="shared" si="3"/>
        <v>29633.202499999999</v>
      </c>
      <c r="Q49" s="109"/>
      <c r="R49" s="82"/>
      <c r="T49" s="50" t="s">
        <v>13</v>
      </c>
      <c r="U49" s="50">
        <f>T48+U48</f>
        <v>920</v>
      </c>
    </row>
    <row r="50" spans="2:21" ht="20.100000000000001" customHeight="1" thickBot="1">
      <c r="B50" s="44" t="s">
        <v>13</v>
      </c>
      <c r="C50" s="45">
        <f>C39+C49</f>
        <v>41184</v>
      </c>
      <c r="D50" s="46">
        <f t="shared" si="8"/>
        <v>12458.16</v>
      </c>
      <c r="E50" s="47">
        <f>E39+E49</f>
        <v>43916</v>
      </c>
      <c r="F50" s="47">
        <f t="shared" ref="F50" si="18">E50*0.3025</f>
        <v>13284.59</v>
      </c>
      <c r="G50" s="47">
        <f>G39+G49</f>
        <v>7350</v>
      </c>
      <c r="H50" s="47">
        <f t="shared" ref="H50" si="19">G50*0.3025</f>
        <v>2223.375</v>
      </c>
      <c r="I50" s="47">
        <f>I39+I49</f>
        <v>10202</v>
      </c>
      <c r="J50" s="47">
        <f t="shared" si="11"/>
        <v>3086.105</v>
      </c>
      <c r="K50" s="47">
        <f>K39+K49</f>
        <v>22580</v>
      </c>
      <c r="L50" s="47">
        <f t="shared" si="12"/>
        <v>6830.45</v>
      </c>
      <c r="M50" s="47">
        <f>M39+M49</f>
        <v>1546</v>
      </c>
      <c r="N50" s="48">
        <f t="shared" si="13"/>
        <v>467.66499999999996</v>
      </c>
      <c r="O50" s="45">
        <f>C50+E50+G50+I50+K50+M50</f>
        <v>126778</v>
      </c>
      <c r="P50" s="49">
        <f t="shared" si="3"/>
        <v>38350.345000000001</v>
      </c>
      <c r="Q50" s="110"/>
      <c r="R50" s="83"/>
      <c r="S50" s="51">
        <f>O39+O49</f>
        <v>126778</v>
      </c>
      <c r="T50" s="51"/>
    </row>
    <row r="51" spans="2:21" ht="6" customHeight="1">
      <c r="M51" s="51"/>
      <c r="N51" s="52"/>
      <c r="O51" s="55"/>
      <c r="P51" s="55"/>
    </row>
    <row r="52" spans="2:21" ht="21.95" customHeight="1">
      <c r="B52" s="4" t="s">
        <v>20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111"/>
      <c r="R52" s="5" t="s">
        <v>21</v>
      </c>
      <c r="T52" s="51"/>
    </row>
    <row r="53" spans="2:21">
      <c r="H53" s="8"/>
      <c r="S53" s="93" t="s">
        <v>53</v>
      </c>
      <c r="T53" s="51">
        <f>C50+E50+G50+M50</f>
        <v>93996</v>
      </c>
      <c r="U53" s="8">
        <f>T53/300</f>
        <v>313.32</v>
      </c>
    </row>
    <row r="54" spans="2:21">
      <c r="U54" s="94">
        <f>U49/U53</f>
        <v>2.936295161496234</v>
      </c>
    </row>
    <row r="56" spans="2:21">
      <c r="E56">
        <f>D5*0.008</f>
        <v>238.39920000000001</v>
      </c>
      <c r="F56">
        <f>E56/7</f>
        <v>34.057028571428575</v>
      </c>
    </row>
    <row r="57" spans="2:21">
      <c r="E57">
        <f>121*8</f>
        <v>968</v>
      </c>
    </row>
    <row r="58" spans="2:21">
      <c r="E58">
        <f>E57/8</f>
        <v>121</v>
      </c>
    </row>
    <row r="59" spans="2:21">
      <c r="E59">
        <f>E58/12</f>
        <v>10.083333333333334</v>
      </c>
    </row>
  </sheetData>
  <mergeCells count="76">
    <mergeCell ref="B3:C3"/>
    <mergeCell ref="B4:C4"/>
    <mergeCell ref="D4:I4"/>
    <mergeCell ref="B5:B8"/>
    <mergeCell ref="D5:E5"/>
    <mergeCell ref="F5:G5"/>
    <mergeCell ref="D6:E6"/>
    <mergeCell ref="F6:G6"/>
    <mergeCell ref="D7:E7"/>
    <mergeCell ref="F7:G7"/>
    <mergeCell ref="D8:E8"/>
    <mergeCell ref="F8:G8"/>
    <mergeCell ref="B9:B11"/>
    <mergeCell ref="D9:E9"/>
    <mergeCell ref="F9:G9"/>
    <mergeCell ref="D10:E10"/>
    <mergeCell ref="F10:G10"/>
    <mergeCell ref="D11:E11"/>
    <mergeCell ref="F11:G11"/>
    <mergeCell ref="B12:C12"/>
    <mergeCell ref="D12:E12"/>
    <mergeCell ref="F12:G12"/>
    <mergeCell ref="B13:C13"/>
    <mergeCell ref="D13:E13"/>
    <mergeCell ref="F13:G13"/>
    <mergeCell ref="H13:I13"/>
    <mergeCell ref="B14:C14"/>
    <mergeCell ref="D14:E14"/>
    <mergeCell ref="F14:G14"/>
    <mergeCell ref="B15:C15"/>
    <mergeCell ref="D15:E15"/>
    <mergeCell ref="F15:G15"/>
    <mergeCell ref="B16:C16"/>
    <mergeCell ref="D16:E16"/>
    <mergeCell ref="F16:G16"/>
    <mergeCell ref="H16:I16"/>
    <mergeCell ref="B17:C17"/>
    <mergeCell ref="D17:E17"/>
    <mergeCell ref="F17:G17"/>
    <mergeCell ref="B18:C18"/>
    <mergeCell ref="D18:E18"/>
    <mergeCell ref="F18:G18"/>
    <mergeCell ref="H18:I18"/>
    <mergeCell ref="B19:C19"/>
    <mergeCell ref="D19:E19"/>
    <mergeCell ref="F19:G19"/>
    <mergeCell ref="B20:C20"/>
    <mergeCell ref="D20:E20"/>
    <mergeCell ref="F20:G20"/>
    <mergeCell ref="B21:C21"/>
    <mergeCell ref="D21:E21"/>
    <mergeCell ref="F21:G21"/>
    <mergeCell ref="H21:I21"/>
    <mergeCell ref="B22:C31"/>
    <mergeCell ref="D22:I22"/>
    <mergeCell ref="D23:I23"/>
    <mergeCell ref="D24:I24"/>
    <mergeCell ref="D25:I25"/>
    <mergeCell ref="D26:I26"/>
    <mergeCell ref="D27:I27"/>
    <mergeCell ref="D28:I28"/>
    <mergeCell ref="D29:I29"/>
    <mergeCell ref="B34:B35"/>
    <mergeCell ref="C34:D34"/>
    <mergeCell ref="E34:F34"/>
    <mergeCell ref="G34:H34"/>
    <mergeCell ref="I34:J34"/>
    <mergeCell ref="M34:N34"/>
    <mergeCell ref="O34:P34"/>
    <mergeCell ref="Q34:Q35"/>
    <mergeCell ref="R34:R35"/>
    <mergeCell ref="D30:I30"/>
    <mergeCell ref="D31:F31"/>
    <mergeCell ref="H31:I31"/>
    <mergeCell ref="K31:M31"/>
    <mergeCell ref="K34:L34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U59"/>
  <sheetViews>
    <sheetView showGridLines="0" zoomScale="85" zoomScaleNormal="85" workbookViewId="0">
      <selection activeCell="D14" sqref="D14:E14"/>
    </sheetView>
  </sheetViews>
  <sheetFormatPr defaultRowHeight="16.5"/>
  <cols>
    <col min="1" max="1" width="10.625" customWidth="1"/>
    <col min="2" max="16" width="12.625" customWidth="1"/>
    <col min="17" max="17" width="12.625" style="129" customWidth="1"/>
    <col min="18" max="18" width="12.625" customWidth="1"/>
    <col min="19" max="20" width="9.875" bestFit="1" customWidth="1"/>
  </cols>
  <sheetData>
    <row r="1" spans="2:18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8" ht="24.95" customHeight="1" thickBot="1">
      <c r="B2" s="78" t="s">
        <v>74</v>
      </c>
      <c r="C2" s="6"/>
      <c r="D2" s="6"/>
      <c r="E2" s="6"/>
      <c r="F2" s="6"/>
      <c r="G2" s="6"/>
      <c r="H2" s="6"/>
      <c r="I2" s="6"/>
      <c r="J2" s="1"/>
      <c r="K2" s="74" t="s">
        <v>14</v>
      </c>
      <c r="L2" s="6"/>
      <c r="M2" s="6"/>
      <c r="N2" s="6"/>
      <c r="O2" s="3"/>
      <c r="P2" s="3"/>
      <c r="Q2" s="101"/>
      <c r="R2" s="3"/>
    </row>
    <row r="3" spans="2:18" ht="20.100000000000001" customHeight="1" thickBot="1">
      <c r="B3" s="390" t="s">
        <v>8</v>
      </c>
      <c r="C3" s="440"/>
      <c r="D3" s="9" t="s">
        <v>84</v>
      </c>
      <c r="E3" s="10"/>
      <c r="F3" s="10"/>
      <c r="G3" s="10"/>
      <c r="H3" s="10"/>
      <c r="I3" s="10"/>
      <c r="J3" s="7"/>
      <c r="K3" s="53" t="s">
        <v>15</v>
      </c>
      <c r="L3" s="19" t="s">
        <v>16</v>
      </c>
      <c r="M3" s="20" t="s">
        <v>17</v>
      </c>
      <c r="N3" s="36" t="s">
        <v>26</v>
      </c>
      <c r="O3" s="57" t="s">
        <v>27</v>
      </c>
      <c r="P3" s="56" t="s">
        <v>35</v>
      </c>
      <c r="Q3" s="102" t="s">
        <v>36</v>
      </c>
      <c r="R3" s="58" t="s">
        <v>18</v>
      </c>
    </row>
    <row r="4" spans="2:18" ht="20.100000000000001" customHeight="1">
      <c r="B4" s="413" t="s">
        <v>9</v>
      </c>
      <c r="C4" s="419"/>
      <c r="D4" s="441" t="s">
        <v>75</v>
      </c>
      <c r="E4" s="442"/>
      <c r="F4" s="442"/>
      <c r="G4" s="442"/>
      <c r="H4" s="442"/>
      <c r="I4" s="442"/>
      <c r="J4" s="7"/>
      <c r="K4" s="60"/>
      <c r="L4" s="61"/>
      <c r="M4" s="20"/>
      <c r="N4" s="84"/>
      <c r="O4" s="85"/>
      <c r="P4" s="84"/>
      <c r="Q4" s="85"/>
      <c r="R4" s="62"/>
    </row>
    <row r="5" spans="2:18" ht="20.100000000000001" customHeight="1">
      <c r="B5" s="413" t="s">
        <v>10</v>
      </c>
      <c r="C5" s="54" t="s">
        <v>39</v>
      </c>
      <c r="D5" s="447">
        <v>29799.9</v>
      </c>
      <c r="E5" s="448"/>
      <c r="F5" s="430">
        <f>D5*0.3025</f>
        <v>9014.4697500000002</v>
      </c>
      <c r="G5" s="445"/>
      <c r="H5" s="128"/>
      <c r="I5" s="128"/>
      <c r="J5" s="7"/>
      <c r="K5" s="63"/>
      <c r="L5" s="64"/>
      <c r="M5" s="65"/>
      <c r="N5" s="86"/>
      <c r="O5" s="87"/>
      <c r="P5" s="86"/>
      <c r="Q5" s="103"/>
      <c r="R5" s="69"/>
    </row>
    <row r="6" spans="2:18" ht="20.100000000000001" hidden="1" customHeight="1">
      <c r="B6" s="443"/>
      <c r="C6" s="54" t="s">
        <v>65</v>
      </c>
      <c r="D6" s="428">
        <v>0</v>
      </c>
      <c r="E6" s="446"/>
      <c r="F6" s="430">
        <f t="shared" ref="F6:F13" si="0">D6*0.3025</f>
        <v>0</v>
      </c>
      <c r="G6" s="445"/>
      <c r="H6" s="128"/>
      <c r="I6" s="128" t="s">
        <v>69</v>
      </c>
      <c r="J6" s="7"/>
      <c r="K6" s="63"/>
      <c r="L6" s="64"/>
      <c r="M6" s="65"/>
      <c r="N6" s="86"/>
      <c r="O6" s="87"/>
      <c r="P6" s="86"/>
      <c r="Q6" s="103"/>
      <c r="R6" s="69"/>
    </row>
    <row r="7" spans="2:18" ht="20.100000000000001" hidden="1" customHeight="1">
      <c r="B7" s="443"/>
      <c r="C7" s="54" t="s">
        <v>66</v>
      </c>
      <c r="D7" s="428">
        <v>0</v>
      </c>
      <c r="E7" s="446"/>
      <c r="F7" s="430">
        <f t="shared" si="0"/>
        <v>0</v>
      </c>
      <c r="G7" s="445"/>
      <c r="H7" s="128"/>
      <c r="I7" s="128" t="s">
        <v>68</v>
      </c>
      <c r="J7" s="7"/>
      <c r="K7" s="63"/>
      <c r="L7" s="64"/>
      <c r="M7" s="65"/>
      <c r="N7" s="86"/>
      <c r="O7" s="87"/>
      <c r="P7" s="86"/>
      <c r="Q7" s="103"/>
      <c r="R7" s="69"/>
    </row>
    <row r="8" spans="2:18" ht="20.100000000000001" hidden="1" customHeight="1">
      <c r="B8" s="444"/>
      <c r="C8" s="54" t="s">
        <v>64</v>
      </c>
      <c r="D8" s="428">
        <f>N31</f>
        <v>0</v>
      </c>
      <c r="E8" s="446"/>
      <c r="F8" s="430">
        <f t="shared" si="0"/>
        <v>0</v>
      </c>
      <c r="G8" s="445"/>
      <c r="H8" s="128"/>
      <c r="I8" s="128" t="s">
        <v>67</v>
      </c>
      <c r="J8" s="7"/>
      <c r="K8" s="63"/>
      <c r="L8" s="64"/>
      <c r="M8" s="65"/>
      <c r="N8" s="86"/>
      <c r="O8" s="87"/>
      <c r="P8" s="88"/>
      <c r="Q8" s="103"/>
      <c r="R8" s="69"/>
    </row>
    <row r="9" spans="2:18" ht="20.100000000000001" customHeight="1">
      <c r="B9" s="438" t="s">
        <v>7</v>
      </c>
      <c r="C9" s="54" t="s">
        <v>11</v>
      </c>
      <c r="D9" s="428">
        <f>O49</f>
        <v>97961</v>
      </c>
      <c r="E9" s="429"/>
      <c r="F9" s="430">
        <f t="shared" si="0"/>
        <v>29633.202499999999</v>
      </c>
      <c r="G9" s="431"/>
      <c r="H9" s="128"/>
      <c r="I9" s="128"/>
      <c r="J9" s="7"/>
      <c r="K9" s="63"/>
      <c r="L9" s="64"/>
      <c r="M9" s="65"/>
      <c r="N9" s="86"/>
      <c r="O9" s="87"/>
      <c r="P9" s="86"/>
      <c r="Q9" s="103"/>
      <c r="R9" s="69"/>
    </row>
    <row r="10" spans="2:18" ht="20.100000000000001" customHeight="1">
      <c r="B10" s="439"/>
      <c r="C10" s="54" t="s">
        <v>12</v>
      </c>
      <c r="D10" s="428">
        <f>O39</f>
        <v>26859.8</v>
      </c>
      <c r="E10" s="429"/>
      <c r="F10" s="430">
        <f t="shared" si="0"/>
        <v>8125.0894999999991</v>
      </c>
      <c r="G10" s="431"/>
      <c r="H10" s="128"/>
      <c r="I10" s="128"/>
      <c r="J10" s="7"/>
      <c r="K10" s="70"/>
      <c r="L10" s="64"/>
      <c r="M10" s="65"/>
      <c r="N10" s="86"/>
      <c r="O10" s="87"/>
      <c r="P10" s="86"/>
      <c r="Q10" s="103"/>
      <c r="R10" s="71"/>
    </row>
    <row r="11" spans="2:18" ht="20.100000000000001" customHeight="1">
      <c r="B11" s="439"/>
      <c r="C11" s="54" t="s">
        <v>13</v>
      </c>
      <c r="D11" s="428">
        <f>SUM(D9:E10)</f>
        <v>124820.8</v>
      </c>
      <c r="E11" s="429"/>
      <c r="F11" s="430">
        <f t="shared" si="0"/>
        <v>37758.292000000001</v>
      </c>
      <c r="G11" s="431"/>
      <c r="H11" s="128"/>
      <c r="I11" s="128"/>
      <c r="J11" s="7"/>
      <c r="K11" s="63"/>
      <c r="L11" s="64"/>
      <c r="M11" s="65"/>
      <c r="N11" s="86"/>
      <c r="O11" s="87"/>
      <c r="P11" s="88"/>
      <c r="Q11" s="103"/>
      <c r="R11" s="69"/>
    </row>
    <row r="12" spans="2:18" ht="20.100000000000001" customHeight="1">
      <c r="B12" s="413" t="s">
        <v>29</v>
      </c>
      <c r="C12" s="419"/>
      <c r="D12" s="428">
        <f>O49-K49-I49</f>
        <v>70985</v>
      </c>
      <c r="E12" s="429"/>
      <c r="F12" s="430">
        <f t="shared" si="0"/>
        <v>21472.962499999998</v>
      </c>
      <c r="G12" s="431"/>
      <c r="H12" s="128"/>
      <c r="I12" s="128"/>
      <c r="J12" s="7"/>
      <c r="K12" s="63"/>
      <c r="L12" s="64"/>
      <c r="M12" s="65"/>
      <c r="N12" s="86"/>
      <c r="O12" s="87"/>
      <c r="P12" s="88"/>
      <c r="Q12" s="103"/>
      <c r="R12" s="72"/>
    </row>
    <row r="13" spans="2:18" ht="20.100000000000001" customHeight="1">
      <c r="B13" s="413" t="s">
        <v>28</v>
      </c>
      <c r="C13" s="437"/>
      <c r="D13" s="428">
        <f>20653</f>
        <v>20653</v>
      </c>
      <c r="E13" s="429"/>
      <c r="F13" s="430">
        <f t="shared" si="0"/>
        <v>6247.5325000000003</v>
      </c>
      <c r="G13" s="431"/>
      <c r="H13" s="436"/>
      <c r="I13" s="436"/>
      <c r="J13" s="7"/>
      <c r="K13" s="63"/>
      <c r="L13" s="64"/>
      <c r="M13" s="65"/>
      <c r="N13" s="86"/>
      <c r="O13" s="87"/>
      <c r="P13" s="86"/>
      <c r="Q13" s="103"/>
      <c r="R13" s="69"/>
    </row>
    <row r="14" spans="2:18" ht="20.100000000000001" customHeight="1">
      <c r="B14" s="413" t="s">
        <v>30</v>
      </c>
      <c r="C14" s="419"/>
      <c r="D14" s="434">
        <f>D13/D5</f>
        <v>0.69305601696649988</v>
      </c>
      <c r="E14" s="435"/>
      <c r="F14" s="422" t="s">
        <v>70</v>
      </c>
      <c r="G14" s="421"/>
      <c r="H14" s="128"/>
      <c r="I14" s="128"/>
      <c r="J14" s="7"/>
      <c r="K14" s="63"/>
      <c r="L14" s="64"/>
      <c r="M14" s="65"/>
      <c r="N14" s="86"/>
      <c r="O14" s="87"/>
      <c r="P14" s="88"/>
      <c r="Q14" s="103"/>
      <c r="R14" s="73"/>
    </row>
    <row r="15" spans="2:18" ht="20.100000000000001" customHeight="1">
      <c r="B15" s="413" t="s">
        <v>31</v>
      </c>
      <c r="C15" s="419"/>
      <c r="D15" s="434">
        <f>D12/D5</f>
        <v>2.3820549733388368</v>
      </c>
      <c r="E15" s="435"/>
      <c r="F15" s="422" t="s">
        <v>76</v>
      </c>
      <c r="G15" s="421"/>
      <c r="H15" s="128"/>
      <c r="I15" s="128"/>
      <c r="J15" s="7"/>
      <c r="K15" s="63"/>
      <c r="L15" s="64"/>
      <c r="M15" s="65"/>
      <c r="N15" s="86"/>
      <c r="O15" s="87"/>
      <c r="P15" s="86"/>
      <c r="Q15" s="103"/>
      <c r="R15" s="76"/>
    </row>
    <row r="16" spans="2:18" ht="20.100000000000001" customHeight="1">
      <c r="B16" s="423" t="s">
        <v>58</v>
      </c>
      <c r="C16" s="424"/>
      <c r="D16" s="428">
        <f>$O$50-$K$50</f>
        <v>102240.8</v>
      </c>
      <c r="E16" s="429"/>
      <c r="F16" s="430">
        <f t="shared" ref="F16" si="1">D16*0.3025</f>
        <v>30927.842000000001</v>
      </c>
      <c r="G16" s="431"/>
      <c r="H16" s="432" t="s">
        <v>61</v>
      </c>
      <c r="I16" s="433"/>
      <c r="J16" s="7"/>
      <c r="K16" s="63"/>
      <c r="L16" s="64"/>
      <c r="M16" s="65"/>
      <c r="N16" s="86"/>
      <c r="O16" s="87"/>
      <c r="P16" s="86"/>
      <c r="Q16" s="103"/>
      <c r="R16" s="69"/>
    </row>
    <row r="17" spans="2:18" ht="20.100000000000001" customHeight="1">
      <c r="B17" s="413" t="s">
        <v>57</v>
      </c>
      <c r="C17" s="419"/>
      <c r="D17" s="434">
        <f>D16/$O$50</f>
        <v>0.8191006627100611</v>
      </c>
      <c r="E17" s="435"/>
      <c r="F17" s="422" t="s">
        <v>38</v>
      </c>
      <c r="G17" s="421"/>
      <c r="H17" s="128"/>
      <c r="I17" s="128"/>
      <c r="J17" s="7"/>
      <c r="K17" s="63"/>
      <c r="L17" s="64"/>
      <c r="M17" s="65"/>
      <c r="N17" s="86"/>
      <c r="O17" s="87"/>
      <c r="P17" s="88"/>
      <c r="Q17" s="103"/>
      <c r="R17" s="69"/>
    </row>
    <row r="18" spans="2:18" ht="20.100000000000001" customHeight="1">
      <c r="B18" s="423" t="s">
        <v>59</v>
      </c>
      <c r="C18" s="424"/>
      <c r="D18" s="428">
        <f>$O$50-$K$50-$I$50</f>
        <v>92038.8</v>
      </c>
      <c r="E18" s="429"/>
      <c r="F18" s="430">
        <f t="shared" ref="F18" si="2">D18*0.3025</f>
        <v>27841.737000000001</v>
      </c>
      <c r="G18" s="431"/>
      <c r="H18" s="432" t="s">
        <v>62</v>
      </c>
      <c r="I18" s="433"/>
      <c r="J18" s="7"/>
      <c r="K18" s="63"/>
      <c r="L18" s="64"/>
      <c r="M18" s="65"/>
      <c r="N18" s="86"/>
      <c r="O18" s="87"/>
      <c r="P18" s="88"/>
      <c r="Q18" s="103"/>
      <c r="R18" s="69"/>
    </row>
    <row r="19" spans="2:18" ht="20.100000000000001" customHeight="1">
      <c r="B19" s="413" t="s">
        <v>60</v>
      </c>
      <c r="C19" s="419"/>
      <c r="D19" s="434">
        <f>D18/$O$50</f>
        <v>0.73736749003371238</v>
      </c>
      <c r="E19" s="435"/>
      <c r="F19" s="422" t="s">
        <v>38</v>
      </c>
      <c r="G19" s="421"/>
      <c r="H19" s="128"/>
      <c r="I19" s="128"/>
      <c r="J19" s="7"/>
      <c r="K19" s="63"/>
      <c r="L19" s="64"/>
      <c r="M19" s="65"/>
      <c r="N19" s="86"/>
      <c r="O19" s="87"/>
      <c r="P19" s="88"/>
      <c r="Q19" s="103"/>
      <c r="R19" s="72"/>
    </row>
    <row r="20" spans="2:18" ht="20.100000000000001" customHeight="1">
      <c r="B20" s="413" t="s">
        <v>32</v>
      </c>
      <c r="C20" s="419"/>
      <c r="D20" s="420" t="s">
        <v>87</v>
      </c>
      <c r="E20" s="421"/>
      <c r="F20" s="422" t="s">
        <v>77</v>
      </c>
      <c r="G20" s="421"/>
      <c r="H20" s="128"/>
      <c r="I20" s="128"/>
      <c r="J20" s="7"/>
      <c r="K20" s="63"/>
      <c r="L20" s="64"/>
      <c r="M20" s="65"/>
      <c r="N20" s="86"/>
      <c r="O20" s="87"/>
      <c r="P20" s="88"/>
      <c r="Q20" s="103"/>
      <c r="R20" s="72"/>
    </row>
    <row r="21" spans="2:18" ht="20.100000000000001" customHeight="1" thickBot="1">
      <c r="B21" s="423" t="s">
        <v>23</v>
      </c>
      <c r="C21" s="424"/>
      <c r="D21" s="420">
        <v>8.5000000000000006E-2</v>
      </c>
      <c r="E21" s="425"/>
      <c r="F21" s="426" t="s">
        <v>34</v>
      </c>
      <c r="G21" s="427"/>
      <c r="H21" s="411"/>
      <c r="I21" s="412"/>
      <c r="J21" s="7"/>
      <c r="K21" s="63"/>
      <c r="L21" s="64"/>
      <c r="M21" s="65"/>
      <c r="N21" s="86"/>
      <c r="O21" s="87"/>
      <c r="P21" s="88"/>
      <c r="Q21" s="103"/>
      <c r="R21" s="72"/>
    </row>
    <row r="22" spans="2:18" ht="20.100000000000001" hidden="1" customHeight="1">
      <c r="B22" s="413" t="s">
        <v>63</v>
      </c>
      <c r="C22" s="414"/>
      <c r="D22" s="396"/>
      <c r="E22" s="397"/>
      <c r="F22" s="397"/>
      <c r="G22" s="397"/>
      <c r="H22" s="397"/>
      <c r="I22" s="397"/>
      <c r="J22" s="7"/>
      <c r="K22" s="63"/>
      <c r="L22" s="64"/>
      <c r="M22" s="65"/>
      <c r="N22" s="66"/>
      <c r="O22" s="67"/>
      <c r="P22" s="68"/>
      <c r="Q22" s="104"/>
      <c r="R22" s="72"/>
    </row>
    <row r="23" spans="2:18" ht="20.100000000000001" hidden="1" customHeight="1">
      <c r="B23" s="415"/>
      <c r="C23" s="416"/>
      <c r="D23" s="396"/>
      <c r="E23" s="397"/>
      <c r="F23" s="397"/>
      <c r="G23" s="397"/>
      <c r="H23" s="397"/>
      <c r="I23" s="397"/>
      <c r="J23" s="7"/>
      <c r="K23" s="63"/>
      <c r="L23" s="64"/>
      <c r="M23" s="65"/>
      <c r="N23" s="66"/>
      <c r="O23" s="67"/>
      <c r="P23" s="68"/>
      <c r="Q23" s="104"/>
      <c r="R23" s="72"/>
    </row>
    <row r="24" spans="2:18" ht="20.100000000000001" hidden="1" customHeight="1">
      <c r="B24" s="415"/>
      <c r="C24" s="416"/>
      <c r="D24" s="396"/>
      <c r="E24" s="397"/>
      <c r="F24" s="397"/>
      <c r="G24" s="397"/>
      <c r="H24" s="397"/>
      <c r="I24" s="397"/>
      <c r="J24" s="7"/>
      <c r="K24" s="63"/>
      <c r="L24" s="64"/>
      <c r="M24" s="65"/>
      <c r="N24" s="66"/>
      <c r="O24" s="67"/>
      <c r="P24" s="68"/>
      <c r="Q24" s="104"/>
      <c r="R24" s="72"/>
    </row>
    <row r="25" spans="2:18" ht="20.100000000000001" hidden="1" customHeight="1">
      <c r="B25" s="415"/>
      <c r="C25" s="416"/>
      <c r="D25" s="396"/>
      <c r="E25" s="397"/>
      <c r="F25" s="397"/>
      <c r="G25" s="397"/>
      <c r="H25" s="397"/>
      <c r="I25" s="397"/>
      <c r="J25" s="7"/>
      <c r="K25" s="63"/>
      <c r="L25" s="64"/>
      <c r="M25" s="65"/>
      <c r="N25" s="66"/>
      <c r="O25" s="67"/>
      <c r="P25" s="68"/>
      <c r="Q25" s="104"/>
      <c r="R25" s="72"/>
    </row>
    <row r="26" spans="2:18" ht="20.100000000000001" hidden="1" customHeight="1">
      <c r="B26" s="415"/>
      <c r="C26" s="416"/>
      <c r="D26" s="396"/>
      <c r="E26" s="397"/>
      <c r="F26" s="397"/>
      <c r="G26" s="397"/>
      <c r="H26" s="397"/>
      <c r="I26" s="397"/>
      <c r="J26" s="7"/>
      <c r="K26" s="63"/>
      <c r="L26" s="64"/>
      <c r="M26" s="65"/>
      <c r="N26" s="66"/>
      <c r="O26" s="67"/>
      <c r="P26" s="68"/>
      <c r="Q26" s="104"/>
      <c r="R26" s="72"/>
    </row>
    <row r="27" spans="2:18" ht="20.100000000000001" hidden="1" customHeight="1">
      <c r="B27" s="415"/>
      <c r="C27" s="416"/>
      <c r="D27" s="396"/>
      <c r="E27" s="397"/>
      <c r="F27" s="397"/>
      <c r="G27" s="397"/>
      <c r="H27" s="397"/>
      <c r="I27" s="397"/>
      <c r="J27" s="7"/>
      <c r="K27" s="63"/>
      <c r="L27" s="64"/>
      <c r="M27" s="65"/>
      <c r="N27" s="66"/>
      <c r="O27" s="67"/>
      <c r="P27" s="68"/>
      <c r="Q27" s="104"/>
      <c r="R27" s="72"/>
    </row>
    <row r="28" spans="2:18" ht="20.100000000000001" hidden="1" customHeight="1">
      <c r="B28" s="415"/>
      <c r="C28" s="416"/>
      <c r="D28" s="396"/>
      <c r="E28" s="397"/>
      <c r="F28" s="397"/>
      <c r="G28" s="397"/>
      <c r="H28" s="397"/>
      <c r="I28" s="397"/>
      <c r="J28" s="7"/>
      <c r="K28" s="63"/>
      <c r="L28" s="64"/>
      <c r="M28" s="65"/>
      <c r="N28" s="66"/>
      <c r="O28" s="67"/>
      <c r="P28" s="68"/>
      <c r="Q28" s="104"/>
      <c r="R28" s="72"/>
    </row>
    <row r="29" spans="2:18" ht="20.100000000000001" hidden="1" customHeight="1">
      <c r="B29" s="415"/>
      <c r="C29" s="416"/>
      <c r="D29" s="396"/>
      <c r="E29" s="397"/>
      <c r="F29" s="397"/>
      <c r="G29" s="397"/>
      <c r="H29" s="397"/>
      <c r="I29" s="397"/>
      <c r="J29" s="7"/>
      <c r="K29" s="63"/>
      <c r="L29" s="64"/>
      <c r="M29" s="65"/>
      <c r="N29" s="66"/>
      <c r="O29" s="67"/>
      <c r="P29" s="68"/>
      <c r="Q29" s="104"/>
      <c r="R29" s="72"/>
    </row>
    <row r="30" spans="2:18" ht="20.100000000000001" hidden="1" customHeight="1" thickBot="1">
      <c r="B30" s="415"/>
      <c r="C30" s="416"/>
      <c r="D30" s="396"/>
      <c r="E30" s="397"/>
      <c r="F30" s="397"/>
      <c r="G30" s="397"/>
      <c r="H30" s="397"/>
      <c r="I30" s="397"/>
      <c r="J30" s="7"/>
      <c r="K30" s="63"/>
      <c r="L30" s="64"/>
      <c r="M30" s="65"/>
      <c r="N30" s="66"/>
      <c r="O30" s="67"/>
      <c r="P30" s="68"/>
      <c r="Q30" s="104"/>
      <c r="R30" s="72"/>
    </row>
    <row r="31" spans="2:18" ht="20.100000000000001" customHeight="1" thickBot="1">
      <c r="B31" s="417"/>
      <c r="C31" s="418"/>
      <c r="D31" s="398" t="s">
        <v>81</v>
      </c>
      <c r="E31" s="399"/>
      <c r="F31" s="400"/>
      <c r="G31" s="100">
        <f>(O50-I50-K50)/400</f>
        <v>230.09700000000001</v>
      </c>
      <c r="H31" s="401" t="s">
        <v>82</v>
      </c>
      <c r="I31" s="402"/>
      <c r="J31" s="7"/>
      <c r="K31" s="403" t="s">
        <v>19</v>
      </c>
      <c r="L31" s="404"/>
      <c r="M31" s="405"/>
      <c r="N31" s="89">
        <f>SUM(N4:N30)</f>
        <v>0</v>
      </c>
      <c r="O31" s="90">
        <f>N31*0.3025</f>
        <v>0</v>
      </c>
      <c r="P31" s="91">
        <f>SUM(P4:P30)</f>
        <v>0</v>
      </c>
      <c r="Q31" s="92">
        <f>P31*0.3025</f>
        <v>0</v>
      </c>
      <c r="R31" s="59"/>
    </row>
    <row r="32" spans="2:18" ht="6" customHeight="1" thickTop="1">
      <c r="B32" s="5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2:21" ht="24.95" customHeight="1" thickBot="1">
      <c r="B33" s="75" t="s">
        <v>22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101"/>
      <c r="R33" s="3"/>
    </row>
    <row r="34" spans="2:21" ht="20.100000000000001" customHeight="1">
      <c r="B34" s="407" t="s">
        <v>40</v>
      </c>
      <c r="C34" s="390" t="s">
        <v>55</v>
      </c>
      <c r="D34" s="409"/>
      <c r="E34" s="410" t="s">
        <v>56</v>
      </c>
      <c r="F34" s="409"/>
      <c r="G34" s="410" t="s">
        <v>48</v>
      </c>
      <c r="H34" s="409"/>
      <c r="I34" s="388" t="s">
        <v>54</v>
      </c>
      <c r="J34" s="406"/>
      <c r="K34" s="388" t="s">
        <v>33</v>
      </c>
      <c r="L34" s="406"/>
      <c r="M34" s="388" t="s">
        <v>50</v>
      </c>
      <c r="N34" s="389"/>
      <c r="O34" s="390" t="s">
        <v>6</v>
      </c>
      <c r="P34" s="391"/>
      <c r="Q34" s="392" t="s">
        <v>49</v>
      </c>
      <c r="R34" s="394" t="s">
        <v>18</v>
      </c>
      <c r="T34" s="50" t="s">
        <v>49</v>
      </c>
    </row>
    <row r="35" spans="2:21" ht="20.100000000000001" customHeight="1" thickBot="1">
      <c r="B35" s="408"/>
      <c r="C35" s="21" t="s">
        <v>4</v>
      </c>
      <c r="D35" s="22" t="s">
        <v>5</v>
      </c>
      <c r="E35" s="23" t="s">
        <v>4</v>
      </c>
      <c r="F35" s="22" t="s">
        <v>5</v>
      </c>
      <c r="G35" s="23" t="s">
        <v>4</v>
      </c>
      <c r="H35" s="22" t="s">
        <v>5</v>
      </c>
      <c r="I35" s="22" t="s">
        <v>4</v>
      </c>
      <c r="J35" s="22" t="s">
        <v>5</v>
      </c>
      <c r="K35" s="22" t="s">
        <v>4</v>
      </c>
      <c r="L35" s="22" t="s">
        <v>5</v>
      </c>
      <c r="M35" s="22" t="s">
        <v>4</v>
      </c>
      <c r="N35" s="24" t="s">
        <v>5</v>
      </c>
      <c r="O35" s="25" t="s">
        <v>4</v>
      </c>
      <c r="P35" s="26" t="s">
        <v>5</v>
      </c>
      <c r="Q35" s="393"/>
      <c r="R35" s="395"/>
      <c r="T35" s="50" t="s">
        <v>51</v>
      </c>
      <c r="U35" s="50" t="s">
        <v>52</v>
      </c>
    </row>
    <row r="36" spans="2:21" ht="20.100000000000001" hidden="1" customHeight="1">
      <c r="B36" s="33" t="s">
        <v>42</v>
      </c>
      <c r="C36" s="117">
        <v>0</v>
      </c>
      <c r="D36" s="113">
        <f>C36*0.3025</f>
        <v>0</v>
      </c>
      <c r="E36" s="114">
        <v>0</v>
      </c>
      <c r="F36" s="113">
        <f>E36*0.3025</f>
        <v>0</v>
      </c>
      <c r="G36" s="114">
        <v>0</v>
      </c>
      <c r="H36" s="113">
        <f>G36*0.3025</f>
        <v>0</v>
      </c>
      <c r="I36" s="115">
        <v>0</v>
      </c>
      <c r="J36" s="115">
        <f>I36*0.3025</f>
        <v>0</v>
      </c>
      <c r="K36" s="115">
        <v>0</v>
      </c>
      <c r="L36" s="113">
        <f>K36*0.3025</f>
        <v>0</v>
      </c>
      <c r="M36" s="115">
        <v>0</v>
      </c>
      <c r="N36" s="77">
        <f>M36*0.3025</f>
        <v>0</v>
      </c>
      <c r="O36" s="13">
        <f>C36+E36+G36+I36+K36+M36</f>
        <v>0</v>
      </c>
      <c r="P36" s="14">
        <f t="shared" ref="P36:P50" si="3">O36*0.3025</f>
        <v>0</v>
      </c>
      <c r="Q36" s="105"/>
      <c r="R36" s="79" t="s">
        <v>41</v>
      </c>
    </row>
    <row r="37" spans="2:21" ht="20.100000000000001" customHeight="1">
      <c r="B37" s="33" t="s">
        <v>37</v>
      </c>
      <c r="C37" s="97">
        <v>0</v>
      </c>
      <c r="D37" s="96">
        <f>C37*0.3025</f>
        <v>0</v>
      </c>
      <c r="E37" s="15">
        <v>14502.8</v>
      </c>
      <c r="F37" s="16">
        <f t="shared" ref="F37:F38" si="4">E37*0.3025</f>
        <v>4387.0969999999998</v>
      </c>
      <c r="G37" s="15">
        <f>149+326-30</f>
        <v>445</v>
      </c>
      <c r="H37" s="16">
        <f t="shared" ref="H37:H38" si="5">G37*0.3025</f>
        <v>134.61249999999998</v>
      </c>
      <c r="I37" s="16">
        <v>1802</v>
      </c>
      <c r="J37" s="16">
        <f t="shared" ref="J37:J38" si="6">I37*0.3025</f>
        <v>545.10500000000002</v>
      </c>
      <c r="K37" s="16">
        <v>4004</v>
      </c>
      <c r="L37" s="16">
        <f t="shared" ref="L37:L38" si="7">K37*0.3025</f>
        <v>1211.21</v>
      </c>
      <c r="M37" s="16">
        <v>1546</v>
      </c>
      <c r="N37" s="118">
        <f>M37*0.3025</f>
        <v>467.66499999999996</v>
      </c>
      <c r="O37" s="13">
        <f>C37+E37+G37+I37+K37+M37</f>
        <v>22299.8</v>
      </c>
      <c r="P37" s="14">
        <f t="shared" si="3"/>
        <v>6745.6894999999995</v>
      </c>
      <c r="Q37" s="106"/>
      <c r="R37" s="80" t="s">
        <v>56</v>
      </c>
    </row>
    <row r="38" spans="2:21" ht="20.100000000000001" customHeight="1" thickBot="1">
      <c r="B38" s="37" t="s">
        <v>0</v>
      </c>
      <c r="C38" s="119">
        <v>0</v>
      </c>
      <c r="D38" s="120">
        <f>C38*0.3025</f>
        <v>0</v>
      </c>
      <c r="E38" s="121">
        <v>0</v>
      </c>
      <c r="F38" s="122">
        <f t="shared" si="4"/>
        <v>0</v>
      </c>
      <c r="G38" s="121">
        <v>4560</v>
      </c>
      <c r="H38" s="122">
        <f t="shared" si="5"/>
        <v>1379.3999999999999</v>
      </c>
      <c r="I38" s="122">
        <v>0</v>
      </c>
      <c r="J38" s="122">
        <f t="shared" si="6"/>
        <v>0</v>
      </c>
      <c r="K38" s="122">
        <v>0</v>
      </c>
      <c r="L38" s="122">
        <f t="shared" si="7"/>
        <v>0</v>
      </c>
      <c r="M38" s="122">
        <v>0</v>
      </c>
      <c r="N38" s="123">
        <f>M38*0.3025</f>
        <v>0</v>
      </c>
      <c r="O38" s="40">
        <f>C38+E38+G38+I38+K38+M38</f>
        <v>4560</v>
      </c>
      <c r="P38" s="41">
        <f t="shared" si="3"/>
        <v>1379.3999999999999</v>
      </c>
      <c r="Q38" s="107"/>
      <c r="R38" s="95" t="s">
        <v>72</v>
      </c>
      <c r="T38" s="50">
        <v>25</v>
      </c>
      <c r="U38" s="50">
        <v>57</v>
      </c>
    </row>
    <row r="39" spans="2:21" ht="20.100000000000001" customHeight="1" thickBot="1">
      <c r="B39" s="27" t="s">
        <v>24</v>
      </c>
      <c r="C39" s="42">
        <f>SUM(C36:C38)</f>
        <v>0</v>
      </c>
      <c r="D39" s="29">
        <f>C39*0.3025</f>
        <v>0</v>
      </c>
      <c r="E39" s="43">
        <f>SUM(E36:E38)</f>
        <v>14502.8</v>
      </c>
      <c r="F39" s="30">
        <f>E39*0.3025</f>
        <v>4387.0969999999998</v>
      </c>
      <c r="G39" s="43">
        <f>SUM(G36:G38)</f>
        <v>5005</v>
      </c>
      <c r="H39" s="30">
        <f>G39*0.3025</f>
        <v>1514.0125</v>
      </c>
      <c r="I39" s="30">
        <f>SUM(I36:I38)</f>
        <v>1802</v>
      </c>
      <c r="J39" s="30">
        <f>I39*0.3025</f>
        <v>545.10500000000002</v>
      </c>
      <c r="K39" s="30">
        <f>SUM(K36:K38)</f>
        <v>4004</v>
      </c>
      <c r="L39" s="30">
        <f>K39*0.3025</f>
        <v>1211.21</v>
      </c>
      <c r="M39" s="30">
        <f>SUM(M36:M38)</f>
        <v>1546</v>
      </c>
      <c r="N39" s="31">
        <f>M39*0.3025</f>
        <v>467.66499999999996</v>
      </c>
      <c r="O39" s="28">
        <f>SUM(O36:O38)</f>
        <v>26859.8</v>
      </c>
      <c r="P39" s="32">
        <f t="shared" si="3"/>
        <v>8125.0894999999991</v>
      </c>
      <c r="Q39" s="108"/>
      <c r="R39" s="82"/>
    </row>
    <row r="40" spans="2:21" ht="20.100000000000001" customHeight="1">
      <c r="B40" s="33" t="s">
        <v>1</v>
      </c>
      <c r="C40" s="112">
        <v>0</v>
      </c>
      <c r="D40" s="113">
        <f t="shared" ref="D40:D50" si="8">C40*0.3025</f>
        <v>0</v>
      </c>
      <c r="E40" s="114">
        <f>13828-100</f>
        <v>13728</v>
      </c>
      <c r="F40" s="115">
        <f t="shared" ref="F40:F48" si="9">E40*0.3025</f>
        <v>4152.72</v>
      </c>
      <c r="G40" s="114">
        <f>149+350-30</f>
        <v>469</v>
      </c>
      <c r="H40" s="115">
        <f t="shared" ref="H40:H48" si="10">G40*0.3025</f>
        <v>141.8725</v>
      </c>
      <c r="I40" s="115">
        <v>1680</v>
      </c>
      <c r="J40" s="115">
        <f t="shared" ref="J40:J50" si="11">I40*0.3025</f>
        <v>508.2</v>
      </c>
      <c r="K40" s="115">
        <v>4644</v>
      </c>
      <c r="L40" s="115">
        <f t="shared" ref="L40:L50" si="12">K40*0.3025</f>
        <v>1404.81</v>
      </c>
      <c r="M40" s="38">
        <v>0</v>
      </c>
      <c r="N40" s="39">
        <f t="shared" ref="N40:N50" si="13">M40*0.3025</f>
        <v>0</v>
      </c>
      <c r="O40" s="13">
        <f>C40+E40+G40+I40+K40+M40</f>
        <v>20521</v>
      </c>
      <c r="P40" s="14">
        <f t="shared" si="3"/>
        <v>6207.6025</v>
      </c>
      <c r="Q40" s="105"/>
      <c r="R40" s="79" t="s">
        <v>56</v>
      </c>
      <c r="T40" s="50">
        <v>25</v>
      </c>
      <c r="U40" s="50">
        <v>57</v>
      </c>
    </row>
    <row r="41" spans="2:21" ht="20.100000000000001" customHeight="1">
      <c r="B41" s="34" t="s">
        <v>2</v>
      </c>
      <c r="C41" s="116">
        <v>0</v>
      </c>
      <c r="D41" s="96">
        <f t="shared" si="8"/>
        <v>0</v>
      </c>
      <c r="E41" s="15">
        <f>13828-100</f>
        <v>13728</v>
      </c>
      <c r="F41" s="16">
        <f t="shared" si="9"/>
        <v>4152.72</v>
      </c>
      <c r="G41" s="15">
        <f>149+350-30</f>
        <v>469</v>
      </c>
      <c r="H41" s="16">
        <f t="shared" si="10"/>
        <v>141.8725</v>
      </c>
      <c r="I41" s="16">
        <v>1680</v>
      </c>
      <c r="J41" s="16">
        <f t="shared" si="11"/>
        <v>508.2</v>
      </c>
      <c r="K41" s="16">
        <v>4644</v>
      </c>
      <c r="L41" s="16">
        <f t="shared" si="12"/>
        <v>1404.81</v>
      </c>
      <c r="M41" s="16">
        <v>0</v>
      </c>
      <c r="N41" s="17">
        <f t="shared" si="13"/>
        <v>0</v>
      </c>
      <c r="O41" s="13">
        <f t="shared" ref="O41:O48" si="14">C41+E41+G41+I41+K41+M41</f>
        <v>20521</v>
      </c>
      <c r="P41" s="18">
        <f t="shared" si="3"/>
        <v>6207.6025</v>
      </c>
      <c r="Q41" s="106"/>
      <c r="R41" s="80" t="s">
        <v>56</v>
      </c>
      <c r="T41" s="50">
        <v>6</v>
      </c>
      <c r="U41" s="50">
        <f>U40</f>
        <v>57</v>
      </c>
    </row>
    <row r="42" spans="2:21" ht="20.100000000000001" customHeight="1">
      <c r="B42" s="35" t="s">
        <v>3</v>
      </c>
      <c r="C42" s="116">
        <f>13828-100</f>
        <v>13728</v>
      </c>
      <c r="D42" s="96">
        <f t="shared" si="8"/>
        <v>4152.72</v>
      </c>
      <c r="E42" s="15">
        <v>0</v>
      </c>
      <c r="F42" s="16">
        <f t="shared" si="9"/>
        <v>0</v>
      </c>
      <c r="G42" s="15">
        <f>149+350-30</f>
        <v>469</v>
      </c>
      <c r="H42" s="16">
        <f t="shared" si="10"/>
        <v>141.8725</v>
      </c>
      <c r="I42" s="16">
        <v>1680</v>
      </c>
      <c r="J42" s="16">
        <f t="shared" si="11"/>
        <v>508.2</v>
      </c>
      <c r="K42" s="16">
        <v>4644</v>
      </c>
      <c r="L42" s="16">
        <f t="shared" si="12"/>
        <v>1404.81</v>
      </c>
      <c r="M42" s="16">
        <v>0</v>
      </c>
      <c r="N42" s="17">
        <f t="shared" si="13"/>
        <v>0</v>
      </c>
      <c r="O42" s="13">
        <f t="shared" si="14"/>
        <v>20521</v>
      </c>
      <c r="P42" s="18">
        <f t="shared" si="3"/>
        <v>6207.6025</v>
      </c>
      <c r="Q42" s="106"/>
      <c r="R42" s="80" t="s">
        <v>55</v>
      </c>
      <c r="T42" s="50">
        <f t="shared" ref="T42:U46" si="15">T41</f>
        <v>6</v>
      </c>
      <c r="U42" s="50">
        <f t="shared" si="15"/>
        <v>57</v>
      </c>
    </row>
    <row r="43" spans="2:21" ht="20.100000000000001" customHeight="1">
      <c r="B43" s="35" t="s">
        <v>43</v>
      </c>
      <c r="C43" s="116">
        <f t="shared" ref="C43:C44" si="16">13828-100</f>
        <v>13728</v>
      </c>
      <c r="D43" s="96">
        <f t="shared" si="8"/>
        <v>4152.72</v>
      </c>
      <c r="E43" s="15">
        <v>0</v>
      </c>
      <c r="F43" s="16">
        <f t="shared" si="9"/>
        <v>0</v>
      </c>
      <c r="G43" s="15">
        <f t="shared" ref="G43:G44" si="17">149+350-30</f>
        <v>469</v>
      </c>
      <c r="H43" s="16">
        <f t="shared" si="10"/>
        <v>141.8725</v>
      </c>
      <c r="I43" s="16">
        <v>1680</v>
      </c>
      <c r="J43" s="16">
        <f t="shared" si="11"/>
        <v>508.2</v>
      </c>
      <c r="K43" s="16">
        <v>4644</v>
      </c>
      <c r="L43" s="16">
        <f t="shared" si="12"/>
        <v>1404.81</v>
      </c>
      <c r="M43" s="16">
        <v>0</v>
      </c>
      <c r="N43" s="17">
        <f t="shared" si="13"/>
        <v>0</v>
      </c>
      <c r="O43" s="13">
        <f t="shared" si="14"/>
        <v>20521</v>
      </c>
      <c r="P43" s="18">
        <f t="shared" si="3"/>
        <v>6207.6025</v>
      </c>
      <c r="Q43" s="106"/>
      <c r="R43" s="80" t="s">
        <v>55</v>
      </c>
      <c r="T43" s="50">
        <f t="shared" si="15"/>
        <v>6</v>
      </c>
      <c r="U43" s="50">
        <f t="shared" si="15"/>
        <v>57</v>
      </c>
    </row>
    <row r="44" spans="2:21" ht="20.100000000000001" customHeight="1" thickBot="1">
      <c r="B44" s="35" t="s">
        <v>44</v>
      </c>
      <c r="C44" s="116">
        <f t="shared" si="16"/>
        <v>13728</v>
      </c>
      <c r="D44" s="96">
        <f t="shared" si="8"/>
        <v>4152.72</v>
      </c>
      <c r="E44" s="15">
        <v>0</v>
      </c>
      <c r="F44" s="16">
        <f t="shared" si="9"/>
        <v>0</v>
      </c>
      <c r="G44" s="15">
        <f t="shared" si="17"/>
        <v>469</v>
      </c>
      <c r="H44" s="16">
        <f t="shared" si="10"/>
        <v>141.8725</v>
      </c>
      <c r="I44" s="16">
        <v>1680</v>
      </c>
      <c r="J44" s="16">
        <f t="shared" si="11"/>
        <v>508.2</v>
      </c>
      <c r="K44" s="16">
        <v>0</v>
      </c>
      <c r="L44" s="16">
        <f t="shared" si="12"/>
        <v>0</v>
      </c>
      <c r="M44" s="16">
        <v>0</v>
      </c>
      <c r="N44" s="17">
        <f t="shared" si="13"/>
        <v>0</v>
      </c>
      <c r="O44" s="13">
        <f t="shared" si="14"/>
        <v>15877</v>
      </c>
      <c r="P44" s="18">
        <f t="shared" si="3"/>
        <v>4802.7924999999996</v>
      </c>
      <c r="Q44" s="106"/>
      <c r="R44" s="80" t="s">
        <v>55</v>
      </c>
      <c r="T44" s="50">
        <f t="shared" si="15"/>
        <v>6</v>
      </c>
      <c r="U44" s="50">
        <f t="shared" si="15"/>
        <v>57</v>
      </c>
    </row>
    <row r="45" spans="2:21" ht="20.100000000000001" hidden="1" customHeight="1">
      <c r="B45" s="35" t="s">
        <v>45</v>
      </c>
      <c r="C45" s="97">
        <v>0</v>
      </c>
      <c r="D45" s="96">
        <f t="shared" si="8"/>
        <v>0</v>
      </c>
      <c r="E45" s="15">
        <v>0</v>
      </c>
      <c r="F45" s="16">
        <f t="shared" si="9"/>
        <v>0</v>
      </c>
      <c r="G45" s="15">
        <v>0</v>
      </c>
      <c r="H45" s="16">
        <f t="shared" si="10"/>
        <v>0</v>
      </c>
      <c r="I45" s="16">
        <v>0</v>
      </c>
      <c r="J45" s="16">
        <f t="shared" si="11"/>
        <v>0</v>
      </c>
      <c r="K45" s="16">
        <v>0</v>
      </c>
      <c r="L45" s="16">
        <f t="shared" si="12"/>
        <v>0</v>
      </c>
      <c r="M45" s="16">
        <v>0</v>
      </c>
      <c r="N45" s="17">
        <f t="shared" si="13"/>
        <v>0</v>
      </c>
      <c r="O45" s="13">
        <f t="shared" si="14"/>
        <v>0</v>
      </c>
      <c r="P45" s="18">
        <f t="shared" si="3"/>
        <v>0</v>
      </c>
      <c r="Q45" s="106"/>
      <c r="R45" s="80" t="s">
        <v>55</v>
      </c>
      <c r="T45" s="50">
        <f t="shared" si="15"/>
        <v>6</v>
      </c>
      <c r="U45" s="50">
        <f t="shared" si="15"/>
        <v>57</v>
      </c>
    </row>
    <row r="46" spans="2:21" ht="20.100000000000001" hidden="1" customHeight="1">
      <c r="B46" s="35" t="s">
        <v>46</v>
      </c>
      <c r="C46" s="97">
        <v>0</v>
      </c>
      <c r="D46" s="96">
        <f t="shared" si="8"/>
        <v>0</v>
      </c>
      <c r="E46" s="15">
        <v>0</v>
      </c>
      <c r="F46" s="16">
        <f t="shared" si="9"/>
        <v>0</v>
      </c>
      <c r="G46" s="15">
        <v>0</v>
      </c>
      <c r="H46" s="16">
        <f t="shared" si="10"/>
        <v>0</v>
      </c>
      <c r="I46" s="16">
        <v>0</v>
      </c>
      <c r="J46" s="16">
        <f t="shared" si="11"/>
        <v>0</v>
      </c>
      <c r="K46" s="16">
        <v>0</v>
      </c>
      <c r="L46" s="16">
        <f t="shared" si="12"/>
        <v>0</v>
      </c>
      <c r="M46" s="16">
        <v>0</v>
      </c>
      <c r="N46" s="17">
        <f t="shared" si="13"/>
        <v>0</v>
      </c>
      <c r="O46" s="13">
        <f t="shared" si="14"/>
        <v>0</v>
      </c>
      <c r="P46" s="18">
        <f t="shared" si="3"/>
        <v>0</v>
      </c>
      <c r="Q46" s="106"/>
      <c r="R46" s="80" t="s">
        <v>55</v>
      </c>
      <c r="T46" s="50">
        <f t="shared" si="15"/>
        <v>6</v>
      </c>
      <c r="U46" s="50">
        <f t="shared" si="15"/>
        <v>57</v>
      </c>
    </row>
    <row r="47" spans="2:21" ht="20.100000000000001" hidden="1" customHeight="1">
      <c r="B47" s="35" t="s">
        <v>47</v>
      </c>
      <c r="C47" s="15">
        <v>0</v>
      </c>
      <c r="D47" s="11">
        <f t="shared" si="8"/>
        <v>0</v>
      </c>
      <c r="E47" s="12">
        <v>0</v>
      </c>
      <c r="F47" s="12">
        <f t="shared" si="9"/>
        <v>0</v>
      </c>
      <c r="G47" s="15">
        <v>0</v>
      </c>
      <c r="H47" s="16">
        <f t="shared" si="10"/>
        <v>0</v>
      </c>
      <c r="I47" s="16">
        <v>0</v>
      </c>
      <c r="J47" s="16">
        <f t="shared" si="11"/>
        <v>0</v>
      </c>
      <c r="K47" s="16">
        <v>0</v>
      </c>
      <c r="L47" s="16">
        <f t="shared" si="12"/>
        <v>0</v>
      </c>
      <c r="M47" s="16">
        <v>0</v>
      </c>
      <c r="N47" s="17">
        <f t="shared" si="13"/>
        <v>0</v>
      </c>
      <c r="O47" s="13">
        <f t="shared" si="14"/>
        <v>0</v>
      </c>
      <c r="P47" s="18">
        <f t="shared" si="3"/>
        <v>0</v>
      </c>
      <c r="Q47" s="106"/>
      <c r="R47" s="80" t="s">
        <v>72</v>
      </c>
      <c r="T47" s="50">
        <v>378</v>
      </c>
      <c r="U47" s="50"/>
    </row>
    <row r="48" spans="2:21" ht="20.100000000000001" hidden="1" customHeight="1" thickBot="1">
      <c r="B48" s="35" t="s">
        <v>71</v>
      </c>
      <c r="C48" s="15">
        <v>0</v>
      </c>
      <c r="D48" s="11">
        <f t="shared" si="8"/>
        <v>0</v>
      </c>
      <c r="E48" s="12">
        <v>0</v>
      </c>
      <c r="F48" s="12">
        <f t="shared" si="9"/>
        <v>0</v>
      </c>
      <c r="G48" s="15">
        <v>0</v>
      </c>
      <c r="H48" s="16">
        <f t="shared" si="10"/>
        <v>0</v>
      </c>
      <c r="I48" s="16">
        <v>0</v>
      </c>
      <c r="J48" s="16">
        <f t="shared" si="11"/>
        <v>0</v>
      </c>
      <c r="K48" s="16">
        <v>0</v>
      </c>
      <c r="L48" s="16">
        <f t="shared" si="12"/>
        <v>0</v>
      </c>
      <c r="M48" s="16">
        <v>0</v>
      </c>
      <c r="N48" s="17">
        <f t="shared" si="13"/>
        <v>0</v>
      </c>
      <c r="O48" s="13">
        <f t="shared" si="14"/>
        <v>0</v>
      </c>
      <c r="P48" s="18">
        <f t="shared" si="3"/>
        <v>0</v>
      </c>
      <c r="Q48" s="106"/>
      <c r="R48" s="81" t="s">
        <v>72</v>
      </c>
      <c r="T48" s="50">
        <f>SUM(T38:T47)</f>
        <v>464</v>
      </c>
      <c r="U48" s="50">
        <f>SUM(U38:U47)</f>
        <v>456</v>
      </c>
    </row>
    <row r="49" spans="2:21" ht="20.100000000000001" customHeight="1" thickBot="1">
      <c r="B49" s="27" t="s">
        <v>25</v>
      </c>
      <c r="C49" s="42">
        <f>SUM(C40:C48)</f>
        <v>41184</v>
      </c>
      <c r="D49" s="29">
        <f>C49*0.3025</f>
        <v>12458.16</v>
      </c>
      <c r="E49" s="43">
        <f>SUM(E40:E48)</f>
        <v>27456</v>
      </c>
      <c r="F49" s="30">
        <f>E49*0.3025</f>
        <v>8305.44</v>
      </c>
      <c r="G49" s="43">
        <f>SUM(G40:G48)</f>
        <v>2345</v>
      </c>
      <c r="H49" s="30">
        <f>G49*0.3025</f>
        <v>709.36249999999995</v>
      </c>
      <c r="I49" s="30">
        <f>SUM(I40:I48)</f>
        <v>8400</v>
      </c>
      <c r="J49" s="30">
        <f>I49*0.3025</f>
        <v>2541</v>
      </c>
      <c r="K49" s="30">
        <f>SUM(K40:K48)</f>
        <v>18576</v>
      </c>
      <c r="L49" s="30">
        <f t="shared" si="12"/>
        <v>5619.24</v>
      </c>
      <c r="M49" s="30">
        <f>SUM(M40:M48)</f>
        <v>0</v>
      </c>
      <c r="N49" s="31">
        <f t="shared" si="13"/>
        <v>0</v>
      </c>
      <c r="O49" s="28">
        <f>C49+E49+G49+I49+K49+M49</f>
        <v>97961</v>
      </c>
      <c r="P49" s="32">
        <f t="shared" si="3"/>
        <v>29633.202499999999</v>
      </c>
      <c r="Q49" s="109"/>
      <c r="R49" s="82"/>
      <c r="T49" s="50" t="s">
        <v>13</v>
      </c>
      <c r="U49" s="50">
        <f>T48+U48</f>
        <v>920</v>
      </c>
    </row>
    <row r="50" spans="2:21" ht="20.100000000000001" customHeight="1" thickBot="1">
      <c r="B50" s="44" t="s">
        <v>13</v>
      </c>
      <c r="C50" s="45">
        <f>C39+C49</f>
        <v>41184</v>
      </c>
      <c r="D50" s="46">
        <f t="shared" si="8"/>
        <v>12458.16</v>
      </c>
      <c r="E50" s="47">
        <f>E39+E49</f>
        <v>41958.8</v>
      </c>
      <c r="F50" s="47">
        <f t="shared" ref="F50" si="18">E50*0.3025</f>
        <v>12692.537</v>
      </c>
      <c r="G50" s="47">
        <f>G39+G49</f>
        <v>7350</v>
      </c>
      <c r="H50" s="47">
        <f t="shared" ref="H50" si="19">G50*0.3025</f>
        <v>2223.375</v>
      </c>
      <c r="I50" s="47">
        <f>I39+I49</f>
        <v>10202</v>
      </c>
      <c r="J50" s="47">
        <f t="shared" si="11"/>
        <v>3086.105</v>
      </c>
      <c r="K50" s="47">
        <f>K39+K49</f>
        <v>22580</v>
      </c>
      <c r="L50" s="47">
        <f t="shared" si="12"/>
        <v>6830.45</v>
      </c>
      <c r="M50" s="47">
        <f>M39+M49</f>
        <v>1546</v>
      </c>
      <c r="N50" s="48">
        <f t="shared" si="13"/>
        <v>467.66499999999996</v>
      </c>
      <c r="O50" s="45">
        <f>C50+E50+G50+I50+K50+M50</f>
        <v>124820.8</v>
      </c>
      <c r="P50" s="49">
        <f t="shared" si="3"/>
        <v>37758.292000000001</v>
      </c>
      <c r="Q50" s="110"/>
      <c r="R50" s="83"/>
      <c r="S50" s="51">
        <f>O39+O49</f>
        <v>124820.8</v>
      </c>
      <c r="T50" s="51"/>
    </row>
    <row r="51" spans="2:21" ht="6" customHeight="1">
      <c r="M51" s="51"/>
      <c r="N51" s="52"/>
      <c r="O51" s="55"/>
      <c r="P51" s="55"/>
    </row>
    <row r="52" spans="2:21" ht="21.95" customHeight="1">
      <c r="B52" s="4" t="s">
        <v>20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111"/>
      <c r="R52" s="5" t="s">
        <v>21</v>
      </c>
      <c r="T52" s="51"/>
    </row>
    <row r="53" spans="2:21">
      <c r="H53" s="8"/>
      <c r="S53" s="93" t="s">
        <v>53</v>
      </c>
      <c r="T53" s="51">
        <f>C50+E50+G50+M50</f>
        <v>92038.8</v>
      </c>
      <c r="U53" s="8">
        <f>T53/300</f>
        <v>306.79599999999999</v>
      </c>
    </row>
    <row r="54" spans="2:21">
      <c r="U54" s="94">
        <f>U49/U53</f>
        <v>2.9987353159754364</v>
      </c>
    </row>
    <row r="56" spans="2:21">
      <c r="E56">
        <f>D5*0.008</f>
        <v>238.39920000000001</v>
      </c>
      <c r="F56">
        <f>E56/7</f>
        <v>34.057028571428575</v>
      </c>
    </row>
    <row r="57" spans="2:21">
      <c r="E57">
        <f>121*8</f>
        <v>968</v>
      </c>
    </row>
    <row r="58" spans="2:21">
      <c r="E58">
        <f>E57/8</f>
        <v>121</v>
      </c>
    </row>
    <row r="59" spans="2:21">
      <c r="E59">
        <f>E58/12</f>
        <v>10.083333333333334</v>
      </c>
    </row>
  </sheetData>
  <mergeCells count="76">
    <mergeCell ref="M34:N34"/>
    <mergeCell ref="O34:P34"/>
    <mergeCell ref="Q34:Q35"/>
    <mergeCell ref="R34:R35"/>
    <mergeCell ref="D30:I30"/>
    <mergeCell ref="D31:F31"/>
    <mergeCell ref="H31:I31"/>
    <mergeCell ref="K31:M31"/>
    <mergeCell ref="K34:L34"/>
    <mergeCell ref="B34:B35"/>
    <mergeCell ref="C34:D34"/>
    <mergeCell ref="E34:F34"/>
    <mergeCell ref="G34:H34"/>
    <mergeCell ref="I34:J34"/>
    <mergeCell ref="H21:I21"/>
    <mergeCell ref="B22:C31"/>
    <mergeCell ref="D22:I22"/>
    <mergeCell ref="D23:I23"/>
    <mergeCell ref="D24:I24"/>
    <mergeCell ref="D25:I25"/>
    <mergeCell ref="D26:I26"/>
    <mergeCell ref="D27:I27"/>
    <mergeCell ref="D28:I28"/>
    <mergeCell ref="D29:I29"/>
    <mergeCell ref="B20:C20"/>
    <mergeCell ref="D20:E20"/>
    <mergeCell ref="F20:G20"/>
    <mergeCell ref="B21:C21"/>
    <mergeCell ref="D21:E21"/>
    <mergeCell ref="F21:G21"/>
    <mergeCell ref="B18:C18"/>
    <mergeCell ref="D18:E18"/>
    <mergeCell ref="F18:G18"/>
    <mergeCell ref="H18:I18"/>
    <mergeCell ref="B19:C19"/>
    <mergeCell ref="D19:E19"/>
    <mergeCell ref="F19:G19"/>
    <mergeCell ref="B16:C16"/>
    <mergeCell ref="D16:E16"/>
    <mergeCell ref="F16:G16"/>
    <mergeCell ref="H16:I16"/>
    <mergeCell ref="B17:C17"/>
    <mergeCell ref="D17:E17"/>
    <mergeCell ref="F17:G17"/>
    <mergeCell ref="H13:I13"/>
    <mergeCell ref="B14:C14"/>
    <mergeCell ref="D14:E14"/>
    <mergeCell ref="F14:G14"/>
    <mergeCell ref="B15:C15"/>
    <mergeCell ref="D15:E15"/>
    <mergeCell ref="F15:G15"/>
    <mergeCell ref="B12:C12"/>
    <mergeCell ref="D12:E12"/>
    <mergeCell ref="F12:G12"/>
    <mergeCell ref="B13:C13"/>
    <mergeCell ref="D13:E13"/>
    <mergeCell ref="F13:G13"/>
    <mergeCell ref="B9:B11"/>
    <mergeCell ref="D9:E9"/>
    <mergeCell ref="F9:G9"/>
    <mergeCell ref="D10:E10"/>
    <mergeCell ref="F10:G10"/>
    <mergeCell ref="D11:E11"/>
    <mergeCell ref="F11:G11"/>
    <mergeCell ref="B3:C3"/>
    <mergeCell ref="B4:C4"/>
    <mergeCell ref="D4:I4"/>
    <mergeCell ref="B5:B8"/>
    <mergeCell ref="D5:E5"/>
    <mergeCell ref="F5:G5"/>
    <mergeCell ref="D6:E6"/>
    <mergeCell ref="F6:G6"/>
    <mergeCell ref="D7:E7"/>
    <mergeCell ref="F7:G7"/>
    <mergeCell ref="D8:E8"/>
    <mergeCell ref="F8:G8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U59"/>
  <sheetViews>
    <sheetView showGridLines="0" zoomScale="85" zoomScaleNormal="85" workbookViewId="0">
      <selection activeCell="D13" sqref="D13:E13"/>
    </sheetView>
  </sheetViews>
  <sheetFormatPr defaultRowHeight="16.5"/>
  <cols>
    <col min="1" max="1" width="10.625" customWidth="1"/>
    <col min="2" max="16" width="12.625" customWidth="1"/>
    <col min="17" max="17" width="12.625" style="131" customWidth="1"/>
    <col min="18" max="18" width="12.625" customWidth="1"/>
    <col min="19" max="20" width="9.875" bestFit="1" customWidth="1"/>
  </cols>
  <sheetData>
    <row r="1" spans="2:18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8" ht="24.95" customHeight="1" thickBot="1">
      <c r="B2" s="78" t="s">
        <v>74</v>
      </c>
      <c r="C2" s="6"/>
      <c r="D2" s="6"/>
      <c r="E2" s="6"/>
      <c r="F2" s="6"/>
      <c r="G2" s="6"/>
      <c r="H2" s="6"/>
      <c r="I2" s="6"/>
      <c r="J2" s="1"/>
      <c r="K2" s="74" t="s">
        <v>14</v>
      </c>
      <c r="L2" s="6"/>
      <c r="M2" s="6"/>
      <c r="N2" s="6"/>
      <c r="O2" s="3"/>
      <c r="P2" s="3"/>
      <c r="Q2" s="101"/>
      <c r="R2" s="3"/>
    </row>
    <row r="3" spans="2:18" ht="20.100000000000001" customHeight="1" thickBot="1">
      <c r="B3" s="390" t="s">
        <v>8</v>
      </c>
      <c r="C3" s="440"/>
      <c r="D3" s="9" t="s">
        <v>84</v>
      </c>
      <c r="E3" s="10"/>
      <c r="F3" s="10"/>
      <c r="G3" s="10"/>
      <c r="H3" s="10"/>
      <c r="I3" s="10"/>
      <c r="J3" s="7"/>
      <c r="K3" s="53" t="s">
        <v>15</v>
      </c>
      <c r="L3" s="19" t="s">
        <v>16</v>
      </c>
      <c r="M3" s="20" t="s">
        <v>17</v>
      </c>
      <c r="N3" s="36" t="s">
        <v>26</v>
      </c>
      <c r="O3" s="57" t="s">
        <v>27</v>
      </c>
      <c r="P3" s="56" t="s">
        <v>35</v>
      </c>
      <c r="Q3" s="102" t="s">
        <v>36</v>
      </c>
      <c r="R3" s="58" t="s">
        <v>18</v>
      </c>
    </row>
    <row r="4" spans="2:18" ht="20.100000000000001" customHeight="1">
      <c r="B4" s="413" t="s">
        <v>9</v>
      </c>
      <c r="C4" s="419"/>
      <c r="D4" s="441" t="s">
        <v>75</v>
      </c>
      <c r="E4" s="442"/>
      <c r="F4" s="442"/>
      <c r="G4" s="442"/>
      <c r="H4" s="442"/>
      <c r="I4" s="442"/>
      <c r="J4" s="7"/>
      <c r="K4" s="60"/>
      <c r="L4" s="61"/>
      <c r="M4" s="20"/>
      <c r="N4" s="84"/>
      <c r="O4" s="85"/>
      <c r="P4" s="84"/>
      <c r="Q4" s="85"/>
      <c r="R4" s="62"/>
    </row>
    <row r="5" spans="2:18" ht="20.100000000000001" customHeight="1">
      <c r="B5" s="413" t="s">
        <v>10</v>
      </c>
      <c r="C5" s="54" t="s">
        <v>39</v>
      </c>
      <c r="D5" s="447">
        <v>29799.9</v>
      </c>
      <c r="E5" s="448"/>
      <c r="F5" s="430">
        <f>D5*0.3025</f>
        <v>9014.4697500000002</v>
      </c>
      <c r="G5" s="445"/>
      <c r="H5" s="130"/>
      <c r="I5" s="130"/>
      <c r="J5" s="7"/>
      <c r="K5" s="63"/>
      <c r="L5" s="64"/>
      <c r="M5" s="65"/>
      <c r="N5" s="86"/>
      <c r="O5" s="87"/>
      <c r="P5" s="86"/>
      <c r="Q5" s="103"/>
      <c r="R5" s="69"/>
    </row>
    <row r="6" spans="2:18" ht="20.100000000000001" hidden="1" customHeight="1">
      <c r="B6" s="443"/>
      <c r="C6" s="54" t="s">
        <v>65</v>
      </c>
      <c r="D6" s="428">
        <v>0</v>
      </c>
      <c r="E6" s="446"/>
      <c r="F6" s="430">
        <f t="shared" ref="F6:F13" si="0">D6*0.3025</f>
        <v>0</v>
      </c>
      <c r="G6" s="445"/>
      <c r="H6" s="130"/>
      <c r="I6" s="130" t="s">
        <v>69</v>
      </c>
      <c r="J6" s="7"/>
      <c r="K6" s="63"/>
      <c r="L6" s="64"/>
      <c r="M6" s="65"/>
      <c r="N6" s="86"/>
      <c r="O6" s="87"/>
      <c r="P6" s="86"/>
      <c r="Q6" s="103"/>
      <c r="R6" s="69"/>
    </row>
    <row r="7" spans="2:18" ht="20.100000000000001" hidden="1" customHeight="1">
      <c r="B7" s="443"/>
      <c r="C7" s="54" t="s">
        <v>66</v>
      </c>
      <c r="D7" s="428">
        <v>0</v>
      </c>
      <c r="E7" s="446"/>
      <c r="F7" s="430">
        <f t="shared" si="0"/>
        <v>0</v>
      </c>
      <c r="G7" s="445"/>
      <c r="H7" s="130"/>
      <c r="I7" s="130" t="s">
        <v>68</v>
      </c>
      <c r="J7" s="7"/>
      <c r="K7" s="63"/>
      <c r="L7" s="64"/>
      <c r="M7" s="65"/>
      <c r="N7" s="86"/>
      <c r="O7" s="87"/>
      <c r="P7" s="86"/>
      <c r="Q7" s="103"/>
      <c r="R7" s="69"/>
    </row>
    <row r="8" spans="2:18" ht="20.100000000000001" hidden="1" customHeight="1">
      <c r="B8" s="444"/>
      <c r="C8" s="54" t="s">
        <v>64</v>
      </c>
      <c r="D8" s="428">
        <f>N31</f>
        <v>0</v>
      </c>
      <c r="E8" s="446"/>
      <c r="F8" s="430">
        <f t="shared" si="0"/>
        <v>0</v>
      </c>
      <c r="G8" s="445"/>
      <c r="H8" s="130"/>
      <c r="I8" s="130" t="s">
        <v>67</v>
      </c>
      <c r="J8" s="7"/>
      <c r="K8" s="63"/>
      <c r="L8" s="64"/>
      <c r="M8" s="65"/>
      <c r="N8" s="86"/>
      <c r="O8" s="87"/>
      <c r="P8" s="88"/>
      <c r="Q8" s="103"/>
      <c r="R8" s="69"/>
    </row>
    <row r="9" spans="2:18" ht="20.100000000000001" customHeight="1">
      <c r="B9" s="438" t="s">
        <v>7</v>
      </c>
      <c r="C9" s="54" t="s">
        <v>11</v>
      </c>
      <c r="D9" s="428">
        <f>O49</f>
        <v>97961</v>
      </c>
      <c r="E9" s="429"/>
      <c r="F9" s="430">
        <f t="shared" si="0"/>
        <v>29633.202499999999</v>
      </c>
      <c r="G9" s="431"/>
      <c r="H9" s="130"/>
      <c r="I9" s="130"/>
      <c r="J9" s="7"/>
      <c r="K9" s="63"/>
      <c r="L9" s="64"/>
      <c r="M9" s="65"/>
      <c r="N9" s="86"/>
      <c r="O9" s="87"/>
      <c r="P9" s="86"/>
      <c r="Q9" s="103"/>
      <c r="R9" s="69"/>
    </row>
    <row r="10" spans="2:18" ht="20.100000000000001" customHeight="1">
      <c r="B10" s="439"/>
      <c r="C10" s="54" t="s">
        <v>12</v>
      </c>
      <c r="D10" s="428">
        <f>O39</f>
        <v>26859.8</v>
      </c>
      <c r="E10" s="429"/>
      <c r="F10" s="430">
        <f t="shared" si="0"/>
        <v>8125.0894999999991</v>
      </c>
      <c r="G10" s="431"/>
      <c r="H10" s="130"/>
      <c r="I10" s="130"/>
      <c r="J10" s="7"/>
      <c r="K10" s="70"/>
      <c r="L10" s="64"/>
      <c r="M10" s="65"/>
      <c r="N10" s="86"/>
      <c r="O10" s="87"/>
      <c r="P10" s="86"/>
      <c r="Q10" s="103"/>
      <c r="R10" s="71"/>
    </row>
    <row r="11" spans="2:18" ht="20.100000000000001" customHeight="1">
      <c r="B11" s="439"/>
      <c r="C11" s="54" t="s">
        <v>13</v>
      </c>
      <c r="D11" s="428">
        <f>SUM(D9:E10)</f>
        <v>124820.8</v>
      </c>
      <c r="E11" s="429"/>
      <c r="F11" s="430">
        <f t="shared" si="0"/>
        <v>37758.292000000001</v>
      </c>
      <c r="G11" s="431"/>
      <c r="H11" s="130"/>
      <c r="I11" s="130"/>
      <c r="J11" s="7"/>
      <c r="K11" s="63"/>
      <c r="L11" s="64"/>
      <c r="M11" s="65"/>
      <c r="N11" s="86"/>
      <c r="O11" s="87"/>
      <c r="P11" s="88"/>
      <c r="Q11" s="103"/>
      <c r="R11" s="69"/>
    </row>
    <row r="12" spans="2:18" ht="20.100000000000001" customHeight="1">
      <c r="B12" s="413" t="s">
        <v>29</v>
      </c>
      <c r="C12" s="419"/>
      <c r="D12" s="428">
        <f>O49-K49-I49</f>
        <v>70985</v>
      </c>
      <c r="E12" s="429"/>
      <c r="F12" s="430">
        <f t="shared" si="0"/>
        <v>21472.962499999998</v>
      </c>
      <c r="G12" s="431"/>
      <c r="H12" s="130"/>
      <c r="I12" s="130"/>
      <c r="J12" s="7"/>
      <c r="K12" s="63"/>
      <c r="L12" s="64"/>
      <c r="M12" s="65"/>
      <c r="N12" s="86"/>
      <c r="O12" s="87"/>
      <c r="P12" s="88"/>
      <c r="Q12" s="103"/>
      <c r="R12" s="72"/>
    </row>
    <row r="13" spans="2:18" ht="20.100000000000001" customHeight="1">
      <c r="B13" s="413" t="s">
        <v>28</v>
      </c>
      <c r="C13" s="437"/>
      <c r="D13" s="428">
        <v>20699</v>
      </c>
      <c r="E13" s="429"/>
      <c r="F13" s="430">
        <f t="shared" si="0"/>
        <v>6261.4475000000002</v>
      </c>
      <c r="G13" s="431"/>
      <c r="H13" s="436"/>
      <c r="I13" s="436"/>
      <c r="J13" s="7"/>
      <c r="K13" s="63"/>
      <c r="L13" s="64"/>
      <c r="M13" s="65"/>
      <c r="N13" s="86"/>
      <c r="O13" s="87"/>
      <c r="P13" s="86"/>
      <c r="Q13" s="103"/>
      <c r="R13" s="69"/>
    </row>
    <row r="14" spans="2:18" ht="20.100000000000001" customHeight="1">
      <c r="B14" s="413" t="s">
        <v>30</v>
      </c>
      <c r="C14" s="419"/>
      <c r="D14" s="434">
        <f>D13/D5</f>
        <v>0.6945996463075379</v>
      </c>
      <c r="E14" s="435"/>
      <c r="F14" s="422" t="s">
        <v>70</v>
      </c>
      <c r="G14" s="421"/>
      <c r="H14" s="130"/>
      <c r="I14" s="130"/>
      <c r="J14" s="7"/>
      <c r="K14" s="63"/>
      <c r="L14" s="64"/>
      <c r="M14" s="65"/>
      <c r="N14" s="86"/>
      <c r="O14" s="87"/>
      <c r="P14" s="88"/>
      <c r="Q14" s="103"/>
      <c r="R14" s="73"/>
    </row>
    <row r="15" spans="2:18" ht="20.100000000000001" customHeight="1">
      <c r="B15" s="413" t="s">
        <v>31</v>
      </c>
      <c r="C15" s="419"/>
      <c r="D15" s="434">
        <f>D12/D5</f>
        <v>2.3820549733388368</v>
      </c>
      <c r="E15" s="435"/>
      <c r="F15" s="422" t="s">
        <v>76</v>
      </c>
      <c r="G15" s="421"/>
      <c r="H15" s="130"/>
      <c r="I15" s="130"/>
      <c r="J15" s="7"/>
      <c r="K15" s="63"/>
      <c r="L15" s="64"/>
      <c r="M15" s="65"/>
      <c r="N15" s="86"/>
      <c r="O15" s="87"/>
      <c r="P15" s="86"/>
      <c r="Q15" s="103"/>
      <c r="R15" s="76"/>
    </row>
    <row r="16" spans="2:18" ht="20.100000000000001" customHeight="1">
      <c r="B16" s="423" t="s">
        <v>58</v>
      </c>
      <c r="C16" s="424"/>
      <c r="D16" s="428">
        <f>$O$50-$K$50</f>
        <v>102240.8</v>
      </c>
      <c r="E16" s="429"/>
      <c r="F16" s="430">
        <f t="shared" ref="F16" si="1">D16*0.3025</f>
        <v>30927.842000000001</v>
      </c>
      <c r="G16" s="431"/>
      <c r="H16" s="432" t="s">
        <v>61</v>
      </c>
      <c r="I16" s="433"/>
      <c r="J16" s="7"/>
      <c r="K16" s="63"/>
      <c r="L16" s="64"/>
      <c r="M16" s="65"/>
      <c r="N16" s="86"/>
      <c r="O16" s="87"/>
      <c r="P16" s="86"/>
      <c r="Q16" s="103"/>
      <c r="R16" s="69"/>
    </row>
    <row r="17" spans="2:18" ht="20.100000000000001" customHeight="1">
      <c r="B17" s="413" t="s">
        <v>57</v>
      </c>
      <c r="C17" s="419"/>
      <c r="D17" s="434">
        <f>D16/$O$50</f>
        <v>0.8191006627100611</v>
      </c>
      <c r="E17" s="435"/>
      <c r="F17" s="422" t="s">
        <v>38</v>
      </c>
      <c r="G17" s="421"/>
      <c r="H17" s="130"/>
      <c r="I17" s="130"/>
      <c r="J17" s="7"/>
      <c r="K17" s="63"/>
      <c r="L17" s="64"/>
      <c r="M17" s="65"/>
      <c r="N17" s="86"/>
      <c r="O17" s="87"/>
      <c r="P17" s="88"/>
      <c r="Q17" s="103"/>
      <c r="R17" s="69"/>
    </row>
    <row r="18" spans="2:18" ht="20.100000000000001" customHeight="1">
      <c r="B18" s="423" t="s">
        <v>59</v>
      </c>
      <c r="C18" s="424"/>
      <c r="D18" s="428">
        <f>$O$50-$K$50-$I$50</f>
        <v>92038.8</v>
      </c>
      <c r="E18" s="429"/>
      <c r="F18" s="430">
        <f t="shared" ref="F18" si="2">D18*0.3025</f>
        <v>27841.737000000001</v>
      </c>
      <c r="G18" s="431"/>
      <c r="H18" s="432" t="s">
        <v>62</v>
      </c>
      <c r="I18" s="433"/>
      <c r="J18" s="7"/>
      <c r="K18" s="63"/>
      <c r="L18" s="64"/>
      <c r="M18" s="65"/>
      <c r="N18" s="86"/>
      <c r="O18" s="87"/>
      <c r="P18" s="88"/>
      <c r="Q18" s="103"/>
      <c r="R18" s="69"/>
    </row>
    <row r="19" spans="2:18" ht="20.100000000000001" customHeight="1">
      <c r="B19" s="413" t="s">
        <v>60</v>
      </c>
      <c r="C19" s="419"/>
      <c r="D19" s="434">
        <f>D18/$O$50</f>
        <v>0.73736749003371238</v>
      </c>
      <c r="E19" s="435"/>
      <c r="F19" s="422" t="s">
        <v>38</v>
      </c>
      <c r="G19" s="421"/>
      <c r="H19" s="130"/>
      <c r="I19" s="130"/>
      <c r="J19" s="7"/>
      <c r="K19" s="63"/>
      <c r="L19" s="64"/>
      <c r="M19" s="65"/>
      <c r="N19" s="86"/>
      <c r="O19" s="87"/>
      <c r="P19" s="88"/>
      <c r="Q19" s="103"/>
      <c r="R19" s="72"/>
    </row>
    <row r="20" spans="2:18" ht="20.100000000000001" customHeight="1">
      <c r="B20" s="413" t="s">
        <v>32</v>
      </c>
      <c r="C20" s="419"/>
      <c r="D20" s="420" t="s">
        <v>87</v>
      </c>
      <c r="E20" s="421"/>
      <c r="F20" s="422" t="s">
        <v>77</v>
      </c>
      <c r="G20" s="421"/>
      <c r="H20" s="130"/>
      <c r="I20" s="130"/>
      <c r="J20" s="7"/>
      <c r="K20" s="63"/>
      <c r="L20" s="64"/>
      <c r="M20" s="65"/>
      <c r="N20" s="86"/>
      <c r="O20" s="87"/>
      <c r="P20" s="88"/>
      <c r="Q20" s="103"/>
      <c r="R20" s="72"/>
    </row>
    <row r="21" spans="2:18" ht="20.100000000000001" customHeight="1" thickBot="1">
      <c r="B21" s="423" t="s">
        <v>23</v>
      </c>
      <c r="C21" s="424"/>
      <c r="D21" s="420">
        <v>8.5000000000000006E-2</v>
      </c>
      <c r="E21" s="425"/>
      <c r="F21" s="426" t="s">
        <v>34</v>
      </c>
      <c r="G21" s="427"/>
      <c r="H21" s="411"/>
      <c r="I21" s="412"/>
      <c r="J21" s="7"/>
      <c r="K21" s="63"/>
      <c r="L21" s="64"/>
      <c r="M21" s="65"/>
      <c r="N21" s="86"/>
      <c r="O21" s="87"/>
      <c r="P21" s="88"/>
      <c r="Q21" s="103"/>
      <c r="R21" s="72"/>
    </row>
    <row r="22" spans="2:18" ht="20.100000000000001" hidden="1" customHeight="1">
      <c r="B22" s="413" t="s">
        <v>63</v>
      </c>
      <c r="C22" s="414"/>
      <c r="D22" s="396"/>
      <c r="E22" s="397"/>
      <c r="F22" s="397"/>
      <c r="G22" s="397"/>
      <c r="H22" s="397"/>
      <c r="I22" s="397"/>
      <c r="J22" s="7"/>
      <c r="K22" s="63"/>
      <c r="L22" s="64"/>
      <c r="M22" s="65"/>
      <c r="N22" s="66"/>
      <c r="O22" s="67"/>
      <c r="P22" s="68"/>
      <c r="Q22" s="104"/>
      <c r="R22" s="72"/>
    </row>
    <row r="23" spans="2:18" ht="20.100000000000001" hidden="1" customHeight="1">
      <c r="B23" s="415"/>
      <c r="C23" s="416"/>
      <c r="D23" s="396"/>
      <c r="E23" s="397"/>
      <c r="F23" s="397"/>
      <c r="G23" s="397"/>
      <c r="H23" s="397"/>
      <c r="I23" s="397"/>
      <c r="J23" s="7"/>
      <c r="K23" s="63"/>
      <c r="L23" s="64"/>
      <c r="M23" s="65"/>
      <c r="N23" s="66"/>
      <c r="O23" s="67"/>
      <c r="P23" s="68"/>
      <c r="Q23" s="104"/>
      <c r="R23" s="72"/>
    </row>
    <row r="24" spans="2:18" ht="20.100000000000001" hidden="1" customHeight="1">
      <c r="B24" s="415"/>
      <c r="C24" s="416"/>
      <c r="D24" s="396"/>
      <c r="E24" s="397"/>
      <c r="F24" s="397"/>
      <c r="G24" s="397"/>
      <c r="H24" s="397"/>
      <c r="I24" s="397"/>
      <c r="J24" s="7"/>
      <c r="K24" s="63"/>
      <c r="L24" s="64"/>
      <c r="M24" s="65"/>
      <c r="N24" s="66"/>
      <c r="O24" s="67"/>
      <c r="P24" s="68"/>
      <c r="Q24" s="104"/>
      <c r="R24" s="72"/>
    </row>
    <row r="25" spans="2:18" ht="20.100000000000001" hidden="1" customHeight="1">
      <c r="B25" s="415"/>
      <c r="C25" s="416"/>
      <c r="D25" s="396"/>
      <c r="E25" s="397"/>
      <c r="F25" s="397"/>
      <c r="G25" s="397"/>
      <c r="H25" s="397"/>
      <c r="I25" s="397"/>
      <c r="J25" s="7"/>
      <c r="K25" s="63"/>
      <c r="L25" s="64"/>
      <c r="M25" s="65"/>
      <c r="N25" s="66"/>
      <c r="O25" s="67"/>
      <c r="P25" s="68"/>
      <c r="Q25" s="104"/>
      <c r="R25" s="72"/>
    </row>
    <row r="26" spans="2:18" ht="20.100000000000001" hidden="1" customHeight="1">
      <c r="B26" s="415"/>
      <c r="C26" s="416"/>
      <c r="D26" s="396"/>
      <c r="E26" s="397"/>
      <c r="F26" s="397"/>
      <c r="G26" s="397"/>
      <c r="H26" s="397"/>
      <c r="I26" s="397"/>
      <c r="J26" s="7"/>
      <c r="K26" s="63"/>
      <c r="L26" s="64"/>
      <c r="M26" s="65"/>
      <c r="N26" s="66"/>
      <c r="O26" s="67"/>
      <c r="P26" s="68"/>
      <c r="Q26" s="104"/>
      <c r="R26" s="72"/>
    </row>
    <row r="27" spans="2:18" ht="20.100000000000001" hidden="1" customHeight="1">
      <c r="B27" s="415"/>
      <c r="C27" s="416"/>
      <c r="D27" s="396"/>
      <c r="E27" s="397"/>
      <c r="F27" s="397"/>
      <c r="G27" s="397"/>
      <c r="H27" s="397"/>
      <c r="I27" s="397"/>
      <c r="J27" s="7"/>
      <c r="K27" s="63"/>
      <c r="L27" s="64"/>
      <c r="M27" s="65"/>
      <c r="N27" s="66"/>
      <c r="O27" s="67"/>
      <c r="P27" s="68"/>
      <c r="Q27" s="104"/>
      <c r="R27" s="72"/>
    </row>
    <row r="28" spans="2:18" ht="20.100000000000001" hidden="1" customHeight="1">
      <c r="B28" s="415"/>
      <c r="C28" s="416"/>
      <c r="D28" s="396"/>
      <c r="E28" s="397"/>
      <c r="F28" s="397"/>
      <c r="G28" s="397"/>
      <c r="H28" s="397"/>
      <c r="I28" s="397"/>
      <c r="J28" s="7"/>
      <c r="K28" s="63"/>
      <c r="L28" s="64"/>
      <c r="M28" s="65"/>
      <c r="N28" s="66"/>
      <c r="O28" s="67"/>
      <c r="P28" s="68"/>
      <c r="Q28" s="104"/>
      <c r="R28" s="72"/>
    </row>
    <row r="29" spans="2:18" ht="20.100000000000001" hidden="1" customHeight="1">
      <c r="B29" s="415"/>
      <c r="C29" s="416"/>
      <c r="D29" s="396"/>
      <c r="E29" s="397"/>
      <c r="F29" s="397"/>
      <c r="G29" s="397"/>
      <c r="H29" s="397"/>
      <c r="I29" s="397"/>
      <c r="J29" s="7"/>
      <c r="K29" s="63"/>
      <c r="L29" s="64"/>
      <c r="M29" s="65"/>
      <c r="N29" s="66"/>
      <c r="O29" s="67"/>
      <c r="P29" s="68"/>
      <c r="Q29" s="104"/>
      <c r="R29" s="72"/>
    </row>
    <row r="30" spans="2:18" ht="20.100000000000001" hidden="1" customHeight="1" thickBot="1">
      <c r="B30" s="415"/>
      <c r="C30" s="416"/>
      <c r="D30" s="396"/>
      <c r="E30" s="397"/>
      <c r="F30" s="397"/>
      <c r="G30" s="397"/>
      <c r="H30" s="397"/>
      <c r="I30" s="397"/>
      <c r="J30" s="7"/>
      <c r="K30" s="63"/>
      <c r="L30" s="64"/>
      <c r="M30" s="65"/>
      <c r="N30" s="66"/>
      <c r="O30" s="67"/>
      <c r="P30" s="68"/>
      <c r="Q30" s="104"/>
      <c r="R30" s="72"/>
    </row>
    <row r="31" spans="2:18" ht="20.100000000000001" customHeight="1" thickBot="1">
      <c r="B31" s="417"/>
      <c r="C31" s="418"/>
      <c r="D31" s="398" t="s">
        <v>81</v>
      </c>
      <c r="E31" s="399"/>
      <c r="F31" s="400"/>
      <c r="G31" s="100">
        <f>(O50-I50-K50)/400</f>
        <v>230.09700000000001</v>
      </c>
      <c r="H31" s="401" t="s">
        <v>82</v>
      </c>
      <c r="I31" s="402"/>
      <c r="J31" s="7"/>
      <c r="K31" s="403" t="s">
        <v>19</v>
      </c>
      <c r="L31" s="404"/>
      <c r="M31" s="405"/>
      <c r="N31" s="89">
        <f>SUM(N4:N30)</f>
        <v>0</v>
      </c>
      <c r="O31" s="90">
        <f>N31*0.3025</f>
        <v>0</v>
      </c>
      <c r="P31" s="91">
        <f>SUM(P4:P30)</f>
        <v>0</v>
      </c>
      <c r="Q31" s="92">
        <f>P31*0.3025</f>
        <v>0</v>
      </c>
      <c r="R31" s="59"/>
    </row>
    <row r="32" spans="2:18" ht="6" customHeight="1" thickTop="1">
      <c r="B32" s="5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2:21" ht="24.95" customHeight="1" thickBot="1">
      <c r="B33" s="75" t="s">
        <v>22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101"/>
      <c r="R33" s="3"/>
    </row>
    <row r="34" spans="2:21" ht="20.100000000000001" customHeight="1">
      <c r="B34" s="407" t="s">
        <v>40</v>
      </c>
      <c r="C34" s="390" t="s">
        <v>55</v>
      </c>
      <c r="D34" s="409"/>
      <c r="E34" s="410" t="s">
        <v>56</v>
      </c>
      <c r="F34" s="409"/>
      <c r="G34" s="410" t="s">
        <v>48</v>
      </c>
      <c r="H34" s="409"/>
      <c r="I34" s="388" t="s">
        <v>54</v>
      </c>
      <c r="J34" s="406"/>
      <c r="K34" s="388" t="s">
        <v>33</v>
      </c>
      <c r="L34" s="406"/>
      <c r="M34" s="388" t="s">
        <v>50</v>
      </c>
      <c r="N34" s="389"/>
      <c r="O34" s="390" t="s">
        <v>6</v>
      </c>
      <c r="P34" s="391"/>
      <c r="Q34" s="392" t="s">
        <v>49</v>
      </c>
      <c r="R34" s="394" t="s">
        <v>18</v>
      </c>
      <c r="T34" s="50" t="s">
        <v>49</v>
      </c>
    </row>
    <row r="35" spans="2:21" ht="20.100000000000001" customHeight="1" thickBot="1">
      <c r="B35" s="408"/>
      <c r="C35" s="21" t="s">
        <v>4</v>
      </c>
      <c r="D35" s="22" t="s">
        <v>5</v>
      </c>
      <c r="E35" s="23" t="s">
        <v>4</v>
      </c>
      <c r="F35" s="22" t="s">
        <v>5</v>
      </c>
      <c r="G35" s="23" t="s">
        <v>4</v>
      </c>
      <c r="H35" s="22" t="s">
        <v>5</v>
      </c>
      <c r="I35" s="22" t="s">
        <v>4</v>
      </c>
      <c r="J35" s="22" t="s">
        <v>5</v>
      </c>
      <c r="K35" s="22" t="s">
        <v>4</v>
      </c>
      <c r="L35" s="22" t="s">
        <v>5</v>
      </c>
      <c r="M35" s="22" t="s">
        <v>4</v>
      </c>
      <c r="N35" s="24" t="s">
        <v>5</v>
      </c>
      <c r="O35" s="25" t="s">
        <v>4</v>
      </c>
      <c r="P35" s="26" t="s">
        <v>5</v>
      </c>
      <c r="Q35" s="393"/>
      <c r="R35" s="395"/>
      <c r="T35" s="50" t="s">
        <v>51</v>
      </c>
      <c r="U35" s="50" t="s">
        <v>52</v>
      </c>
    </row>
    <row r="36" spans="2:21" ht="20.100000000000001" hidden="1" customHeight="1">
      <c r="B36" s="33" t="s">
        <v>42</v>
      </c>
      <c r="C36" s="117">
        <v>0</v>
      </c>
      <c r="D36" s="113">
        <f>C36*0.3025</f>
        <v>0</v>
      </c>
      <c r="E36" s="114">
        <v>0</v>
      </c>
      <c r="F36" s="113">
        <f>E36*0.3025</f>
        <v>0</v>
      </c>
      <c r="G36" s="114">
        <v>0</v>
      </c>
      <c r="H36" s="113">
        <f>G36*0.3025</f>
        <v>0</v>
      </c>
      <c r="I36" s="115">
        <v>0</v>
      </c>
      <c r="J36" s="115">
        <f>I36*0.3025</f>
        <v>0</v>
      </c>
      <c r="K36" s="115">
        <v>0</v>
      </c>
      <c r="L36" s="113">
        <f>K36*0.3025</f>
        <v>0</v>
      </c>
      <c r="M36" s="115">
        <v>0</v>
      </c>
      <c r="N36" s="77">
        <f>M36*0.3025</f>
        <v>0</v>
      </c>
      <c r="O36" s="13">
        <f>C36+E36+G36+I36+K36+M36</f>
        <v>0</v>
      </c>
      <c r="P36" s="14">
        <f t="shared" ref="P36:P50" si="3">O36*0.3025</f>
        <v>0</v>
      </c>
      <c r="Q36" s="105"/>
      <c r="R36" s="79" t="s">
        <v>41</v>
      </c>
    </row>
    <row r="37" spans="2:21" ht="20.100000000000001" customHeight="1">
      <c r="B37" s="33" t="s">
        <v>37</v>
      </c>
      <c r="C37" s="97">
        <v>0</v>
      </c>
      <c r="D37" s="96">
        <f>C37*0.3025</f>
        <v>0</v>
      </c>
      <c r="E37" s="15">
        <v>14502.8</v>
      </c>
      <c r="F37" s="16">
        <f t="shared" ref="F37:F38" si="4">E37*0.3025</f>
        <v>4387.0969999999998</v>
      </c>
      <c r="G37" s="15">
        <f>149+326-30</f>
        <v>445</v>
      </c>
      <c r="H37" s="16">
        <f t="shared" ref="H37:H38" si="5">G37*0.3025</f>
        <v>134.61249999999998</v>
      </c>
      <c r="I37" s="16">
        <v>1802</v>
      </c>
      <c r="J37" s="16">
        <f t="shared" ref="J37:J38" si="6">I37*0.3025</f>
        <v>545.10500000000002</v>
      </c>
      <c r="K37" s="16">
        <v>4004</v>
      </c>
      <c r="L37" s="16">
        <f t="shared" ref="L37:L38" si="7">K37*0.3025</f>
        <v>1211.21</v>
      </c>
      <c r="M37" s="16">
        <v>1546</v>
      </c>
      <c r="N37" s="118">
        <f>M37*0.3025</f>
        <v>467.66499999999996</v>
      </c>
      <c r="O37" s="13">
        <f>C37+E37+G37+I37+K37+M37</f>
        <v>22299.8</v>
      </c>
      <c r="P37" s="14">
        <f t="shared" si="3"/>
        <v>6745.6894999999995</v>
      </c>
      <c r="Q37" s="106"/>
      <c r="R37" s="80" t="s">
        <v>56</v>
      </c>
    </row>
    <row r="38" spans="2:21" ht="20.100000000000001" customHeight="1" thickBot="1">
      <c r="B38" s="37" t="s">
        <v>0</v>
      </c>
      <c r="C38" s="119">
        <v>0</v>
      </c>
      <c r="D38" s="120">
        <f>C38*0.3025</f>
        <v>0</v>
      </c>
      <c r="E38" s="121">
        <v>0</v>
      </c>
      <c r="F38" s="122">
        <f t="shared" si="4"/>
        <v>0</v>
      </c>
      <c r="G38" s="121">
        <v>4560</v>
      </c>
      <c r="H38" s="122">
        <f t="shared" si="5"/>
        <v>1379.3999999999999</v>
      </c>
      <c r="I38" s="122">
        <v>0</v>
      </c>
      <c r="J38" s="122">
        <f t="shared" si="6"/>
        <v>0</v>
      </c>
      <c r="K38" s="122">
        <v>0</v>
      </c>
      <c r="L38" s="122">
        <f t="shared" si="7"/>
        <v>0</v>
      </c>
      <c r="M38" s="122">
        <v>0</v>
      </c>
      <c r="N38" s="123">
        <f>M38*0.3025</f>
        <v>0</v>
      </c>
      <c r="O38" s="40">
        <f>C38+E38+G38+I38+K38+M38</f>
        <v>4560</v>
      </c>
      <c r="P38" s="41">
        <f t="shared" si="3"/>
        <v>1379.3999999999999</v>
      </c>
      <c r="Q38" s="107"/>
      <c r="R38" s="95" t="s">
        <v>72</v>
      </c>
      <c r="T38" s="50">
        <v>25</v>
      </c>
      <c r="U38" s="50">
        <v>57</v>
      </c>
    </row>
    <row r="39" spans="2:21" ht="20.100000000000001" customHeight="1" thickBot="1">
      <c r="B39" s="27" t="s">
        <v>24</v>
      </c>
      <c r="C39" s="42">
        <f>SUM(C36:C38)</f>
        <v>0</v>
      </c>
      <c r="D39" s="29">
        <f>C39*0.3025</f>
        <v>0</v>
      </c>
      <c r="E39" s="43">
        <f>SUM(E36:E38)</f>
        <v>14502.8</v>
      </c>
      <c r="F39" s="30">
        <f>E39*0.3025</f>
        <v>4387.0969999999998</v>
      </c>
      <c r="G39" s="43">
        <f>SUM(G36:G38)</f>
        <v>5005</v>
      </c>
      <c r="H39" s="30">
        <f>G39*0.3025</f>
        <v>1514.0125</v>
      </c>
      <c r="I39" s="30">
        <f>SUM(I36:I38)</f>
        <v>1802</v>
      </c>
      <c r="J39" s="30">
        <f>I39*0.3025</f>
        <v>545.10500000000002</v>
      </c>
      <c r="K39" s="30">
        <f>SUM(K36:K38)</f>
        <v>4004</v>
      </c>
      <c r="L39" s="30">
        <f>K39*0.3025</f>
        <v>1211.21</v>
      </c>
      <c r="M39" s="30">
        <f>SUM(M36:M38)</f>
        <v>1546</v>
      </c>
      <c r="N39" s="31">
        <f>M39*0.3025</f>
        <v>467.66499999999996</v>
      </c>
      <c r="O39" s="28">
        <f>SUM(O36:O38)</f>
        <v>26859.8</v>
      </c>
      <c r="P39" s="32">
        <f t="shared" si="3"/>
        <v>8125.0894999999991</v>
      </c>
      <c r="Q39" s="108"/>
      <c r="R39" s="82"/>
    </row>
    <row r="40" spans="2:21" ht="20.100000000000001" customHeight="1">
      <c r="B40" s="33" t="s">
        <v>1</v>
      </c>
      <c r="C40" s="112">
        <v>0</v>
      </c>
      <c r="D40" s="113">
        <f t="shared" ref="D40:D50" si="8">C40*0.3025</f>
        <v>0</v>
      </c>
      <c r="E40" s="114">
        <f>13828-100</f>
        <v>13728</v>
      </c>
      <c r="F40" s="115">
        <f t="shared" ref="F40:F48" si="9">E40*0.3025</f>
        <v>4152.72</v>
      </c>
      <c r="G40" s="114">
        <f>149+350-30</f>
        <v>469</v>
      </c>
      <c r="H40" s="115">
        <f t="shared" ref="H40:H48" si="10">G40*0.3025</f>
        <v>141.8725</v>
      </c>
      <c r="I40" s="115">
        <v>1680</v>
      </c>
      <c r="J40" s="115">
        <f t="shared" ref="J40:J50" si="11">I40*0.3025</f>
        <v>508.2</v>
      </c>
      <c r="K40" s="115">
        <v>4644</v>
      </c>
      <c r="L40" s="115">
        <f t="shared" ref="L40:L50" si="12">K40*0.3025</f>
        <v>1404.81</v>
      </c>
      <c r="M40" s="38">
        <v>0</v>
      </c>
      <c r="N40" s="39">
        <f t="shared" ref="N40:N50" si="13">M40*0.3025</f>
        <v>0</v>
      </c>
      <c r="O40" s="13">
        <f>C40+E40+G40+I40+K40+M40</f>
        <v>20521</v>
      </c>
      <c r="P40" s="14">
        <f t="shared" si="3"/>
        <v>6207.6025</v>
      </c>
      <c r="Q40" s="105"/>
      <c r="R40" s="79" t="s">
        <v>56</v>
      </c>
      <c r="T40" s="50">
        <v>25</v>
      </c>
      <c r="U40" s="50">
        <v>57</v>
      </c>
    </row>
    <row r="41" spans="2:21" ht="20.100000000000001" customHeight="1">
      <c r="B41" s="34" t="s">
        <v>2</v>
      </c>
      <c r="C41" s="116">
        <v>0</v>
      </c>
      <c r="D41" s="96">
        <f t="shared" si="8"/>
        <v>0</v>
      </c>
      <c r="E41" s="15">
        <f>13828-100</f>
        <v>13728</v>
      </c>
      <c r="F41" s="16">
        <f t="shared" si="9"/>
        <v>4152.72</v>
      </c>
      <c r="G41" s="15">
        <f>149+350-30</f>
        <v>469</v>
      </c>
      <c r="H41" s="16">
        <f t="shared" si="10"/>
        <v>141.8725</v>
      </c>
      <c r="I41" s="16">
        <v>1680</v>
      </c>
      <c r="J41" s="16">
        <f t="shared" si="11"/>
        <v>508.2</v>
      </c>
      <c r="K41" s="16">
        <v>4644</v>
      </c>
      <c r="L41" s="16">
        <f t="shared" si="12"/>
        <v>1404.81</v>
      </c>
      <c r="M41" s="16">
        <v>0</v>
      </c>
      <c r="N41" s="17">
        <f t="shared" si="13"/>
        <v>0</v>
      </c>
      <c r="O41" s="13">
        <f t="shared" ref="O41:O48" si="14">C41+E41+G41+I41+K41+M41</f>
        <v>20521</v>
      </c>
      <c r="P41" s="18">
        <f t="shared" si="3"/>
        <v>6207.6025</v>
      </c>
      <c r="Q41" s="106"/>
      <c r="R41" s="80" t="s">
        <v>56</v>
      </c>
      <c r="T41" s="50">
        <v>6</v>
      </c>
      <c r="U41" s="50">
        <f>U40</f>
        <v>57</v>
      </c>
    </row>
    <row r="42" spans="2:21" ht="20.100000000000001" customHeight="1">
      <c r="B42" s="35" t="s">
        <v>3</v>
      </c>
      <c r="C42" s="116">
        <f>13828-100</f>
        <v>13728</v>
      </c>
      <c r="D42" s="96">
        <f t="shared" si="8"/>
        <v>4152.72</v>
      </c>
      <c r="E42" s="15">
        <v>0</v>
      </c>
      <c r="F42" s="16">
        <f t="shared" si="9"/>
        <v>0</v>
      </c>
      <c r="G42" s="15">
        <f>149+350-30</f>
        <v>469</v>
      </c>
      <c r="H42" s="16">
        <f t="shared" si="10"/>
        <v>141.8725</v>
      </c>
      <c r="I42" s="16">
        <v>1680</v>
      </c>
      <c r="J42" s="16">
        <f t="shared" si="11"/>
        <v>508.2</v>
      </c>
      <c r="K42" s="16">
        <v>4644</v>
      </c>
      <c r="L42" s="16">
        <f t="shared" si="12"/>
        <v>1404.81</v>
      </c>
      <c r="M42" s="16">
        <v>0</v>
      </c>
      <c r="N42" s="17">
        <f t="shared" si="13"/>
        <v>0</v>
      </c>
      <c r="O42" s="13">
        <f t="shared" si="14"/>
        <v>20521</v>
      </c>
      <c r="P42" s="18">
        <f t="shared" si="3"/>
        <v>6207.6025</v>
      </c>
      <c r="Q42" s="106"/>
      <c r="R42" s="80" t="s">
        <v>55</v>
      </c>
      <c r="T42" s="50">
        <f t="shared" ref="T42:U46" si="15">T41</f>
        <v>6</v>
      </c>
      <c r="U42" s="50">
        <f t="shared" si="15"/>
        <v>57</v>
      </c>
    </row>
    <row r="43" spans="2:21" ht="20.100000000000001" customHeight="1">
      <c r="B43" s="35" t="s">
        <v>43</v>
      </c>
      <c r="C43" s="116">
        <f t="shared" ref="C43:C44" si="16">13828-100</f>
        <v>13728</v>
      </c>
      <c r="D43" s="96">
        <f t="shared" si="8"/>
        <v>4152.72</v>
      </c>
      <c r="E43" s="15">
        <v>0</v>
      </c>
      <c r="F43" s="16">
        <f t="shared" si="9"/>
        <v>0</v>
      </c>
      <c r="G43" s="15">
        <f t="shared" ref="G43:G44" si="17">149+350-30</f>
        <v>469</v>
      </c>
      <c r="H43" s="16">
        <f t="shared" si="10"/>
        <v>141.8725</v>
      </c>
      <c r="I43" s="16">
        <v>1680</v>
      </c>
      <c r="J43" s="16">
        <f t="shared" si="11"/>
        <v>508.2</v>
      </c>
      <c r="K43" s="16">
        <v>4644</v>
      </c>
      <c r="L43" s="16">
        <f t="shared" si="12"/>
        <v>1404.81</v>
      </c>
      <c r="M43" s="16">
        <v>0</v>
      </c>
      <c r="N43" s="17">
        <f t="shared" si="13"/>
        <v>0</v>
      </c>
      <c r="O43" s="13">
        <f t="shared" si="14"/>
        <v>20521</v>
      </c>
      <c r="P43" s="18">
        <f t="shared" si="3"/>
        <v>6207.6025</v>
      </c>
      <c r="Q43" s="106"/>
      <c r="R43" s="80" t="s">
        <v>55</v>
      </c>
      <c r="T43" s="50">
        <f t="shared" si="15"/>
        <v>6</v>
      </c>
      <c r="U43" s="50">
        <f t="shared" si="15"/>
        <v>57</v>
      </c>
    </row>
    <row r="44" spans="2:21" ht="20.100000000000001" customHeight="1" thickBot="1">
      <c r="B44" s="35" t="s">
        <v>44</v>
      </c>
      <c r="C44" s="116">
        <f t="shared" si="16"/>
        <v>13728</v>
      </c>
      <c r="D44" s="96">
        <f t="shared" si="8"/>
        <v>4152.72</v>
      </c>
      <c r="E44" s="15">
        <v>0</v>
      </c>
      <c r="F44" s="16">
        <f t="shared" si="9"/>
        <v>0</v>
      </c>
      <c r="G44" s="15">
        <f t="shared" si="17"/>
        <v>469</v>
      </c>
      <c r="H44" s="16">
        <f t="shared" si="10"/>
        <v>141.8725</v>
      </c>
      <c r="I44" s="16">
        <v>1680</v>
      </c>
      <c r="J44" s="16">
        <f t="shared" si="11"/>
        <v>508.2</v>
      </c>
      <c r="K44" s="16">
        <v>0</v>
      </c>
      <c r="L44" s="16">
        <f t="shared" si="12"/>
        <v>0</v>
      </c>
      <c r="M44" s="16">
        <v>0</v>
      </c>
      <c r="N44" s="17">
        <f t="shared" si="13"/>
        <v>0</v>
      </c>
      <c r="O44" s="13">
        <f t="shared" si="14"/>
        <v>15877</v>
      </c>
      <c r="P44" s="18">
        <f t="shared" si="3"/>
        <v>4802.7924999999996</v>
      </c>
      <c r="Q44" s="106"/>
      <c r="R44" s="80" t="s">
        <v>55</v>
      </c>
      <c r="T44" s="50">
        <f t="shared" si="15"/>
        <v>6</v>
      </c>
      <c r="U44" s="50">
        <f t="shared" si="15"/>
        <v>57</v>
      </c>
    </row>
    <row r="45" spans="2:21" ht="20.100000000000001" hidden="1" customHeight="1">
      <c r="B45" s="35" t="s">
        <v>45</v>
      </c>
      <c r="C45" s="97">
        <v>0</v>
      </c>
      <c r="D45" s="96">
        <f t="shared" si="8"/>
        <v>0</v>
      </c>
      <c r="E45" s="15">
        <v>0</v>
      </c>
      <c r="F45" s="16">
        <f t="shared" si="9"/>
        <v>0</v>
      </c>
      <c r="G45" s="15">
        <v>0</v>
      </c>
      <c r="H45" s="16">
        <f t="shared" si="10"/>
        <v>0</v>
      </c>
      <c r="I45" s="16">
        <v>0</v>
      </c>
      <c r="J45" s="16">
        <f t="shared" si="11"/>
        <v>0</v>
      </c>
      <c r="K45" s="16">
        <v>0</v>
      </c>
      <c r="L45" s="16">
        <f t="shared" si="12"/>
        <v>0</v>
      </c>
      <c r="M45" s="16">
        <v>0</v>
      </c>
      <c r="N45" s="17">
        <f t="shared" si="13"/>
        <v>0</v>
      </c>
      <c r="O45" s="13">
        <f t="shared" si="14"/>
        <v>0</v>
      </c>
      <c r="P45" s="18">
        <f t="shared" si="3"/>
        <v>0</v>
      </c>
      <c r="Q45" s="106"/>
      <c r="R45" s="80" t="s">
        <v>55</v>
      </c>
      <c r="T45" s="50">
        <f t="shared" si="15"/>
        <v>6</v>
      </c>
      <c r="U45" s="50">
        <f t="shared" si="15"/>
        <v>57</v>
      </c>
    </row>
    <row r="46" spans="2:21" ht="20.100000000000001" hidden="1" customHeight="1">
      <c r="B46" s="35" t="s">
        <v>46</v>
      </c>
      <c r="C46" s="97">
        <v>0</v>
      </c>
      <c r="D46" s="96">
        <f t="shared" si="8"/>
        <v>0</v>
      </c>
      <c r="E46" s="15">
        <v>0</v>
      </c>
      <c r="F46" s="16">
        <f t="shared" si="9"/>
        <v>0</v>
      </c>
      <c r="G46" s="15">
        <v>0</v>
      </c>
      <c r="H46" s="16">
        <f t="shared" si="10"/>
        <v>0</v>
      </c>
      <c r="I46" s="16">
        <v>0</v>
      </c>
      <c r="J46" s="16">
        <f t="shared" si="11"/>
        <v>0</v>
      </c>
      <c r="K46" s="16">
        <v>0</v>
      </c>
      <c r="L46" s="16">
        <f t="shared" si="12"/>
        <v>0</v>
      </c>
      <c r="M46" s="16">
        <v>0</v>
      </c>
      <c r="N46" s="17">
        <f t="shared" si="13"/>
        <v>0</v>
      </c>
      <c r="O46" s="13">
        <f t="shared" si="14"/>
        <v>0</v>
      </c>
      <c r="P46" s="18">
        <f t="shared" si="3"/>
        <v>0</v>
      </c>
      <c r="Q46" s="106"/>
      <c r="R46" s="80" t="s">
        <v>55</v>
      </c>
      <c r="T46" s="50">
        <f t="shared" si="15"/>
        <v>6</v>
      </c>
      <c r="U46" s="50">
        <f t="shared" si="15"/>
        <v>57</v>
      </c>
    </row>
    <row r="47" spans="2:21" ht="20.100000000000001" hidden="1" customHeight="1">
      <c r="B47" s="35" t="s">
        <v>47</v>
      </c>
      <c r="C47" s="15">
        <v>0</v>
      </c>
      <c r="D47" s="11">
        <f t="shared" si="8"/>
        <v>0</v>
      </c>
      <c r="E47" s="12">
        <v>0</v>
      </c>
      <c r="F47" s="12">
        <f t="shared" si="9"/>
        <v>0</v>
      </c>
      <c r="G47" s="15">
        <v>0</v>
      </c>
      <c r="H47" s="16">
        <f t="shared" si="10"/>
        <v>0</v>
      </c>
      <c r="I47" s="16">
        <v>0</v>
      </c>
      <c r="J47" s="16">
        <f t="shared" si="11"/>
        <v>0</v>
      </c>
      <c r="K47" s="16">
        <v>0</v>
      </c>
      <c r="L47" s="16">
        <f t="shared" si="12"/>
        <v>0</v>
      </c>
      <c r="M47" s="16">
        <v>0</v>
      </c>
      <c r="N47" s="17">
        <f t="shared" si="13"/>
        <v>0</v>
      </c>
      <c r="O47" s="13">
        <f t="shared" si="14"/>
        <v>0</v>
      </c>
      <c r="P47" s="18">
        <f t="shared" si="3"/>
        <v>0</v>
      </c>
      <c r="Q47" s="106"/>
      <c r="R47" s="80" t="s">
        <v>72</v>
      </c>
      <c r="T47" s="50">
        <v>378</v>
      </c>
      <c r="U47" s="50"/>
    </row>
    <row r="48" spans="2:21" ht="20.100000000000001" hidden="1" customHeight="1" thickBot="1">
      <c r="B48" s="35" t="s">
        <v>71</v>
      </c>
      <c r="C48" s="15">
        <v>0</v>
      </c>
      <c r="D48" s="11">
        <f t="shared" si="8"/>
        <v>0</v>
      </c>
      <c r="E48" s="12">
        <v>0</v>
      </c>
      <c r="F48" s="12">
        <f t="shared" si="9"/>
        <v>0</v>
      </c>
      <c r="G48" s="15">
        <v>0</v>
      </c>
      <c r="H48" s="16">
        <f t="shared" si="10"/>
        <v>0</v>
      </c>
      <c r="I48" s="16">
        <v>0</v>
      </c>
      <c r="J48" s="16">
        <f t="shared" si="11"/>
        <v>0</v>
      </c>
      <c r="K48" s="16">
        <v>0</v>
      </c>
      <c r="L48" s="16">
        <f t="shared" si="12"/>
        <v>0</v>
      </c>
      <c r="M48" s="16">
        <v>0</v>
      </c>
      <c r="N48" s="17">
        <f t="shared" si="13"/>
        <v>0</v>
      </c>
      <c r="O48" s="13">
        <f t="shared" si="14"/>
        <v>0</v>
      </c>
      <c r="P48" s="18">
        <f t="shared" si="3"/>
        <v>0</v>
      </c>
      <c r="Q48" s="106"/>
      <c r="R48" s="81" t="s">
        <v>72</v>
      </c>
      <c r="T48" s="50">
        <f>SUM(T38:T47)</f>
        <v>464</v>
      </c>
      <c r="U48" s="50">
        <f>SUM(U38:U47)</f>
        <v>456</v>
      </c>
    </row>
    <row r="49" spans="2:21" ht="20.100000000000001" customHeight="1" thickBot="1">
      <c r="B49" s="27" t="s">
        <v>25</v>
      </c>
      <c r="C49" s="42">
        <f>SUM(C40:C48)</f>
        <v>41184</v>
      </c>
      <c r="D49" s="29">
        <f>C49*0.3025</f>
        <v>12458.16</v>
      </c>
      <c r="E49" s="43">
        <f>SUM(E40:E48)</f>
        <v>27456</v>
      </c>
      <c r="F49" s="30">
        <f>E49*0.3025</f>
        <v>8305.44</v>
      </c>
      <c r="G49" s="43">
        <f>SUM(G40:G48)</f>
        <v>2345</v>
      </c>
      <c r="H49" s="30">
        <f>G49*0.3025</f>
        <v>709.36249999999995</v>
      </c>
      <c r="I49" s="30">
        <f>SUM(I40:I48)</f>
        <v>8400</v>
      </c>
      <c r="J49" s="30">
        <f>I49*0.3025</f>
        <v>2541</v>
      </c>
      <c r="K49" s="30">
        <f>SUM(K40:K48)</f>
        <v>18576</v>
      </c>
      <c r="L49" s="30">
        <f t="shared" si="12"/>
        <v>5619.24</v>
      </c>
      <c r="M49" s="30">
        <f>SUM(M40:M48)</f>
        <v>0</v>
      </c>
      <c r="N49" s="31">
        <f t="shared" si="13"/>
        <v>0</v>
      </c>
      <c r="O49" s="28">
        <f>C49+E49+G49+I49+K49+M49</f>
        <v>97961</v>
      </c>
      <c r="P49" s="32">
        <f t="shared" si="3"/>
        <v>29633.202499999999</v>
      </c>
      <c r="Q49" s="109"/>
      <c r="R49" s="82"/>
      <c r="T49" s="50" t="s">
        <v>13</v>
      </c>
      <c r="U49" s="50">
        <f>T48+U48</f>
        <v>920</v>
      </c>
    </row>
    <row r="50" spans="2:21" ht="20.100000000000001" customHeight="1" thickBot="1">
      <c r="B50" s="44" t="s">
        <v>13</v>
      </c>
      <c r="C50" s="45">
        <f>C39+C49</f>
        <v>41184</v>
      </c>
      <c r="D50" s="46">
        <f t="shared" si="8"/>
        <v>12458.16</v>
      </c>
      <c r="E50" s="47">
        <f>E39+E49</f>
        <v>41958.8</v>
      </c>
      <c r="F50" s="47">
        <f t="shared" ref="F50" si="18">E50*0.3025</f>
        <v>12692.537</v>
      </c>
      <c r="G50" s="47">
        <f>G39+G49</f>
        <v>7350</v>
      </c>
      <c r="H50" s="47">
        <f t="shared" ref="H50" si="19">G50*0.3025</f>
        <v>2223.375</v>
      </c>
      <c r="I50" s="47">
        <f>I39+I49</f>
        <v>10202</v>
      </c>
      <c r="J50" s="47">
        <f t="shared" si="11"/>
        <v>3086.105</v>
      </c>
      <c r="K50" s="47">
        <f>K39+K49</f>
        <v>22580</v>
      </c>
      <c r="L50" s="47">
        <f t="shared" si="12"/>
        <v>6830.45</v>
      </c>
      <c r="M50" s="47">
        <f>M39+M49</f>
        <v>1546</v>
      </c>
      <c r="N50" s="48">
        <f t="shared" si="13"/>
        <v>467.66499999999996</v>
      </c>
      <c r="O50" s="45">
        <f>C50+E50+G50+I50+K50+M50</f>
        <v>124820.8</v>
      </c>
      <c r="P50" s="49">
        <f t="shared" si="3"/>
        <v>37758.292000000001</v>
      </c>
      <c r="Q50" s="110"/>
      <c r="R50" s="83"/>
      <c r="S50" s="51">
        <f>O39+O49</f>
        <v>124820.8</v>
      </c>
      <c r="T50" s="51"/>
    </row>
    <row r="51" spans="2:21" ht="6" customHeight="1">
      <c r="M51" s="51"/>
      <c r="N51" s="52"/>
      <c r="O51" s="55"/>
      <c r="P51" s="55"/>
    </row>
    <row r="52" spans="2:21" ht="21.95" customHeight="1">
      <c r="B52" s="4" t="s">
        <v>20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111"/>
      <c r="R52" s="5" t="s">
        <v>21</v>
      </c>
      <c r="T52" s="51"/>
    </row>
    <row r="53" spans="2:21">
      <c r="H53" s="8"/>
      <c r="S53" s="93" t="s">
        <v>53</v>
      </c>
      <c r="T53" s="51">
        <f>C50+E50+G50+M50</f>
        <v>92038.8</v>
      </c>
      <c r="U53" s="8">
        <f>T53/300</f>
        <v>306.79599999999999</v>
      </c>
    </row>
    <row r="54" spans="2:21">
      <c r="U54" s="94">
        <f>U49/U53</f>
        <v>2.9987353159754364</v>
      </c>
    </row>
    <row r="56" spans="2:21">
      <c r="E56">
        <f>D5*0.008</f>
        <v>238.39920000000001</v>
      </c>
      <c r="F56">
        <f>E56/7</f>
        <v>34.057028571428575</v>
      </c>
    </row>
    <row r="57" spans="2:21">
      <c r="E57">
        <f>121*8</f>
        <v>968</v>
      </c>
    </row>
    <row r="58" spans="2:21">
      <c r="E58">
        <f>E57/8</f>
        <v>121</v>
      </c>
    </row>
    <row r="59" spans="2:21">
      <c r="E59">
        <f>E58/12</f>
        <v>10.083333333333334</v>
      </c>
    </row>
  </sheetData>
  <mergeCells count="76">
    <mergeCell ref="M34:N34"/>
    <mergeCell ref="O34:P34"/>
    <mergeCell ref="Q34:Q35"/>
    <mergeCell ref="R34:R35"/>
    <mergeCell ref="D30:I30"/>
    <mergeCell ref="D31:F31"/>
    <mergeCell ref="H31:I31"/>
    <mergeCell ref="K31:M31"/>
    <mergeCell ref="K34:L34"/>
    <mergeCell ref="B34:B35"/>
    <mergeCell ref="C34:D34"/>
    <mergeCell ref="E34:F34"/>
    <mergeCell ref="G34:H34"/>
    <mergeCell ref="I34:J34"/>
    <mergeCell ref="H21:I21"/>
    <mergeCell ref="B22:C31"/>
    <mergeCell ref="D22:I22"/>
    <mergeCell ref="D23:I23"/>
    <mergeCell ref="D24:I24"/>
    <mergeCell ref="D25:I25"/>
    <mergeCell ref="D26:I26"/>
    <mergeCell ref="D27:I27"/>
    <mergeCell ref="D28:I28"/>
    <mergeCell ref="D29:I29"/>
    <mergeCell ref="B20:C20"/>
    <mergeCell ref="D20:E20"/>
    <mergeCell ref="F20:G20"/>
    <mergeCell ref="B21:C21"/>
    <mergeCell ref="D21:E21"/>
    <mergeCell ref="F21:G21"/>
    <mergeCell ref="B18:C18"/>
    <mergeCell ref="D18:E18"/>
    <mergeCell ref="F18:G18"/>
    <mergeCell ref="H18:I18"/>
    <mergeCell ref="B19:C19"/>
    <mergeCell ref="D19:E19"/>
    <mergeCell ref="F19:G19"/>
    <mergeCell ref="B16:C16"/>
    <mergeCell ref="D16:E16"/>
    <mergeCell ref="F16:G16"/>
    <mergeCell ref="H16:I16"/>
    <mergeCell ref="B17:C17"/>
    <mergeCell ref="D17:E17"/>
    <mergeCell ref="F17:G17"/>
    <mergeCell ref="H13:I13"/>
    <mergeCell ref="B14:C14"/>
    <mergeCell ref="D14:E14"/>
    <mergeCell ref="F14:G14"/>
    <mergeCell ref="B15:C15"/>
    <mergeCell ref="D15:E15"/>
    <mergeCell ref="F15:G15"/>
    <mergeCell ref="B12:C12"/>
    <mergeCell ref="D12:E12"/>
    <mergeCell ref="F12:G12"/>
    <mergeCell ref="B13:C13"/>
    <mergeCell ref="D13:E13"/>
    <mergeCell ref="F13:G13"/>
    <mergeCell ref="B9:B11"/>
    <mergeCell ref="D9:E9"/>
    <mergeCell ref="F9:G9"/>
    <mergeCell ref="D10:E10"/>
    <mergeCell ref="F10:G10"/>
    <mergeCell ref="D11:E11"/>
    <mergeCell ref="F11:G11"/>
    <mergeCell ref="B3:C3"/>
    <mergeCell ref="B4:C4"/>
    <mergeCell ref="D4:I4"/>
    <mergeCell ref="B5:B8"/>
    <mergeCell ref="D5:E5"/>
    <mergeCell ref="F5:G5"/>
    <mergeCell ref="D6:E6"/>
    <mergeCell ref="F6:G6"/>
    <mergeCell ref="D7:E7"/>
    <mergeCell ref="F7:G7"/>
    <mergeCell ref="D8:E8"/>
    <mergeCell ref="F8:G8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U59"/>
  <sheetViews>
    <sheetView showGridLines="0" view="pageBreakPreview" zoomScale="85" zoomScaleNormal="85" zoomScaleSheetLayoutView="85" workbookViewId="0">
      <selection activeCell="I12" sqref="I12"/>
    </sheetView>
  </sheetViews>
  <sheetFormatPr defaultRowHeight="16.5"/>
  <cols>
    <col min="1" max="1" width="10.625" customWidth="1"/>
    <col min="2" max="16" width="12.625" customWidth="1"/>
    <col min="17" max="17" width="12.625" style="133" customWidth="1"/>
    <col min="18" max="18" width="12.625" customWidth="1"/>
    <col min="19" max="20" width="9.875" bestFit="1" customWidth="1"/>
  </cols>
  <sheetData>
    <row r="1" spans="2:18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8" ht="24.95" customHeight="1" thickBot="1">
      <c r="B2" s="78" t="s">
        <v>74</v>
      </c>
      <c r="C2" s="6"/>
      <c r="D2" s="6"/>
      <c r="E2" s="6"/>
      <c r="F2" s="6"/>
      <c r="G2" s="6"/>
      <c r="H2" s="6"/>
      <c r="I2" s="6"/>
      <c r="J2" s="1"/>
      <c r="K2" s="74" t="s">
        <v>14</v>
      </c>
      <c r="L2" s="6"/>
      <c r="M2" s="6"/>
      <c r="N2" s="6"/>
      <c r="O2" s="3"/>
      <c r="P2" s="3"/>
      <c r="Q2" s="101"/>
      <c r="R2" s="3"/>
    </row>
    <row r="3" spans="2:18" ht="20.100000000000001" customHeight="1" thickBot="1">
      <c r="B3" s="390" t="s">
        <v>8</v>
      </c>
      <c r="C3" s="440"/>
      <c r="D3" s="9" t="s">
        <v>84</v>
      </c>
      <c r="E3" s="10"/>
      <c r="F3" s="10"/>
      <c r="G3" s="10"/>
      <c r="H3" s="10"/>
      <c r="I3" s="10"/>
      <c r="J3" s="7"/>
      <c r="K3" s="53" t="s">
        <v>15</v>
      </c>
      <c r="L3" s="19" t="s">
        <v>16</v>
      </c>
      <c r="M3" s="20" t="s">
        <v>17</v>
      </c>
      <c r="N3" s="36" t="s">
        <v>26</v>
      </c>
      <c r="O3" s="57" t="s">
        <v>27</v>
      </c>
      <c r="P3" s="56" t="s">
        <v>35</v>
      </c>
      <c r="Q3" s="102" t="s">
        <v>36</v>
      </c>
      <c r="R3" s="58" t="s">
        <v>18</v>
      </c>
    </row>
    <row r="4" spans="2:18" ht="20.100000000000001" customHeight="1">
      <c r="B4" s="413" t="s">
        <v>9</v>
      </c>
      <c r="C4" s="419"/>
      <c r="D4" s="441" t="s">
        <v>75</v>
      </c>
      <c r="E4" s="442"/>
      <c r="F4" s="442"/>
      <c r="G4" s="442"/>
      <c r="H4" s="442"/>
      <c r="I4" s="442"/>
      <c r="J4" s="7"/>
      <c r="K4" s="60"/>
      <c r="L4" s="61"/>
      <c r="M4" s="20"/>
      <c r="N4" s="84"/>
      <c r="O4" s="85"/>
      <c r="P4" s="84"/>
      <c r="Q4" s="85"/>
      <c r="R4" s="62"/>
    </row>
    <row r="5" spans="2:18" ht="20.100000000000001" customHeight="1">
      <c r="B5" s="413" t="s">
        <v>10</v>
      </c>
      <c r="C5" s="54" t="s">
        <v>39</v>
      </c>
      <c r="D5" s="447">
        <v>29799.9</v>
      </c>
      <c r="E5" s="448"/>
      <c r="F5" s="430">
        <f>D5*0.3025</f>
        <v>9014.4697500000002</v>
      </c>
      <c r="G5" s="445"/>
      <c r="H5" s="132"/>
      <c r="I5" s="132"/>
      <c r="J5" s="7"/>
      <c r="K5" s="63"/>
      <c r="L5" s="64"/>
      <c r="M5" s="65"/>
      <c r="N5" s="86"/>
      <c r="O5" s="87"/>
      <c r="P5" s="86"/>
      <c r="Q5" s="103"/>
      <c r="R5" s="69"/>
    </row>
    <row r="6" spans="2:18" ht="20.100000000000001" hidden="1" customHeight="1">
      <c r="B6" s="443"/>
      <c r="C6" s="54" t="s">
        <v>65</v>
      </c>
      <c r="D6" s="428">
        <v>0</v>
      </c>
      <c r="E6" s="446"/>
      <c r="F6" s="430">
        <f t="shared" ref="F6:F13" si="0">D6*0.3025</f>
        <v>0</v>
      </c>
      <c r="G6" s="445"/>
      <c r="H6" s="132"/>
      <c r="I6" s="132" t="s">
        <v>69</v>
      </c>
      <c r="J6" s="7"/>
      <c r="K6" s="63"/>
      <c r="L6" s="64"/>
      <c r="M6" s="65"/>
      <c r="N6" s="86"/>
      <c r="O6" s="87"/>
      <c r="P6" s="86"/>
      <c r="Q6" s="103"/>
      <c r="R6" s="69"/>
    </row>
    <row r="7" spans="2:18" ht="20.100000000000001" hidden="1" customHeight="1">
      <c r="B7" s="443"/>
      <c r="C7" s="54" t="s">
        <v>66</v>
      </c>
      <c r="D7" s="428">
        <v>0</v>
      </c>
      <c r="E7" s="446"/>
      <c r="F7" s="430">
        <f t="shared" si="0"/>
        <v>0</v>
      </c>
      <c r="G7" s="445"/>
      <c r="H7" s="132"/>
      <c r="I7" s="132" t="s">
        <v>68</v>
      </c>
      <c r="J7" s="7"/>
      <c r="K7" s="63"/>
      <c r="L7" s="64"/>
      <c r="M7" s="65"/>
      <c r="N7" s="86"/>
      <c r="O7" s="87"/>
      <c r="P7" s="86"/>
      <c r="Q7" s="103"/>
      <c r="R7" s="69"/>
    </row>
    <row r="8" spans="2:18" ht="20.100000000000001" hidden="1" customHeight="1">
      <c r="B8" s="444"/>
      <c r="C8" s="54" t="s">
        <v>64</v>
      </c>
      <c r="D8" s="428">
        <f>N31</f>
        <v>0</v>
      </c>
      <c r="E8" s="446"/>
      <c r="F8" s="430">
        <f t="shared" si="0"/>
        <v>0</v>
      </c>
      <c r="G8" s="445"/>
      <c r="H8" s="132"/>
      <c r="I8" s="132" t="s">
        <v>67</v>
      </c>
      <c r="J8" s="7"/>
      <c r="K8" s="63"/>
      <c r="L8" s="64"/>
      <c r="M8" s="65"/>
      <c r="N8" s="86"/>
      <c r="O8" s="87"/>
      <c r="P8" s="88"/>
      <c r="Q8" s="103"/>
      <c r="R8" s="69"/>
    </row>
    <row r="9" spans="2:18" ht="20.100000000000001" customHeight="1">
      <c r="B9" s="438" t="s">
        <v>7</v>
      </c>
      <c r="C9" s="54" t="s">
        <v>11</v>
      </c>
      <c r="D9" s="428">
        <f>O49</f>
        <v>99454.450000000012</v>
      </c>
      <c r="E9" s="429"/>
      <c r="F9" s="430">
        <f t="shared" si="0"/>
        <v>30084.971125000004</v>
      </c>
      <c r="G9" s="431"/>
      <c r="H9" s="132"/>
      <c r="I9" s="132"/>
      <c r="J9" s="7"/>
      <c r="K9" s="63"/>
      <c r="L9" s="64"/>
      <c r="M9" s="65"/>
      <c r="N9" s="86"/>
      <c r="O9" s="87"/>
      <c r="P9" s="86"/>
      <c r="Q9" s="103"/>
      <c r="R9" s="69"/>
    </row>
    <row r="10" spans="2:18" ht="20.100000000000001" customHeight="1">
      <c r="B10" s="439"/>
      <c r="C10" s="54" t="s">
        <v>12</v>
      </c>
      <c r="D10" s="428">
        <f>O39</f>
        <v>26826.920000000002</v>
      </c>
      <c r="E10" s="429"/>
      <c r="F10" s="430">
        <f t="shared" si="0"/>
        <v>8115.1433000000006</v>
      </c>
      <c r="G10" s="431"/>
      <c r="H10" s="132"/>
      <c r="I10" s="132"/>
      <c r="J10" s="7"/>
      <c r="K10" s="70"/>
      <c r="L10" s="64"/>
      <c r="M10" s="65"/>
      <c r="N10" s="86"/>
      <c r="O10" s="87"/>
      <c r="P10" s="86"/>
      <c r="Q10" s="103"/>
      <c r="R10" s="71"/>
    </row>
    <row r="11" spans="2:18" ht="20.100000000000001" customHeight="1">
      <c r="B11" s="439"/>
      <c r="C11" s="54" t="s">
        <v>13</v>
      </c>
      <c r="D11" s="428">
        <f>SUM(D9:E10)</f>
        <v>126281.37000000001</v>
      </c>
      <c r="E11" s="429"/>
      <c r="F11" s="430">
        <f t="shared" si="0"/>
        <v>38200.114425</v>
      </c>
      <c r="G11" s="431"/>
      <c r="H11" s="132"/>
      <c r="I11" s="132"/>
      <c r="J11" s="7"/>
      <c r="K11" s="63"/>
      <c r="L11" s="64"/>
      <c r="M11" s="65"/>
      <c r="N11" s="86"/>
      <c r="O11" s="87"/>
      <c r="P11" s="88"/>
      <c r="Q11" s="103"/>
      <c r="R11" s="69"/>
    </row>
    <row r="12" spans="2:18" ht="20.100000000000001" customHeight="1">
      <c r="B12" s="413" t="s">
        <v>29</v>
      </c>
      <c r="C12" s="419"/>
      <c r="D12" s="428">
        <f>O49-K49-I49</f>
        <v>71945.810000000012</v>
      </c>
      <c r="E12" s="429"/>
      <c r="F12" s="430">
        <f t="shared" si="0"/>
        <v>21763.607525000003</v>
      </c>
      <c r="G12" s="431"/>
      <c r="H12" s="132"/>
      <c r="I12" s="132"/>
      <c r="J12" s="7"/>
      <c r="K12" s="63"/>
      <c r="L12" s="64"/>
      <c r="M12" s="65"/>
      <c r="N12" s="86"/>
      <c r="O12" s="87"/>
      <c r="P12" s="88"/>
      <c r="Q12" s="103"/>
      <c r="R12" s="72"/>
    </row>
    <row r="13" spans="2:18" ht="20.100000000000001" customHeight="1">
      <c r="B13" s="413" t="s">
        <v>28</v>
      </c>
      <c r="C13" s="437"/>
      <c r="D13" s="428">
        <v>20804.77</v>
      </c>
      <c r="E13" s="429"/>
      <c r="F13" s="430">
        <f t="shared" si="0"/>
        <v>6293.4429250000003</v>
      </c>
      <c r="G13" s="431"/>
      <c r="H13" s="436"/>
      <c r="I13" s="436"/>
      <c r="J13" s="7"/>
      <c r="K13" s="63"/>
      <c r="L13" s="64"/>
      <c r="M13" s="65"/>
      <c r="N13" s="86"/>
      <c r="O13" s="87"/>
      <c r="P13" s="86"/>
      <c r="Q13" s="103"/>
      <c r="R13" s="69"/>
    </row>
    <row r="14" spans="2:18" ht="20.100000000000001" customHeight="1">
      <c r="B14" s="413" t="s">
        <v>30</v>
      </c>
      <c r="C14" s="419"/>
      <c r="D14" s="434">
        <f>D13/D5</f>
        <v>0.69814898707713779</v>
      </c>
      <c r="E14" s="435"/>
      <c r="F14" s="422" t="s">
        <v>70</v>
      </c>
      <c r="G14" s="421"/>
      <c r="H14" s="132"/>
      <c r="I14" s="132"/>
      <c r="J14" s="7"/>
      <c r="K14" s="63"/>
      <c r="L14" s="64"/>
      <c r="M14" s="65"/>
      <c r="N14" s="86"/>
      <c r="O14" s="87"/>
      <c r="P14" s="88"/>
      <c r="Q14" s="103"/>
      <c r="R14" s="73"/>
    </row>
    <row r="15" spans="2:18" ht="20.100000000000001" customHeight="1">
      <c r="B15" s="413" t="s">
        <v>31</v>
      </c>
      <c r="C15" s="419"/>
      <c r="D15" s="434">
        <f>D12/D5</f>
        <v>2.4142970278423754</v>
      </c>
      <c r="E15" s="435"/>
      <c r="F15" s="422" t="s">
        <v>76</v>
      </c>
      <c r="G15" s="421"/>
      <c r="H15" s="132"/>
      <c r="I15" s="132"/>
      <c r="J15" s="7"/>
      <c r="K15" s="63"/>
      <c r="L15" s="64"/>
      <c r="M15" s="65"/>
      <c r="N15" s="86"/>
      <c r="O15" s="87"/>
      <c r="P15" s="86"/>
      <c r="Q15" s="103"/>
      <c r="R15" s="76"/>
    </row>
    <row r="16" spans="2:18" ht="20.100000000000001" customHeight="1">
      <c r="B16" s="423" t="s">
        <v>58</v>
      </c>
      <c r="C16" s="424"/>
      <c r="D16" s="428">
        <f>$O$50-$K$50</f>
        <v>102273.04000000001</v>
      </c>
      <c r="E16" s="429"/>
      <c r="F16" s="430">
        <f t="shared" ref="F16" si="1">D16*0.3025</f>
        <v>30937.5946</v>
      </c>
      <c r="G16" s="431"/>
      <c r="H16" s="432" t="s">
        <v>61</v>
      </c>
      <c r="I16" s="433"/>
      <c r="J16" s="7"/>
      <c r="K16" s="63"/>
      <c r="L16" s="64"/>
      <c r="M16" s="65"/>
      <c r="N16" s="86"/>
      <c r="O16" s="87"/>
      <c r="P16" s="86"/>
      <c r="Q16" s="103"/>
      <c r="R16" s="69"/>
    </row>
    <row r="17" spans="2:18" ht="20.100000000000001" customHeight="1">
      <c r="B17" s="413" t="s">
        <v>57</v>
      </c>
      <c r="C17" s="419"/>
      <c r="D17" s="434">
        <f>D16/$O$50</f>
        <v>0.80988224945611531</v>
      </c>
      <c r="E17" s="435"/>
      <c r="F17" s="422" t="s">
        <v>38</v>
      </c>
      <c r="G17" s="421"/>
      <c r="H17" s="132"/>
      <c r="I17" s="132"/>
      <c r="J17" s="7"/>
      <c r="K17" s="63"/>
      <c r="L17" s="64"/>
      <c r="M17" s="65"/>
      <c r="N17" s="86"/>
      <c r="O17" s="87"/>
      <c r="P17" s="88"/>
      <c r="Q17" s="103"/>
      <c r="R17" s="69"/>
    </row>
    <row r="18" spans="2:18" ht="20.100000000000001" customHeight="1">
      <c r="B18" s="423" t="s">
        <v>59</v>
      </c>
      <c r="C18" s="424"/>
      <c r="D18" s="428">
        <f>$O$50-$K$50-$I$50</f>
        <v>93111.790000000008</v>
      </c>
      <c r="E18" s="429"/>
      <c r="F18" s="430">
        <f t="shared" ref="F18" si="2">D18*0.3025</f>
        <v>28166.316475000003</v>
      </c>
      <c r="G18" s="431"/>
      <c r="H18" s="432" t="s">
        <v>62</v>
      </c>
      <c r="I18" s="433"/>
      <c r="J18" s="7"/>
      <c r="K18" s="63"/>
      <c r="L18" s="64"/>
      <c r="M18" s="65"/>
      <c r="N18" s="86"/>
      <c r="O18" s="87"/>
      <c r="P18" s="88"/>
      <c r="Q18" s="103"/>
      <c r="R18" s="69"/>
    </row>
    <row r="19" spans="2:18" ht="20.100000000000001" customHeight="1">
      <c r="B19" s="413" t="s">
        <v>60</v>
      </c>
      <c r="C19" s="419"/>
      <c r="D19" s="434">
        <f>D18/$O$50</f>
        <v>0.73733591898789186</v>
      </c>
      <c r="E19" s="435"/>
      <c r="F19" s="422" t="s">
        <v>38</v>
      </c>
      <c r="G19" s="421"/>
      <c r="H19" s="132"/>
      <c r="I19" s="132"/>
      <c r="J19" s="7"/>
      <c r="K19" s="63"/>
      <c r="L19" s="64"/>
      <c r="M19" s="65"/>
      <c r="N19" s="86"/>
      <c r="O19" s="87"/>
      <c r="P19" s="88"/>
      <c r="Q19" s="103"/>
      <c r="R19" s="72"/>
    </row>
    <row r="20" spans="2:18" ht="20.100000000000001" customHeight="1">
      <c r="B20" s="413" t="s">
        <v>32</v>
      </c>
      <c r="C20" s="419"/>
      <c r="D20" s="420" t="s">
        <v>87</v>
      </c>
      <c r="E20" s="421"/>
      <c r="F20" s="422" t="s">
        <v>77</v>
      </c>
      <c r="G20" s="421"/>
      <c r="H20" s="132"/>
      <c r="I20" s="132"/>
      <c r="J20" s="7"/>
      <c r="K20" s="63"/>
      <c r="L20" s="64"/>
      <c r="M20" s="65"/>
      <c r="N20" s="86"/>
      <c r="O20" s="87"/>
      <c r="P20" s="88"/>
      <c r="Q20" s="103"/>
      <c r="R20" s="72"/>
    </row>
    <row r="21" spans="2:18" ht="20.100000000000001" customHeight="1" thickBot="1">
      <c r="B21" s="423" t="s">
        <v>23</v>
      </c>
      <c r="C21" s="424"/>
      <c r="D21" s="420">
        <v>8.5000000000000006E-2</v>
      </c>
      <c r="E21" s="425"/>
      <c r="F21" s="426" t="s">
        <v>34</v>
      </c>
      <c r="G21" s="427"/>
      <c r="H21" s="411"/>
      <c r="I21" s="412"/>
      <c r="J21" s="7"/>
      <c r="K21" s="63"/>
      <c r="L21" s="64"/>
      <c r="M21" s="65"/>
      <c r="N21" s="86"/>
      <c r="O21" s="87"/>
      <c r="P21" s="88"/>
      <c r="Q21" s="103"/>
      <c r="R21" s="72"/>
    </row>
    <row r="22" spans="2:18" ht="20.100000000000001" hidden="1" customHeight="1">
      <c r="B22" s="413" t="s">
        <v>63</v>
      </c>
      <c r="C22" s="414"/>
      <c r="D22" s="396"/>
      <c r="E22" s="397"/>
      <c r="F22" s="397"/>
      <c r="G22" s="397"/>
      <c r="H22" s="397"/>
      <c r="I22" s="397"/>
      <c r="J22" s="7"/>
      <c r="K22" s="63"/>
      <c r="L22" s="64"/>
      <c r="M22" s="65"/>
      <c r="N22" s="66"/>
      <c r="O22" s="67"/>
      <c r="P22" s="68"/>
      <c r="Q22" s="104"/>
      <c r="R22" s="72"/>
    </row>
    <row r="23" spans="2:18" ht="20.100000000000001" hidden="1" customHeight="1">
      <c r="B23" s="415"/>
      <c r="C23" s="416"/>
      <c r="D23" s="396"/>
      <c r="E23" s="397"/>
      <c r="F23" s="397"/>
      <c r="G23" s="397"/>
      <c r="H23" s="397"/>
      <c r="I23" s="397"/>
      <c r="J23" s="7"/>
      <c r="K23" s="63"/>
      <c r="L23" s="64"/>
      <c r="M23" s="65"/>
      <c r="N23" s="66"/>
      <c r="O23" s="67"/>
      <c r="P23" s="68"/>
      <c r="Q23" s="104"/>
      <c r="R23" s="72"/>
    </row>
    <row r="24" spans="2:18" ht="20.100000000000001" hidden="1" customHeight="1">
      <c r="B24" s="415"/>
      <c r="C24" s="416"/>
      <c r="D24" s="396"/>
      <c r="E24" s="397"/>
      <c r="F24" s="397"/>
      <c r="G24" s="397"/>
      <c r="H24" s="397"/>
      <c r="I24" s="397"/>
      <c r="J24" s="7"/>
      <c r="K24" s="63"/>
      <c r="L24" s="64"/>
      <c r="M24" s="65"/>
      <c r="N24" s="66"/>
      <c r="O24" s="67"/>
      <c r="P24" s="68"/>
      <c r="Q24" s="104"/>
      <c r="R24" s="72"/>
    </row>
    <row r="25" spans="2:18" ht="20.100000000000001" hidden="1" customHeight="1">
      <c r="B25" s="415"/>
      <c r="C25" s="416"/>
      <c r="D25" s="396"/>
      <c r="E25" s="397"/>
      <c r="F25" s="397"/>
      <c r="G25" s="397"/>
      <c r="H25" s="397"/>
      <c r="I25" s="397"/>
      <c r="J25" s="7"/>
      <c r="K25" s="63"/>
      <c r="L25" s="64"/>
      <c r="M25" s="65"/>
      <c r="N25" s="66"/>
      <c r="O25" s="67"/>
      <c r="P25" s="68"/>
      <c r="Q25" s="104"/>
      <c r="R25" s="72"/>
    </row>
    <row r="26" spans="2:18" ht="20.100000000000001" hidden="1" customHeight="1">
      <c r="B26" s="415"/>
      <c r="C26" s="416"/>
      <c r="D26" s="396"/>
      <c r="E26" s="397"/>
      <c r="F26" s="397"/>
      <c r="G26" s="397"/>
      <c r="H26" s="397"/>
      <c r="I26" s="397"/>
      <c r="J26" s="7"/>
      <c r="K26" s="63"/>
      <c r="L26" s="64"/>
      <c r="M26" s="65"/>
      <c r="N26" s="66"/>
      <c r="O26" s="67"/>
      <c r="P26" s="68"/>
      <c r="Q26" s="104"/>
      <c r="R26" s="72"/>
    </row>
    <row r="27" spans="2:18" ht="20.100000000000001" hidden="1" customHeight="1">
      <c r="B27" s="415"/>
      <c r="C27" s="416"/>
      <c r="D27" s="396"/>
      <c r="E27" s="397"/>
      <c r="F27" s="397"/>
      <c r="G27" s="397"/>
      <c r="H27" s="397"/>
      <c r="I27" s="397"/>
      <c r="J27" s="7"/>
      <c r="K27" s="63"/>
      <c r="L27" s="64"/>
      <c r="M27" s="65"/>
      <c r="N27" s="66"/>
      <c r="O27" s="67"/>
      <c r="P27" s="68"/>
      <c r="Q27" s="104"/>
      <c r="R27" s="72"/>
    </row>
    <row r="28" spans="2:18" ht="20.100000000000001" hidden="1" customHeight="1">
      <c r="B28" s="415"/>
      <c r="C28" s="416"/>
      <c r="D28" s="396"/>
      <c r="E28" s="397"/>
      <c r="F28" s="397"/>
      <c r="G28" s="397"/>
      <c r="H28" s="397"/>
      <c r="I28" s="397"/>
      <c r="J28" s="7"/>
      <c r="K28" s="63"/>
      <c r="L28" s="64"/>
      <c r="M28" s="65"/>
      <c r="N28" s="66"/>
      <c r="O28" s="67"/>
      <c r="P28" s="68"/>
      <c r="Q28" s="104"/>
      <c r="R28" s="72"/>
    </row>
    <row r="29" spans="2:18" ht="20.100000000000001" hidden="1" customHeight="1">
      <c r="B29" s="415"/>
      <c r="C29" s="416"/>
      <c r="D29" s="396"/>
      <c r="E29" s="397"/>
      <c r="F29" s="397"/>
      <c r="G29" s="397"/>
      <c r="H29" s="397"/>
      <c r="I29" s="397"/>
      <c r="J29" s="7"/>
      <c r="K29" s="63"/>
      <c r="L29" s="64"/>
      <c r="M29" s="65"/>
      <c r="N29" s="66"/>
      <c r="O29" s="67"/>
      <c r="P29" s="68"/>
      <c r="Q29" s="104"/>
      <c r="R29" s="72"/>
    </row>
    <row r="30" spans="2:18" ht="20.100000000000001" hidden="1" customHeight="1" thickBot="1">
      <c r="B30" s="415"/>
      <c r="C30" s="416"/>
      <c r="D30" s="396"/>
      <c r="E30" s="397"/>
      <c r="F30" s="397"/>
      <c r="G30" s="397"/>
      <c r="H30" s="397"/>
      <c r="I30" s="397"/>
      <c r="J30" s="7"/>
      <c r="K30" s="63"/>
      <c r="L30" s="64"/>
      <c r="M30" s="65"/>
      <c r="N30" s="66"/>
      <c r="O30" s="67"/>
      <c r="P30" s="68"/>
      <c r="Q30" s="104"/>
      <c r="R30" s="72"/>
    </row>
    <row r="31" spans="2:18" ht="20.100000000000001" customHeight="1" thickBot="1">
      <c r="B31" s="417"/>
      <c r="C31" s="418"/>
      <c r="D31" s="398" t="s">
        <v>81</v>
      </c>
      <c r="E31" s="399"/>
      <c r="F31" s="400"/>
      <c r="G31" s="100">
        <f>(O50-I50-K50)/400</f>
        <v>232.77947500000002</v>
      </c>
      <c r="H31" s="401" t="s">
        <v>82</v>
      </c>
      <c r="I31" s="402"/>
      <c r="J31" s="7"/>
      <c r="K31" s="403" t="s">
        <v>19</v>
      </c>
      <c r="L31" s="404"/>
      <c r="M31" s="405"/>
      <c r="N31" s="89">
        <f>SUM(N4:N30)</f>
        <v>0</v>
      </c>
      <c r="O31" s="90">
        <f>N31*0.3025</f>
        <v>0</v>
      </c>
      <c r="P31" s="91">
        <f>SUM(P4:P30)</f>
        <v>0</v>
      </c>
      <c r="Q31" s="92">
        <f>P31*0.3025</f>
        <v>0</v>
      </c>
      <c r="R31" s="59"/>
    </row>
    <row r="32" spans="2:18" ht="6" customHeight="1" thickTop="1">
      <c r="B32" s="5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2:21" ht="24.95" customHeight="1" thickBot="1">
      <c r="B33" s="75" t="s">
        <v>22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101"/>
      <c r="R33" s="3"/>
    </row>
    <row r="34" spans="2:21" ht="20.100000000000001" customHeight="1">
      <c r="B34" s="407" t="s">
        <v>40</v>
      </c>
      <c r="C34" s="390" t="s">
        <v>55</v>
      </c>
      <c r="D34" s="409"/>
      <c r="E34" s="410" t="s">
        <v>56</v>
      </c>
      <c r="F34" s="409"/>
      <c r="G34" s="410" t="s">
        <v>48</v>
      </c>
      <c r="H34" s="409"/>
      <c r="I34" s="388" t="s">
        <v>54</v>
      </c>
      <c r="J34" s="406"/>
      <c r="K34" s="388" t="s">
        <v>33</v>
      </c>
      <c r="L34" s="406"/>
      <c r="M34" s="388" t="s">
        <v>50</v>
      </c>
      <c r="N34" s="389"/>
      <c r="O34" s="390" t="s">
        <v>6</v>
      </c>
      <c r="P34" s="391"/>
      <c r="Q34" s="392" t="s">
        <v>49</v>
      </c>
      <c r="R34" s="394" t="s">
        <v>18</v>
      </c>
      <c r="T34" s="50" t="s">
        <v>49</v>
      </c>
    </row>
    <row r="35" spans="2:21" ht="20.100000000000001" customHeight="1" thickBot="1">
      <c r="B35" s="408"/>
      <c r="C35" s="21" t="s">
        <v>4</v>
      </c>
      <c r="D35" s="22" t="s">
        <v>5</v>
      </c>
      <c r="E35" s="23" t="s">
        <v>4</v>
      </c>
      <c r="F35" s="22" t="s">
        <v>5</v>
      </c>
      <c r="G35" s="23" t="s">
        <v>4</v>
      </c>
      <c r="H35" s="22" t="s">
        <v>5</v>
      </c>
      <c r="I35" s="22" t="s">
        <v>4</v>
      </c>
      <c r="J35" s="22" t="s">
        <v>5</v>
      </c>
      <c r="K35" s="22" t="s">
        <v>4</v>
      </c>
      <c r="L35" s="22" t="s">
        <v>5</v>
      </c>
      <c r="M35" s="22" t="s">
        <v>4</v>
      </c>
      <c r="N35" s="24" t="s">
        <v>5</v>
      </c>
      <c r="O35" s="25" t="s">
        <v>4</v>
      </c>
      <c r="P35" s="26" t="s">
        <v>5</v>
      </c>
      <c r="Q35" s="393"/>
      <c r="R35" s="395"/>
      <c r="T35" s="50" t="s">
        <v>51</v>
      </c>
      <c r="U35" s="50" t="s">
        <v>52</v>
      </c>
    </row>
    <row r="36" spans="2:21" ht="20.100000000000001" hidden="1" customHeight="1">
      <c r="B36" s="33" t="s">
        <v>42</v>
      </c>
      <c r="C36" s="117">
        <v>0</v>
      </c>
      <c r="D36" s="113">
        <f>C36*0.3025</f>
        <v>0</v>
      </c>
      <c r="E36" s="114">
        <v>0</v>
      </c>
      <c r="F36" s="113">
        <f>E36*0.3025</f>
        <v>0</v>
      </c>
      <c r="G36" s="114">
        <v>0</v>
      </c>
      <c r="H36" s="113">
        <f>G36*0.3025</f>
        <v>0</v>
      </c>
      <c r="I36" s="115">
        <v>0</v>
      </c>
      <c r="J36" s="115">
        <f>I36*0.3025</f>
        <v>0</v>
      </c>
      <c r="K36" s="115">
        <v>0</v>
      </c>
      <c r="L36" s="113">
        <f>K36*0.3025</f>
        <v>0</v>
      </c>
      <c r="M36" s="115">
        <v>0</v>
      </c>
      <c r="N36" s="77">
        <f>M36*0.3025</f>
        <v>0</v>
      </c>
      <c r="O36" s="13">
        <f>C36+E36+G36+I36+K36+M36</f>
        <v>0</v>
      </c>
      <c r="P36" s="14">
        <f t="shared" ref="P36:P50" si="3">O36*0.3025</f>
        <v>0</v>
      </c>
      <c r="Q36" s="105"/>
      <c r="R36" s="79" t="s">
        <v>41</v>
      </c>
    </row>
    <row r="37" spans="2:21" ht="20.100000000000001" customHeight="1">
      <c r="B37" s="33" t="s">
        <v>37</v>
      </c>
      <c r="C37" s="97">
        <v>0</v>
      </c>
      <c r="D37" s="96">
        <f>C37*0.3025</f>
        <v>0</v>
      </c>
      <c r="E37" s="15">
        <v>13700.26</v>
      </c>
      <c r="F37" s="16">
        <f t="shared" ref="F37:F38" si="4">E37*0.3025</f>
        <v>4144.3286500000004</v>
      </c>
      <c r="G37" s="15">
        <v>748.78</v>
      </c>
      <c r="H37" s="16">
        <f t="shared" ref="H37:H38" si="5">G37*0.3025</f>
        <v>226.50594999999998</v>
      </c>
      <c r="I37" s="16">
        <v>1532.52</v>
      </c>
      <c r="J37" s="16">
        <f t="shared" ref="J37:J38" si="6">I37*0.3025</f>
        <v>463.58729999999997</v>
      </c>
      <c r="K37" s="16">
        <v>4128.42</v>
      </c>
      <c r="L37" s="16">
        <f t="shared" ref="L37:L38" si="7">K37*0.3025</f>
        <v>1248.8470500000001</v>
      </c>
      <c r="M37" s="16">
        <v>1583.19</v>
      </c>
      <c r="N37" s="118">
        <f>M37*0.3025</f>
        <v>478.91497500000003</v>
      </c>
      <c r="O37" s="13">
        <f>C37+E37+G37+I37+K37+M37</f>
        <v>21693.170000000002</v>
      </c>
      <c r="P37" s="14">
        <f t="shared" si="3"/>
        <v>6562.1839250000003</v>
      </c>
      <c r="Q37" s="106"/>
      <c r="R37" s="80" t="s">
        <v>56</v>
      </c>
    </row>
    <row r="38" spans="2:21" ht="20.100000000000001" customHeight="1" thickBot="1">
      <c r="B38" s="37" t="s">
        <v>0</v>
      </c>
      <c r="C38" s="119">
        <v>0</v>
      </c>
      <c r="D38" s="120">
        <f>C38*0.3025</f>
        <v>0</v>
      </c>
      <c r="E38" s="121">
        <v>0</v>
      </c>
      <c r="F38" s="122">
        <f t="shared" si="4"/>
        <v>0</v>
      </c>
      <c r="G38" s="121">
        <v>5133.75</v>
      </c>
      <c r="H38" s="122">
        <f t="shared" si="5"/>
        <v>1552.9593749999999</v>
      </c>
      <c r="I38" s="122">
        <v>0</v>
      </c>
      <c r="J38" s="122">
        <f t="shared" si="6"/>
        <v>0</v>
      </c>
      <c r="K38" s="122">
        <v>0</v>
      </c>
      <c r="L38" s="122">
        <f t="shared" si="7"/>
        <v>0</v>
      </c>
      <c r="M38" s="122">
        <v>0</v>
      </c>
      <c r="N38" s="123">
        <f>M38*0.3025</f>
        <v>0</v>
      </c>
      <c r="O38" s="40">
        <f>C38+E38+G38+I38+K38+M38</f>
        <v>5133.75</v>
      </c>
      <c r="P38" s="41">
        <f t="shared" si="3"/>
        <v>1552.9593749999999</v>
      </c>
      <c r="Q38" s="107"/>
      <c r="R38" s="95" t="s">
        <v>72</v>
      </c>
      <c r="T38" s="50">
        <v>25</v>
      </c>
      <c r="U38" s="50">
        <v>57</v>
      </c>
    </row>
    <row r="39" spans="2:21" ht="20.100000000000001" customHeight="1" thickBot="1">
      <c r="B39" s="27" t="s">
        <v>24</v>
      </c>
      <c r="C39" s="42">
        <f>SUM(C36:C38)</f>
        <v>0</v>
      </c>
      <c r="D39" s="29">
        <f>C39*0.3025</f>
        <v>0</v>
      </c>
      <c r="E39" s="43">
        <f>SUM(E36:E38)</f>
        <v>13700.26</v>
      </c>
      <c r="F39" s="30">
        <f>E39*0.3025</f>
        <v>4144.3286500000004</v>
      </c>
      <c r="G39" s="43">
        <f>SUM(G36:G38)</f>
        <v>5882.53</v>
      </c>
      <c r="H39" s="30">
        <f>G39*0.3025</f>
        <v>1779.4653249999999</v>
      </c>
      <c r="I39" s="30">
        <f>SUM(I36:I38)</f>
        <v>1532.52</v>
      </c>
      <c r="J39" s="30">
        <f>I39*0.3025</f>
        <v>463.58729999999997</v>
      </c>
      <c r="K39" s="30">
        <f>SUM(K36:K38)</f>
        <v>4128.42</v>
      </c>
      <c r="L39" s="30">
        <f>K39*0.3025</f>
        <v>1248.8470500000001</v>
      </c>
      <c r="M39" s="30">
        <f>SUM(M36:M38)</f>
        <v>1583.19</v>
      </c>
      <c r="N39" s="31">
        <f>M39*0.3025</f>
        <v>478.91497500000003</v>
      </c>
      <c r="O39" s="28">
        <f>SUM(O36:O38)</f>
        <v>26826.920000000002</v>
      </c>
      <c r="P39" s="32">
        <f t="shared" si="3"/>
        <v>8115.1433000000006</v>
      </c>
      <c r="Q39" s="108"/>
      <c r="R39" s="82"/>
    </row>
    <row r="40" spans="2:21" ht="20.100000000000001" customHeight="1">
      <c r="B40" s="33" t="s">
        <v>1</v>
      </c>
      <c r="C40" s="112">
        <v>0</v>
      </c>
      <c r="D40" s="113">
        <f t="shared" ref="D40:D50" si="8">C40*0.3025</f>
        <v>0</v>
      </c>
      <c r="E40" s="114">
        <v>12916.51</v>
      </c>
      <c r="F40" s="115">
        <f t="shared" ref="F40:F48" si="9">E40*0.3025</f>
        <v>3907.244275</v>
      </c>
      <c r="G40" s="114">
        <v>862.98</v>
      </c>
      <c r="H40" s="115">
        <f t="shared" ref="H40:H48" si="10">G40*0.3025</f>
        <v>261.05144999999999</v>
      </c>
      <c r="I40" s="115">
        <v>1419.73</v>
      </c>
      <c r="J40" s="115">
        <f t="shared" ref="J40:J50" si="11">I40*0.3025</f>
        <v>429.46832499999999</v>
      </c>
      <c r="K40" s="115">
        <v>5683.83</v>
      </c>
      <c r="L40" s="115">
        <f t="shared" ref="L40:L50" si="12">K40*0.3025</f>
        <v>1719.358575</v>
      </c>
      <c r="M40" s="38">
        <v>0</v>
      </c>
      <c r="N40" s="39">
        <f t="shared" ref="N40:N50" si="13">M40*0.3025</f>
        <v>0</v>
      </c>
      <c r="O40" s="13">
        <f>C40+E40+G40+I40+K40+M40</f>
        <v>20883.05</v>
      </c>
      <c r="P40" s="14">
        <f t="shared" si="3"/>
        <v>6317.122625</v>
      </c>
      <c r="Q40" s="105"/>
      <c r="R40" s="79" t="s">
        <v>56</v>
      </c>
      <c r="T40" s="50">
        <v>25</v>
      </c>
      <c r="U40" s="50">
        <v>57</v>
      </c>
    </row>
    <row r="41" spans="2:21" ht="20.100000000000001" customHeight="1">
      <c r="B41" s="34" t="s">
        <v>2</v>
      </c>
      <c r="C41" s="116">
        <v>0</v>
      </c>
      <c r="D41" s="96">
        <f t="shared" si="8"/>
        <v>0</v>
      </c>
      <c r="E41" s="15">
        <v>13792.46</v>
      </c>
      <c r="F41" s="16">
        <f t="shared" si="9"/>
        <v>4172.2191499999999</v>
      </c>
      <c r="G41" s="15">
        <v>749.12</v>
      </c>
      <c r="H41" s="16">
        <f t="shared" si="10"/>
        <v>226.6088</v>
      </c>
      <c r="I41" s="16">
        <v>1552.25</v>
      </c>
      <c r="J41" s="16">
        <f t="shared" si="11"/>
        <v>469.55562499999996</v>
      </c>
      <c r="K41" s="16">
        <v>4732.03</v>
      </c>
      <c r="L41" s="16">
        <f t="shared" si="12"/>
        <v>1431.4390749999998</v>
      </c>
      <c r="M41" s="16">
        <v>0</v>
      </c>
      <c r="N41" s="17">
        <f t="shared" si="13"/>
        <v>0</v>
      </c>
      <c r="O41" s="13">
        <f t="shared" ref="O41:O48" si="14">C41+E41+G41+I41+K41+M41</f>
        <v>20825.86</v>
      </c>
      <c r="P41" s="18">
        <f t="shared" si="3"/>
        <v>6299.8226500000001</v>
      </c>
      <c r="Q41" s="106"/>
      <c r="R41" s="80" t="s">
        <v>56</v>
      </c>
      <c r="T41" s="50">
        <v>6</v>
      </c>
      <c r="U41" s="50">
        <f>U40</f>
        <v>57</v>
      </c>
    </row>
    <row r="42" spans="2:21" ht="20.100000000000001" customHeight="1">
      <c r="B42" s="134" t="s">
        <v>3</v>
      </c>
      <c r="C42" s="116">
        <v>13792.46</v>
      </c>
      <c r="D42" s="96">
        <f t="shared" si="8"/>
        <v>4172.2191499999999</v>
      </c>
      <c r="E42" s="15">
        <v>0</v>
      </c>
      <c r="F42" s="16">
        <f t="shared" si="9"/>
        <v>0</v>
      </c>
      <c r="G42" s="15">
        <v>749.12</v>
      </c>
      <c r="H42" s="16">
        <f t="shared" si="10"/>
        <v>226.6088</v>
      </c>
      <c r="I42" s="16">
        <v>1552.25</v>
      </c>
      <c r="J42" s="16">
        <f t="shared" si="11"/>
        <v>469.55562499999996</v>
      </c>
      <c r="K42" s="16">
        <v>4732.03</v>
      </c>
      <c r="L42" s="16">
        <f t="shared" si="12"/>
        <v>1431.4390749999998</v>
      </c>
      <c r="M42" s="16">
        <v>0</v>
      </c>
      <c r="N42" s="17">
        <f t="shared" si="13"/>
        <v>0</v>
      </c>
      <c r="O42" s="13">
        <f t="shared" si="14"/>
        <v>20825.86</v>
      </c>
      <c r="P42" s="18">
        <f t="shared" si="3"/>
        <v>6299.8226500000001</v>
      </c>
      <c r="Q42" s="106"/>
      <c r="R42" s="80" t="s">
        <v>55</v>
      </c>
      <c r="T42" s="50">
        <f t="shared" ref="T42:U46" si="15">T41</f>
        <v>6</v>
      </c>
      <c r="U42" s="50">
        <f t="shared" si="15"/>
        <v>57</v>
      </c>
    </row>
    <row r="43" spans="2:21" ht="20.100000000000001" customHeight="1">
      <c r="B43" s="134" t="s">
        <v>43</v>
      </c>
      <c r="C43" s="116">
        <v>13792.46</v>
      </c>
      <c r="D43" s="96">
        <f t="shared" si="8"/>
        <v>4172.2191499999999</v>
      </c>
      <c r="E43" s="15">
        <v>0</v>
      </c>
      <c r="F43" s="16">
        <f t="shared" si="9"/>
        <v>0</v>
      </c>
      <c r="G43" s="15">
        <v>749.12</v>
      </c>
      <c r="H43" s="16">
        <f t="shared" si="10"/>
        <v>226.6088</v>
      </c>
      <c r="I43" s="16">
        <v>1552.25</v>
      </c>
      <c r="J43" s="16">
        <f t="shared" si="11"/>
        <v>469.55562499999996</v>
      </c>
      <c r="K43" s="16">
        <v>4732.0200000000004</v>
      </c>
      <c r="L43" s="16">
        <f t="shared" si="12"/>
        <v>1431.43605</v>
      </c>
      <c r="M43" s="16">
        <v>0</v>
      </c>
      <c r="N43" s="17">
        <f t="shared" si="13"/>
        <v>0</v>
      </c>
      <c r="O43" s="13">
        <f t="shared" si="14"/>
        <v>20825.849999999999</v>
      </c>
      <c r="P43" s="18">
        <f t="shared" si="3"/>
        <v>6299.8196249999992</v>
      </c>
      <c r="Q43" s="106"/>
      <c r="R43" s="80" t="s">
        <v>55</v>
      </c>
      <c r="T43" s="50">
        <f t="shared" si="15"/>
        <v>6</v>
      </c>
      <c r="U43" s="50">
        <f t="shared" si="15"/>
        <v>57</v>
      </c>
    </row>
    <row r="44" spans="2:21" ht="20.100000000000001" customHeight="1" thickBot="1">
      <c r="B44" s="134" t="s">
        <v>44</v>
      </c>
      <c r="C44" s="116">
        <v>13792.46</v>
      </c>
      <c r="D44" s="96">
        <f t="shared" si="8"/>
        <v>4172.2191499999999</v>
      </c>
      <c r="E44" s="15">
        <v>0</v>
      </c>
      <c r="F44" s="16">
        <f t="shared" si="9"/>
        <v>0</v>
      </c>
      <c r="G44" s="15">
        <v>749.12</v>
      </c>
      <c r="H44" s="16">
        <f t="shared" si="10"/>
        <v>226.6088</v>
      </c>
      <c r="I44" s="16">
        <v>1552.25</v>
      </c>
      <c r="J44" s="16">
        <f t="shared" si="11"/>
        <v>469.55562499999996</v>
      </c>
      <c r="K44" s="16">
        <v>0</v>
      </c>
      <c r="L44" s="16">
        <f t="shared" si="12"/>
        <v>0</v>
      </c>
      <c r="M44" s="16">
        <v>0</v>
      </c>
      <c r="N44" s="17">
        <f t="shared" si="13"/>
        <v>0</v>
      </c>
      <c r="O44" s="13">
        <f t="shared" si="14"/>
        <v>16093.83</v>
      </c>
      <c r="P44" s="18">
        <f t="shared" si="3"/>
        <v>4868.3835749999998</v>
      </c>
      <c r="Q44" s="106"/>
      <c r="R44" s="80" t="s">
        <v>55</v>
      </c>
      <c r="T44" s="50">
        <f t="shared" si="15"/>
        <v>6</v>
      </c>
      <c r="U44" s="50">
        <f t="shared" si="15"/>
        <v>57</v>
      </c>
    </row>
    <row r="45" spans="2:21" ht="20.100000000000001" hidden="1" customHeight="1">
      <c r="B45" s="35" t="s">
        <v>45</v>
      </c>
      <c r="C45" s="97">
        <v>0</v>
      </c>
      <c r="D45" s="96">
        <f t="shared" si="8"/>
        <v>0</v>
      </c>
      <c r="E45" s="15">
        <v>0</v>
      </c>
      <c r="F45" s="16">
        <f t="shared" si="9"/>
        <v>0</v>
      </c>
      <c r="G45" s="15">
        <v>0</v>
      </c>
      <c r="H45" s="16">
        <f t="shared" si="10"/>
        <v>0</v>
      </c>
      <c r="I45" s="16">
        <v>0</v>
      </c>
      <c r="J45" s="16">
        <f t="shared" si="11"/>
        <v>0</v>
      </c>
      <c r="K45" s="16">
        <v>0</v>
      </c>
      <c r="L45" s="16">
        <f t="shared" si="12"/>
        <v>0</v>
      </c>
      <c r="M45" s="16">
        <v>0</v>
      </c>
      <c r="N45" s="17">
        <f t="shared" si="13"/>
        <v>0</v>
      </c>
      <c r="O45" s="13">
        <f t="shared" si="14"/>
        <v>0</v>
      </c>
      <c r="P45" s="18">
        <f t="shared" si="3"/>
        <v>0</v>
      </c>
      <c r="Q45" s="106"/>
      <c r="R45" s="80" t="s">
        <v>55</v>
      </c>
      <c r="T45" s="50">
        <f t="shared" si="15"/>
        <v>6</v>
      </c>
      <c r="U45" s="50">
        <f t="shared" si="15"/>
        <v>57</v>
      </c>
    </row>
    <row r="46" spans="2:21" ht="20.100000000000001" hidden="1" customHeight="1">
      <c r="B46" s="35" t="s">
        <v>46</v>
      </c>
      <c r="C46" s="97">
        <v>0</v>
      </c>
      <c r="D46" s="96">
        <f t="shared" si="8"/>
        <v>0</v>
      </c>
      <c r="E46" s="15">
        <v>0</v>
      </c>
      <c r="F46" s="16">
        <f t="shared" si="9"/>
        <v>0</v>
      </c>
      <c r="G46" s="15">
        <v>0</v>
      </c>
      <c r="H46" s="16">
        <f t="shared" si="10"/>
        <v>0</v>
      </c>
      <c r="I46" s="16">
        <v>0</v>
      </c>
      <c r="J46" s="16">
        <f t="shared" si="11"/>
        <v>0</v>
      </c>
      <c r="K46" s="16">
        <v>0</v>
      </c>
      <c r="L46" s="16">
        <f t="shared" si="12"/>
        <v>0</v>
      </c>
      <c r="M46" s="16">
        <v>0</v>
      </c>
      <c r="N46" s="17">
        <f t="shared" si="13"/>
        <v>0</v>
      </c>
      <c r="O46" s="13">
        <f t="shared" si="14"/>
        <v>0</v>
      </c>
      <c r="P46" s="18">
        <f t="shared" si="3"/>
        <v>0</v>
      </c>
      <c r="Q46" s="106"/>
      <c r="R46" s="80" t="s">
        <v>55</v>
      </c>
      <c r="T46" s="50">
        <f t="shared" si="15"/>
        <v>6</v>
      </c>
      <c r="U46" s="50">
        <f t="shared" si="15"/>
        <v>57</v>
      </c>
    </row>
    <row r="47" spans="2:21" ht="20.100000000000001" hidden="1" customHeight="1">
      <c r="B47" s="35" t="s">
        <v>47</v>
      </c>
      <c r="C47" s="15">
        <v>0</v>
      </c>
      <c r="D47" s="11">
        <f t="shared" si="8"/>
        <v>0</v>
      </c>
      <c r="E47" s="12">
        <v>0</v>
      </c>
      <c r="F47" s="12">
        <f t="shared" si="9"/>
        <v>0</v>
      </c>
      <c r="G47" s="15">
        <v>0</v>
      </c>
      <c r="H47" s="16">
        <f t="shared" si="10"/>
        <v>0</v>
      </c>
      <c r="I47" s="16">
        <v>0</v>
      </c>
      <c r="J47" s="16">
        <f t="shared" si="11"/>
        <v>0</v>
      </c>
      <c r="K47" s="16">
        <v>0</v>
      </c>
      <c r="L47" s="16">
        <f t="shared" si="12"/>
        <v>0</v>
      </c>
      <c r="M47" s="16">
        <v>0</v>
      </c>
      <c r="N47" s="17">
        <f t="shared" si="13"/>
        <v>0</v>
      </c>
      <c r="O47" s="13">
        <f t="shared" si="14"/>
        <v>0</v>
      </c>
      <c r="P47" s="18">
        <f t="shared" si="3"/>
        <v>0</v>
      </c>
      <c r="Q47" s="106"/>
      <c r="R47" s="80" t="s">
        <v>72</v>
      </c>
      <c r="T47" s="50">
        <v>378</v>
      </c>
      <c r="U47" s="50"/>
    </row>
    <row r="48" spans="2:21" ht="20.100000000000001" hidden="1" customHeight="1" thickBot="1">
      <c r="B48" s="35" t="s">
        <v>71</v>
      </c>
      <c r="C48" s="15">
        <v>0</v>
      </c>
      <c r="D48" s="11">
        <f t="shared" si="8"/>
        <v>0</v>
      </c>
      <c r="E48" s="12">
        <v>0</v>
      </c>
      <c r="F48" s="12">
        <f t="shared" si="9"/>
        <v>0</v>
      </c>
      <c r="G48" s="15">
        <v>0</v>
      </c>
      <c r="H48" s="16">
        <f t="shared" si="10"/>
        <v>0</v>
      </c>
      <c r="I48" s="16">
        <v>0</v>
      </c>
      <c r="J48" s="16">
        <f t="shared" si="11"/>
        <v>0</v>
      </c>
      <c r="K48" s="16">
        <v>0</v>
      </c>
      <c r="L48" s="16">
        <f t="shared" si="12"/>
        <v>0</v>
      </c>
      <c r="M48" s="16">
        <v>0</v>
      </c>
      <c r="N48" s="17">
        <f t="shared" si="13"/>
        <v>0</v>
      </c>
      <c r="O48" s="13">
        <f t="shared" si="14"/>
        <v>0</v>
      </c>
      <c r="P48" s="18">
        <f t="shared" si="3"/>
        <v>0</v>
      </c>
      <c r="Q48" s="106"/>
      <c r="R48" s="81" t="s">
        <v>72</v>
      </c>
      <c r="T48" s="50">
        <f>SUM(T38:T47)</f>
        <v>464</v>
      </c>
      <c r="U48" s="50">
        <f>SUM(U38:U47)</f>
        <v>456</v>
      </c>
    </row>
    <row r="49" spans="2:21" ht="20.100000000000001" customHeight="1" thickBot="1">
      <c r="B49" s="27" t="s">
        <v>25</v>
      </c>
      <c r="C49" s="42">
        <f>SUM(C40:C48)</f>
        <v>41377.379999999997</v>
      </c>
      <c r="D49" s="29">
        <f>C49*0.3025</f>
        <v>12516.657449999999</v>
      </c>
      <c r="E49" s="43">
        <f>SUM(E40:E48)</f>
        <v>26708.97</v>
      </c>
      <c r="F49" s="30">
        <f>E49*0.3025</f>
        <v>8079.4634249999999</v>
      </c>
      <c r="G49" s="43">
        <f>SUM(G40:G48)</f>
        <v>3859.4599999999996</v>
      </c>
      <c r="H49" s="30">
        <f>G49*0.3025</f>
        <v>1167.4866499999998</v>
      </c>
      <c r="I49" s="30">
        <f>SUM(I40:I48)</f>
        <v>7628.73</v>
      </c>
      <c r="J49" s="30">
        <f>I49*0.3025</f>
        <v>2307.6908249999997</v>
      </c>
      <c r="K49" s="30">
        <f>SUM(K40:K48)</f>
        <v>19879.91</v>
      </c>
      <c r="L49" s="30">
        <f t="shared" si="12"/>
        <v>6013.672775</v>
      </c>
      <c r="M49" s="30">
        <f>SUM(M40:M48)</f>
        <v>0</v>
      </c>
      <c r="N49" s="31">
        <f t="shared" si="13"/>
        <v>0</v>
      </c>
      <c r="O49" s="28">
        <f>C49+E49+G49+I49+K49+M49</f>
        <v>99454.450000000012</v>
      </c>
      <c r="P49" s="32">
        <f t="shared" si="3"/>
        <v>30084.971125000004</v>
      </c>
      <c r="Q49" s="109"/>
      <c r="R49" s="82"/>
      <c r="T49" s="50" t="s">
        <v>13</v>
      </c>
      <c r="U49" s="50">
        <f>T48+U48</f>
        <v>920</v>
      </c>
    </row>
    <row r="50" spans="2:21" ht="20.100000000000001" customHeight="1" thickBot="1">
      <c r="B50" s="44" t="s">
        <v>13</v>
      </c>
      <c r="C50" s="45">
        <f>C39+C49</f>
        <v>41377.379999999997</v>
      </c>
      <c r="D50" s="46">
        <f t="shared" si="8"/>
        <v>12516.657449999999</v>
      </c>
      <c r="E50" s="47">
        <f>E39+E49</f>
        <v>40409.230000000003</v>
      </c>
      <c r="F50" s="47">
        <f t="shared" ref="F50" si="16">E50*0.3025</f>
        <v>12223.792075000001</v>
      </c>
      <c r="G50" s="47">
        <f>G39+G49</f>
        <v>9741.99</v>
      </c>
      <c r="H50" s="47">
        <f t="shared" ref="H50" si="17">G50*0.3025</f>
        <v>2946.9519749999999</v>
      </c>
      <c r="I50" s="47">
        <f>I39+I49</f>
        <v>9161.25</v>
      </c>
      <c r="J50" s="47">
        <f t="shared" si="11"/>
        <v>2771.2781249999998</v>
      </c>
      <c r="K50" s="47">
        <f>K39+K49</f>
        <v>24008.33</v>
      </c>
      <c r="L50" s="47">
        <f t="shared" si="12"/>
        <v>7262.5198250000003</v>
      </c>
      <c r="M50" s="47">
        <f>M39+M49</f>
        <v>1583.19</v>
      </c>
      <c r="N50" s="48">
        <f t="shared" si="13"/>
        <v>478.91497500000003</v>
      </c>
      <c r="O50" s="45">
        <f>C50+E50+G50+I50+K50+M50</f>
        <v>126281.37000000001</v>
      </c>
      <c r="P50" s="49">
        <f t="shared" si="3"/>
        <v>38200.114425</v>
      </c>
      <c r="Q50" s="110"/>
      <c r="R50" s="83"/>
      <c r="S50" s="51">
        <f>O39+O49</f>
        <v>126281.37000000001</v>
      </c>
      <c r="T50" s="51"/>
    </row>
    <row r="51" spans="2:21" ht="6" customHeight="1">
      <c r="M51" s="51"/>
      <c r="N51" s="52"/>
      <c r="O51" s="55"/>
      <c r="P51" s="55"/>
    </row>
    <row r="52" spans="2:21" ht="21.95" customHeight="1">
      <c r="B52" s="4" t="s">
        <v>20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111"/>
      <c r="R52" s="5" t="s">
        <v>21</v>
      </c>
      <c r="T52" s="51"/>
    </row>
    <row r="53" spans="2:21">
      <c r="H53" s="8"/>
      <c r="S53" s="93" t="s">
        <v>53</v>
      </c>
      <c r="T53" s="51">
        <f>C50+E50+G50+M50</f>
        <v>93111.790000000008</v>
      </c>
      <c r="U53" s="8">
        <f>T53/300</f>
        <v>310.37263333333334</v>
      </c>
    </row>
    <row r="54" spans="2:21">
      <c r="U54" s="94">
        <f>U49/U53</f>
        <v>2.964178864996581</v>
      </c>
    </row>
    <row r="56" spans="2:21">
      <c r="E56">
        <f>D5*0.008</f>
        <v>238.39920000000001</v>
      </c>
      <c r="F56">
        <f>E56/7</f>
        <v>34.057028571428575</v>
      </c>
    </row>
    <row r="57" spans="2:21">
      <c r="E57">
        <f>121*8</f>
        <v>968</v>
      </c>
    </row>
    <row r="58" spans="2:21">
      <c r="E58">
        <f>E57/8</f>
        <v>121</v>
      </c>
    </row>
    <row r="59" spans="2:21">
      <c r="E59">
        <f>E58/12</f>
        <v>10.083333333333334</v>
      </c>
    </row>
  </sheetData>
  <mergeCells count="76">
    <mergeCell ref="B3:C3"/>
    <mergeCell ref="B4:C4"/>
    <mergeCell ref="D4:I4"/>
    <mergeCell ref="B5:B8"/>
    <mergeCell ref="D5:E5"/>
    <mergeCell ref="F5:G5"/>
    <mergeCell ref="D6:E6"/>
    <mergeCell ref="F6:G6"/>
    <mergeCell ref="D7:E7"/>
    <mergeCell ref="F7:G7"/>
    <mergeCell ref="D8:E8"/>
    <mergeCell ref="F8:G8"/>
    <mergeCell ref="B9:B11"/>
    <mergeCell ref="D9:E9"/>
    <mergeCell ref="F9:G9"/>
    <mergeCell ref="D10:E10"/>
    <mergeCell ref="F10:G10"/>
    <mergeCell ref="D11:E11"/>
    <mergeCell ref="F11:G11"/>
    <mergeCell ref="B12:C12"/>
    <mergeCell ref="D12:E12"/>
    <mergeCell ref="F12:G12"/>
    <mergeCell ref="B13:C13"/>
    <mergeCell ref="D13:E13"/>
    <mergeCell ref="F13:G13"/>
    <mergeCell ref="H13:I13"/>
    <mergeCell ref="B14:C14"/>
    <mergeCell ref="D14:E14"/>
    <mergeCell ref="F14:G14"/>
    <mergeCell ref="B15:C15"/>
    <mergeCell ref="D15:E15"/>
    <mergeCell ref="F15:G15"/>
    <mergeCell ref="B16:C16"/>
    <mergeCell ref="D16:E16"/>
    <mergeCell ref="F16:G16"/>
    <mergeCell ref="H16:I16"/>
    <mergeCell ref="B17:C17"/>
    <mergeCell ref="D17:E17"/>
    <mergeCell ref="F17:G17"/>
    <mergeCell ref="B18:C18"/>
    <mergeCell ref="D18:E18"/>
    <mergeCell ref="F18:G18"/>
    <mergeCell ref="H18:I18"/>
    <mergeCell ref="B19:C19"/>
    <mergeCell ref="D19:E19"/>
    <mergeCell ref="F19:G19"/>
    <mergeCell ref="B20:C20"/>
    <mergeCell ref="D20:E20"/>
    <mergeCell ref="F20:G20"/>
    <mergeCell ref="B21:C21"/>
    <mergeCell ref="D21:E21"/>
    <mergeCell ref="F21:G21"/>
    <mergeCell ref="H21:I21"/>
    <mergeCell ref="B22:C31"/>
    <mergeCell ref="D22:I22"/>
    <mergeCell ref="D23:I23"/>
    <mergeCell ref="D24:I24"/>
    <mergeCell ref="D25:I25"/>
    <mergeCell ref="D26:I26"/>
    <mergeCell ref="D27:I27"/>
    <mergeCell ref="D28:I28"/>
    <mergeCell ref="D29:I29"/>
    <mergeCell ref="B34:B35"/>
    <mergeCell ref="C34:D34"/>
    <mergeCell ref="E34:F34"/>
    <mergeCell ref="G34:H34"/>
    <mergeCell ref="I34:J34"/>
    <mergeCell ref="M34:N34"/>
    <mergeCell ref="O34:P34"/>
    <mergeCell ref="Q34:Q35"/>
    <mergeCell ref="R34:R35"/>
    <mergeCell ref="D30:I30"/>
    <mergeCell ref="D31:F31"/>
    <mergeCell ref="H31:I31"/>
    <mergeCell ref="K31:M31"/>
    <mergeCell ref="K34:L34"/>
  </mergeCells>
  <phoneticPr fontId="2" type="noConversion"/>
  <pageMargins left="0.7" right="0.7" top="0.75" bottom="0.75" header="0.3" footer="0.3"/>
  <pageSetup paperSize="8" scale="82" orientation="landscape" r:id="rId1"/>
  <ignoredErrors>
    <ignoredError sqref="D18 E39:G39 D39 D49:D50 F49:F50 H49:H50 J49:J50 H39:I39 J39:K39 O37:O50 M39 M49:M50 K49:K50 I49:I50 G49:G51 E49:E50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1:U59"/>
  <sheetViews>
    <sheetView showGridLines="0" view="pageBreakPreview" topLeftCell="A9" zoomScale="85" zoomScaleNormal="85" zoomScaleSheetLayoutView="85" workbookViewId="0">
      <selection activeCell="I35" sqref="I35"/>
    </sheetView>
  </sheetViews>
  <sheetFormatPr defaultRowHeight="16.5"/>
  <cols>
    <col min="1" max="1" width="10.625" customWidth="1"/>
    <col min="2" max="16" width="12.625" customWidth="1"/>
    <col min="17" max="17" width="12.625" style="136" customWidth="1"/>
    <col min="18" max="18" width="12.625" customWidth="1"/>
    <col min="19" max="20" width="9.875" bestFit="1" customWidth="1"/>
  </cols>
  <sheetData>
    <row r="1" spans="2:18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8" ht="24.95" customHeight="1" thickBot="1">
      <c r="B2" s="78" t="s">
        <v>74</v>
      </c>
      <c r="C2" s="6"/>
      <c r="D2" s="6"/>
      <c r="E2" s="6"/>
      <c r="F2" s="6"/>
      <c r="G2" s="6"/>
      <c r="H2" s="6"/>
      <c r="I2" s="6"/>
      <c r="J2" s="1"/>
      <c r="K2" s="74" t="s">
        <v>14</v>
      </c>
      <c r="L2" s="6"/>
      <c r="M2" s="6"/>
      <c r="N2" s="6"/>
      <c r="O2" s="3"/>
      <c r="P2" s="3"/>
      <c r="Q2" s="101"/>
      <c r="R2" s="3"/>
    </row>
    <row r="3" spans="2:18" ht="20.100000000000001" customHeight="1" thickBot="1">
      <c r="B3" s="390" t="s">
        <v>8</v>
      </c>
      <c r="C3" s="440"/>
      <c r="D3" s="9" t="s">
        <v>84</v>
      </c>
      <c r="E3" s="10"/>
      <c r="F3" s="10"/>
      <c r="G3" s="10"/>
      <c r="H3" s="10"/>
      <c r="I3" s="10"/>
      <c r="J3" s="7"/>
      <c r="K3" s="53" t="s">
        <v>15</v>
      </c>
      <c r="L3" s="19" t="s">
        <v>16</v>
      </c>
      <c r="M3" s="20" t="s">
        <v>17</v>
      </c>
      <c r="N3" s="36" t="s">
        <v>26</v>
      </c>
      <c r="O3" s="57" t="s">
        <v>27</v>
      </c>
      <c r="P3" s="56" t="s">
        <v>35</v>
      </c>
      <c r="Q3" s="102" t="s">
        <v>36</v>
      </c>
      <c r="R3" s="58" t="s">
        <v>18</v>
      </c>
    </row>
    <row r="4" spans="2:18" ht="20.100000000000001" customHeight="1">
      <c r="B4" s="413" t="s">
        <v>9</v>
      </c>
      <c r="C4" s="419"/>
      <c r="D4" s="441" t="s">
        <v>75</v>
      </c>
      <c r="E4" s="442"/>
      <c r="F4" s="442"/>
      <c r="G4" s="442"/>
      <c r="H4" s="442"/>
      <c r="I4" s="442"/>
      <c r="J4" s="7"/>
      <c r="K4" s="60"/>
      <c r="L4" s="61"/>
      <c r="M4" s="20"/>
      <c r="N4" s="84"/>
      <c r="O4" s="85"/>
      <c r="P4" s="84"/>
      <c r="Q4" s="85"/>
      <c r="R4" s="62"/>
    </row>
    <row r="5" spans="2:18" ht="20.100000000000001" customHeight="1">
      <c r="B5" s="413" t="s">
        <v>10</v>
      </c>
      <c r="C5" s="54" t="s">
        <v>39</v>
      </c>
      <c r="D5" s="447">
        <v>29799.9</v>
      </c>
      <c r="E5" s="448"/>
      <c r="F5" s="430">
        <f>D5*0.3025</f>
        <v>9014.4697500000002</v>
      </c>
      <c r="G5" s="445"/>
      <c r="H5" s="135"/>
      <c r="I5" s="135"/>
      <c r="J5" s="7"/>
      <c r="K5" s="63"/>
      <c r="L5" s="64"/>
      <c r="M5" s="65"/>
      <c r="N5" s="86"/>
      <c r="O5" s="87"/>
      <c r="P5" s="86"/>
      <c r="Q5" s="103"/>
      <c r="R5" s="69"/>
    </row>
    <row r="6" spans="2:18" ht="20.100000000000001" hidden="1" customHeight="1">
      <c r="B6" s="443"/>
      <c r="C6" s="54" t="s">
        <v>65</v>
      </c>
      <c r="D6" s="428">
        <v>0</v>
      </c>
      <c r="E6" s="446"/>
      <c r="F6" s="430">
        <f t="shared" ref="F6:F13" si="0">D6*0.3025</f>
        <v>0</v>
      </c>
      <c r="G6" s="445"/>
      <c r="H6" s="135"/>
      <c r="I6" s="135" t="s">
        <v>69</v>
      </c>
      <c r="J6" s="7"/>
      <c r="K6" s="63"/>
      <c r="L6" s="64"/>
      <c r="M6" s="65"/>
      <c r="N6" s="86"/>
      <c r="O6" s="87"/>
      <c r="P6" s="86"/>
      <c r="Q6" s="103"/>
      <c r="R6" s="69"/>
    </row>
    <row r="7" spans="2:18" ht="20.100000000000001" hidden="1" customHeight="1">
      <c r="B7" s="443"/>
      <c r="C7" s="54" t="s">
        <v>66</v>
      </c>
      <c r="D7" s="428">
        <v>0</v>
      </c>
      <c r="E7" s="446"/>
      <c r="F7" s="430">
        <f t="shared" si="0"/>
        <v>0</v>
      </c>
      <c r="G7" s="445"/>
      <c r="H7" s="135"/>
      <c r="I7" s="135" t="s">
        <v>68</v>
      </c>
      <c r="J7" s="7"/>
      <c r="K7" s="63"/>
      <c r="L7" s="64"/>
      <c r="M7" s="65"/>
      <c r="N7" s="86"/>
      <c r="O7" s="87"/>
      <c r="P7" s="86"/>
      <c r="Q7" s="103"/>
      <c r="R7" s="69"/>
    </row>
    <row r="8" spans="2:18" ht="20.100000000000001" hidden="1" customHeight="1">
      <c r="B8" s="444"/>
      <c r="C8" s="54" t="s">
        <v>64</v>
      </c>
      <c r="D8" s="428">
        <f>N31</f>
        <v>0</v>
      </c>
      <c r="E8" s="446"/>
      <c r="F8" s="430">
        <f t="shared" si="0"/>
        <v>0</v>
      </c>
      <c r="G8" s="445"/>
      <c r="H8" s="135"/>
      <c r="I8" s="135" t="s">
        <v>67</v>
      </c>
      <c r="J8" s="7"/>
      <c r="K8" s="63"/>
      <c r="L8" s="64"/>
      <c r="M8" s="65"/>
      <c r="N8" s="86"/>
      <c r="O8" s="87"/>
      <c r="P8" s="88"/>
      <c r="Q8" s="103"/>
      <c r="R8" s="69"/>
    </row>
    <row r="9" spans="2:18" ht="20.100000000000001" customHeight="1">
      <c r="B9" s="438" t="s">
        <v>7</v>
      </c>
      <c r="C9" s="54" t="s">
        <v>11</v>
      </c>
      <c r="D9" s="428">
        <f>O49</f>
        <v>103741.62000000001</v>
      </c>
      <c r="E9" s="429"/>
      <c r="F9" s="430">
        <f t="shared" si="0"/>
        <v>31381.840050000003</v>
      </c>
      <c r="G9" s="431"/>
      <c r="H9" s="135"/>
      <c r="I9" s="135"/>
      <c r="J9" s="7"/>
      <c r="K9" s="63"/>
      <c r="L9" s="64"/>
      <c r="M9" s="65"/>
      <c r="N9" s="86"/>
      <c r="O9" s="87"/>
      <c r="P9" s="86"/>
      <c r="Q9" s="103"/>
      <c r="R9" s="69"/>
    </row>
    <row r="10" spans="2:18" ht="20.100000000000001" customHeight="1">
      <c r="B10" s="439"/>
      <c r="C10" s="54" t="s">
        <v>12</v>
      </c>
      <c r="D10" s="428">
        <f>O39</f>
        <v>27275.760000000002</v>
      </c>
      <c r="E10" s="429"/>
      <c r="F10" s="430">
        <f t="shared" si="0"/>
        <v>8250.9174000000003</v>
      </c>
      <c r="G10" s="431"/>
      <c r="H10" s="135"/>
      <c r="I10" s="135"/>
      <c r="J10" s="7"/>
      <c r="K10" s="70"/>
      <c r="L10" s="64"/>
      <c r="M10" s="65"/>
      <c r="N10" s="86"/>
      <c r="O10" s="87"/>
      <c r="P10" s="86"/>
      <c r="Q10" s="103"/>
      <c r="R10" s="71"/>
    </row>
    <row r="11" spans="2:18" ht="20.100000000000001" customHeight="1">
      <c r="B11" s="439"/>
      <c r="C11" s="54" t="s">
        <v>13</v>
      </c>
      <c r="D11" s="428">
        <f>SUM(D9:E10)</f>
        <v>131017.38</v>
      </c>
      <c r="E11" s="429"/>
      <c r="F11" s="430">
        <f t="shared" si="0"/>
        <v>39632.757449999997</v>
      </c>
      <c r="G11" s="431"/>
      <c r="H11" s="135"/>
      <c r="I11" s="135"/>
      <c r="J11" s="7"/>
      <c r="K11" s="63"/>
      <c r="L11" s="64"/>
      <c r="M11" s="65"/>
      <c r="N11" s="86"/>
      <c r="O11" s="87"/>
      <c r="P11" s="88"/>
      <c r="Q11" s="103"/>
      <c r="R11" s="69"/>
    </row>
    <row r="12" spans="2:18" ht="20.100000000000001" customHeight="1">
      <c r="B12" s="413" t="s">
        <v>29</v>
      </c>
      <c r="C12" s="419"/>
      <c r="D12" s="428">
        <f>O49-K49-I49</f>
        <v>71839.66</v>
      </c>
      <c r="E12" s="429"/>
      <c r="F12" s="430">
        <f t="shared" si="0"/>
        <v>21731.497149999999</v>
      </c>
      <c r="G12" s="431"/>
      <c r="H12" s="135"/>
      <c r="I12" s="135"/>
      <c r="J12" s="7"/>
      <c r="K12" s="63"/>
      <c r="L12" s="64"/>
      <c r="M12" s="65"/>
      <c r="N12" s="86"/>
      <c r="O12" s="87"/>
      <c r="P12" s="88"/>
      <c r="Q12" s="103"/>
      <c r="R12" s="72"/>
    </row>
    <row r="13" spans="2:18" ht="20.100000000000001" customHeight="1">
      <c r="B13" s="413" t="s">
        <v>28</v>
      </c>
      <c r="C13" s="437"/>
      <c r="D13" s="428">
        <v>20844.11</v>
      </c>
      <c r="E13" s="429"/>
      <c r="F13" s="430">
        <f t="shared" si="0"/>
        <v>6305.3432750000002</v>
      </c>
      <c r="G13" s="431"/>
      <c r="H13" s="436"/>
      <c r="I13" s="436"/>
      <c r="J13" s="7"/>
      <c r="K13" s="63"/>
      <c r="L13" s="64"/>
      <c r="M13" s="65"/>
      <c r="N13" s="86"/>
      <c r="O13" s="87"/>
      <c r="P13" s="86"/>
      <c r="Q13" s="103"/>
      <c r="R13" s="69"/>
    </row>
    <row r="14" spans="2:18" ht="20.100000000000001" customHeight="1">
      <c r="B14" s="413" t="s">
        <v>30</v>
      </c>
      <c r="C14" s="419"/>
      <c r="D14" s="434">
        <f>D13/D5</f>
        <v>0.69946912573532127</v>
      </c>
      <c r="E14" s="435"/>
      <c r="F14" s="422" t="s">
        <v>70</v>
      </c>
      <c r="G14" s="421"/>
      <c r="H14" s="135"/>
      <c r="I14" s="135"/>
      <c r="J14" s="7"/>
      <c r="K14" s="63"/>
      <c r="L14" s="64"/>
      <c r="M14" s="65"/>
      <c r="N14" s="86"/>
      <c r="O14" s="87"/>
      <c r="P14" s="88"/>
      <c r="Q14" s="103"/>
      <c r="R14" s="73"/>
    </row>
    <row r="15" spans="2:18" ht="20.100000000000001" customHeight="1">
      <c r="B15" s="413" t="s">
        <v>31</v>
      </c>
      <c r="C15" s="419"/>
      <c r="D15" s="434">
        <f>D12/D5</f>
        <v>2.4107349353521319</v>
      </c>
      <c r="E15" s="435"/>
      <c r="F15" s="422" t="s">
        <v>76</v>
      </c>
      <c r="G15" s="421"/>
      <c r="H15" s="135"/>
      <c r="I15" s="135"/>
      <c r="J15" s="7"/>
      <c r="K15" s="63"/>
      <c r="L15" s="64"/>
      <c r="M15" s="65"/>
      <c r="N15" s="86"/>
      <c r="O15" s="87"/>
      <c r="P15" s="86"/>
      <c r="Q15" s="103"/>
      <c r="R15" s="76"/>
    </row>
    <row r="16" spans="2:18" ht="20.100000000000001" customHeight="1">
      <c r="B16" s="423" t="s">
        <v>58</v>
      </c>
      <c r="C16" s="424"/>
      <c r="D16" s="428">
        <f>$O$50-$K$50</f>
        <v>101718.18</v>
      </c>
      <c r="E16" s="429"/>
      <c r="F16" s="430">
        <f t="shared" ref="F16" si="1">D16*0.3025</f>
        <v>30769.749449999996</v>
      </c>
      <c r="G16" s="431"/>
      <c r="H16" s="432" t="s">
        <v>61</v>
      </c>
      <c r="I16" s="433"/>
      <c r="J16" s="7"/>
      <c r="K16" s="63"/>
      <c r="L16" s="64"/>
      <c r="M16" s="65"/>
      <c r="N16" s="86"/>
      <c r="O16" s="87"/>
      <c r="P16" s="86"/>
      <c r="Q16" s="103"/>
      <c r="R16" s="69"/>
    </row>
    <row r="17" spans="2:18" ht="20.100000000000001" customHeight="1">
      <c r="B17" s="413" t="s">
        <v>57</v>
      </c>
      <c r="C17" s="419"/>
      <c r="D17" s="434">
        <f>D16/$O$50</f>
        <v>0.77637165389813156</v>
      </c>
      <c r="E17" s="435"/>
      <c r="F17" s="422" t="s">
        <v>38</v>
      </c>
      <c r="G17" s="421"/>
      <c r="H17" s="135"/>
      <c r="I17" s="135"/>
      <c r="J17" s="7"/>
      <c r="K17" s="63"/>
      <c r="L17" s="64"/>
      <c r="M17" s="65"/>
      <c r="N17" s="86"/>
      <c r="O17" s="87"/>
      <c r="P17" s="88"/>
      <c r="Q17" s="103"/>
      <c r="R17" s="69"/>
    </row>
    <row r="18" spans="2:18" ht="20.100000000000001" customHeight="1">
      <c r="B18" s="423" t="s">
        <v>59</v>
      </c>
      <c r="C18" s="424"/>
      <c r="D18" s="428">
        <f>$O$50-$K$50-$I$50</f>
        <v>92996.98</v>
      </c>
      <c r="E18" s="429"/>
      <c r="F18" s="430">
        <f t="shared" ref="F18" si="2">D18*0.3025</f>
        <v>28131.586449999999</v>
      </c>
      <c r="G18" s="431"/>
      <c r="H18" s="432" t="s">
        <v>62</v>
      </c>
      <c r="I18" s="433"/>
      <c r="J18" s="7"/>
      <c r="K18" s="63"/>
      <c r="L18" s="64"/>
      <c r="M18" s="65"/>
      <c r="N18" s="86"/>
      <c r="O18" s="87"/>
      <c r="P18" s="88"/>
      <c r="Q18" s="103"/>
      <c r="R18" s="69"/>
    </row>
    <row r="19" spans="2:18" ht="20.100000000000001" customHeight="1">
      <c r="B19" s="413" t="s">
        <v>60</v>
      </c>
      <c r="C19" s="419"/>
      <c r="D19" s="434">
        <f>D18/$O$50</f>
        <v>0.70980643942047983</v>
      </c>
      <c r="E19" s="435"/>
      <c r="F19" s="422" t="s">
        <v>38</v>
      </c>
      <c r="G19" s="421"/>
      <c r="H19" s="135"/>
      <c r="I19" s="135"/>
      <c r="J19" s="7"/>
      <c r="K19" s="63"/>
      <c r="L19" s="64"/>
      <c r="M19" s="65"/>
      <c r="N19" s="86"/>
      <c r="O19" s="87"/>
      <c r="P19" s="88"/>
      <c r="Q19" s="103"/>
      <c r="R19" s="72"/>
    </row>
    <row r="20" spans="2:18" ht="20.100000000000001" customHeight="1">
      <c r="B20" s="413" t="s">
        <v>32</v>
      </c>
      <c r="C20" s="419"/>
      <c r="D20" s="420" t="s">
        <v>87</v>
      </c>
      <c r="E20" s="421"/>
      <c r="F20" s="422" t="s">
        <v>77</v>
      </c>
      <c r="G20" s="421"/>
      <c r="H20" s="135"/>
      <c r="I20" s="135"/>
      <c r="J20" s="7"/>
      <c r="K20" s="63"/>
      <c r="L20" s="64"/>
      <c r="M20" s="65"/>
      <c r="N20" s="86"/>
      <c r="O20" s="87"/>
      <c r="P20" s="88"/>
      <c r="Q20" s="103"/>
      <c r="R20" s="72"/>
    </row>
    <row r="21" spans="2:18" ht="20.100000000000001" customHeight="1" thickBot="1">
      <c r="B21" s="423" t="s">
        <v>23</v>
      </c>
      <c r="C21" s="424"/>
      <c r="D21" s="420">
        <v>8.5000000000000006E-2</v>
      </c>
      <c r="E21" s="425"/>
      <c r="F21" s="426" t="s">
        <v>34</v>
      </c>
      <c r="G21" s="427"/>
      <c r="H21" s="411"/>
      <c r="I21" s="412"/>
      <c r="J21" s="7"/>
      <c r="K21" s="63"/>
      <c r="L21" s="64"/>
      <c r="M21" s="65"/>
      <c r="N21" s="86"/>
      <c r="O21" s="87"/>
      <c r="P21" s="88"/>
      <c r="Q21" s="103"/>
      <c r="R21" s="72"/>
    </row>
    <row r="22" spans="2:18" ht="20.100000000000001" hidden="1" customHeight="1">
      <c r="B22" s="413" t="s">
        <v>63</v>
      </c>
      <c r="C22" s="414"/>
      <c r="D22" s="396"/>
      <c r="E22" s="397"/>
      <c r="F22" s="397"/>
      <c r="G22" s="397"/>
      <c r="H22" s="397"/>
      <c r="I22" s="397"/>
      <c r="J22" s="7"/>
      <c r="K22" s="63"/>
      <c r="L22" s="64"/>
      <c r="M22" s="65"/>
      <c r="N22" s="66"/>
      <c r="O22" s="67"/>
      <c r="P22" s="68"/>
      <c r="Q22" s="104"/>
      <c r="R22" s="72"/>
    </row>
    <row r="23" spans="2:18" ht="20.100000000000001" hidden="1" customHeight="1">
      <c r="B23" s="415"/>
      <c r="C23" s="416"/>
      <c r="D23" s="396"/>
      <c r="E23" s="397"/>
      <c r="F23" s="397"/>
      <c r="G23" s="397"/>
      <c r="H23" s="397"/>
      <c r="I23" s="397"/>
      <c r="J23" s="7"/>
      <c r="K23" s="63"/>
      <c r="L23" s="64"/>
      <c r="M23" s="65"/>
      <c r="N23" s="66"/>
      <c r="O23" s="67"/>
      <c r="P23" s="68"/>
      <c r="Q23" s="104"/>
      <c r="R23" s="72"/>
    </row>
    <row r="24" spans="2:18" ht="20.100000000000001" hidden="1" customHeight="1">
      <c r="B24" s="415"/>
      <c r="C24" s="416"/>
      <c r="D24" s="396"/>
      <c r="E24" s="397"/>
      <c r="F24" s="397"/>
      <c r="G24" s="397"/>
      <c r="H24" s="397"/>
      <c r="I24" s="397"/>
      <c r="J24" s="7"/>
      <c r="K24" s="63"/>
      <c r="L24" s="64"/>
      <c r="M24" s="65"/>
      <c r="N24" s="66"/>
      <c r="O24" s="67"/>
      <c r="P24" s="68"/>
      <c r="Q24" s="104"/>
      <c r="R24" s="72"/>
    </row>
    <row r="25" spans="2:18" ht="20.100000000000001" hidden="1" customHeight="1">
      <c r="B25" s="415"/>
      <c r="C25" s="416"/>
      <c r="D25" s="396"/>
      <c r="E25" s="397"/>
      <c r="F25" s="397"/>
      <c r="G25" s="397"/>
      <c r="H25" s="397"/>
      <c r="I25" s="397"/>
      <c r="J25" s="7"/>
      <c r="K25" s="63"/>
      <c r="L25" s="64"/>
      <c r="M25" s="65"/>
      <c r="N25" s="66"/>
      <c r="O25" s="67"/>
      <c r="P25" s="68"/>
      <c r="Q25" s="104"/>
      <c r="R25" s="72"/>
    </row>
    <row r="26" spans="2:18" ht="20.100000000000001" hidden="1" customHeight="1">
      <c r="B26" s="415"/>
      <c r="C26" s="416"/>
      <c r="D26" s="396"/>
      <c r="E26" s="397"/>
      <c r="F26" s="397"/>
      <c r="G26" s="397"/>
      <c r="H26" s="397"/>
      <c r="I26" s="397"/>
      <c r="J26" s="7"/>
      <c r="K26" s="63"/>
      <c r="L26" s="64"/>
      <c r="M26" s="65"/>
      <c r="N26" s="66"/>
      <c r="O26" s="67"/>
      <c r="P26" s="68"/>
      <c r="Q26" s="104"/>
      <c r="R26" s="72"/>
    </row>
    <row r="27" spans="2:18" ht="20.100000000000001" hidden="1" customHeight="1">
      <c r="B27" s="415"/>
      <c r="C27" s="416"/>
      <c r="D27" s="396"/>
      <c r="E27" s="397"/>
      <c r="F27" s="397"/>
      <c r="G27" s="397"/>
      <c r="H27" s="397"/>
      <c r="I27" s="397"/>
      <c r="J27" s="7"/>
      <c r="K27" s="63"/>
      <c r="L27" s="64"/>
      <c r="M27" s="65"/>
      <c r="N27" s="66"/>
      <c r="O27" s="67"/>
      <c r="P27" s="68"/>
      <c r="Q27" s="104"/>
      <c r="R27" s="72"/>
    </row>
    <row r="28" spans="2:18" ht="20.100000000000001" hidden="1" customHeight="1">
      <c r="B28" s="415"/>
      <c r="C28" s="416"/>
      <c r="D28" s="396"/>
      <c r="E28" s="397"/>
      <c r="F28" s="397"/>
      <c r="G28" s="397"/>
      <c r="H28" s="397"/>
      <c r="I28" s="397"/>
      <c r="J28" s="7"/>
      <c r="K28" s="63"/>
      <c r="L28" s="64"/>
      <c r="M28" s="65"/>
      <c r="N28" s="66"/>
      <c r="O28" s="67"/>
      <c r="P28" s="68"/>
      <c r="Q28" s="104"/>
      <c r="R28" s="72"/>
    </row>
    <row r="29" spans="2:18" ht="20.100000000000001" hidden="1" customHeight="1">
      <c r="B29" s="415"/>
      <c r="C29" s="416"/>
      <c r="D29" s="396"/>
      <c r="E29" s="397"/>
      <c r="F29" s="397"/>
      <c r="G29" s="397"/>
      <c r="H29" s="397"/>
      <c r="I29" s="397"/>
      <c r="J29" s="7"/>
      <c r="K29" s="63"/>
      <c r="L29" s="64"/>
      <c r="M29" s="65"/>
      <c r="N29" s="66"/>
      <c r="O29" s="67"/>
      <c r="P29" s="68"/>
      <c r="Q29" s="104"/>
      <c r="R29" s="72"/>
    </row>
    <row r="30" spans="2:18" ht="20.100000000000001" hidden="1" customHeight="1" thickBot="1">
      <c r="B30" s="415"/>
      <c r="C30" s="416"/>
      <c r="D30" s="396"/>
      <c r="E30" s="397"/>
      <c r="F30" s="397"/>
      <c r="G30" s="397"/>
      <c r="H30" s="397"/>
      <c r="I30" s="397"/>
      <c r="J30" s="7"/>
      <c r="K30" s="63"/>
      <c r="L30" s="64"/>
      <c r="M30" s="65"/>
      <c r="N30" s="66"/>
      <c r="O30" s="67"/>
      <c r="P30" s="68"/>
      <c r="Q30" s="104"/>
      <c r="R30" s="72"/>
    </row>
    <row r="31" spans="2:18" ht="20.100000000000001" customHeight="1" thickBot="1">
      <c r="B31" s="417"/>
      <c r="C31" s="418"/>
      <c r="D31" s="398" t="s">
        <v>81</v>
      </c>
      <c r="E31" s="399"/>
      <c r="F31" s="400"/>
      <c r="G31" s="100">
        <f>(O50-I50-K50)/400</f>
        <v>232.49245000000002</v>
      </c>
      <c r="H31" s="401" t="s">
        <v>82</v>
      </c>
      <c r="I31" s="402"/>
      <c r="J31" s="7"/>
      <c r="K31" s="403" t="s">
        <v>19</v>
      </c>
      <c r="L31" s="404"/>
      <c r="M31" s="405"/>
      <c r="N31" s="89">
        <f>SUM(N4:N30)</f>
        <v>0</v>
      </c>
      <c r="O31" s="90">
        <f>N31*0.3025</f>
        <v>0</v>
      </c>
      <c r="P31" s="91">
        <f>SUM(P4:P30)</f>
        <v>0</v>
      </c>
      <c r="Q31" s="92">
        <f>P31*0.3025</f>
        <v>0</v>
      </c>
      <c r="R31" s="59"/>
    </row>
    <row r="32" spans="2:18" ht="6" customHeight="1" thickTop="1">
      <c r="B32" s="5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2:21" ht="24.95" customHeight="1" thickBot="1">
      <c r="B33" s="75" t="s">
        <v>22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101"/>
      <c r="R33" s="3"/>
    </row>
    <row r="34" spans="2:21" ht="20.100000000000001" customHeight="1">
      <c r="B34" s="407" t="s">
        <v>40</v>
      </c>
      <c r="C34" s="390" t="s">
        <v>55</v>
      </c>
      <c r="D34" s="409"/>
      <c r="E34" s="410" t="s">
        <v>56</v>
      </c>
      <c r="F34" s="409"/>
      <c r="G34" s="410" t="s">
        <v>88</v>
      </c>
      <c r="H34" s="409"/>
      <c r="I34" s="388" t="s">
        <v>54</v>
      </c>
      <c r="J34" s="406"/>
      <c r="K34" s="388" t="s">
        <v>33</v>
      </c>
      <c r="L34" s="406"/>
      <c r="M34" s="388" t="s">
        <v>50</v>
      </c>
      <c r="N34" s="389"/>
      <c r="O34" s="390" t="s">
        <v>6</v>
      </c>
      <c r="P34" s="391"/>
      <c r="Q34" s="392" t="s">
        <v>49</v>
      </c>
      <c r="R34" s="394" t="s">
        <v>18</v>
      </c>
      <c r="T34" s="50" t="s">
        <v>49</v>
      </c>
    </row>
    <row r="35" spans="2:21" ht="20.100000000000001" customHeight="1" thickBot="1">
      <c r="B35" s="408"/>
      <c r="C35" s="21" t="s">
        <v>4</v>
      </c>
      <c r="D35" s="22" t="s">
        <v>5</v>
      </c>
      <c r="E35" s="23" t="s">
        <v>4</v>
      </c>
      <c r="F35" s="22" t="s">
        <v>5</v>
      </c>
      <c r="G35" s="23" t="s">
        <v>4</v>
      </c>
      <c r="H35" s="22" t="s">
        <v>5</v>
      </c>
      <c r="I35" s="22" t="s">
        <v>4</v>
      </c>
      <c r="J35" s="22" t="s">
        <v>5</v>
      </c>
      <c r="K35" s="22" t="s">
        <v>4</v>
      </c>
      <c r="L35" s="22" t="s">
        <v>5</v>
      </c>
      <c r="M35" s="22" t="s">
        <v>4</v>
      </c>
      <c r="N35" s="24" t="s">
        <v>5</v>
      </c>
      <c r="O35" s="25" t="s">
        <v>4</v>
      </c>
      <c r="P35" s="26" t="s">
        <v>5</v>
      </c>
      <c r="Q35" s="393"/>
      <c r="R35" s="395"/>
      <c r="T35" s="50" t="s">
        <v>51</v>
      </c>
      <c r="U35" s="50" t="s">
        <v>52</v>
      </c>
    </row>
    <row r="36" spans="2:21" ht="20.100000000000001" hidden="1" customHeight="1">
      <c r="B36" s="33" t="s">
        <v>42</v>
      </c>
      <c r="C36" s="117">
        <v>0</v>
      </c>
      <c r="D36" s="113">
        <f>C36*0.3025</f>
        <v>0</v>
      </c>
      <c r="E36" s="114">
        <v>0</v>
      </c>
      <c r="F36" s="113">
        <f>E36*0.3025</f>
        <v>0</v>
      </c>
      <c r="G36" s="114">
        <v>0</v>
      </c>
      <c r="H36" s="113">
        <f>G36*0.3025</f>
        <v>0</v>
      </c>
      <c r="I36" s="115">
        <v>0</v>
      </c>
      <c r="J36" s="115">
        <f>I36*0.3025</f>
        <v>0</v>
      </c>
      <c r="K36" s="115">
        <v>0</v>
      </c>
      <c r="L36" s="113">
        <f>K36*0.3025</f>
        <v>0</v>
      </c>
      <c r="M36" s="115">
        <v>0</v>
      </c>
      <c r="N36" s="77">
        <f>M36*0.3025</f>
        <v>0</v>
      </c>
      <c r="O36" s="13">
        <f>C36+E36+G36+I36+K36+M36</f>
        <v>0</v>
      </c>
      <c r="P36" s="14">
        <f t="shared" ref="P36:P50" si="3">O36*0.3025</f>
        <v>0</v>
      </c>
      <c r="Q36" s="105"/>
      <c r="R36" s="79" t="s">
        <v>41</v>
      </c>
    </row>
    <row r="37" spans="2:21" ht="20.100000000000001" customHeight="1">
      <c r="B37" s="33" t="s">
        <v>37</v>
      </c>
      <c r="C37" s="97">
        <v>0</v>
      </c>
      <c r="D37" s="96">
        <f>C37*0.3025</f>
        <v>0</v>
      </c>
      <c r="E37" s="15">
        <f>13520.92-18</f>
        <v>13502.92</v>
      </c>
      <c r="F37" s="16">
        <f t="shared" ref="F37:F38" si="4">E37*0.3025</f>
        <v>4084.6333</v>
      </c>
      <c r="G37" s="15">
        <f>526.83+451.79-18</f>
        <v>960.62000000000012</v>
      </c>
      <c r="H37" s="16">
        <f t="shared" ref="H37:H38" si="5">G37*0.3025</f>
        <v>290.58755000000002</v>
      </c>
      <c r="I37" s="16">
        <v>1459.84</v>
      </c>
      <c r="J37" s="16">
        <f t="shared" ref="J37:J38" si="6">I37*0.3025</f>
        <v>441.60159999999996</v>
      </c>
      <c r="K37" s="16">
        <v>4658.6000000000004</v>
      </c>
      <c r="L37" s="16">
        <f t="shared" ref="L37:L38" si="7">K37*0.3025</f>
        <v>1409.2265</v>
      </c>
      <c r="M37" s="16">
        <v>1562.6</v>
      </c>
      <c r="N37" s="118">
        <f>M37*0.3025</f>
        <v>472.68649999999997</v>
      </c>
      <c r="O37" s="13">
        <f>C37+E37+G37+I37+K37+M37</f>
        <v>22144.58</v>
      </c>
      <c r="P37" s="14">
        <f t="shared" si="3"/>
        <v>6698.7354500000001</v>
      </c>
      <c r="Q37" s="106"/>
      <c r="R37" s="80" t="s">
        <v>56</v>
      </c>
    </row>
    <row r="38" spans="2:21" ht="20.100000000000001" customHeight="1" thickBot="1">
      <c r="B38" s="37" t="s">
        <v>0</v>
      </c>
      <c r="C38" s="119">
        <v>0</v>
      </c>
      <c r="D38" s="120">
        <f>C38*0.3025</f>
        <v>0</v>
      </c>
      <c r="E38" s="121">
        <v>0</v>
      </c>
      <c r="F38" s="122">
        <f t="shared" si="4"/>
        <v>0</v>
      </c>
      <c r="G38" s="121">
        <f>4279.27+881.91-30</f>
        <v>5131.18</v>
      </c>
      <c r="H38" s="122">
        <f t="shared" si="5"/>
        <v>1552.1819500000001</v>
      </c>
      <c r="I38" s="122">
        <v>0</v>
      </c>
      <c r="J38" s="122">
        <f t="shared" si="6"/>
        <v>0</v>
      </c>
      <c r="K38" s="122">
        <v>0</v>
      </c>
      <c r="L38" s="122">
        <f t="shared" si="7"/>
        <v>0</v>
      </c>
      <c r="M38" s="122">
        <v>0</v>
      </c>
      <c r="N38" s="123">
        <f>M38*0.3025</f>
        <v>0</v>
      </c>
      <c r="O38" s="40">
        <f>C38+E38+G38+I38+K38+M38</f>
        <v>5131.18</v>
      </c>
      <c r="P38" s="41">
        <f t="shared" si="3"/>
        <v>1552.1819500000001</v>
      </c>
      <c r="Q38" s="107"/>
      <c r="R38" s="95" t="s">
        <v>72</v>
      </c>
      <c r="T38" s="50">
        <v>25</v>
      </c>
      <c r="U38" s="50">
        <v>57</v>
      </c>
    </row>
    <row r="39" spans="2:21" ht="20.100000000000001" customHeight="1" thickBot="1">
      <c r="B39" s="27" t="s">
        <v>24</v>
      </c>
      <c r="C39" s="42">
        <f>SUM(C36:C38)</f>
        <v>0</v>
      </c>
      <c r="D39" s="29">
        <f>C39*0.3025</f>
        <v>0</v>
      </c>
      <c r="E39" s="43">
        <f>SUM(E36:E38)</f>
        <v>13502.92</v>
      </c>
      <c r="F39" s="30">
        <f>E39*0.3025</f>
        <v>4084.6333</v>
      </c>
      <c r="G39" s="43">
        <f>SUM(G36:G38)</f>
        <v>6091.8</v>
      </c>
      <c r="H39" s="30">
        <f>G39*0.3025</f>
        <v>1842.7695000000001</v>
      </c>
      <c r="I39" s="30">
        <f>SUM(I36:I38)</f>
        <v>1459.84</v>
      </c>
      <c r="J39" s="30">
        <f>I39*0.3025</f>
        <v>441.60159999999996</v>
      </c>
      <c r="K39" s="30">
        <f>SUM(K36:K38)</f>
        <v>4658.6000000000004</v>
      </c>
      <c r="L39" s="30">
        <f>K39*0.3025</f>
        <v>1409.2265</v>
      </c>
      <c r="M39" s="30">
        <f>SUM(M36:M38)</f>
        <v>1562.6</v>
      </c>
      <c r="N39" s="31">
        <f>M39*0.3025</f>
        <v>472.68649999999997</v>
      </c>
      <c r="O39" s="28">
        <f>SUM(O36:O38)</f>
        <v>27275.760000000002</v>
      </c>
      <c r="P39" s="32">
        <f t="shared" si="3"/>
        <v>8250.9174000000003</v>
      </c>
      <c r="Q39" s="108"/>
      <c r="R39" s="82"/>
    </row>
    <row r="40" spans="2:21" ht="20.100000000000001" customHeight="1">
      <c r="B40" s="33" t="s">
        <v>1</v>
      </c>
      <c r="C40" s="112">
        <v>0</v>
      </c>
      <c r="D40" s="113">
        <f t="shared" ref="D40:D50" si="8">C40*0.3025</f>
        <v>0</v>
      </c>
      <c r="E40" s="114">
        <f>12756.33-18</f>
        <v>12738.33</v>
      </c>
      <c r="F40" s="115">
        <f t="shared" ref="F40:F48" si="9">E40*0.3025</f>
        <v>3853.3448249999997</v>
      </c>
      <c r="G40" s="114">
        <f>522.37+468.6-18</f>
        <v>972.97</v>
      </c>
      <c r="H40" s="115">
        <f t="shared" ref="H40:H48" si="10">G40*0.3025</f>
        <v>294.32342499999999</v>
      </c>
      <c r="I40" s="115">
        <v>1422</v>
      </c>
      <c r="J40" s="115">
        <f t="shared" ref="J40:J50" si="11">I40*0.3025</f>
        <v>430.15499999999997</v>
      </c>
      <c r="K40" s="115">
        <v>5671.44</v>
      </c>
      <c r="L40" s="115">
        <f t="shared" ref="L40:L50" si="12">K40*0.3025</f>
        <v>1715.6105999999997</v>
      </c>
      <c r="M40" s="38">
        <v>0</v>
      </c>
      <c r="N40" s="39">
        <f t="shared" ref="N40:N50" si="13">M40*0.3025</f>
        <v>0</v>
      </c>
      <c r="O40" s="13">
        <f>C40+E40+G40+I40+K40+M40</f>
        <v>20804.739999999998</v>
      </c>
      <c r="P40" s="14">
        <f t="shared" si="3"/>
        <v>6293.4338499999994</v>
      </c>
      <c r="Q40" s="105"/>
      <c r="R40" s="79" t="s">
        <v>56</v>
      </c>
      <c r="T40" s="50">
        <v>25</v>
      </c>
      <c r="U40" s="50">
        <v>57</v>
      </c>
    </row>
    <row r="41" spans="2:21" ht="20.100000000000001" customHeight="1">
      <c r="B41" s="34" t="s">
        <v>2</v>
      </c>
      <c r="C41" s="116">
        <v>0</v>
      </c>
      <c r="D41" s="96">
        <f t="shared" si="8"/>
        <v>0</v>
      </c>
      <c r="E41" s="15">
        <f>13575.94-18</f>
        <v>13557.94</v>
      </c>
      <c r="F41" s="16">
        <f t="shared" si="9"/>
        <v>4101.2768500000002</v>
      </c>
      <c r="G41" s="15">
        <f>559.16+432.99-18</f>
        <v>974.15</v>
      </c>
      <c r="H41" s="16">
        <f t="shared" si="10"/>
        <v>294.68037499999997</v>
      </c>
      <c r="I41" s="16">
        <v>1459.84</v>
      </c>
      <c r="J41" s="16">
        <f t="shared" si="11"/>
        <v>441.60159999999996</v>
      </c>
      <c r="K41" s="16">
        <v>4742.29</v>
      </c>
      <c r="L41" s="16">
        <f t="shared" si="12"/>
        <v>1434.542725</v>
      </c>
      <c r="M41" s="16">
        <v>0</v>
      </c>
      <c r="N41" s="17">
        <f t="shared" si="13"/>
        <v>0</v>
      </c>
      <c r="O41" s="13">
        <f>C41+E41+G41+I41+K41+M41</f>
        <v>20734.22</v>
      </c>
      <c r="P41" s="18">
        <f t="shared" si="3"/>
        <v>6272.1015500000003</v>
      </c>
      <c r="Q41" s="106"/>
      <c r="R41" s="80" t="s">
        <v>56</v>
      </c>
      <c r="T41" s="50">
        <v>6</v>
      </c>
      <c r="U41" s="50">
        <f>U40</f>
        <v>57</v>
      </c>
    </row>
    <row r="42" spans="2:21" ht="20.100000000000001" customHeight="1">
      <c r="B42" s="134" t="s">
        <v>3</v>
      </c>
      <c r="C42" s="116">
        <f>13575.94-18</f>
        <v>13557.94</v>
      </c>
      <c r="D42" s="96">
        <f t="shared" si="8"/>
        <v>4101.2768500000002</v>
      </c>
      <c r="E42" s="15">
        <v>0</v>
      </c>
      <c r="F42" s="16">
        <f t="shared" si="9"/>
        <v>0</v>
      </c>
      <c r="G42" s="15">
        <f>559.16+432.99-18</f>
        <v>974.15</v>
      </c>
      <c r="H42" s="16">
        <f t="shared" si="10"/>
        <v>294.68037499999997</v>
      </c>
      <c r="I42" s="16">
        <v>1459.84</v>
      </c>
      <c r="J42" s="16">
        <f t="shared" si="11"/>
        <v>441.60159999999996</v>
      </c>
      <c r="K42" s="16">
        <v>4742.29</v>
      </c>
      <c r="L42" s="16">
        <f t="shared" si="12"/>
        <v>1434.542725</v>
      </c>
      <c r="M42" s="16">
        <v>0</v>
      </c>
      <c r="N42" s="17">
        <f t="shared" si="13"/>
        <v>0</v>
      </c>
      <c r="O42" s="13">
        <f t="shared" ref="O42:O48" si="14">C42+E42+G42+I42+K42+M42</f>
        <v>20734.22</v>
      </c>
      <c r="P42" s="18">
        <f t="shared" si="3"/>
        <v>6272.1015500000003</v>
      </c>
      <c r="Q42" s="106"/>
      <c r="R42" s="80" t="s">
        <v>55</v>
      </c>
      <c r="T42" s="50">
        <f t="shared" ref="T42:U46" si="15">T41</f>
        <v>6</v>
      </c>
      <c r="U42" s="50">
        <f t="shared" si="15"/>
        <v>57</v>
      </c>
    </row>
    <row r="43" spans="2:21" ht="20.100000000000001" customHeight="1">
      <c r="B43" s="134" t="s">
        <v>43</v>
      </c>
      <c r="C43" s="116">
        <f>13575.94-18</f>
        <v>13557.94</v>
      </c>
      <c r="D43" s="96">
        <f t="shared" si="8"/>
        <v>4101.2768500000002</v>
      </c>
      <c r="E43" s="15">
        <v>0</v>
      </c>
      <c r="F43" s="16">
        <f t="shared" si="9"/>
        <v>0</v>
      </c>
      <c r="G43" s="15">
        <f>559.16+432.99-18</f>
        <v>974.15</v>
      </c>
      <c r="H43" s="16">
        <f t="shared" si="10"/>
        <v>294.68037499999997</v>
      </c>
      <c r="I43" s="16">
        <v>1459.84</v>
      </c>
      <c r="J43" s="16">
        <f t="shared" si="11"/>
        <v>441.60159999999996</v>
      </c>
      <c r="K43" s="16">
        <v>4742.29</v>
      </c>
      <c r="L43" s="16">
        <f t="shared" si="12"/>
        <v>1434.542725</v>
      </c>
      <c r="M43" s="16">
        <v>0</v>
      </c>
      <c r="N43" s="17">
        <f t="shared" si="13"/>
        <v>0</v>
      </c>
      <c r="O43" s="13">
        <f t="shared" si="14"/>
        <v>20734.22</v>
      </c>
      <c r="P43" s="18">
        <f t="shared" si="3"/>
        <v>6272.1015500000003</v>
      </c>
      <c r="Q43" s="106"/>
      <c r="R43" s="80" t="s">
        <v>55</v>
      </c>
      <c r="T43" s="50">
        <f t="shared" si="15"/>
        <v>6</v>
      </c>
      <c r="U43" s="50">
        <f t="shared" si="15"/>
        <v>57</v>
      </c>
    </row>
    <row r="44" spans="2:21" ht="20.100000000000001" customHeight="1" thickBot="1">
      <c r="B44" s="134" t="s">
        <v>44</v>
      </c>
      <c r="C44" s="116">
        <f>13575.94-18</f>
        <v>13557.94</v>
      </c>
      <c r="D44" s="96">
        <f t="shared" si="8"/>
        <v>4101.2768500000002</v>
      </c>
      <c r="E44" s="15">
        <v>0</v>
      </c>
      <c r="F44" s="16">
        <f t="shared" si="9"/>
        <v>0</v>
      </c>
      <c r="G44" s="15">
        <f>559.16+432.99-18</f>
        <v>974.15</v>
      </c>
      <c r="H44" s="16">
        <f t="shared" si="10"/>
        <v>294.68037499999997</v>
      </c>
      <c r="I44" s="16">
        <v>1459.84</v>
      </c>
      <c r="J44" s="16">
        <f t="shared" si="11"/>
        <v>441.60159999999996</v>
      </c>
      <c r="K44" s="16">
        <v>4742.29</v>
      </c>
      <c r="L44" s="16">
        <f t="shared" si="12"/>
        <v>1434.542725</v>
      </c>
      <c r="M44" s="16">
        <v>0</v>
      </c>
      <c r="N44" s="17">
        <f t="shared" si="13"/>
        <v>0</v>
      </c>
      <c r="O44" s="13">
        <f t="shared" si="14"/>
        <v>20734.22</v>
      </c>
      <c r="P44" s="18">
        <f t="shared" si="3"/>
        <v>6272.1015500000003</v>
      </c>
      <c r="Q44" s="106"/>
      <c r="R44" s="80" t="s">
        <v>55</v>
      </c>
      <c r="T44" s="50">
        <f t="shared" si="15"/>
        <v>6</v>
      </c>
      <c r="U44" s="50">
        <f t="shared" si="15"/>
        <v>57</v>
      </c>
    </row>
    <row r="45" spans="2:21" ht="20.100000000000001" hidden="1" customHeight="1">
      <c r="B45" s="35" t="s">
        <v>45</v>
      </c>
      <c r="C45" s="97">
        <v>0</v>
      </c>
      <c r="D45" s="96">
        <f t="shared" si="8"/>
        <v>0</v>
      </c>
      <c r="E45" s="15">
        <v>0</v>
      </c>
      <c r="F45" s="16">
        <f t="shared" si="9"/>
        <v>0</v>
      </c>
      <c r="G45" s="15">
        <v>0</v>
      </c>
      <c r="H45" s="16">
        <f t="shared" si="10"/>
        <v>0</v>
      </c>
      <c r="I45" s="16">
        <v>0</v>
      </c>
      <c r="J45" s="16">
        <f t="shared" si="11"/>
        <v>0</v>
      </c>
      <c r="K45" s="16">
        <v>0</v>
      </c>
      <c r="L45" s="16">
        <f t="shared" si="12"/>
        <v>0</v>
      </c>
      <c r="M45" s="16">
        <v>0</v>
      </c>
      <c r="N45" s="17">
        <f t="shared" si="13"/>
        <v>0</v>
      </c>
      <c r="O45" s="13">
        <f t="shared" si="14"/>
        <v>0</v>
      </c>
      <c r="P45" s="18">
        <f t="shared" si="3"/>
        <v>0</v>
      </c>
      <c r="Q45" s="106"/>
      <c r="R45" s="80" t="s">
        <v>55</v>
      </c>
      <c r="T45" s="50">
        <f t="shared" si="15"/>
        <v>6</v>
      </c>
      <c r="U45" s="50">
        <f t="shared" si="15"/>
        <v>57</v>
      </c>
    </row>
    <row r="46" spans="2:21" ht="20.100000000000001" hidden="1" customHeight="1">
      <c r="B46" s="35" t="s">
        <v>46</v>
      </c>
      <c r="C46" s="97">
        <v>0</v>
      </c>
      <c r="D46" s="96">
        <f t="shared" si="8"/>
        <v>0</v>
      </c>
      <c r="E46" s="15">
        <v>0</v>
      </c>
      <c r="F46" s="16">
        <f t="shared" si="9"/>
        <v>0</v>
      </c>
      <c r="G46" s="15">
        <v>0</v>
      </c>
      <c r="H46" s="16">
        <f t="shared" si="10"/>
        <v>0</v>
      </c>
      <c r="I46" s="16">
        <v>0</v>
      </c>
      <c r="J46" s="16">
        <f t="shared" si="11"/>
        <v>0</v>
      </c>
      <c r="K46" s="16">
        <v>0</v>
      </c>
      <c r="L46" s="16">
        <f t="shared" si="12"/>
        <v>0</v>
      </c>
      <c r="M46" s="16">
        <v>0</v>
      </c>
      <c r="N46" s="17">
        <f t="shared" si="13"/>
        <v>0</v>
      </c>
      <c r="O46" s="13">
        <f t="shared" si="14"/>
        <v>0</v>
      </c>
      <c r="P46" s="18">
        <f t="shared" si="3"/>
        <v>0</v>
      </c>
      <c r="Q46" s="106"/>
      <c r="R46" s="80" t="s">
        <v>55</v>
      </c>
      <c r="T46" s="50">
        <f t="shared" si="15"/>
        <v>6</v>
      </c>
      <c r="U46" s="50">
        <f t="shared" si="15"/>
        <v>57</v>
      </c>
    </row>
    <row r="47" spans="2:21" ht="20.100000000000001" hidden="1" customHeight="1">
      <c r="B47" s="35" t="s">
        <v>47</v>
      </c>
      <c r="C47" s="15">
        <v>0</v>
      </c>
      <c r="D47" s="11">
        <f t="shared" si="8"/>
        <v>0</v>
      </c>
      <c r="E47" s="12">
        <v>0</v>
      </c>
      <c r="F47" s="12">
        <f t="shared" si="9"/>
        <v>0</v>
      </c>
      <c r="G47" s="15">
        <v>0</v>
      </c>
      <c r="H47" s="16">
        <f t="shared" si="10"/>
        <v>0</v>
      </c>
      <c r="I47" s="16">
        <v>0</v>
      </c>
      <c r="J47" s="16">
        <f t="shared" si="11"/>
        <v>0</v>
      </c>
      <c r="K47" s="16">
        <v>0</v>
      </c>
      <c r="L47" s="16">
        <f t="shared" si="12"/>
        <v>0</v>
      </c>
      <c r="M47" s="16">
        <v>0</v>
      </c>
      <c r="N47" s="17">
        <f t="shared" si="13"/>
        <v>0</v>
      </c>
      <c r="O47" s="13">
        <f t="shared" si="14"/>
        <v>0</v>
      </c>
      <c r="P47" s="18">
        <f t="shared" si="3"/>
        <v>0</v>
      </c>
      <c r="Q47" s="106"/>
      <c r="R47" s="80" t="s">
        <v>72</v>
      </c>
      <c r="T47" s="50">
        <v>378</v>
      </c>
      <c r="U47" s="50"/>
    </row>
    <row r="48" spans="2:21" ht="20.100000000000001" hidden="1" customHeight="1" thickBot="1">
      <c r="B48" s="35" t="s">
        <v>71</v>
      </c>
      <c r="C48" s="15">
        <v>0</v>
      </c>
      <c r="D48" s="11">
        <f t="shared" si="8"/>
        <v>0</v>
      </c>
      <c r="E48" s="12">
        <v>0</v>
      </c>
      <c r="F48" s="12">
        <f t="shared" si="9"/>
        <v>0</v>
      </c>
      <c r="G48" s="15">
        <v>0</v>
      </c>
      <c r="H48" s="16">
        <f t="shared" si="10"/>
        <v>0</v>
      </c>
      <c r="I48" s="16">
        <v>0</v>
      </c>
      <c r="J48" s="16">
        <f t="shared" si="11"/>
        <v>0</v>
      </c>
      <c r="K48" s="16">
        <v>0</v>
      </c>
      <c r="L48" s="16">
        <f t="shared" si="12"/>
        <v>0</v>
      </c>
      <c r="M48" s="16">
        <v>0</v>
      </c>
      <c r="N48" s="17">
        <f t="shared" si="13"/>
        <v>0</v>
      </c>
      <c r="O48" s="13">
        <f t="shared" si="14"/>
        <v>0</v>
      </c>
      <c r="P48" s="18">
        <f t="shared" si="3"/>
        <v>0</v>
      </c>
      <c r="Q48" s="106"/>
      <c r="R48" s="81" t="s">
        <v>72</v>
      </c>
      <c r="T48" s="50">
        <f>SUM(T38:T47)</f>
        <v>464</v>
      </c>
      <c r="U48" s="50">
        <f>SUM(U38:U47)</f>
        <v>456</v>
      </c>
    </row>
    <row r="49" spans="2:21" ht="20.100000000000001" customHeight="1" thickBot="1">
      <c r="B49" s="27" t="s">
        <v>25</v>
      </c>
      <c r="C49" s="42">
        <f>SUM(C40:C48)</f>
        <v>40673.82</v>
      </c>
      <c r="D49" s="29">
        <f>C49*0.3025</f>
        <v>12303.830549999999</v>
      </c>
      <c r="E49" s="43">
        <f>SUM(E40:E48)</f>
        <v>26296.27</v>
      </c>
      <c r="F49" s="30">
        <f>E49*0.3025</f>
        <v>7954.6216750000003</v>
      </c>
      <c r="G49" s="43">
        <f>SUM(G40:G48)</f>
        <v>4869.57</v>
      </c>
      <c r="H49" s="30">
        <f>G49*0.3025</f>
        <v>1473.0449249999999</v>
      </c>
      <c r="I49" s="30">
        <f>SUM(I40:I48)</f>
        <v>7261.3600000000006</v>
      </c>
      <c r="J49" s="30">
        <f>I49*0.3025</f>
        <v>2196.5614</v>
      </c>
      <c r="K49" s="30">
        <f>SUM(K40:K48)</f>
        <v>24640.600000000002</v>
      </c>
      <c r="L49" s="30">
        <f t="shared" si="12"/>
        <v>7453.7815000000001</v>
      </c>
      <c r="M49" s="30">
        <f>SUM(M40:M48)</f>
        <v>0</v>
      </c>
      <c r="N49" s="31">
        <f t="shared" si="13"/>
        <v>0</v>
      </c>
      <c r="O49" s="28">
        <f>C49+E49+G49+I49+K49+M49</f>
        <v>103741.62000000001</v>
      </c>
      <c r="P49" s="32">
        <f t="shared" si="3"/>
        <v>31381.840050000003</v>
      </c>
      <c r="Q49" s="109"/>
      <c r="R49" s="82"/>
      <c r="T49" s="50" t="s">
        <v>13</v>
      </c>
      <c r="U49" s="50">
        <f>T48+U48</f>
        <v>920</v>
      </c>
    </row>
    <row r="50" spans="2:21" ht="20.100000000000001" customHeight="1" thickBot="1">
      <c r="B50" s="44" t="s">
        <v>13</v>
      </c>
      <c r="C50" s="45">
        <f>C39+C49</f>
        <v>40673.82</v>
      </c>
      <c r="D50" s="46">
        <f t="shared" si="8"/>
        <v>12303.830549999999</v>
      </c>
      <c r="E50" s="47">
        <f>E39+E49</f>
        <v>39799.19</v>
      </c>
      <c r="F50" s="47">
        <f t="shared" ref="F50" si="16">E50*0.3025</f>
        <v>12039.254975</v>
      </c>
      <c r="G50" s="47">
        <f>G39+G49</f>
        <v>10961.369999999999</v>
      </c>
      <c r="H50" s="47">
        <f t="shared" ref="H50" si="17">G50*0.3025</f>
        <v>3315.8144249999996</v>
      </c>
      <c r="I50" s="47">
        <f>I39+I49</f>
        <v>8721.2000000000007</v>
      </c>
      <c r="J50" s="47">
        <f t="shared" si="11"/>
        <v>2638.163</v>
      </c>
      <c r="K50" s="47">
        <f>K39+K49</f>
        <v>29299.200000000004</v>
      </c>
      <c r="L50" s="47">
        <f t="shared" si="12"/>
        <v>8863.0080000000016</v>
      </c>
      <c r="M50" s="47">
        <f>M39+M49</f>
        <v>1562.6</v>
      </c>
      <c r="N50" s="48">
        <f t="shared" si="13"/>
        <v>472.68649999999997</v>
      </c>
      <c r="O50" s="45">
        <f>C50+E50+G50+I50+K50+M50</f>
        <v>131017.38</v>
      </c>
      <c r="P50" s="49">
        <f t="shared" si="3"/>
        <v>39632.757449999997</v>
      </c>
      <c r="Q50" s="110"/>
      <c r="R50" s="83"/>
      <c r="S50" s="51">
        <f>O39+O49</f>
        <v>131017.38</v>
      </c>
      <c r="T50" s="51"/>
    </row>
    <row r="51" spans="2:21" ht="6" customHeight="1">
      <c r="M51" s="51"/>
      <c r="N51" s="52"/>
      <c r="O51" s="55"/>
      <c r="P51" s="55"/>
    </row>
    <row r="52" spans="2:21" ht="21.95" customHeight="1">
      <c r="B52" s="4" t="s">
        <v>20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111"/>
      <c r="R52" s="5" t="s">
        <v>21</v>
      </c>
      <c r="T52" s="51"/>
    </row>
    <row r="53" spans="2:21">
      <c r="H53" s="8"/>
      <c r="S53" s="93" t="s">
        <v>53</v>
      </c>
      <c r="T53" s="51">
        <f>C50+E50+G50+M50</f>
        <v>92996.98000000001</v>
      </c>
      <c r="U53" s="8">
        <f>T53/300</f>
        <v>309.98993333333334</v>
      </c>
    </row>
    <row r="54" spans="2:21">
      <c r="U54" s="94">
        <f>U49/U53</f>
        <v>2.9678383104483608</v>
      </c>
    </row>
    <row r="56" spans="2:21">
      <c r="E56">
        <f>D5*0.008</f>
        <v>238.39920000000001</v>
      </c>
      <c r="F56">
        <f>E56/7</f>
        <v>34.057028571428575</v>
      </c>
    </row>
    <row r="57" spans="2:21">
      <c r="E57">
        <f>121*8</f>
        <v>968</v>
      </c>
    </row>
    <row r="58" spans="2:21">
      <c r="E58">
        <f>E57/8</f>
        <v>121</v>
      </c>
    </row>
    <row r="59" spans="2:21">
      <c r="E59">
        <f>E58/12</f>
        <v>10.083333333333334</v>
      </c>
    </row>
  </sheetData>
  <mergeCells count="76">
    <mergeCell ref="M34:N34"/>
    <mergeCell ref="O34:P34"/>
    <mergeCell ref="Q34:Q35"/>
    <mergeCell ref="R34:R35"/>
    <mergeCell ref="D30:I30"/>
    <mergeCell ref="D31:F31"/>
    <mergeCell ref="H31:I31"/>
    <mergeCell ref="K31:M31"/>
    <mergeCell ref="K34:L34"/>
    <mergeCell ref="B34:B35"/>
    <mergeCell ref="C34:D34"/>
    <mergeCell ref="E34:F34"/>
    <mergeCell ref="G34:H34"/>
    <mergeCell ref="I34:J34"/>
    <mergeCell ref="H21:I21"/>
    <mergeCell ref="B22:C31"/>
    <mergeCell ref="D22:I22"/>
    <mergeCell ref="D23:I23"/>
    <mergeCell ref="D24:I24"/>
    <mergeCell ref="D25:I25"/>
    <mergeCell ref="D26:I26"/>
    <mergeCell ref="D27:I27"/>
    <mergeCell ref="D28:I28"/>
    <mergeCell ref="D29:I29"/>
    <mergeCell ref="B20:C20"/>
    <mergeCell ref="D20:E20"/>
    <mergeCell ref="F20:G20"/>
    <mergeCell ref="B21:C21"/>
    <mergeCell ref="D21:E21"/>
    <mergeCell ref="F21:G21"/>
    <mergeCell ref="B18:C18"/>
    <mergeCell ref="D18:E18"/>
    <mergeCell ref="F18:G18"/>
    <mergeCell ref="H18:I18"/>
    <mergeCell ref="B19:C19"/>
    <mergeCell ref="D19:E19"/>
    <mergeCell ref="F19:G19"/>
    <mergeCell ref="B16:C16"/>
    <mergeCell ref="D16:E16"/>
    <mergeCell ref="F16:G16"/>
    <mergeCell ref="H16:I16"/>
    <mergeCell ref="B17:C17"/>
    <mergeCell ref="D17:E17"/>
    <mergeCell ref="F17:G17"/>
    <mergeCell ref="H13:I13"/>
    <mergeCell ref="B14:C14"/>
    <mergeCell ref="D14:E14"/>
    <mergeCell ref="F14:G14"/>
    <mergeCell ref="B15:C15"/>
    <mergeCell ref="D15:E15"/>
    <mergeCell ref="F15:G15"/>
    <mergeCell ref="B12:C12"/>
    <mergeCell ref="D12:E12"/>
    <mergeCell ref="F12:G12"/>
    <mergeCell ref="B13:C13"/>
    <mergeCell ref="D13:E13"/>
    <mergeCell ref="F13:G13"/>
    <mergeCell ref="B9:B11"/>
    <mergeCell ref="D9:E9"/>
    <mergeCell ref="F9:G9"/>
    <mergeCell ref="D10:E10"/>
    <mergeCell ref="F10:G10"/>
    <mergeCell ref="D11:E11"/>
    <mergeCell ref="F11:G11"/>
    <mergeCell ref="B3:C3"/>
    <mergeCell ref="B4:C4"/>
    <mergeCell ref="D4:I4"/>
    <mergeCell ref="B5:B8"/>
    <mergeCell ref="D5:E5"/>
    <mergeCell ref="F5:G5"/>
    <mergeCell ref="D6:E6"/>
    <mergeCell ref="F6:G6"/>
    <mergeCell ref="D7:E7"/>
    <mergeCell ref="F7:G7"/>
    <mergeCell ref="D8:E8"/>
    <mergeCell ref="F8:G8"/>
  </mergeCells>
  <phoneticPr fontId="2" type="noConversion"/>
  <pageMargins left="0.7" right="0.7" top="0.75" bottom="0.75" header="0.3" footer="0.3"/>
  <pageSetup paperSize="8" scale="82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1:U59"/>
  <sheetViews>
    <sheetView showGridLines="0" view="pageBreakPreview" zoomScale="70" zoomScaleNormal="85" zoomScaleSheetLayoutView="70" workbookViewId="0">
      <selection activeCell="F35" sqref="F35"/>
    </sheetView>
  </sheetViews>
  <sheetFormatPr defaultRowHeight="16.5"/>
  <cols>
    <col min="1" max="1" width="10.625" customWidth="1"/>
    <col min="2" max="2" width="16.375" customWidth="1"/>
    <col min="3" max="16" width="12.625" customWidth="1"/>
    <col min="17" max="17" width="12.625" style="138" customWidth="1"/>
    <col min="18" max="18" width="12.625" customWidth="1"/>
    <col min="19" max="20" width="9.875" bestFit="1" customWidth="1"/>
  </cols>
  <sheetData>
    <row r="1" spans="2:18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8" ht="24.95" customHeight="1" thickBot="1">
      <c r="B2" s="78" t="s">
        <v>74</v>
      </c>
      <c r="C2" s="6"/>
      <c r="D2" s="6"/>
      <c r="E2" s="6"/>
      <c r="F2" s="6"/>
      <c r="G2" s="6"/>
      <c r="H2" s="6"/>
      <c r="I2" s="6"/>
      <c r="J2" s="1"/>
      <c r="K2" s="74" t="s">
        <v>14</v>
      </c>
      <c r="L2" s="6"/>
      <c r="M2" s="6"/>
      <c r="N2" s="6"/>
      <c r="O2" s="3"/>
      <c r="P2" s="3"/>
      <c r="Q2" s="101"/>
      <c r="R2" s="3"/>
    </row>
    <row r="3" spans="2:18" ht="20.100000000000001" customHeight="1" thickBot="1">
      <c r="B3" s="390" t="s">
        <v>8</v>
      </c>
      <c r="C3" s="440"/>
      <c r="D3" s="9" t="s">
        <v>84</v>
      </c>
      <c r="E3" s="10"/>
      <c r="F3" s="10"/>
      <c r="G3" s="10"/>
      <c r="H3" s="10"/>
      <c r="I3" s="10"/>
      <c r="J3" s="7"/>
      <c r="K3" s="53" t="s">
        <v>15</v>
      </c>
      <c r="L3" s="19" t="s">
        <v>16</v>
      </c>
      <c r="M3" s="20" t="s">
        <v>17</v>
      </c>
      <c r="N3" s="36" t="s">
        <v>26</v>
      </c>
      <c r="O3" s="57" t="s">
        <v>27</v>
      </c>
      <c r="P3" s="56" t="s">
        <v>35</v>
      </c>
      <c r="Q3" s="102" t="s">
        <v>36</v>
      </c>
      <c r="R3" s="58" t="s">
        <v>18</v>
      </c>
    </row>
    <row r="4" spans="2:18" ht="20.100000000000001" customHeight="1">
      <c r="B4" s="413" t="s">
        <v>9</v>
      </c>
      <c r="C4" s="419"/>
      <c r="D4" s="441" t="s">
        <v>75</v>
      </c>
      <c r="E4" s="442"/>
      <c r="F4" s="442"/>
      <c r="G4" s="442"/>
      <c r="H4" s="442"/>
      <c r="I4" s="442"/>
      <c r="J4" s="7"/>
      <c r="K4" s="60"/>
      <c r="L4" s="61"/>
      <c r="M4" s="20"/>
      <c r="N4" s="84"/>
      <c r="O4" s="85"/>
      <c r="P4" s="84"/>
      <c r="Q4" s="85"/>
      <c r="R4" s="62"/>
    </row>
    <row r="5" spans="2:18" ht="20.100000000000001" customHeight="1">
      <c r="B5" s="413" t="s">
        <v>10</v>
      </c>
      <c r="C5" s="54" t="s">
        <v>39</v>
      </c>
      <c r="D5" s="447">
        <v>29799.9</v>
      </c>
      <c r="E5" s="448"/>
      <c r="F5" s="430">
        <f>D5*0.3025</f>
        <v>9014.4697500000002</v>
      </c>
      <c r="G5" s="445"/>
      <c r="H5" s="137"/>
      <c r="I5" s="137"/>
      <c r="J5" s="7"/>
      <c r="K5" s="63"/>
      <c r="L5" s="64"/>
      <c r="M5" s="65"/>
      <c r="N5" s="86"/>
      <c r="O5" s="87"/>
      <c r="P5" s="86"/>
      <c r="Q5" s="103"/>
      <c r="R5" s="69"/>
    </row>
    <row r="6" spans="2:18" ht="20.100000000000001" hidden="1" customHeight="1">
      <c r="B6" s="443"/>
      <c r="C6" s="54" t="s">
        <v>65</v>
      </c>
      <c r="D6" s="428">
        <v>0</v>
      </c>
      <c r="E6" s="446"/>
      <c r="F6" s="430">
        <f t="shared" ref="F6:F13" si="0">D6*0.3025</f>
        <v>0</v>
      </c>
      <c r="G6" s="445"/>
      <c r="H6" s="137"/>
      <c r="I6" s="137" t="s">
        <v>69</v>
      </c>
      <c r="J6" s="7"/>
      <c r="K6" s="63"/>
      <c r="L6" s="64"/>
      <c r="M6" s="65"/>
      <c r="N6" s="86"/>
      <c r="O6" s="87"/>
      <c r="P6" s="86"/>
      <c r="Q6" s="103"/>
      <c r="R6" s="69"/>
    </row>
    <row r="7" spans="2:18" ht="20.100000000000001" hidden="1" customHeight="1">
      <c r="B7" s="443"/>
      <c r="C7" s="54" t="s">
        <v>66</v>
      </c>
      <c r="D7" s="428">
        <v>0</v>
      </c>
      <c r="E7" s="446"/>
      <c r="F7" s="430">
        <f t="shared" si="0"/>
        <v>0</v>
      </c>
      <c r="G7" s="445"/>
      <c r="H7" s="137"/>
      <c r="I7" s="137" t="s">
        <v>68</v>
      </c>
      <c r="J7" s="7"/>
      <c r="K7" s="63"/>
      <c r="L7" s="64"/>
      <c r="M7" s="65"/>
      <c r="N7" s="86"/>
      <c r="O7" s="87"/>
      <c r="P7" s="86"/>
      <c r="Q7" s="103"/>
      <c r="R7" s="69"/>
    </row>
    <row r="8" spans="2:18" ht="20.100000000000001" hidden="1" customHeight="1">
      <c r="B8" s="444"/>
      <c r="C8" s="54" t="s">
        <v>64</v>
      </c>
      <c r="D8" s="428">
        <f>N31</f>
        <v>0</v>
      </c>
      <c r="E8" s="446"/>
      <c r="F8" s="430">
        <f t="shared" si="0"/>
        <v>0</v>
      </c>
      <c r="G8" s="445"/>
      <c r="H8" s="137"/>
      <c r="I8" s="137" t="s">
        <v>67</v>
      </c>
      <c r="J8" s="7"/>
      <c r="K8" s="63"/>
      <c r="L8" s="64"/>
      <c r="M8" s="65"/>
      <c r="N8" s="86"/>
      <c r="O8" s="87"/>
      <c r="P8" s="88"/>
      <c r="Q8" s="103"/>
      <c r="R8" s="69"/>
    </row>
    <row r="9" spans="2:18" ht="20.100000000000001" customHeight="1">
      <c r="B9" s="438" t="s">
        <v>7</v>
      </c>
      <c r="C9" s="54" t="s">
        <v>11</v>
      </c>
      <c r="D9" s="428">
        <f>O49</f>
        <v>103741.62000000001</v>
      </c>
      <c r="E9" s="429"/>
      <c r="F9" s="430">
        <f t="shared" si="0"/>
        <v>31381.840050000003</v>
      </c>
      <c r="G9" s="431"/>
      <c r="H9" s="137"/>
      <c r="I9" s="137"/>
      <c r="J9" s="7"/>
      <c r="K9" s="63"/>
      <c r="L9" s="64"/>
      <c r="M9" s="65"/>
      <c r="N9" s="86"/>
      <c r="O9" s="87"/>
      <c r="P9" s="86"/>
      <c r="Q9" s="103"/>
      <c r="R9" s="69"/>
    </row>
    <row r="10" spans="2:18" ht="20.100000000000001" customHeight="1">
      <c r="B10" s="439"/>
      <c r="C10" s="54" t="s">
        <v>12</v>
      </c>
      <c r="D10" s="428">
        <f>O39</f>
        <v>27275.760000000002</v>
      </c>
      <c r="E10" s="429"/>
      <c r="F10" s="430">
        <f t="shared" si="0"/>
        <v>8250.9174000000003</v>
      </c>
      <c r="G10" s="431"/>
      <c r="H10" s="137"/>
      <c r="I10" s="137"/>
      <c r="J10" s="7"/>
      <c r="K10" s="70"/>
      <c r="L10" s="64"/>
      <c r="M10" s="65"/>
      <c r="N10" s="86"/>
      <c r="O10" s="87"/>
      <c r="P10" s="86"/>
      <c r="Q10" s="103"/>
      <c r="R10" s="71"/>
    </row>
    <row r="11" spans="2:18" ht="20.100000000000001" customHeight="1">
      <c r="B11" s="439"/>
      <c r="C11" s="54" t="s">
        <v>13</v>
      </c>
      <c r="D11" s="428">
        <f>SUM(D9:E10)</f>
        <v>131017.38</v>
      </c>
      <c r="E11" s="429"/>
      <c r="F11" s="430">
        <f t="shared" si="0"/>
        <v>39632.757449999997</v>
      </c>
      <c r="G11" s="431"/>
      <c r="H11" s="137"/>
      <c r="I11" s="137"/>
      <c r="J11" s="7"/>
      <c r="K11" s="63"/>
      <c r="L11" s="64"/>
      <c r="M11" s="65"/>
      <c r="N11" s="86"/>
      <c r="O11" s="87"/>
      <c r="P11" s="88"/>
      <c r="Q11" s="103"/>
      <c r="R11" s="69"/>
    </row>
    <row r="12" spans="2:18" ht="20.100000000000001" customHeight="1">
      <c r="B12" s="413" t="s">
        <v>29</v>
      </c>
      <c r="C12" s="419"/>
      <c r="D12" s="428">
        <f>O49-K49-I49</f>
        <v>71839.66</v>
      </c>
      <c r="E12" s="429"/>
      <c r="F12" s="430">
        <f t="shared" si="0"/>
        <v>21731.497149999999</v>
      </c>
      <c r="G12" s="431"/>
      <c r="H12" s="137"/>
      <c r="I12" s="137"/>
      <c r="J12" s="7"/>
      <c r="K12" s="63"/>
      <c r="L12" s="64"/>
      <c r="M12" s="65"/>
      <c r="N12" s="86"/>
      <c r="O12" s="87"/>
      <c r="P12" s="88"/>
      <c r="Q12" s="103"/>
      <c r="R12" s="72"/>
    </row>
    <row r="13" spans="2:18" ht="20.100000000000001" customHeight="1">
      <c r="B13" s="413" t="s">
        <v>28</v>
      </c>
      <c r="C13" s="437"/>
      <c r="D13" s="428">
        <v>20844.11</v>
      </c>
      <c r="E13" s="429"/>
      <c r="F13" s="430">
        <f t="shared" si="0"/>
        <v>6305.3432750000002</v>
      </c>
      <c r="G13" s="431"/>
      <c r="H13" s="436"/>
      <c r="I13" s="436"/>
      <c r="J13" s="7"/>
      <c r="K13" s="63"/>
      <c r="L13" s="64"/>
      <c r="M13" s="65"/>
      <c r="N13" s="86"/>
      <c r="O13" s="87"/>
      <c r="P13" s="86"/>
      <c r="Q13" s="103"/>
      <c r="R13" s="69"/>
    </row>
    <row r="14" spans="2:18" ht="20.100000000000001" customHeight="1">
      <c r="B14" s="413" t="s">
        <v>30</v>
      </c>
      <c r="C14" s="419"/>
      <c r="D14" s="434">
        <f>D13/D5</f>
        <v>0.69946912573532127</v>
      </c>
      <c r="E14" s="435"/>
      <c r="F14" s="422" t="s">
        <v>70</v>
      </c>
      <c r="G14" s="421"/>
      <c r="H14" s="137"/>
      <c r="I14" s="137"/>
      <c r="J14" s="7"/>
      <c r="K14" s="63"/>
      <c r="L14" s="64"/>
      <c r="M14" s="65"/>
      <c r="N14" s="86"/>
      <c r="O14" s="87"/>
      <c r="P14" s="88"/>
      <c r="Q14" s="103"/>
      <c r="R14" s="73"/>
    </row>
    <row r="15" spans="2:18" ht="20.100000000000001" customHeight="1">
      <c r="B15" s="413" t="s">
        <v>31</v>
      </c>
      <c r="C15" s="419"/>
      <c r="D15" s="434">
        <f>D12/D5</f>
        <v>2.4107349353521319</v>
      </c>
      <c r="E15" s="435"/>
      <c r="F15" s="422" t="s">
        <v>76</v>
      </c>
      <c r="G15" s="421"/>
      <c r="H15" s="137"/>
      <c r="I15" s="137"/>
      <c r="J15" s="7"/>
      <c r="K15" s="63"/>
      <c r="L15" s="64"/>
      <c r="M15" s="65"/>
      <c r="N15" s="86"/>
      <c r="O15" s="87"/>
      <c r="P15" s="86"/>
      <c r="Q15" s="103"/>
      <c r="R15" s="76"/>
    </row>
    <row r="16" spans="2:18" ht="20.100000000000001" customHeight="1">
      <c r="B16" s="423" t="s">
        <v>58</v>
      </c>
      <c r="C16" s="424"/>
      <c r="D16" s="428">
        <f>$O$50-$K$50</f>
        <v>101718.18</v>
      </c>
      <c r="E16" s="429"/>
      <c r="F16" s="430">
        <f t="shared" ref="F16" si="1">D16*0.3025</f>
        <v>30769.749449999996</v>
      </c>
      <c r="G16" s="431"/>
      <c r="H16" s="432" t="s">
        <v>61</v>
      </c>
      <c r="I16" s="433"/>
      <c r="J16" s="7"/>
      <c r="K16" s="63"/>
      <c r="L16" s="64"/>
      <c r="M16" s="65"/>
      <c r="N16" s="86"/>
      <c r="O16" s="87"/>
      <c r="P16" s="86"/>
      <c r="Q16" s="103"/>
      <c r="R16" s="69"/>
    </row>
    <row r="17" spans="2:18" ht="20.100000000000001" customHeight="1">
      <c r="B17" s="413" t="s">
        <v>57</v>
      </c>
      <c r="C17" s="419"/>
      <c r="D17" s="434">
        <f>D16/$O$50</f>
        <v>0.77637165389813156</v>
      </c>
      <c r="E17" s="435"/>
      <c r="F17" s="422" t="s">
        <v>38</v>
      </c>
      <c r="G17" s="421"/>
      <c r="H17" s="137"/>
      <c r="I17" s="137"/>
      <c r="J17" s="7"/>
      <c r="K17" s="63"/>
      <c r="L17" s="64"/>
      <c r="M17" s="65"/>
      <c r="N17" s="86"/>
      <c r="O17" s="87"/>
      <c r="P17" s="88"/>
      <c r="Q17" s="103"/>
      <c r="R17" s="69"/>
    </row>
    <row r="18" spans="2:18" ht="20.100000000000001" customHeight="1">
      <c r="B18" s="423" t="s">
        <v>59</v>
      </c>
      <c r="C18" s="424"/>
      <c r="D18" s="428">
        <f>$O$50-$K$50-$I$50</f>
        <v>92996.98</v>
      </c>
      <c r="E18" s="429"/>
      <c r="F18" s="430">
        <f t="shared" ref="F18" si="2">D18*0.3025</f>
        <v>28131.586449999999</v>
      </c>
      <c r="G18" s="431"/>
      <c r="H18" s="432" t="s">
        <v>62</v>
      </c>
      <c r="I18" s="433"/>
      <c r="J18" s="7"/>
      <c r="K18" s="63"/>
      <c r="L18" s="64"/>
      <c r="M18" s="65"/>
      <c r="N18" s="86"/>
      <c r="O18" s="87"/>
      <c r="P18" s="88"/>
      <c r="Q18" s="103"/>
      <c r="R18" s="69"/>
    </row>
    <row r="19" spans="2:18" ht="20.100000000000001" customHeight="1">
      <c r="B19" s="413" t="s">
        <v>60</v>
      </c>
      <c r="C19" s="419"/>
      <c r="D19" s="434">
        <f>D18/$O$50</f>
        <v>0.70980643942047983</v>
      </c>
      <c r="E19" s="435"/>
      <c r="F19" s="422" t="s">
        <v>38</v>
      </c>
      <c r="G19" s="421"/>
      <c r="H19" s="137"/>
      <c r="I19" s="137"/>
      <c r="J19" s="7"/>
      <c r="K19" s="63"/>
      <c r="L19" s="64"/>
      <c r="M19" s="65"/>
      <c r="N19" s="86"/>
      <c r="O19" s="87"/>
      <c r="P19" s="88"/>
      <c r="Q19" s="103"/>
      <c r="R19" s="72"/>
    </row>
    <row r="20" spans="2:18" ht="20.100000000000001" customHeight="1">
      <c r="B20" s="413" t="s">
        <v>32</v>
      </c>
      <c r="C20" s="419"/>
      <c r="D20" s="420" t="s">
        <v>87</v>
      </c>
      <c r="E20" s="421"/>
      <c r="F20" s="422" t="s">
        <v>77</v>
      </c>
      <c r="G20" s="421"/>
      <c r="H20" s="137"/>
      <c r="I20" s="137"/>
      <c r="J20" s="7"/>
      <c r="K20" s="63"/>
      <c r="L20" s="64"/>
      <c r="M20" s="65"/>
      <c r="N20" s="86"/>
      <c r="O20" s="87"/>
      <c r="P20" s="88"/>
      <c r="Q20" s="103"/>
      <c r="R20" s="72"/>
    </row>
    <row r="21" spans="2:18" ht="20.100000000000001" customHeight="1">
      <c r="B21" s="423" t="s">
        <v>23</v>
      </c>
      <c r="C21" s="424"/>
      <c r="D21" s="420">
        <v>8.5000000000000006E-2</v>
      </c>
      <c r="E21" s="425"/>
      <c r="F21" s="426" t="s">
        <v>34</v>
      </c>
      <c r="G21" s="427"/>
      <c r="H21" s="411"/>
      <c r="I21" s="412"/>
      <c r="J21" s="7"/>
      <c r="K21" s="63"/>
      <c r="L21" s="64"/>
      <c r="M21" s="65"/>
      <c r="N21" s="86"/>
      <c r="O21" s="87"/>
      <c r="P21" s="88"/>
      <c r="Q21" s="103"/>
      <c r="R21" s="72"/>
    </row>
    <row r="22" spans="2:18" ht="20.100000000000001" customHeight="1">
      <c r="B22" s="413" t="s">
        <v>63</v>
      </c>
      <c r="C22" s="455"/>
      <c r="D22" s="449">
        <f>(O50-I50-K50)</f>
        <v>92996.98000000001</v>
      </c>
      <c r="E22" s="450"/>
      <c r="F22" s="450"/>
      <c r="G22" s="460" t="s">
        <v>103</v>
      </c>
      <c r="H22" s="158" t="s">
        <v>105</v>
      </c>
      <c r="I22" s="157">
        <f>Q50</f>
        <v>350</v>
      </c>
      <c r="J22" s="7"/>
      <c r="K22" s="63"/>
      <c r="L22" s="64"/>
      <c r="M22" s="65"/>
      <c r="N22" s="66"/>
      <c r="O22" s="67"/>
      <c r="P22" s="68"/>
      <c r="Q22" s="104"/>
      <c r="R22" s="72"/>
    </row>
    <row r="23" spans="2:18" ht="20.100000000000001" customHeight="1">
      <c r="B23" s="456"/>
      <c r="C23" s="457"/>
      <c r="D23" s="451">
        <f>D22/400</f>
        <v>232.49245000000002</v>
      </c>
      <c r="E23" s="452"/>
      <c r="F23" s="453"/>
      <c r="G23" s="461"/>
      <c r="H23" s="158" t="s">
        <v>106</v>
      </c>
      <c r="I23" s="157">
        <f>R50</f>
        <v>201</v>
      </c>
      <c r="J23" s="7"/>
      <c r="K23" s="63"/>
      <c r="L23" s="64"/>
      <c r="M23" s="65"/>
      <c r="N23" s="66"/>
      <c r="O23" s="67"/>
      <c r="P23" s="68"/>
      <c r="Q23" s="104"/>
      <c r="R23" s="72"/>
    </row>
    <row r="24" spans="2:18" ht="20.100000000000001" customHeight="1">
      <c r="B24" s="458"/>
      <c r="C24" s="459"/>
      <c r="D24" s="160"/>
      <c r="E24" s="161"/>
      <c r="F24" s="162"/>
      <c r="G24" s="462"/>
      <c r="H24" s="163" t="s">
        <v>104</v>
      </c>
      <c r="I24" s="164">
        <f>I22+I23</f>
        <v>551</v>
      </c>
      <c r="J24" s="7"/>
      <c r="K24" s="63"/>
      <c r="L24" s="64"/>
      <c r="M24" s="65"/>
      <c r="N24" s="66"/>
      <c r="O24" s="67"/>
      <c r="P24" s="68"/>
      <c r="Q24" s="104"/>
      <c r="R24" s="72"/>
    </row>
    <row r="25" spans="2:18" ht="20.100000000000001" hidden="1" customHeight="1">
      <c r="B25" s="463"/>
      <c r="C25" s="464"/>
      <c r="D25" s="159"/>
      <c r="E25" s="167"/>
      <c r="F25" s="167"/>
      <c r="G25" s="167"/>
      <c r="H25" s="167"/>
      <c r="I25" s="167"/>
      <c r="J25" s="7"/>
      <c r="K25" s="63"/>
      <c r="L25" s="64"/>
      <c r="M25" s="65"/>
      <c r="N25" s="66"/>
      <c r="O25" s="67"/>
      <c r="P25" s="68"/>
      <c r="Q25" s="104"/>
      <c r="R25" s="72"/>
    </row>
    <row r="26" spans="2:18" ht="20.100000000000001" hidden="1" customHeight="1">
      <c r="B26" s="165"/>
      <c r="C26" s="166"/>
      <c r="D26" s="155"/>
      <c r="E26" s="156"/>
      <c r="F26" s="156"/>
      <c r="G26" s="156"/>
      <c r="H26" s="156"/>
      <c r="I26" s="156"/>
      <c r="J26" s="7"/>
      <c r="K26" s="63"/>
      <c r="L26" s="64"/>
      <c r="M26" s="65"/>
      <c r="N26" s="66"/>
      <c r="O26" s="67"/>
      <c r="P26" s="68"/>
      <c r="Q26" s="104"/>
      <c r="R26" s="72"/>
    </row>
    <row r="27" spans="2:18" ht="20.100000000000001" hidden="1" customHeight="1">
      <c r="B27" s="165"/>
      <c r="C27" s="166"/>
      <c r="D27" s="155"/>
      <c r="E27" s="156"/>
      <c r="F27" s="156"/>
      <c r="G27" s="156"/>
      <c r="H27" s="156"/>
      <c r="I27" s="156"/>
      <c r="J27" s="7"/>
      <c r="K27" s="63"/>
      <c r="L27" s="64"/>
      <c r="M27" s="65"/>
      <c r="N27" s="66"/>
      <c r="O27" s="67"/>
      <c r="P27" s="68"/>
      <c r="Q27" s="104"/>
      <c r="R27" s="72"/>
    </row>
    <row r="28" spans="2:18" ht="20.100000000000001" hidden="1" customHeight="1">
      <c r="B28" s="165"/>
      <c r="C28" s="166"/>
      <c r="D28" s="155"/>
      <c r="E28" s="156"/>
      <c r="F28" s="156"/>
      <c r="G28" s="156"/>
      <c r="H28" s="156"/>
      <c r="I28" s="156"/>
      <c r="J28" s="7"/>
      <c r="K28" s="63"/>
      <c r="L28" s="64"/>
      <c r="M28" s="65"/>
      <c r="N28" s="66"/>
      <c r="O28" s="67"/>
      <c r="P28" s="68"/>
      <c r="Q28" s="104"/>
      <c r="R28" s="72"/>
    </row>
    <row r="29" spans="2:18" ht="20.100000000000001" hidden="1" customHeight="1">
      <c r="B29" s="165"/>
      <c r="C29" s="166"/>
      <c r="D29" s="155"/>
      <c r="E29" s="156"/>
      <c r="F29" s="156"/>
      <c r="G29" s="156"/>
      <c r="H29" s="156"/>
      <c r="I29" s="156"/>
      <c r="J29" s="7"/>
      <c r="K29" s="63"/>
      <c r="L29" s="64"/>
      <c r="M29" s="65"/>
      <c r="N29" s="66"/>
      <c r="O29" s="67"/>
      <c r="P29" s="68"/>
      <c r="Q29" s="104"/>
      <c r="R29" s="72"/>
    </row>
    <row r="30" spans="2:18" ht="20.100000000000001" customHeight="1" thickBot="1">
      <c r="B30" s="468" t="s">
        <v>107</v>
      </c>
      <c r="C30" s="469"/>
      <c r="D30" s="472" t="s">
        <v>108</v>
      </c>
      <c r="E30" s="473"/>
      <c r="F30" s="473"/>
      <c r="G30" s="474">
        <f>D5*0.1</f>
        <v>2979.9900000000002</v>
      </c>
      <c r="H30" s="474"/>
      <c r="I30" s="474"/>
      <c r="J30" s="7"/>
      <c r="K30" s="63"/>
      <c r="L30" s="64"/>
      <c r="M30" s="65"/>
      <c r="N30" s="66"/>
      <c r="O30" s="67"/>
      <c r="P30" s="68"/>
      <c r="Q30" s="104"/>
      <c r="R30" s="72"/>
    </row>
    <row r="31" spans="2:18" ht="20.100000000000001" customHeight="1" thickBot="1">
      <c r="B31" s="470"/>
      <c r="C31" s="471"/>
      <c r="D31" s="465" t="s">
        <v>109</v>
      </c>
      <c r="E31" s="466"/>
      <c r="F31" s="466"/>
      <c r="G31" s="168">
        <v>3283.0675999999999</v>
      </c>
      <c r="H31" s="467">
        <f>G31/D5</f>
        <v>0.1101704233906825</v>
      </c>
      <c r="I31" s="467"/>
      <c r="J31" s="7"/>
      <c r="K31" s="403" t="s">
        <v>19</v>
      </c>
      <c r="L31" s="404"/>
      <c r="M31" s="405"/>
      <c r="N31" s="89">
        <f>SUM(N4:N30)</f>
        <v>0</v>
      </c>
      <c r="O31" s="90">
        <f>N31*0.3025</f>
        <v>0</v>
      </c>
      <c r="P31" s="91">
        <f>SUM(P4:P30)</f>
        <v>0</v>
      </c>
      <c r="Q31" s="92">
        <f>P31*0.3025</f>
        <v>0</v>
      </c>
      <c r="R31" s="59"/>
    </row>
    <row r="32" spans="2:18" ht="6" customHeight="1" thickTop="1">
      <c r="B32" s="5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2:21" ht="24.95" customHeight="1" thickBot="1">
      <c r="B33" s="75" t="s">
        <v>22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101"/>
      <c r="R33" s="3"/>
    </row>
    <row r="34" spans="2:21" ht="24.95" customHeight="1">
      <c r="B34" s="407" t="s">
        <v>40</v>
      </c>
      <c r="C34" s="390" t="s">
        <v>55</v>
      </c>
      <c r="D34" s="409"/>
      <c r="E34" s="410" t="s">
        <v>56</v>
      </c>
      <c r="F34" s="409"/>
      <c r="G34" s="410" t="s">
        <v>88</v>
      </c>
      <c r="H34" s="409"/>
      <c r="I34" s="388" t="s">
        <v>54</v>
      </c>
      <c r="J34" s="406"/>
      <c r="K34" s="388" t="s">
        <v>33</v>
      </c>
      <c r="L34" s="406"/>
      <c r="M34" s="388" t="s">
        <v>50</v>
      </c>
      <c r="N34" s="389"/>
      <c r="O34" s="454" t="s">
        <v>6</v>
      </c>
      <c r="P34" s="440"/>
      <c r="Q34" s="390" t="s">
        <v>49</v>
      </c>
      <c r="R34" s="391"/>
      <c r="T34" s="50" t="s">
        <v>49</v>
      </c>
    </row>
    <row r="35" spans="2:21" ht="24.95" customHeight="1" thickBot="1">
      <c r="B35" s="408"/>
      <c r="C35" s="21" t="s">
        <v>4</v>
      </c>
      <c r="D35" s="22" t="s">
        <v>5</v>
      </c>
      <c r="E35" s="23" t="s">
        <v>4</v>
      </c>
      <c r="F35" s="22" t="s">
        <v>5</v>
      </c>
      <c r="G35" s="23" t="s">
        <v>4</v>
      </c>
      <c r="H35" s="22" t="s">
        <v>5</v>
      </c>
      <c r="I35" s="22" t="s">
        <v>4</v>
      </c>
      <c r="J35" s="22" t="s">
        <v>5</v>
      </c>
      <c r="K35" s="22" t="s">
        <v>4</v>
      </c>
      <c r="L35" s="22" t="s">
        <v>5</v>
      </c>
      <c r="M35" s="22" t="s">
        <v>4</v>
      </c>
      <c r="N35" s="24" t="s">
        <v>5</v>
      </c>
      <c r="O35" s="141" t="s">
        <v>4</v>
      </c>
      <c r="P35" s="24" t="s">
        <v>5</v>
      </c>
      <c r="Q35" s="141" t="s">
        <v>97</v>
      </c>
      <c r="R35" s="142" t="s">
        <v>98</v>
      </c>
      <c r="T35" s="50" t="s">
        <v>51</v>
      </c>
      <c r="U35" s="50" t="s">
        <v>52</v>
      </c>
    </row>
    <row r="36" spans="2:21" ht="20.100000000000001" hidden="1" customHeight="1">
      <c r="B36" s="33" t="s">
        <v>42</v>
      </c>
      <c r="C36" s="117">
        <v>0</v>
      </c>
      <c r="D36" s="113">
        <f>C36*0.3025</f>
        <v>0</v>
      </c>
      <c r="E36" s="114">
        <v>0</v>
      </c>
      <c r="F36" s="113">
        <f>E36*0.3025</f>
        <v>0</v>
      </c>
      <c r="G36" s="114">
        <v>0</v>
      </c>
      <c r="H36" s="113">
        <f>G36*0.3025</f>
        <v>0</v>
      </c>
      <c r="I36" s="115">
        <v>0</v>
      </c>
      <c r="J36" s="115">
        <f>I36*0.3025</f>
        <v>0</v>
      </c>
      <c r="K36" s="115">
        <v>0</v>
      </c>
      <c r="L36" s="113">
        <f>K36*0.3025</f>
        <v>0</v>
      </c>
      <c r="M36" s="115">
        <v>0</v>
      </c>
      <c r="N36" s="77">
        <f>M36*0.3025</f>
        <v>0</v>
      </c>
      <c r="O36" s="13">
        <f>C36+E36+G36+I36+K36+M36</f>
        <v>0</v>
      </c>
      <c r="P36" s="14">
        <f t="shared" ref="P36:P50" si="3">O36*0.3025</f>
        <v>0</v>
      </c>
      <c r="Q36" s="112"/>
      <c r="R36" s="143"/>
    </row>
    <row r="37" spans="2:21" ht="24.95" customHeight="1">
      <c r="B37" s="139" t="s">
        <v>95</v>
      </c>
      <c r="C37" s="97">
        <v>0</v>
      </c>
      <c r="D37" s="96">
        <f>C37*0.3025</f>
        <v>0</v>
      </c>
      <c r="E37" s="15">
        <f>13520.92-18</f>
        <v>13502.92</v>
      </c>
      <c r="F37" s="16">
        <f t="shared" ref="F37:F38" si="4">E37*0.3025</f>
        <v>4084.6333</v>
      </c>
      <c r="G37" s="15">
        <f>526.83+451.79-18</f>
        <v>960.62000000000012</v>
      </c>
      <c r="H37" s="16">
        <f t="shared" ref="H37:H38" si="5">G37*0.3025</f>
        <v>290.58755000000002</v>
      </c>
      <c r="I37" s="16">
        <v>1459.84</v>
      </c>
      <c r="J37" s="16">
        <f t="shared" ref="J37:J38" si="6">I37*0.3025</f>
        <v>441.60159999999996</v>
      </c>
      <c r="K37" s="16">
        <v>4658.6000000000004</v>
      </c>
      <c r="L37" s="16">
        <f t="shared" ref="L37:L38" si="7">K37*0.3025</f>
        <v>1409.2265</v>
      </c>
      <c r="M37" s="16">
        <v>1562.6</v>
      </c>
      <c r="N37" s="118">
        <f>M37*0.3025</f>
        <v>472.68649999999997</v>
      </c>
      <c r="O37" s="13">
        <f>C37+E37+G37+I37+K37+M37</f>
        <v>22144.58</v>
      </c>
      <c r="P37" s="14">
        <f t="shared" si="3"/>
        <v>6698.7354500000001</v>
      </c>
      <c r="Q37" s="144">
        <v>13</v>
      </c>
      <c r="R37" s="145">
        <v>34</v>
      </c>
    </row>
    <row r="38" spans="2:21" ht="24.95" customHeight="1" thickBot="1">
      <c r="B38" s="37" t="s">
        <v>94</v>
      </c>
      <c r="C38" s="119">
        <v>0</v>
      </c>
      <c r="D38" s="120">
        <f>C38*0.3025</f>
        <v>0</v>
      </c>
      <c r="E38" s="121">
        <v>0</v>
      </c>
      <c r="F38" s="122">
        <f t="shared" si="4"/>
        <v>0</v>
      </c>
      <c r="G38" s="121">
        <f>4279.27+881.91-30</f>
        <v>5131.18</v>
      </c>
      <c r="H38" s="122">
        <f t="shared" si="5"/>
        <v>1552.1819500000001</v>
      </c>
      <c r="I38" s="122">
        <v>0</v>
      </c>
      <c r="J38" s="122">
        <f t="shared" si="6"/>
        <v>0</v>
      </c>
      <c r="K38" s="122">
        <v>0</v>
      </c>
      <c r="L38" s="122">
        <f t="shared" si="7"/>
        <v>0</v>
      </c>
      <c r="M38" s="122">
        <v>0</v>
      </c>
      <c r="N38" s="123">
        <f>M38*0.3025</f>
        <v>0</v>
      </c>
      <c r="O38" s="40">
        <f>C38+E38+G38+I38+K38+M38</f>
        <v>5131.18</v>
      </c>
      <c r="P38" s="41">
        <f t="shared" si="3"/>
        <v>1552.1819500000001</v>
      </c>
      <c r="Q38" s="146" t="s">
        <v>101</v>
      </c>
      <c r="R38" s="147" t="s">
        <v>99</v>
      </c>
      <c r="T38" s="50">
        <v>25</v>
      </c>
      <c r="U38" s="50">
        <v>57</v>
      </c>
    </row>
    <row r="39" spans="2:21" ht="24.95" customHeight="1" thickBot="1">
      <c r="B39" s="27" t="s">
        <v>24</v>
      </c>
      <c r="C39" s="42">
        <f>SUM(C36:C38)</f>
        <v>0</v>
      </c>
      <c r="D39" s="29">
        <f>C39*0.3025</f>
        <v>0</v>
      </c>
      <c r="E39" s="43">
        <f>SUM(E36:E38)</f>
        <v>13502.92</v>
      </c>
      <c r="F39" s="30">
        <f>E39*0.3025</f>
        <v>4084.6333</v>
      </c>
      <c r="G39" s="43">
        <f>SUM(G36:G38)</f>
        <v>6091.8</v>
      </c>
      <c r="H39" s="30">
        <f>G39*0.3025</f>
        <v>1842.7695000000001</v>
      </c>
      <c r="I39" s="30">
        <f>SUM(I36:I38)</f>
        <v>1459.84</v>
      </c>
      <c r="J39" s="30">
        <f>I39*0.3025</f>
        <v>441.60159999999996</v>
      </c>
      <c r="K39" s="30">
        <f>SUM(K36:K38)</f>
        <v>4658.6000000000004</v>
      </c>
      <c r="L39" s="30">
        <f>K39*0.3025</f>
        <v>1409.2265</v>
      </c>
      <c r="M39" s="30">
        <f>SUM(M36:M38)</f>
        <v>1562.6</v>
      </c>
      <c r="N39" s="31">
        <f>M39*0.3025</f>
        <v>472.68649999999997</v>
      </c>
      <c r="O39" s="28">
        <f>SUM(O36:O38)</f>
        <v>27275.760000000002</v>
      </c>
      <c r="P39" s="32">
        <f t="shared" si="3"/>
        <v>8250.9174000000003</v>
      </c>
      <c r="Q39" s="148">
        <f>SUM(Q37:Q38)</f>
        <v>13</v>
      </c>
      <c r="R39" s="149">
        <f>SUM(R37:R38)</f>
        <v>34</v>
      </c>
    </row>
    <row r="40" spans="2:21" ht="24.95" customHeight="1">
      <c r="B40" s="33" t="s">
        <v>89</v>
      </c>
      <c r="C40" s="112">
        <v>0</v>
      </c>
      <c r="D40" s="113">
        <f t="shared" ref="D40:D50" si="8">C40*0.3025</f>
        <v>0</v>
      </c>
      <c r="E40" s="114">
        <f>12756.33-18</f>
        <v>12738.33</v>
      </c>
      <c r="F40" s="115">
        <f t="shared" ref="F40:F48" si="9">E40*0.3025</f>
        <v>3853.3448249999997</v>
      </c>
      <c r="G40" s="114">
        <f>522.37+468.6-18</f>
        <v>972.97</v>
      </c>
      <c r="H40" s="115">
        <f t="shared" ref="H40:H48" si="10">G40*0.3025</f>
        <v>294.32342499999999</v>
      </c>
      <c r="I40" s="115">
        <v>1422</v>
      </c>
      <c r="J40" s="115">
        <f t="shared" ref="J40:J50" si="11">I40*0.3025</f>
        <v>430.15499999999997</v>
      </c>
      <c r="K40" s="115">
        <v>5671.44</v>
      </c>
      <c r="L40" s="115">
        <f t="shared" ref="L40:L50" si="12">K40*0.3025</f>
        <v>1715.6105999999997</v>
      </c>
      <c r="M40" s="38">
        <v>0</v>
      </c>
      <c r="N40" s="39">
        <f t="shared" ref="N40:N50" si="13">M40*0.3025</f>
        <v>0</v>
      </c>
      <c r="O40" s="13">
        <f>C40+E40+G40+I40+K40+M40</f>
        <v>20804.739999999998</v>
      </c>
      <c r="P40" s="14">
        <f t="shared" si="3"/>
        <v>6293.4338499999994</v>
      </c>
      <c r="Q40" s="150">
        <v>33</v>
      </c>
      <c r="R40" s="151">
        <v>31</v>
      </c>
      <c r="T40" s="50">
        <v>25</v>
      </c>
      <c r="U40" s="50">
        <v>57</v>
      </c>
    </row>
    <row r="41" spans="2:21" ht="24.95" customHeight="1">
      <c r="B41" s="34" t="s">
        <v>90</v>
      </c>
      <c r="C41" s="116">
        <v>0</v>
      </c>
      <c r="D41" s="96">
        <f t="shared" si="8"/>
        <v>0</v>
      </c>
      <c r="E41" s="15">
        <f>13575.94-18</f>
        <v>13557.94</v>
      </c>
      <c r="F41" s="16">
        <f t="shared" si="9"/>
        <v>4101.2768500000002</v>
      </c>
      <c r="G41" s="15">
        <f>559.16+432.99-18</f>
        <v>974.15</v>
      </c>
      <c r="H41" s="16">
        <f t="shared" si="10"/>
        <v>294.68037499999997</v>
      </c>
      <c r="I41" s="16">
        <v>1459.84</v>
      </c>
      <c r="J41" s="16">
        <f t="shared" si="11"/>
        <v>441.60159999999996</v>
      </c>
      <c r="K41" s="16">
        <v>4742.29</v>
      </c>
      <c r="L41" s="16">
        <f t="shared" si="12"/>
        <v>1434.542725</v>
      </c>
      <c r="M41" s="16">
        <v>0</v>
      </c>
      <c r="N41" s="17">
        <f t="shared" si="13"/>
        <v>0</v>
      </c>
      <c r="O41" s="13">
        <f>C41+E41+G41+I41+K41+M41</f>
        <v>20734.22</v>
      </c>
      <c r="P41" s="18">
        <f t="shared" si="3"/>
        <v>6272.1015500000003</v>
      </c>
      <c r="Q41" s="144" t="s">
        <v>99</v>
      </c>
      <c r="R41" s="145">
        <v>34</v>
      </c>
      <c r="T41" s="50">
        <v>6</v>
      </c>
      <c r="U41" s="50">
        <f>U40</f>
        <v>57</v>
      </c>
    </row>
    <row r="42" spans="2:21" ht="24.95" customHeight="1">
      <c r="B42" s="140" t="s">
        <v>91</v>
      </c>
      <c r="C42" s="116">
        <f>13575.94-18</f>
        <v>13557.94</v>
      </c>
      <c r="D42" s="96">
        <f t="shared" si="8"/>
        <v>4101.2768500000002</v>
      </c>
      <c r="E42" s="15">
        <v>0</v>
      </c>
      <c r="F42" s="16">
        <f t="shared" si="9"/>
        <v>0</v>
      </c>
      <c r="G42" s="15">
        <f>559.16+432.99-18</f>
        <v>974.15</v>
      </c>
      <c r="H42" s="16">
        <f t="shared" si="10"/>
        <v>294.68037499999997</v>
      </c>
      <c r="I42" s="16">
        <v>1459.84</v>
      </c>
      <c r="J42" s="16">
        <f t="shared" si="11"/>
        <v>441.60159999999996</v>
      </c>
      <c r="K42" s="16">
        <v>4742.29</v>
      </c>
      <c r="L42" s="16">
        <f t="shared" si="12"/>
        <v>1434.542725</v>
      </c>
      <c r="M42" s="16">
        <v>0</v>
      </c>
      <c r="N42" s="17">
        <f t="shared" si="13"/>
        <v>0</v>
      </c>
      <c r="O42" s="13">
        <f t="shared" ref="O42:O48" si="14">C42+E42+G42+I42+K42+M42</f>
        <v>20734.22</v>
      </c>
      <c r="P42" s="18">
        <f t="shared" si="3"/>
        <v>6272.1015500000003</v>
      </c>
      <c r="Q42" s="144" t="s">
        <v>99</v>
      </c>
      <c r="R42" s="145">
        <v>34</v>
      </c>
      <c r="T42" s="50">
        <f t="shared" ref="T42:U46" si="15">T41</f>
        <v>6</v>
      </c>
      <c r="U42" s="50">
        <f t="shared" si="15"/>
        <v>57</v>
      </c>
    </row>
    <row r="43" spans="2:21" ht="24.95" customHeight="1">
      <c r="B43" s="140" t="s">
        <v>92</v>
      </c>
      <c r="C43" s="116">
        <f>13575.94-18</f>
        <v>13557.94</v>
      </c>
      <c r="D43" s="96">
        <f t="shared" si="8"/>
        <v>4101.2768500000002</v>
      </c>
      <c r="E43" s="15">
        <v>0</v>
      </c>
      <c r="F43" s="16">
        <f t="shared" si="9"/>
        <v>0</v>
      </c>
      <c r="G43" s="15">
        <f>559.16+432.99-18</f>
        <v>974.15</v>
      </c>
      <c r="H43" s="16">
        <f t="shared" si="10"/>
        <v>294.68037499999997</v>
      </c>
      <c r="I43" s="16">
        <v>1459.84</v>
      </c>
      <c r="J43" s="16">
        <f t="shared" si="11"/>
        <v>441.60159999999996</v>
      </c>
      <c r="K43" s="16">
        <v>4742.29</v>
      </c>
      <c r="L43" s="16">
        <f t="shared" si="12"/>
        <v>1434.542725</v>
      </c>
      <c r="M43" s="16">
        <v>0</v>
      </c>
      <c r="N43" s="17">
        <f t="shared" si="13"/>
        <v>0</v>
      </c>
      <c r="O43" s="13">
        <f t="shared" si="14"/>
        <v>20734.22</v>
      </c>
      <c r="P43" s="18">
        <f t="shared" si="3"/>
        <v>6272.1015500000003</v>
      </c>
      <c r="Q43" s="144" t="s">
        <v>100</v>
      </c>
      <c r="R43" s="145">
        <v>34</v>
      </c>
      <c r="T43" s="50">
        <f t="shared" si="15"/>
        <v>6</v>
      </c>
      <c r="U43" s="50">
        <f t="shared" si="15"/>
        <v>57</v>
      </c>
    </row>
    <row r="44" spans="2:21" ht="24.95" customHeight="1">
      <c r="B44" s="140" t="s">
        <v>93</v>
      </c>
      <c r="C44" s="116">
        <f>13575.94-18</f>
        <v>13557.94</v>
      </c>
      <c r="D44" s="96">
        <f t="shared" si="8"/>
        <v>4101.2768500000002</v>
      </c>
      <c r="E44" s="15">
        <v>0</v>
      </c>
      <c r="F44" s="16">
        <f t="shared" si="9"/>
        <v>0</v>
      </c>
      <c r="G44" s="15">
        <f>559.16+432.99-18</f>
        <v>974.15</v>
      </c>
      <c r="H44" s="16">
        <f t="shared" si="10"/>
        <v>294.68037499999997</v>
      </c>
      <c r="I44" s="16">
        <v>1459.84</v>
      </c>
      <c r="J44" s="16">
        <f t="shared" si="11"/>
        <v>441.60159999999996</v>
      </c>
      <c r="K44" s="16">
        <v>4742.29</v>
      </c>
      <c r="L44" s="16">
        <f t="shared" si="12"/>
        <v>1434.542725</v>
      </c>
      <c r="M44" s="16">
        <v>0</v>
      </c>
      <c r="N44" s="17">
        <f t="shared" si="13"/>
        <v>0</v>
      </c>
      <c r="O44" s="13">
        <f t="shared" si="14"/>
        <v>20734.22</v>
      </c>
      <c r="P44" s="18">
        <f t="shared" si="3"/>
        <v>6272.1015500000003</v>
      </c>
      <c r="Q44" s="144" t="s">
        <v>99</v>
      </c>
      <c r="R44" s="145">
        <v>34</v>
      </c>
      <c r="T44" s="50">
        <f t="shared" si="15"/>
        <v>6</v>
      </c>
      <c r="U44" s="50">
        <f t="shared" si="15"/>
        <v>57</v>
      </c>
    </row>
    <row r="45" spans="2:21" ht="24.95" customHeight="1" thickBot="1">
      <c r="B45" s="35" t="s">
        <v>96</v>
      </c>
      <c r="C45" s="97">
        <v>0</v>
      </c>
      <c r="D45" s="96">
        <f t="shared" si="8"/>
        <v>0</v>
      </c>
      <c r="E45" s="15">
        <v>0</v>
      </c>
      <c r="F45" s="16">
        <f t="shared" si="9"/>
        <v>0</v>
      </c>
      <c r="G45" s="15">
        <v>0</v>
      </c>
      <c r="H45" s="16">
        <f t="shared" si="10"/>
        <v>0</v>
      </c>
      <c r="I45" s="16">
        <v>0</v>
      </c>
      <c r="J45" s="16">
        <f t="shared" si="11"/>
        <v>0</v>
      </c>
      <c r="K45" s="16">
        <v>0</v>
      </c>
      <c r="L45" s="16">
        <f t="shared" si="12"/>
        <v>0</v>
      </c>
      <c r="M45" s="16">
        <v>0</v>
      </c>
      <c r="N45" s="17">
        <f t="shared" si="13"/>
        <v>0</v>
      </c>
      <c r="O45" s="13">
        <f t="shared" si="14"/>
        <v>0</v>
      </c>
      <c r="P45" s="18">
        <f t="shared" si="3"/>
        <v>0</v>
      </c>
      <c r="Q45" s="144">
        <v>304</v>
      </c>
      <c r="R45" s="145" t="s">
        <v>102</v>
      </c>
      <c r="T45" s="50">
        <f t="shared" si="15"/>
        <v>6</v>
      </c>
      <c r="U45" s="50">
        <f t="shared" si="15"/>
        <v>57</v>
      </c>
    </row>
    <row r="46" spans="2:21" ht="20.100000000000001" hidden="1" customHeight="1">
      <c r="B46" s="35" t="s">
        <v>46</v>
      </c>
      <c r="C46" s="97">
        <v>0</v>
      </c>
      <c r="D46" s="96">
        <f t="shared" si="8"/>
        <v>0</v>
      </c>
      <c r="E46" s="15">
        <v>0</v>
      </c>
      <c r="F46" s="16">
        <f t="shared" si="9"/>
        <v>0</v>
      </c>
      <c r="G46" s="15">
        <v>0</v>
      </c>
      <c r="H46" s="16">
        <f t="shared" si="10"/>
        <v>0</v>
      </c>
      <c r="I46" s="16">
        <v>0</v>
      </c>
      <c r="J46" s="16">
        <f t="shared" si="11"/>
        <v>0</v>
      </c>
      <c r="K46" s="16">
        <v>0</v>
      </c>
      <c r="L46" s="16">
        <f t="shared" si="12"/>
        <v>0</v>
      </c>
      <c r="M46" s="16">
        <v>0</v>
      </c>
      <c r="N46" s="17">
        <f t="shared" si="13"/>
        <v>0</v>
      </c>
      <c r="O46" s="13">
        <f t="shared" si="14"/>
        <v>0</v>
      </c>
      <c r="P46" s="18">
        <f t="shared" si="3"/>
        <v>0</v>
      </c>
      <c r="Q46" s="144"/>
      <c r="R46" s="145"/>
      <c r="T46" s="50">
        <f t="shared" si="15"/>
        <v>6</v>
      </c>
      <c r="U46" s="50">
        <f t="shared" si="15"/>
        <v>57</v>
      </c>
    </row>
    <row r="47" spans="2:21" ht="20.100000000000001" hidden="1" customHeight="1">
      <c r="B47" s="35" t="s">
        <v>47</v>
      </c>
      <c r="C47" s="15">
        <v>0</v>
      </c>
      <c r="D47" s="11">
        <f t="shared" si="8"/>
        <v>0</v>
      </c>
      <c r="E47" s="12">
        <v>0</v>
      </c>
      <c r="F47" s="12">
        <f t="shared" si="9"/>
        <v>0</v>
      </c>
      <c r="G47" s="15">
        <v>0</v>
      </c>
      <c r="H47" s="16">
        <f t="shared" si="10"/>
        <v>0</v>
      </c>
      <c r="I47" s="16">
        <v>0</v>
      </c>
      <c r="J47" s="16">
        <f t="shared" si="11"/>
        <v>0</v>
      </c>
      <c r="K47" s="16">
        <v>0</v>
      </c>
      <c r="L47" s="16">
        <f t="shared" si="12"/>
        <v>0</v>
      </c>
      <c r="M47" s="16">
        <v>0</v>
      </c>
      <c r="N47" s="17">
        <f t="shared" si="13"/>
        <v>0</v>
      </c>
      <c r="O47" s="13">
        <f t="shared" si="14"/>
        <v>0</v>
      </c>
      <c r="P47" s="18">
        <f t="shared" si="3"/>
        <v>0</v>
      </c>
      <c r="Q47" s="144"/>
      <c r="R47" s="145"/>
      <c r="T47" s="50">
        <v>378</v>
      </c>
      <c r="U47" s="50"/>
    </row>
    <row r="48" spans="2:21" ht="20.100000000000001" hidden="1" customHeight="1" thickBot="1">
      <c r="B48" s="35" t="s">
        <v>71</v>
      </c>
      <c r="C48" s="15">
        <v>0</v>
      </c>
      <c r="D48" s="11">
        <f t="shared" si="8"/>
        <v>0</v>
      </c>
      <c r="E48" s="12">
        <v>0</v>
      </c>
      <c r="F48" s="12">
        <f t="shared" si="9"/>
        <v>0</v>
      </c>
      <c r="G48" s="15">
        <v>0</v>
      </c>
      <c r="H48" s="16">
        <f t="shared" si="10"/>
        <v>0</v>
      </c>
      <c r="I48" s="16">
        <v>0</v>
      </c>
      <c r="J48" s="16">
        <f t="shared" si="11"/>
        <v>0</v>
      </c>
      <c r="K48" s="16">
        <v>0</v>
      </c>
      <c r="L48" s="16">
        <f t="shared" si="12"/>
        <v>0</v>
      </c>
      <c r="M48" s="16">
        <v>0</v>
      </c>
      <c r="N48" s="17">
        <f t="shared" si="13"/>
        <v>0</v>
      </c>
      <c r="O48" s="13">
        <f t="shared" si="14"/>
        <v>0</v>
      </c>
      <c r="P48" s="18">
        <f t="shared" si="3"/>
        <v>0</v>
      </c>
      <c r="Q48" s="144"/>
      <c r="R48" s="152"/>
      <c r="T48" s="50">
        <f>SUM(T38:T47)</f>
        <v>464</v>
      </c>
      <c r="U48" s="50">
        <f>SUM(U38:U47)</f>
        <v>456</v>
      </c>
    </row>
    <row r="49" spans="2:21" ht="24.95" customHeight="1" thickBot="1">
      <c r="B49" s="27" t="s">
        <v>25</v>
      </c>
      <c r="C49" s="42">
        <f>SUM(C40:C48)</f>
        <v>40673.82</v>
      </c>
      <c r="D49" s="29">
        <f>C49*0.3025</f>
        <v>12303.830549999999</v>
      </c>
      <c r="E49" s="43">
        <f>SUM(E40:E48)</f>
        <v>26296.27</v>
      </c>
      <c r="F49" s="30">
        <f>E49*0.3025</f>
        <v>7954.6216750000003</v>
      </c>
      <c r="G49" s="43">
        <f>SUM(G40:G48)</f>
        <v>4869.57</v>
      </c>
      <c r="H49" s="30">
        <f>G49*0.3025</f>
        <v>1473.0449249999999</v>
      </c>
      <c r="I49" s="30">
        <f>SUM(I40:I48)</f>
        <v>7261.3600000000006</v>
      </c>
      <c r="J49" s="30">
        <f>I49*0.3025</f>
        <v>2196.5614</v>
      </c>
      <c r="K49" s="30">
        <f>SUM(K40:K48)</f>
        <v>24640.600000000002</v>
      </c>
      <c r="L49" s="30">
        <f t="shared" si="12"/>
        <v>7453.7815000000001</v>
      </c>
      <c r="M49" s="30">
        <f>SUM(M40:M48)</f>
        <v>0</v>
      </c>
      <c r="N49" s="31">
        <f t="shared" si="13"/>
        <v>0</v>
      </c>
      <c r="O49" s="28">
        <f>C49+E49+G49+I49+K49+M49</f>
        <v>103741.62000000001</v>
      </c>
      <c r="P49" s="32">
        <f t="shared" si="3"/>
        <v>31381.840050000003</v>
      </c>
      <c r="Q49" s="148">
        <f>SUM(Q40:Q45)</f>
        <v>337</v>
      </c>
      <c r="R49" s="149">
        <f>SUM(R40:R45)</f>
        <v>167</v>
      </c>
      <c r="T49" s="50" t="s">
        <v>13</v>
      </c>
      <c r="U49" s="50">
        <f>T48+U48</f>
        <v>920</v>
      </c>
    </row>
    <row r="50" spans="2:21" ht="24.95" customHeight="1" thickBot="1">
      <c r="B50" s="44" t="s">
        <v>13</v>
      </c>
      <c r="C50" s="45">
        <f>C39+C49</f>
        <v>40673.82</v>
      </c>
      <c r="D50" s="46">
        <f t="shared" si="8"/>
        <v>12303.830549999999</v>
      </c>
      <c r="E50" s="47">
        <f>E39+E49</f>
        <v>39799.19</v>
      </c>
      <c r="F50" s="47">
        <f t="shared" ref="F50" si="16">E50*0.3025</f>
        <v>12039.254975</v>
      </c>
      <c r="G50" s="47">
        <f>G39+G49</f>
        <v>10961.369999999999</v>
      </c>
      <c r="H50" s="47">
        <f t="shared" ref="H50" si="17">G50*0.3025</f>
        <v>3315.8144249999996</v>
      </c>
      <c r="I50" s="47">
        <f>I39+I49</f>
        <v>8721.2000000000007</v>
      </c>
      <c r="J50" s="47">
        <f t="shared" si="11"/>
        <v>2638.163</v>
      </c>
      <c r="K50" s="47">
        <f>K39+K49</f>
        <v>29299.200000000004</v>
      </c>
      <c r="L50" s="47">
        <f t="shared" si="12"/>
        <v>8863.0080000000016</v>
      </c>
      <c r="M50" s="47">
        <f>M39+M49</f>
        <v>1562.6</v>
      </c>
      <c r="N50" s="48">
        <f t="shared" si="13"/>
        <v>472.68649999999997</v>
      </c>
      <c r="O50" s="45">
        <f>C50+E50+G50+I50+K50+M50</f>
        <v>131017.38</v>
      </c>
      <c r="P50" s="49">
        <f t="shared" si="3"/>
        <v>39632.757449999997</v>
      </c>
      <c r="Q50" s="153">
        <f>Q39+Q49</f>
        <v>350</v>
      </c>
      <c r="R50" s="154">
        <f>R39+R49</f>
        <v>201</v>
      </c>
      <c r="S50" s="51">
        <f>O39+O49</f>
        <v>131017.38</v>
      </c>
      <c r="T50" s="51"/>
    </row>
    <row r="51" spans="2:21" ht="6" customHeight="1">
      <c r="M51" s="51"/>
      <c r="N51" s="52"/>
      <c r="O51" s="55"/>
      <c r="P51" s="55"/>
    </row>
    <row r="52" spans="2:21" ht="21.95" customHeight="1">
      <c r="B52" s="4" t="s">
        <v>20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111"/>
      <c r="R52" s="5" t="s">
        <v>21</v>
      </c>
      <c r="T52" s="51"/>
    </row>
    <row r="53" spans="2:21">
      <c r="H53" s="8"/>
      <c r="S53" s="93" t="s">
        <v>53</v>
      </c>
      <c r="T53" s="51">
        <f>C50+E50+G50+M50</f>
        <v>92996.98000000001</v>
      </c>
      <c r="U53" s="8">
        <f>T53/300</f>
        <v>309.98993333333334</v>
      </c>
    </row>
    <row r="54" spans="2:21">
      <c r="U54" s="94">
        <f>U49/U53</f>
        <v>2.9678383104483608</v>
      </c>
    </row>
    <row r="56" spans="2:21">
      <c r="E56">
        <f>D5*0.008</f>
        <v>238.39920000000001</v>
      </c>
      <c r="F56">
        <f>E56/7</f>
        <v>34.057028571428575</v>
      </c>
    </row>
    <row r="57" spans="2:21">
      <c r="E57">
        <f>121*8</f>
        <v>968</v>
      </c>
    </row>
    <row r="58" spans="2:21">
      <c r="E58">
        <f>E57/8</f>
        <v>121</v>
      </c>
    </row>
    <row r="59" spans="2:21">
      <c r="E59">
        <f>E58/12</f>
        <v>10.083333333333334</v>
      </c>
    </row>
  </sheetData>
  <mergeCells count="73">
    <mergeCell ref="B3:C3"/>
    <mergeCell ref="B4:C4"/>
    <mergeCell ref="D4:I4"/>
    <mergeCell ref="B5:B8"/>
    <mergeCell ref="D5:E5"/>
    <mergeCell ref="F5:G5"/>
    <mergeCell ref="D6:E6"/>
    <mergeCell ref="F6:G6"/>
    <mergeCell ref="D7:E7"/>
    <mergeCell ref="F7:G7"/>
    <mergeCell ref="D8:E8"/>
    <mergeCell ref="F8:G8"/>
    <mergeCell ref="B9:B11"/>
    <mergeCell ref="D9:E9"/>
    <mergeCell ref="F9:G9"/>
    <mergeCell ref="D10:E10"/>
    <mergeCell ref="F10:G10"/>
    <mergeCell ref="D11:E11"/>
    <mergeCell ref="F11:G11"/>
    <mergeCell ref="B12:C12"/>
    <mergeCell ref="D12:E12"/>
    <mergeCell ref="F12:G12"/>
    <mergeCell ref="B13:C13"/>
    <mergeCell ref="D13:E13"/>
    <mergeCell ref="F13:G13"/>
    <mergeCell ref="H13:I13"/>
    <mergeCell ref="B14:C14"/>
    <mergeCell ref="D14:E14"/>
    <mergeCell ref="F14:G14"/>
    <mergeCell ref="B15:C15"/>
    <mergeCell ref="D15:E15"/>
    <mergeCell ref="F15:G15"/>
    <mergeCell ref="B16:C16"/>
    <mergeCell ref="D16:E16"/>
    <mergeCell ref="F16:G16"/>
    <mergeCell ref="H16:I16"/>
    <mergeCell ref="B17:C17"/>
    <mergeCell ref="D17:E17"/>
    <mergeCell ref="F17:G17"/>
    <mergeCell ref="B18:C18"/>
    <mergeCell ref="D18:E18"/>
    <mergeCell ref="F18:G18"/>
    <mergeCell ref="H18:I18"/>
    <mergeCell ref="B19:C19"/>
    <mergeCell ref="D19:E19"/>
    <mergeCell ref="F19:G19"/>
    <mergeCell ref="H21:I21"/>
    <mergeCell ref="B20:C20"/>
    <mergeCell ref="D20:E20"/>
    <mergeCell ref="F20:G20"/>
    <mergeCell ref="B21:C21"/>
    <mergeCell ref="D21:E21"/>
    <mergeCell ref="F21:G21"/>
    <mergeCell ref="D22:F22"/>
    <mergeCell ref="D23:F23"/>
    <mergeCell ref="M34:N34"/>
    <mergeCell ref="O34:P34"/>
    <mergeCell ref="B22:C24"/>
    <mergeCell ref="G22:G24"/>
    <mergeCell ref="B25:C25"/>
    <mergeCell ref="D31:F31"/>
    <mergeCell ref="H31:I31"/>
    <mergeCell ref="B30:C31"/>
    <mergeCell ref="D30:F30"/>
    <mergeCell ref="G30:I30"/>
    <mergeCell ref="Q34:R34"/>
    <mergeCell ref="K31:M31"/>
    <mergeCell ref="B34:B35"/>
    <mergeCell ref="C34:D34"/>
    <mergeCell ref="E34:F34"/>
    <mergeCell ref="G34:H34"/>
    <mergeCell ref="I34:J34"/>
    <mergeCell ref="K34:L34"/>
  </mergeCells>
  <phoneticPr fontId="2" type="noConversion"/>
  <pageMargins left="0.7" right="0.7" top="0.75" bottom="0.75" header="0.3" footer="0.3"/>
  <pageSetup paperSize="8" scale="81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B1:U59"/>
  <sheetViews>
    <sheetView showGridLines="0" view="pageBreakPreview" zoomScale="85" zoomScaleNormal="85" zoomScaleSheetLayoutView="85" workbookViewId="0">
      <selection activeCell="I24" sqref="I24"/>
    </sheetView>
  </sheetViews>
  <sheetFormatPr defaultRowHeight="16.5"/>
  <cols>
    <col min="1" max="1" width="10.625" customWidth="1"/>
    <col min="2" max="2" width="16.375" customWidth="1"/>
    <col min="3" max="16" width="12.625" customWidth="1"/>
    <col min="17" max="17" width="12.625" style="170" customWidth="1"/>
    <col min="18" max="18" width="12.625" customWidth="1"/>
    <col min="19" max="20" width="9.875" bestFit="1" customWidth="1"/>
  </cols>
  <sheetData>
    <row r="1" spans="2:18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8" ht="24.95" customHeight="1" thickBot="1">
      <c r="B2" s="78" t="s">
        <v>74</v>
      </c>
      <c r="C2" s="6"/>
      <c r="D2" s="6"/>
      <c r="E2" s="6"/>
      <c r="F2" s="6"/>
      <c r="G2" s="6"/>
      <c r="H2" s="6"/>
      <c r="I2" s="6"/>
      <c r="J2" s="1"/>
      <c r="K2" s="74" t="s">
        <v>14</v>
      </c>
      <c r="L2" s="6"/>
      <c r="M2" s="6"/>
      <c r="N2" s="6"/>
      <c r="O2" s="3"/>
      <c r="P2" s="3"/>
      <c r="Q2" s="101"/>
      <c r="R2" s="3"/>
    </row>
    <row r="3" spans="2:18" ht="20.100000000000001" customHeight="1" thickBot="1">
      <c r="B3" s="390" t="s">
        <v>8</v>
      </c>
      <c r="C3" s="440"/>
      <c r="D3" s="9" t="s">
        <v>84</v>
      </c>
      <c r="E3" s="10"/>
      <c r="F3" s="10"/>
      <c r="G3" s="10"/>
      <c r="H3" s="10"/>
      <c r="I3" s="10"/>
      <c r="J3" s="7"/>
      <c r="K3" s="53" t="s">
        <v>15</v>
      </c>
      <c r="L3" s="19" t="s">
        <v>16</v>
      </c>
      <c r="M3" s="20" t="s">
        <v>17</v>
      </c>
      <c r="N3" s="36" t="s">
        <v>26</v>
      </c>
      <c r="O3" s="57" t="s">
        <v>27</v>
      </c>
      <c r="P3" s="56" t="s">
        <v>35</v>
      </c>
      <c r="Q3" s="102" t="s">
        <v>36</v>
      </c>
      <c r="R3" s="58" t="s">
        <v>18</v>
      </c>
    </row>
    <row r="4" spans="2:18" ht="20.100000000000001" customHeight="1">
      <c r="B4" s="413" t="s">
        <v>9</v>
      </c>
      <c r="C4" s="419"/>
      <c r="D4" s="441" t="s">
        <v>75</v>
      </c>
      <c r="E4" s="442"/>
      <c r="F4" s="442"/>
      <c r="G4" s="442"/>
      <c r="H4" s="442"/>
      <c r="I4" s="442"/>
      <c r="J4" s="7"/>
      <c r="K4" s="60"/>
      <c r="L4" s="61"/>
      <c r="M4" s="20"/>
      <c r="N4" s="84"/>
      <c r="O4" s="85"/>
      <c r="P4" s="84"/>
      <c r="Q4" s="85"/>
      <c r="R4" s="62"/>
    </row>
    <row r="5" spans="2:18" ht="20.100000000000001" customHeight="1">
      <c r="B5" s="413" t="s">
        <v>10</v>
      </c>
      <c r="C5" s="54" t="s">
        <v>39</v>
      </c>
      <c r="D5" s="447">
        <v>29799.9</v>
      </c>
      <c r="E5" s="448"/>
      <c r="F5" s="430">
        <f>D5*0.3025</f>
        <v>9014.4697500000002</v>
      </c>
      <c r="G5" s="445"/>
      <c r="H5" s="169"/>
      <c r="I5" s="169"/>
      <c r="J5" s="7"/>
      <c r="K5" s="63"/>
      <c r="L5" s="64"/>
      <c r="M5" s="65"/>
      <c r="N5" s="86"/>
      <c r="O5" s="87"/>
      <c r="P5" s="86"/>
      <c r="Q5" s="103"/>
      <c r="R5" s="69"/>
    </row>
    <row r="6" spans="2:18" ht="20.100000000000001" hidden="1" customHeight="1">
      <c r="B6" s="443"/>
      <c r="C6" s="54" t="s">
        <v>65</v>
      </c>
      <c r="D6" s="428">
        <v>0</v>
      </c>
      <c r="E6" s="446"/>
      <c r="F6" s="430">
        <f t="shared" ref="F6:F13" si="0">D6*0.3025</f>
        <v>0</v>
      </c>
      <c r="G6" s="445"/>
      <c r="H6" s="169"/>
      <c r="I6" s="169" t="s">
        <v>69</v>
      </c>
      <c r="J6" s="7"/>
      <c r="K6" s="63"/>
      <c r="L6" s="64"/>
      <c r="M6" s="65"/>
      <c r="N6" s="86"/>
      <c r="O6" s="87"/>
      <c r="P6" s="86"/>
      <c r="Q6" s="103"/>
      <c r="R6" s="69"/>
    </row>
    <row r="7" spans="2:18" ht="20.100000000000001" hidden="1" customHeight="1">
      <c r="B7" s="443"/>
      <c r="C7" s="54" t="s">
        <v>66</v>
      </c>
      <c r="D7" s="428">
        <v>0</v>
      </c>
      <c r="E7" s="446"/>
      <c r="F7" s="430">
        <f t="shared" si="0"/>
        <v>0</v>
      </c>
      <c r="G7" s="445"/>
      <c r="H7" s="169"/>
      <c r="I7" s="169" t="s">
        <v>68</v>
      </c>
      <c r="J7" s="7"/>
      <c r="K7" s="63"/>
      <c r="L7" s="64"/>
      <c r="M7" s="65"/>
      <c r="N7" s="86"/>
      <c r="O7" s="87"/>
      <c r="P7" s="86"/>
      <c r="Q7" s="103"/>
      <c r="R7" s="69"/>
    </row>
    <row r="8" spans="2:18" ht="20.100000000000001" hidden="1" customHeight="1">
      <c r="B8" s="444"/>
      <c r="C8" s="54" t="s">
        <v>64</v>
      </c>
      <c r="D8" s="428">
        <f>N31</f>
        <v>0</v>
      </c>
      <c r="E8" s="446"/>
      <c r="F8" s="430">
        <f t="shared" si="0"/>
        <v>0</v>
      </c>
      <c r="G8" s="445"/>
      <c r="H8" s="169"/>
      <c r="I8" s="169" t="s">
        <v>67</v>
      </c>
      <c r="J8" s="7"/>
      <c r="K8" s="63"/>
      <c r="L8" s="64"/>
      <c r="M8" s="65"/>
      <c r="N8" s="86"/>
      <c r="O8" s="87"/>
      <c r="P8" s="88"/>
      <c r="Q8" s="103"/>
      <c r="R8" s="69"/>
    </row>
    <row r="9" spans="2:18" ht="20.100000000000001" customHeight="1">
      <c r="B9" s="438" t="s">
        <v>7</v>
      </c>
      <c r="C9" s="54" t="s">
        <v>11</v>
      </c>
      <c r="D9" s="428">
        <f>O49</f>
        <v>104631.46999999997</v>
      </c>
      <c r="E9" s="429"/>
      <c r="F9" s="430">
        <f t="shared" si="0"/>
        <v>31651.019674999992</v>
      </c>
      <c r="G9" s="431"/>
      <c r="H9" s="169"/>
      <c r="I9" s="169"/>
      <c r="J9" s="7"/>
      <c r="K9" s="63"/>
      <c r="L9" s="64"/>
      <c r="M9" s="65"/>
      <c r="N9" s="86"/>
      <c r="O9" s="87"/>
      <c r="P9" s="86"/>
      <c r="Q9" s="103"/>
      <c r="R9" s="69"/>
    </row>
    <row r="10" spans="2:18" ht="20.100000000000001" customHeight="1">
      <c r="B10" s="439"/>
      <c r="C10" s="54" t="s">
        <v>12</v>
      </c>
      <c r="D10" s="428">
        <f>O39</f>
        <v>27687.68</v>
      </c>
      <c r="E10" s="429"/>
      <c r="F10" s="430">
        <f t="shared" si="0"/>
        <v>8375.5231999999996</v>
      </c>
      <c r="G10" s="431"/>
      <c r="H10" s="169"/>
      <c r="I10" s="169"/>
      <c r="J10" s="7"/>
      <c r="K10" s="70"/>
      <c r="L10" s="64"/>
      <c r="M10" s="65"/>
      <c r="N10" s="86"/>
      <c r="O10" s="87"/>
      <c r="P10" s="86"/>
      <c r="Q10" s="103"/>
      <c r="R10" s="71"/>
    </row>
    <row r="11" spans="2:18" ht="20.100000000000001" customHeight="1">
      <c r="B11" s="439"/>
      <c r="C11" s="54" t="s">
        <v>13</v>
      </c>
      <c r="D11" s="428">
        <f>SUM(D9:E10)</f>
        <v>132319.14999999997</v>
      </c>
      <c r="E11" s="429"/>
      <c r="F11" s="430">
        <f t="shared" si="0"/>
        <v>40026.542874999985</v>
      </c>
      <c r="G11" s="431"/>
      <c r="H11" s="169"/>
      <c r="I11" s="169"/>
      <c r="J11" s="7"/>
      <c r="K11" s="63"/>
      <c r="L11" s="64"/>
      <c r="M11" s="65"/>
      <c r="N11" s="86"/>
      <c r="O11" s="87"/>
      <c r="P11" s="88"/>
      <c r="Q11" s="103"/>
      <c r="R11" s="69"/>
    </row>
    <row r="12" spans="2:18" ht="20.100000000000001" customHeight="1">
      <c r="B12" s="413" t="s">
        <v>29</v>
      </c>
      <c r="C12" s="419"/>
      <c r="D12" s="428">
        <f>O49-K49-I49</f>
        <v>72536.669999999969</v>
      </c>
      <c r="E12" s="429"/>
      <c r="F12" s="430">
        <f t="shared" si="0"/>
        <v>21942.342674999989</v>
      </c>
      <c r="G12" s="431"/>
      <c r="H12" s="169"/>
      <c r="I12" s="169"/>
      <c r="J12" s="7"/>
      <c r="K12" s="63"/>
      <c r="L12" s="64"/>
      <c r="M12" s="65"/>
      <c r="N12" s="86"/>
      <c r="O12" s="87"/>
      <c r="P12" s="88"/>
      <c r="Q12" s="103"/>
      <c r="R12" s="72"/>
    </row>
    <row r="13" spans="2:18" ht="20.100000000000001" customHeight="1">
      <c r="B13" s="413" t="s">
        <v>28</v>
      </c>
      <c r="C13" s="437"/>
      <c r="D13" s="428">
        <v>20844.23</v>
      </c>
      <c r="E13" s="429"/>
      <c r="F13" s="430">
        <f t="shared" si="0"/>
        <v>6305.3795749999999</v>
      </c>
      <c r="G13" s="431"/>
      <c r="H13" s="436"/>
      <c r="I13" s="436"/>
      <c r="J13" s="7"/>
      <c r="K13" s="63"/>
      <c r="L13" s="64"/>
      <c r="M13" s="65"/>
      <c r="N13" s="86"/>
      <c r="O13" s="87"/>
      <c r="P13" s="86"/>
      <c r="Q13" s="103"/>
      <c r="R13" s="69"/>
    </row>
    <row r="14" spans="2:18" ht="20.100000000000001" customHeight="1">
      <c r="B14" s="413" t="s">
        <v>30</v>
      </c>
      <c r="C14" s="419"/>
      <c r="D14" s="434">
        <f>D13/D5</f>
        <v>0.69947315259447174</v>
      </c>
      <c r="E14" s="435"/>
      <c r="F14" s="422" t="s">
        <v>70</v>
      </c>
      <c r="G14" s="421"/>
      <c r="H14" s="169"/>
      <c r="I14" s="169"/>
      <c r="J14" s="7"/>
      <c r="K14" s="63"/>
      <c r="L14" s="64"/>
      <c r="M14" s="65"/>
      <c r="N14" s="86"/>
      <c r="O14" s="87"/>
      <c r="P14" s="88"/>
      <c r="Q14" s="103"/>
      <c r="R14" s="73"/>
    </row>
    <row r="15" spans="2:18" ht="20.100000000000001" customHeight="1">
      <c r="B15" s="413" t="s">
        <v>31</v>
      </c>
      <c r="C15" s="419"/>
      <c r="D15" s="434">
        <f>D12/D5</f>
        <v>2.4341246111564123</v>
      </c>
      <c r="E15" s="435"/>
      <c r="F15" s="422" t="s">
        <v>76</v>
      </c>
      <c r="G15" s="421"/>
      <c r="H15" s="169"/>
      <c r="I15" s="169"/>
      <c r="J15" s="7"/>
      <c r="K15" s="63"/>
      <c r="L15" s="64"/>
      <c r="M15" s="65"/>
      <c r="N15" s="86"/>
      <c r="O15" s="87"/>
      <c r="P15" s="86"/>
      <c r="Q15" s="103"/>
      <c r="R15" s="76"/>
    </row>
    <row r="16" spans="2:18" ht="20.100000000000001" customHeight="1">
      <c r="B16" s="423" t="s">
        <v>58</v>
      </c>
      <c r="C16" s="424"/>
      <c r="D16" s="428">
        <f>$O$50-$K$50</f>
        <v>105572.56</v>
      </c>
      <c r="E16" s="429"/>
      <c r="F16" s="430">
        <f t="shared" ref="F16" si="1">D16*0.3025</f>
        <v>31935.699399999998</v>
      </c>
      <c r="G16" s="431"/>
      <c r="H16" s="432" t="s">
        <v>61</v>
      </c>
      <c r="I16" s="433"/>
      <c r="J16" s="7"/>
      <c r="K16" s="63"/>
      <c r="L16" s="64"/>
      <c r="M16" s="65"/>
      <c r="N16" s="86"/>
      <c r="O16" s="87"/>
      <c r="P16" s="86"/>
      <c r="Q16" s="103"/>
      <c r="R16" s="69"/>
    </row>
    <row r="17" spans="2:18" ht="20.100000000000001" customHeight="1">
      <c r="B17" s="413" t="s">
        <v>57</v>
      </c>
      <c r="C17" s="419"/>
      <c r="D17" s="434">
        <f>D16/$O$50</f>
        <v>0.79786304552288922</v>
      </c>
      <c r="E17" s="435"/>
      <c r="F17" s="422" t="s">
        <v>38</v>
      </c>
      <c r="G17" s="421"/>
      <c r="H17" s="169"/>
      <c r="I17" s="169"/>
      <c r="J17" s="7"/>
      <c r="K17" s="63"/>
      <c r="L17" s="64"/>
      <c r="M17" s="65"/>
      <c r="N17" s="86"/>
      <c r="O17" s="87"/>
      <c r="P17" s="88"/>
      <c r="Q17" s="103"/>
      <c r="R17" s="69"/>
    </row>
    <row r="18" spans="2:18" ht="20.100000000000001" customHeight="1">
      <c r="B18" s="423" t="s">
        <v>59</v>
      </c>
      <c r="C18" s="424"/>
      <c r="D18" s="428">
        <f>$O$50-$K$50-$I$50</f>
        <v>95587.48</v>
      </c>
      <c r="E18" s="429"/>
      <c r="F18" s="430">
        <f t="shared" ref="F18" si="2">D18*0.3025</f>
        <v>28915.212699999996</v>
      </c>
      <c r="G18" s="431"/>
      <c r="H18" s="432" t="s">
        <v>62</v>
      </c>
      <c r="I18" s="433"/>
      <c r="J18" s="7"/>
      <c r="K18" s="63"/>
      <c r="L18" s="64"/>
      <c r="M18" s="65"/>
      <c r="N18" s="86"/>
      <c r="O18" s="87"/>
      <c r="P18" s="88"/>
      <c r="Q18" s="103"/>
      <c r="R18" s="69"/>
    </row>
    <row r="19" spans="2:18" ht="20.100000000000001" customHeight="1">
      <c r="B19" s="413" t="s">
        <v>60</v>
      </c>
      <c r="C19" s="419"/>
      <c r="D19" s="434">
        <f>D18/$O$50</f>
        <v>0.7224009525454177</v>
      </c>
      <c r="E19" s="435"/>
      <c r="F19" s="422" t="s">
        <v>38</v>
      </c>
      <c r="G19" s="421"/>
      <c r="H19" s="169"/>
      <c r="I19" s="169"/>
      <c r="J19" s="7"/>
      <c r="K19" s="63"/>
      <c r="L19" s="64"/>
      <c r="M19" s="65"/>
      <c r="N19" s="86"/>
      <c r="O19" s="87"/>
      <c r="P19" s="88"/>
      <c r="Q19" s="103"/>
      <c r="R19" s="72"/>
    </row>
    <row r="20" spans="2:18" ht="20.100000000000001" customHeight="1">
      <c r="B20" s="413" t="s">
        <v>32</v>
      </c>
      <c r="C20" s="419"/>
      <c r="D20" s="420" t="s">
        <v>87</v>
      </c>
      <c r="E20" s="421"/>
      <c r="F20" s="422" t="s">
        <v>77</v>
      </c>
      <c r="G20" s="421"/>
      <c r="H20" s="169"/>
      <c r="I20" s="169"/>
      <c r="J20" s="7"/>
      <c r="K20" s="63"/>
      <c r="L20" s="64"/>
      <c r="M20" s="65"/>
      <c r="N20" s="86"/>
      <c r="O20" s="87"/>
      <c r="P20" s="88"/>
      <c r="Q20" s="103"/>
      <c r="R20" s="72"/>
    </row>
    <row r="21" spans="2:18" ht="20.100000000000001" customHeight="1">
      <c r="B21" s="423" t="s">
        <v>23</v>
      </c>
      <c r="C21" s="424"/>
      <c r="D21" s="420">
        <v>8.5000000000000006E-2</v>
      </c>
      <c r="E21" s="425"/>
      <c r="F21" s="426" t="s">
        <v>34</v>
      </c>
      <c r="G21" s="427"/>
      <c r="H21" s="411"/>
      <c r="I21" s="412"/>
      <c r="J21" s="7"/>
      <c r="K21" s="63"/>
      <c r="L21" s="64"/>
      <c r="M21" s="65"/>
      <c r="N21" s="86"/>
      <c r="O21" s="87"/>
      <c r="P21" s="88"/>
      <c r="Q21" s="103"/>
      <c r="R21" s="72"/>
    </row>
    <row r="22" spans="2:18" ht="20.100000000000001" customHeight="1">
      <c r="B22" s="413" t="s">
        <v>63</v>
      </c>
      <c r="C22" s="455"/>
      <c r="D22" s="449">
        <f>(O50-I50-K50)</f>
        <v>95587.48</v>
      </c>
      <c r="E22" s="450"/>
      <c r="F22" s="450"/>
      <c r="G22" s="460" t="s">
        <v>103</v>
      </c>
      <c r="H22" s="158" t="s">
        <v>105</v>
      </c>
      <c r="I22" s="157">
        <f>Q50</f>
        <v>326</v>
      </c>
      <c r="J22" s="7"/>
      <c r="K22" s="63"/>
      <c r="L22" s="64"/>
      <c r="M22" s="65"/>
      <c r="N22" s="66"/>
      <c r="O22" s="67"/>
      <c r="P22" s="68"/>
      <c r="Q22" s="104"/>
      <c r="R22" s="72"/>
    </row>
    <row r="23" spans="2:18" ht="20.100000000000001" customHeight="1">
      <c r="B23" s="456"/>
      <c r="C23" s="457"/>
      <c r="D23" s="451">
        <f>D22/400</f>
        <v>238.96869999999998</v>
      </c>
      <c r="E23" s="452"/>
      <c r="F23" s="453"/>
      <c r="G23" s="461"/>
      <c r="H23" s="158" t="s">
        <v>106</v>
      </c>
      <c r="I23" s="157">
        <f>R50</f>
        <v>228</v>
      </c>
      <c r="J23" s="7"/>
      <c r="K23" s="63"/>
      <c r="L23" s="64"/>
      <c r="M23" s="65"/>
      <c r="N23" s="66"/>
      <c r="O23" s="67"/>
      <c r="P23" s="68"/>
      <c r="Q23" s="104"/>
      <c r="R23" s="72"/>
    </row>
    <row r="24" spans="2:18" ht="20.100000000000001" customHeight="1">
      <c r="B24" s="458"/>
      <c r="C24" s="459"/>
      <c r="D24" s="160"/>
      <c r="E24" s="161"/>
      <c r="F24" s="162"/>
      <c r="G24" s="462"/>
      <c r="H24" s="163" t="s">
        <v>104</v>
      </c>
      <c r="I24" s="164" t="s">
        <v>110</v>
      </c>
      <c r="J24" s="7"/>
      <c r="K24" s="63"/>
      <c r="L24" s="64"/>
      <c r="M24" s="65"/>
      <c r="N24" s="66"/>
      <c r="O24" s="67"/>
      <c r="P24" s="68"/>
      <c r="Q24" s="104"/>
      <c r="R24" s="72"/>
    </row>
    <row r="25" spans="2:18" ht="20.100000000000001" hidden="1" customHeight="1">
      <c r="B25" s="463"/>
      <c r="C25" s="464"/>
      <c r="D25" s="171"/>
      <c r="E25" s="167"/>
      <c r="F25" s="167"/>
      <c r="G25" s="167"/>
      <c r="H25" s="167"/>
      <c r="I25" s="167"/>
      <c r="J25" s="7"/>
      <c r="K25" s="63"/>
      <c r="L25" s="64"/>
      <c r="M25" s="65"/>
      <c r="N25" s="66"/>
      <c r="O25" s="67"/>
      <c r="P25" s="68"/>
      <c r="Q25" s="104"/>
      <c r="R25" s="72"/>
    </row>
    <row r="26" spans="2:18" ht="20.100000000000001" hidden="1" customHeight="1">
      <c r="B26" s="165"/>
      <c r="C26" s="166"/>
      <c r="D26" s="155"/>
      <c r="E26" s="156"/>
      <c r="F26" s="156"/>
      <c r="G26" s="156"/>
      <c r="H26" s="156"/>
      <c r="I26" s="156"/>
      <c r="J26" s="7"/>
      <c r="K26" s="63"/>
      <c r="L26" s="64"/>
      <c r="M26" s="65"/>
      <c r="N26" s="66"/>
      <c r="O26" s="67"/>
      <c r="P26" s="68"/>
      <c r="Q26" s="104"/>
      <c r="R26" s="72"/>
    </row>
    <row r="27" spans="2:18" ht="20.100000000000001" hidden="1" customHeight="1">
      <c r="B27" s="165"/>
      <c r="C27" s="166"/>
      <c r="D27" s="155"/>
      <c r="E27" s="156"/>
      <c r="F27" s="156"/>
      <c r="G27" s="156"/>
      <c r="H27" s="156"/>
      <c r="I27" s="156"/>
      <c r="J27" s="7"/>
      <c r="K27" s="63"/>
      <c r="L27" s="64"/>
      <c r="M27" s="65"/>
      <c r="N27" s="66"/>
      <c r="O27" s="67"/>
      <c r="P27" s="68"/>
      <c r="Q27" s="104"/>
      <c r="R27" s="72"/>
    </row>
    <row r="28" spans="2:18" ht="20.100000000000001" hidden="1" customHeight="1">
      <c r="B28" s="165"/>
      <c r="C28" s="166"/>
      <c r="D28" s="155"/>
      <c r="E28" s="156"/>
      <c r="F28" s="156"/>
      <c r="G28" s="156"/>
      <c r="H28" s="156"/>
      <c r="I28" s="156"/>
      <c r="J28" s="7"/>
      <c r="K28" s="63"/>
      <c r="L28" s="64"/>
      <c r="M28" s="65"/>
      <c r="N28" s="66"/>
      <c r="O28" s="67"/>
      <c r="P28" s="68"/>
      <c r="Q28" s="104"/>
      <c r="R28" s="72"/>
    </row>
    <row r="29" spans="2:18" ht="20.100000000000001" hidden="1" customHeight="1">
      <c r="B29" s="165"/>
      <c r="C29" s="166"/>
      <c r="D29" s="155"/>
      <c r="E29" s="156"/>
      <c r="F29" s="156"/>
      <c r="G29" s="156"/>
      <c r="H29" s="156"/>
      <c r="I29" s="156"/>
      <c r="J29" s="7"/>
      <c r="K29" s="63"/>
      <c r="L29" s="64"/>
      <c r="M29" s="65"/>
      <c r="N29" s="66"/>
      <c r="O29" s="67"/>
      <c r="P29" s="68"/>
      <c r="Q29" s="104"/>
      <c r="R29" s="72"/>
    </row>
    <row r="30" spans="2:18" ht="20.100000000000001" customHeight="1" thickBot="1">
      <c r="B30" s="468" t="s">
        <v>107</v>
      </c>
      <c r="C30" s="469"/>
      <c r="D30" s="472" t="s">
        <v>108</v>
      </c>
      <c r="E30" s="473"/>
      <c r="F30" s="473"/>
      <c r="G30" s="474">
        <f>D5*0.1</f>
        <v>2979.9900000000002</v>
      </c>
      <c r="H30" s="474"/>
      <c r="I30" s="474"/>
      <c r="J30" s="7"/>
      <c r="K30" s="63"/>
      <c r="L30" s="64"/>
      <c r="M30" s="65"/>
      <c r="N30" s="66"/>
      <c r="O30" s="67"/>
      <c r="P30" s="68"/>
      <c r="Q30" s="104"/>
      <c r="R30" s="72"/>
    </row>
    <row r="31" spans="2:18" ht="20.100000000000001" customHeight="1" thickBot="1">
      <c r="B31" s="470"/>
      <c r="C31" s="471"/>
      <c r="D31" s="465" t="s">
        <v>109</v>
      </c>
      <c r="E31" s="466"/>
      <c r="F31" s="466"/>
      <c r="G31" s="168">
        <v>3283.0675999999999</v>
      </c>
      <c r="H31" s="467">
        <f>G31/D5</f>
        <v>0.1101704233906825</v>
      </c>
      <c r="I31" s="467"/>
      <c r="J31" s="7"/>
      <c r="K31" s="403" t="s">
        <v>19</v>
      </c>
      <c r="L31" s="404"/>
      <c r="M31" s="405"/>
      <c r="N31" s="89">
        <f>SUM(N4:N30)</f>
        <v>0</v>
      </c>
      <c r="O31" s="90">
        <f>N31*0.3025</f>
        <v>0</v>
      </c>
      <c r="P31" s="91">
        <f>SUM(P4:P30)</f>
        <v>0</v>
      </c>
      <c r="Q31" s="92">
        <f>P31*0.3025</f>
        <v>0</v>
      </c>
      <c r="R31" s="59"/>
    </row>
    <row r="32" spans="2:18" ht="6" customHeight="1" thickTop="1">
      <c r="B32" s="5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2:21" ht="24.95" customHeight="1" thickBot="1">
      <c r="B33" s="75" t="s">
        <v>22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101"/>
      <c r="R33" s="3"/>
    </row>
    <row r="34" spans="2:21" ht="24.95" customHeight="1">
      <c r="B34" s="407" t="s">
        <v>40</v>
      </c>
      <c r="C34" s="390" t="s">
        <v>55</v>
      </c>
      <c r="D34" s="409"/>
      <c r="E34" s="410" t="s">
        <v>56</v>
      </c>
      <c r="F34" s="409"/>
      <c r="G34" s="410" t="s">
        <v>88</v>
      </c>
      <c r="H34" s="409"/>
      <c r="I34" s="388" t="s">
        <v>54</v>
      </c>
      <c r="J34" s="406"/>
      <c r="K34" s="388" t="s">
        <v>33</v>
      </c>
      <c r="L34" s="406"/>
      <c r="M34" s="388" t="s">
        <v>50</v>
      </c>
      <c r="N34" s="389"/>
      <c r="O34" s="454" t="s">
        <v>6</v>
      </c>
      <c r="P34" s="440"/>
      <c r="Q34" s="390" t="s">
        <v>49</v>
      </c>
      <c r="R34" s="391"/>
      <c r="T34" s="50" t="s">
        <v>49</v>
      </c>
    </row>
    <row r="35" spans="2:21" ht="24.95" customHeight="1" thickBot="1">
      <c r="B35" s="408"/>
      <c r="C35" s="21" t="s">
        <v>4</v>
      </c>
      <c r="D35" s="22" t="s">
        <v>5</v>
      </c>
      <c r="E35" s="23" t="s">
        <v>4</v>
      </c>
      <c r="F35" s="22" t="s">
        <v>5</v>
      </c>
      <c r="G35" s="23" t="s">
        <v>4</v>
      </c>
      <c r="H35" s="22" t="s">
        <v>5</v>
      </c>
      <c r="I35" s="22" t="s">
        <v>4</v>
      </c>
      <c r="J35" s="22" t="s">
        <v>5</v>
      </c>
      <c r="K35" s="22" t="s">
        <v>4</v>
      </c>
      <c r="L35" s="22" t="s">
        <v>5</v>
      </c>
      <c r="M35" s="22" t="s">
        <v>4</v>
      </c>
      <c r="N35" s="24" t="s">
        <v>5</v>
      </c>
      <c r="O35" s="141" t="s">
        <v>4</v>
      </c>
      <c r="P35" s="24" t="s">
        <v>5</v>
      </c>
      <c r="Q35" s="141" t="s">
        <v>97</v>
      </c>
      <c r="R35" s="142" t="s">
        <v>98</v>
      </c>
      <c r="T35" s="50" t="s">
        <v>51</v>
      </c>
      <c r="U35" s="50" t="s">
        <v>52</v>
      </c>
    </row>
    <row r="36" spans="2:21" ht="20.100000000000001" hidden="1" customHeight="1">
      <c r="B36" s="174" t="s">
        <v>42</v>
      </c>
      <c r="C36" s="117">
        <v>0</v>
      </c>
      <c r="D36" s="113">
        <f>C36*0.3025</f>
        <v>0</v>
      </c>
      <c r="E36" s="114">
        <v>0</v>
      </c>
      <c r="F36" s="113">
        <f>E36*0.3025</f>
        <v>0</v>
      </c>
      <c r="G36" s="114">
        <v>0</v>
      </c>
      <c r="H36" s="113">
        <f>G36*0.3025</f>
        <v>0</v>
      </c>
      <c r="I36" s="115">
        <v>0</v>
      </c>
      <c r="J36" s="115">
        <f>I36*0.3025</f>
        <v>0</v>
      </c>
      <c r="K36" s="115">
        <v>0</v>
      </c>
      <c r="L36" s="113">
        <f>K36*0.3025</f>
        <v>0</v>
      </c>
      <c r="M36" s="115">
        <v>0</v>
      </c>
      <c r="N36" s="77">
        <f>M36*0.3025</f>
        <v>0</v>
      </c>
      <c r="O36" s="13">
        <f>C36+E36+G36+I36+K36+M36</f>
        <v>0</v>
      </c>
      <c r="P36" s="14">
        <f t="shared" ref="P36:P50" si="3">O36*0.3025</f>
        <v>0</v>
      </c>
      <c r="Q36" s="112"/>
      <c r="R36" s="143"/>
    </row>
    <row r="37" spans="2:21" ht="24.95" customHeight="1">
      <c r="B37" s="139" t="s">
        <v>95</v>
      </c>
      <c r="C37" s="97">
        <v>0</v>
      </c>
      <c r="D37" s="96">
        <f>C37*0.3025</f>
        <v>0</v>
      </c>
      <c r="E37" s="15">
        <f>15290.17-18</f>
        <v>15272.17</v>
      </c>
      <c r="F37" s="16">
        <f t="shared" ref="F37:F38" si="4">E37*0.3025</f>
        <v>4619.8314250000003</v>
      </c>
      <c r="G37" s="15">
        <f>234.66+492.48-18</f>
        <v>709.14</v>
      </c>
      <c r="H37" s="16">
        <f t="shared" ref="H37:H38" si="5">G37*0.3025</f>
        <v>214.51485</v>
      </c>
      <c r="I37" s="16">
        <v>1719.38</v>
      </c>
      <c r="J37" s="16">
        <f t="shared" ref="J37:J38" si="6">I37*0.3025</f>
        <v>520.11244999999997</v>
      </c>
      <c r="K37" s="16">
        <v>2917.49</v>
      </c>
      <c r="L37" s="16">
        <f t="shared" ref="L37:L38" si="7">K37*0.3025</f>
        <v>882.54072499999995</v>
      </c>
      <c r="M37" s="16">
        <v>1584.36</v>
      </c>
      <c r="N37" s="118">
        <f>M37*0.3025</f>
        <v>479.26889999999997</v>
      </c>
      <c r="O37" s="13">
        <f>C37+E37+G37+I37+K37+M37</f>
        <v>22202.54</v>
      </c>
      <c r="P37" s="14">
        <f t="shared" si="3"/>
        <v>6716.2683500000003</v>
      </c>
      <c r="Q37" s="144" t="s">
        <v>99</v>
      </c>
      <c r="R37" s="145">
        <v>39</v>
      </c>
    </row>
    <row r="38" spans="2:21" ht="24.95" customHeight="1" thickBot="1">
      <c r="B38" s="173" t="s">
        <v>94</v>
      </c>
      <c r="C38" s="119">
        <v>0</v>
      </c>
      <c r="D38" s="120">
        <f>C38*0.3025</f>
        <v>0</v>
      </c>
      <c r="E38" s="121">
        <v>0</v>
      </c>
      <c r="F38" s="122">
        <f t="shared" si="4"/>
        <v>0</v>
      </c>
      <c r="G38" s="121">
        <f>4195.57+1319.57-30</f>
        <v>5485.1399999999994</v>
      </c>
      <c r="H38" s="122">
        <f t="shared" si="5"/>
        <v>1659.2548499999998</v>
      </c>
      <c r="I38" s="122">
        <v>0</v>
      </c>
      <c r="J38" s="122">
        <f t="shared" si="6"/>
        <v>0</v>
      </c>
      <c r="K38" s="122">
        <v>0</v>
      </c>
      <c r="L38" s="122">
        <f t="shared" si="7"/>
        <v>0</v>
      </c>
      <c r="M38" s="122">
        <v>0</v>
      </c>
      <c r="N38" s="123">
        <f>M38*0.3025</f>
        <v>0</v>
      </c>
      <c r="O38" s="40">
        <f>C38+E38+G38+I38+K38+M38</f>
        <v>5485.1399999999994</v>
      </c>
      <c r="P38" s="41">
        <f t="shared" si="3"/>
        <v>1659.2548499999998</v>
      </c>
      <c r="Q38" s="146" t="s">
        <v>99</v>
      </c>
      <c r="R38" s="147" t="s">
        <v>99</v>
      </c>
      <c r="T38" s="50">
        <v>25</v>
      </c>
      <c r="U38" s="50">
        <v>57</v>
      </c>
    </row>
    <row r="39" spans="2:21" ht="24.95" customHeight="1" thickBot="1">
      <c r="B39" s="27" t="s">
        <v>24</v>
      </c>
      <c r="C39" s="42">
        <f>SUM(C36:C38)</f>
        <v>0</v>
      </c>
      <c r="D39" s="29">
        <f>C39*0.3025</f>
        <v>0</v>
      </c>
      <c r="E39" s="43">
        <f>SUM(E36:E38)</f>
        <v>15272.17</v>
      </c>
      <c r="F39" s="30">
        <f>E39*0.3025</f>
        <v>4619.8314250000003</v>
      </c>
      <c r="G39" s="43">
        <f>SUM(G36:G38)</f>
        <v>6194.28</v>
      </c>
      <c r="H39" s="30">
        <f>G39*0.3025</f>
        <v>1873.7696999999998</v>
      </c>
      <c r="I39" s="30">
        <f>SUM(I36:I38)</f>
        <v>1719.38</v>
      </c>
      <c r="J39" s="30">
        <f>I39*0.3025</f>
        <v>520.11244999999997</v>
      </c>
      <c r="K39" s="30">
        <f>SUM(K36:K38)</f>
        <v>2917.49</v>
      </c>
      <c r="L39" s="30">
        <f>K39*0.3025</f>
        <v>882.54072499999995</v>
      </c>
      <c r="M39" s="30">
        <f>SUM(M36:M38)</f>
        <v>1584.36</v>
      </c>
      <c r="N39" s="31">
        <f>M39*0.3025</f>
        <v>479.26889999999997</v>
      </c>
      <c r="O39" s="28">
        <f>SUM(O36:O38)</f>
        <v>27687.68</v>
      </c>
      <c r="P39" s="32">
        <f t="shared" si="3"/>
        <v>8375.5231999999996</v>
      </c>
      <c r="Q39" s="148">
        <f>SUM(Q37:Q38)</f>
        <v>0</v>
      </c>
      <c r="R39" s="149">
        <f>SUM(R37:R38)</f>
        <v>39</v>
      </c>
    </row>
    <row r="40" spans="2:21" ht="24.95" customHeight="1">
      <c r="B40" s="174" t="s">
        <v>89</v>
      </c>
      <c r="C40" s="112">
        <v>0</v>
      </c>
      <c r="D40" s="113">
        <f t="shared" ref="D40:D50" si="8">C40*0.3025</f>
        <v>0</v>
      </c>
      <c r="E40" s="114">
        <f>13452.21-18</f>
        <v>13434.21</v>
      </c>
      <c r="F40" s="115">
        <f t="shared" ref="F40:F48" si="9">E40*0.3025</f>
        <v>4063.8485249999994</v>
      </c>
      <c r="G40" s="114">
        <f>357.09+825.93-18</f>
        <v>1165.02</v>
      </c>
      <c r="H40" s="115">
        <f t="shared" ref="H40:H48" si="10">G40*0.3025</f>
        <v>352.41854999999998</v>
      </c>
      <c r="I40" s="115">
        <v>1653.14</v>
      </c>
      <c r="J40" s="115">
        <f t="shared" ref="J40:J50" si="11">I40*0.3025</f>
        <v>500.07485000000003</v>
      </c>
      <c r="K40" s="115">
        <v>4765.82</v>
      </c>
      <c r="L40" s="115">
        <f t="shared" ref="L40:L50" si="12">K40*0.3025</f>
        <v>1441.6605499999998</v>
      </c>
      <c r="M40" s="38">
        <v>0</v>
      </c>
      <c r="N40" s="39">
        <f t="shared" ref="N40:N50" si="13">M40*0.3025</f>
        <v>0</v>
      </c>
      <c r="O40" s="13">
        <f>C40+E40+G40+I40+K40+M40</f>
        <v>21018.19</v>
      </c>
      <c r="P40" s="14">
        <f t="shared" si="3"/>
        <v>6358.0024749999993</v>
      </c>
      <c r="Q40" s="150">
        <v>29</v>
      </c>
      <c r="R40" s="151">
        <v>37</v>
      </c>
      <c r="T40" s="50">
        <v>25</v>
      </c>
      <c r="U40" s="50">
        <v>57</v>
      </c>
    </row>
    <row r="41" spans="2:21" ht="24.95" customHeight="1">
      <c r="B41" s="34" t="s">
        <v>90</v>
      </c>
      <c r="C41" s="116">
        <v>0</v>
      </c>
      <c r="D41" s="96">
        <f t="shared" si="8"/>
        <v>0</v>
      </c>
      <c r="E41" s="15">
        <f>13452.21-18</f>
        <v>13434.21</v>
      </c>
      <c r="F41" s="16">
        <f t="shared" si="9"/>
        <v>4063.8485249999994</v>
      </c>
      <c r="G41" s="15">
        <f>242.22+825.93-18</f>
        <v>1050.1499999999999</v>
      </c>
      <c r="H41" s="16">
        <f t="shared" si="10"/>
        <v>317.67037499999992</v>
      </c>
      <c r="I41" s="16">
        <v>1653.14</v>
      </c>
      <c r="J41" s="16">
        <f t="shared" si="11"/>
        <v>500.07485000000003</v>
      </c>
      <c r="K41" s="16">
        <v>4765.82</v>
      </c>
      <c r="L41" s="16">
        <f t="shared" si="12"/>
        <v>1441.6605499999998</v>
      </c>
      <c r="M41" s="16">
        <v>0</v>
      </c>
      <c r="N41" s="17">
        <f t="shared" si="13"/>
        <v>0</v>
      </c>
      <c r="O41" s="13">
        <f>C41+E41+G41+I41+K41+M41</f>
        <v>20903.32</v>
      </c>
      <c r="P41" s="18">
        <f t="shared" si="3"/>
        <v>6323.2542999999996</v>
      </c>
      <c r="Q41" s="144" t="s">
        <v>99</v>
      </c>
      <c r="R41" s="145">
        <v>38</v>
      </c>
      <c r="T41" s="50">
        <v>6</v>
      </c>
      <c r="U41" s="50">
        <f>U40</f>
        <v>57</v>
      </c>
    </row>
    <row r="42" spans="2:21" ht="24.95" customHeight="1">
      <c r="B42" s="140" t="s">
        <v>91</v>
      </c>
      <c r="C42" s="116">
        <f>13452.21-18</f>
        <v>13434.21</v>
      </c>
      <c r="D42" s="96">
        <f t="shared" si="8"/>
        <v>4063.8485249999994</v>
      </c>
      <c r="E42" s="15">
        <v>0</v>
      </c>
      <c r="F42" s="16">
        <f t="shared" si="9"/>
        <v>0</v>
      </c>
      <c r="G42" s="15">
        <f>242.22+825.93-18</f>
        <v>1050.1499999999999</v>
      </c>
      <c r="H42" s="16">
        <f t="shared" si="10"/>
        <v>317.67037499999992</v>
      </c>
      <c r="I42" s="16">
        <v>1653.14</v>
      </c>
      <c r="J42" s="16">
        <f t="shared" si="11"/>
        <v>500.07485000000003</v>
      </c>
      <c r="K42" s="16">
        <v>4765.82</v>
      </c>
      <c r="L42" s="16">
        <f t="shared" si="12"/>
        <v>1441.6605499999998</v>
      </c>
      <c r="M42" s="16">
        <v>0</v>
      </c>
      <c r="N42" s="17">
        <f t="shared" si="13"/>
        <v>0</v>
      </c>
      <c r="O42" s="13">
        <f t="shared" ref="O42:O48" si="14">C42+E42+G42+I42+K42+M42</f>
        <v>20903.32</v>
      </c>
      <c r="P42" s="18">
        <f t="shared" si="3"/>
        <v>6323.2542999999996</v>
      </c>
      <c r="Q42" s="144" t="s">
        <v>99</v>
      </c>
      <c r="R42" s="145">
        <v>38</v>
      </c>
      <c r="T42" s="50">
        <f t="shared" ref="T42:U46" si="15">T41</f>
        <v>6</v>
      </c>
      <c r="U42" s="50">
        <f t="shared" si="15"/>
        <v>57</v>
      </c>
    </row>
    <row r="43" spans="2:21" ht="24.95" customHeight="1">
      <c r="B43" s="140" t="s">
        <v>92</v>
      </c>
      <c r="C43" s="116">
        <f>13452.21-18</f>
        <v>13434.21</v>
      </c>
      <c r="D43" s="96">
        <f t="shared" si="8"/>
        <v>4063.8485249999994</v>
      </c>
      <c r="E43" s="15">
        <v>0</v>
      </c>
      <c r="F43" s="16">
        <f t="shared" si="9"/>
        <v>0</v>
      </c>
      <c r="G43" s="15">
        <f>242.22+825.93-18</f>
        <v>1050.1499999999999</v>
      </c>
      <c r="H43" s="16">
        <f t="shared" si="10"/>
        <v>317.67037499999992</v>
      </c>
      <c r="I43" s="16">
        <v>1653.14</v>
      </c>
      <c r="J43" s="16">
        <f t="shared" si="11"/>
        <v>500.07485000000003</v>
      </c>
      <c r="K43" s="16">
        <v>4765.82</v>
      </c>
      <c r="L43" s="16">
        <f t="shared" si="12"/>
        <v>1441.6605499999998</v>
      </c>
      <c r="M43" s="16">
        <v>0</v>
      </c>
      <c r="N43" s="17">
        <f t="shared" si="13"/>
        <v>0</v>
      </c>
      <c r="O43" s="13">
        <f t="shared" si="14"/>
        <v>20903.32</v>
      </c>
      <c r="P43" s="18">
        <f t="shared" si="3"/>
        <v>6323.2542999999996</v>
      </c>
      <c r="Q43" s="144" t="s">
        <v>99</v>
      </c>
      <c r="R43" s="145">
        <v>38</v>
      </c>
      <c r="T43" s="50">
        <f t="shared" si="15"/>
        <v>6</v>
      </c>
      <c r="U43" s="50">
        <f t="shared" si="15"/>
        <v>57</v>
      </c>
    </row>
    <row r="44" spans="2:21" ht="24.95" customHeight="1">
      <c r="B44" s="140" t="s">
        <v>93</v>
      </c>
      <c r="C44" s="116">
        <f>13452.21-18</f>
        <v>13434.21</v>
      </c>
      <c r="D44" s="96">
        <f t="shared" si="8"/>
        <v>4063.8485249999994</v>
      </c>
      <c r="E44" s="15">
        <v>0</v>
      </c>
      <c r="F44" s="16">
        <f t="shared" si="9"/>
        <v>0</v>
      </c>
      <c r="G44" s="15">
        <f>242.22+825.93-18</f>
        <v>1050.1499999999999</v>
      </c>
      <c r="H44" s="16">
        <f t="shared" si="10"/>
        <v>317.67037499999992</v>
      </c>
      <c r="I44" s="16">
        <v>1653.14</v>
      </c>
      <c r="J44" s="16">
        <f t="shared" si="11"/>
        <v>500.07485000000003</v>
      </c>
      <c r="K44" s="16">
        <v>4765.82</v>
      </c>
      <c r="L44" s="16">
        <f t="shared" si="12"/>
        <v>1441.6605499999998</v>
      </c>
      <c r="M44" s="16">
        <v>0</v>
      </c>
      <c r="N44" s="17">
        <f t="shared" si="13"/>
        <v>0</v>
      </c>
      <c r="O44" s="13">
        <f t="shared" si="14"/>
        <v>20903.32</v>
      </c>
      <c r="P44" s="18">
        <f t="shared" si="3"/>
        <v>6323.2542999999996</v>
      </c>
      <c r="Q44" s="144" t="s">
        <v>99</v>
      </c>
      <c r="R44" s="145">
        <v>38</v>
      </c>
      <c r="T44" s="50">
        <f t="shared" si="15"/>
        <v>6</v>
      </c>
      <c r="U44" s="50">
        <f t="shared" si="15"/>
        <v>57</v>
      </c>
    </row>
    <row r="45" spans="2:21" ht="24.95" customHeight="1" thickBot="1">
      <c r="B45" s="172" t="s">
        <v>96</v>
      </c>
      <c r="C45" s="97">
        <v>0</v>
      </c>
      <c r="D45" s="96">
        <f t="shared" si="8"/>
        <v>0</v>
      </c>
      <c r="E45" s="15">
        <v>0</v>
      </c>
      <c r="F45" s="16">
        <f t="shared" si="9"/>
        <v>0</v>
      </c>
      <c r="G45" s="15">
        <v>0</v>
      </c>
      <c r="H45" s="16">
        <f t="shared" si="10"/>
        <v>0</v>
      </c>
      <c r="I45" s="16">
        <v>0</v>
      </c>
      <c r="J45" s="16">
        <f t="shared" si="11"/>
        <v>0</v>
      </c>
      <c r="K45" s="16">
        <v>0</v>
      </c>
      <c r="L45" s="16">
        <f t="shared" si="12"/>
        <v>0</v>
      </c>
      <c r="M45" s="16">
        <v>0</v>
      </c>
      <c r="N45" s="17">
        <f t="shared" si="13"/>
        <v>0</v>
      </c>
      <c r="O45" s="13">
        <f t="shared" si="14"/>
        <v>0</v>
      </c>
      <c r="P45" s="18">
        <f t="shared" si="3"/>
        <v>0</v>
      </c>
      <c r="Q45" s="144">
        <v>297</v>
      </c>
      <c r="R45" s="145" t="s">
        <v>99</v>
      </c>
      <c r="T45" s="50">
        <f t="shared" si="15"/>
        <v>6</v>
      </c>
      <c r="U45" s="50">
        <f t="shared" si="15"/>
        <v>57</v>
      </c>
    </row>
    <row r="46" spans="2:21" ht="20.100000000000001" hidden="1" customHeight="1">
      <c r="B46" s="172" t="s">
        <v>46</v>
      </c>
      <c r="C46" s="97">
        <v>0</v>
      </c>
      <c r="D46" s="96">
        <f t="shared" si="8"/>
        <v>0</v>
      </c>
      <c r="E46" s="15">
        <v>0</v>
      </c>
      <c r="F46" s="16">
        <f t="shared" si="9"/>
        <v>0</v>
      </c>
      <c r="G46" s="15">
        <v>0</v>
      </c>
      <c r="H46" s="16">
        <f t="shared" si="10"/>
        <v>0</v>
      </c>
      <c r="I46" s="16">
        <v>0</v>
      </c>
      <c r="J46" s="16">
        <f t="shared" si="11"/>
        <v>0</v>
      </c>
      <c r="K46" s="16">
        <v>0</v>
      </c>
      <c r="L46" s="16">
        <f t="shared" si="12"/>
        <v>0</v>
      </c>
      <c r="M46" s="16">
        <v>0</v>
      </c>
      <c r="N46" s="17">
        <f t="shared" si="13"/>
        <v>0</v>
      </c>
      <c r="O46" s="13">
        <f t="shared" si="14"/>
        <v>0</v>
      </c>
      <c r="P46" s="18">
        <f t="shared" si="3"/>
        <v>0</v>
      </c>
      <c r="Q46" s="144"/>
      <c r="R46" s="145"/>
      <c r="T46" s="50">
        <f t="shared" si="15"/>
        <v>6</v>
      </c>
      <c r="U46" s="50">
        <f t="shared" si="15"/>
        <v>57</v>
      </c>
    </row>
    <row r="47" spans="2:21" ht="20.100000000000001" hidden="1" customHeight="1">
      <c r="B47" s="172" t="s">
        <v>47</v>
      </c>
      <c r="C47" s="15">
        <v>0</v>
      </c>
      <c r="D47" s="11">
        <f t="shared" si="8"/>
        <v>0</v>
      </c>
      <c r="E47" s="12">
        <v>0</v>
      </c>
      <c r="F47" s="12">
        <f t="shared" si="9"/>
        <v>0</v>
      </c>
      <c r="G47" s="15">
        <v>0</v>
      </c>
      <c r="H47" s="16">
        <f t="shared" si="10"/>
        <v>0</v>
      </c>
      <c r="I47" s="16">
        <v>0</v>
      </c>
      <c r="J47" s="16">
        <f t="shared" si="11"/>
        <v>0</v>
      </c>
      <c r="K47" s="16">
        <v>0</v>
      </c>
      <c r="L47" s="16">
        <f t="shared" si="12"/>
        <v>0</v>
      </c>
      <c r="M47" s="16">
        <v>0</v>
      </c>
      <c r="N47" s="17">
        <f t="shared" si="13"/>
        <v>0</v>
      </c>
      <c r="O47" s="13">
        <f t="shared" si="14"/>
        <v>0</v>
      </c>
      <c r="P47" s="18">
        <f t="shared" si="3"/>
        <v>0</v>
      </c>
      <c r="Q47" s="144"/>
      <c r="R47" s="145"/>
      <c r="T47" s="50">
        <v>378</v>
      </c>
      <c r="U47" s="50"/>
    </row>
    <row r="48" spans="2:21" ht="20.100000000000001" hidden="1" customHeight="1" thickBot="1">
      <c r="B48" s="172" t="s">
        <v>71</v>
      </c>
      <c r="C48" s="15">
        <v>0</v>
      </c>
      <c r="D48" s="11">
        <f t="shared" si="8"/>
        <v>0</v>
      </c>
      <c r="E48" s="12">
        <v>0</v>
      </c>
      <c r="F48" s="12">
        <f t="shared" si="9"/>
        <v>0</v>
      </c>
      <c r="G48" s="15">
        <v>0</v>
      </c>
      <c r="H48" s="16">
        <f t="shared" si="10"/>
        <v>0</v>
      </c>
      <c r="I48" s="16">
        <v>0</v>
      </c>
      <c r="J48" s="16">
        <f t="shared" si="11"/>
        <v>0</v>
      </c>
      <c r="K48" s="16">
        <v>0</v>
      </c>
      <c r="L48" s="16">
        <f t="shared" si="12"/>
        <v>0</v>
      </c>
      <c r="M48" s="16">
        <v>0</v>
      </c>
      <c r="N48" s="17">
        <f t="shared" si="13"/>
        <v>0</v>
      </c>
      <c r="O48" s="13">
        <f t="shared" si="14"/>
        <v>0</v>
      </c>
      <c r="P48" s="18">
        <f t="shared" si="3"/>
        <v>0</v>
      </c>
      <c r="Q48" s="144"/>
      <c r="R48" s="152"/>
      <c r="T48" s="50">
        <f>SUM(T38:T47)</f>
        <v>464</v>
      </c>
      <c r="U48" s="50">
        <f>SUM(U38:U47)</f>
        <v>456</v>
      </c>
    </row>
    <row r="49" spans="2:21" ht="24.95" customHeight="1" thickBot="1">
      <c r="B49" s="27" t="s">
        <v>25</v>
      </c>
      <c r="C49" s="42">
        <f>SUM(C40:C48)</f>
        <v>40302.629999999997</v>
      </c>
      <c r="D49" s="29">
        <f>C49*0.3025</f>
        <v>12191.545574999998</v>
      </c>
      <c r="E49" s="43">
        <f>SUM(E40:E48)</f>
        <v>26868.42</v>
      </c>
      <c r="F49" s="30">
        <f>E49*0.3025</f>
        <v>8127.6970499999989</v>
      </c>
      <c r="G49" s="43">
        <f>SUM(G40:G48)</f>
        <v>5365.619999999999</v>
      </c>
      <c r="H49" s="30">
        <f>G49*0.3025</f>
        <v>1623.1000499999996</v>
      </c>
      <c r="I49" s="30">
        <f>SUM(I40:I48)</f>
        <v>8265.7000000000007</v>
      </c>
      <c r="J49" s="30">
        <f>I49*0.3025</f>
        <v>2500.3742500000003</v>
      </c>
      <c r="K49" s="30">
        <f>SUM(K40:K48)</f>
        <v>23829.1</v>
      </c>
      <c r="L49" s="30">
        <f t="shared" si="12"/>
        <v>7208.3027499999989</v>
      </c>
      <c r="M49" s="30">
        <f>SUM(M40:M48)</f>
        <v>0</v>
      </c>
      <c r="N49" s="31">
        <f t="shared" si="13"/>
        <v>0</v>
      </c>
      <c r="O49" s="28">
        <f>C49+E49+G49+I49+K49+M49</f>
        <v>104631.46999999997</v>
      </c>
      <c r="P49" s="32">
        <f t="shared" si="3"/>
        <v>31651.019674999992</v>
      </c>
      <c r="Q49" s="148">
        <f>SUM(Q40:Q45)</f>
        <v>326</v>
      </c>
      <c r="R49" s="149">
        <f>SUM(R40:R45)</f>
        <v>189</v>
      </c>
      <c r="T49" s="50" t="s">
        <v>13</v>
      </c>
      <c r="U49" s="50">
        <f>T48+U48</f>
        <v>920</v>
      </c>
    </row>
    <row r="50" spans="2:21" ht="24.95" customHeight="1" thickBot="1">
      <c r="B50" s="44" t="s">
        <v>13</v>
      </c>
      <c r="C50" s="45">
        <f>C39+C49</f>
        <v>40302.629999999997</v>
      </c>
      <c r="D50" s="46">
        <f t="shared" si="8"/>
        <v>12191.545574999998</v>
      </c>
      <c r="E50" s="47">
        <f>E39+E49</f>
        <v>42140.59</v>
      </c>
      <c r="F50" s="47">
        <f t="shared" ref="F50" si="16">E50*0.3025</f>
        <v>12747.528474999999</v>
      </c>
      <c r="G50" s="47">
        <f>G39+G49</f>
        <v>11559.899999999998</v>
      </c>
      <c r="H50" s="47">
        <f t="shared" ref="H50" si="17">G50*0.3025</f>
        <v>3496.8697499999994</v>
      </c>
      <c r="I50" s="47">
        <f>I39+I49</f>
        <v>9985.0800000000017</v>
      </c>
      <c r="J50" s="47">
        <f t="shared" si="11"/>
        <v>3020.4867000000004</v>
      </c>
      <c r="K50" s="47">
        <f>K39+K49</f>
        <v>26746.589999999997</v>
      </c>
      <c r="L50" s="47">
        <f t="shared" si="12"/>
        <v>8090.8434749999988</v>
      </c>
      <c r="M50" s="47">
        <f>M39+M49</f>
        <v>1584.36</v>
      </c>
      <c r="N50" s="48">
        <f t="shared" si="13"/>
        <v>479.26889999999997</v>
      </c>
      <c r="O50" s="45">
        <f>C50+E50+G50+I50+K50+M50</f>
        <v>132319.15</v>
      </c>
      <c r="P50" s="49">
        <f t="shared" si="3"/>
        <v>40026.542874999999</v>
      </c>
      <c r="Q50" s="153">
        <f>Q39+Q49</f>
        <v>326</v>
      </c>
      <c r="R50" s="154">
        <f>R39+R49</f>
        <v>228</v>
      </c>
      <c r="S50" s="51">
        <f>O39+O49</f>
        <v>132319.14999999997</v>
      </c>
      <c r="T50" s="51"/>
    </row>
    <row r="51" spans="2:21" ht="6" customHeight="1">
      <c r="M51" s="51"/>
      <c r="N51" s="52"/>
      <c r="O51" s="55"/>
      <c r="P51" s="55"/>
    </row>
    <row r="52" spans="2:21" ht="21.95" customHeight="1">
      <c r="B52" s="4" t="s">
        <v>20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111"/>
      <c r="R52" s="5" t="s">
        <v>21</v>
      </c>
      <c r="T52" s="51"/>
    </row>
    <row r="53" spans="2:21">
      <c r="H53" s="8"/>
      <c r="S53" s="93" t="s">
        <v>53</v>
      </c>
      <c r="T53" s="51">
        <f>C50+E50+G50+M50</f>
        <v>95587.48</v>
      </c>
      <c r="U53" s="8">
        <f>T53/300</f>
        <v>318.62493333333333</v>
      </c>
    </row>
    <row r="54" spans="2:21">
      <c r="U54" s="94">
        <f>U49/U53</f>
        <v>2.8874074303454802</v>
      </c>
    </row>
    <row r="56" spans="2:21">
      <c r="E56">
        <f>D5*0.008</f>
        <v>238.39920000000001</v>
      </c>
      <c r="F56">
        <f>E56/7</f>
        <v>34.057028571428575</v>
      </c>
    </row>
    <row r="57" spans="2:21">
      <c r="E57">
        <f>121*8</f>
        <v>968</v>
      </c>
    </row>
    <row r="58" spans="2:21">
      <c r="E58">
        <f>E57/8</f>
        <v>121</v>
      </c>
    </row>
    <row r="59" spans="2:21">
      <c r="E59">
        <f>E58/12</f>
        <v>10.083333333333334</v>
      </c>
    </row>
  </sheetData>
  <mergeCells count="73">
    <mergeCell ref="B3:C3"/>
    <mergeCell ref="B4:C4"/>
    <mergeCell ref="D4:I4"/>
    <mergeCell ref="B5:B8"/>
    <mergeCell ref="D5:E5"/>
    <mergeCell ref="F5:G5"/>
    <mergeCell ref="D6:E6"/>
    <mergeCell ref="F6:G6"/>
    <mergeCell ref="D7:E7"/>
    <mergeCell ref="F7:G7"/>
    <mergeCell ref="D8:E8"/>
    <mergeCell ref="F8:G8"/>
    <mergeCell ref="B9:B11"/>
    <mergeCell ref="D9:E9"/>
    <mergeCell ref="F9:G9"/>
    <mergeCell ref="D10:E10"/>
    <mergeCell ref="F10:G10"/>
    <mergeCell ref="D11:E11"/>
    <mergeCell ref="F11:G11"/>
    <mergeCell ref="B12:C12"/>
    <mergeCell ref="D12:E12"/>
    <mergeCell ref="F12:G12"/>
    <mergeCell ref="B13:C13"/>
    <mergeCell ref="D13:E13"/>
    <mergeCell ref="F13:G13"/>
    <mergeCell ref="H13:I13"/>
    <mergeCell ref="B14:C14"/>
    <mergeCell ref="D14:E14"/>
    <mergeCell ref="F14:G14"/>
    <mergeCell ref="B15:C15"/>
    <mergeCell ref="D15:E15"/>
    <mergeCell ref="F15:G15"/>
    <mergeCell ref="B16:C16"/>
    <mergeCell ref="D16:E16"/>
    <mergeCell ref="F16:G16"/>
    <mergeCell ref="H16:I16"/>
    <mergeCell ref="B17:C17"/>
    <mergeCell ref="D17:E17"/>
    <mergeCell ref="F17:G17"/>
    <mergeCell ref="B18:C18"/>
    <mergeCell ref="D18:E18"/>
    <mergeCell ref="F18:G18"/>
    <mergeCell ref="H18:I18"/>
    <mergeCell ref="B19:C19"/>
    <mergeCell ref="D19:E19"/>
    <mergeCell ref="F19:G19"/>
    <mergeCell ref="B20:C20"/>
    <mergeCell ref="D20:E20"/>
    <mergeCell ref="F20:G20"/>
    <mergeCell ref="B21:C21"/>
    <mergeCell ref="D21:E21"/>
    <mergeCell ref="F21:G21"/>
    <mergeCell ref="K31:M31"/>
    <mergeCell ref="H21:I21"/>
    <mergeCell ref="B22:C24"/>
    <mergeCell ref="D22:F22"/>
    <mergeCell ref="G22:G24"/>
    <mergeCell ref="D23:F23"/>
    <mergeCell ref="B25:C25"/>
    <mergeCell ref="B30:C31"/>
    <mergeCell ref="D30:F30"/>
    <mergeCell ref="G30:I30"/>
    <mergeCell ref="D31:F31"/>
    <mergeCell ref="H31:I31"/>
    <mergeCell ref="M34:N34"/>
    <mergeCell ref="O34:P34"/>
    <mergeCell ref="Q34:R34"/>
    <mergeCell ref="B34:B35"/>
    <mergeCell ref="C34:D34"/>
    <mergeCell ref="E34:F34"/>
    <mergeCell ref="G34:H34"/>
    <mergeCell ref="I34:J34"/>
    <mergeCell ref="K34:L34"/>
  </mergeCells>
  <phoneticPr fontId="2" type="noConversion"/>
  <pageMargins left="0.7" right="0.7" top="0.75" bottom="0.75" header="0.3" footer="0.3"/>
  <pageSetup paperSize="8" scale="8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21</vt:i4>
      </vt:variant>
      <vt:variant>
        <vt:lpstr>이름 지정된 범위</vt:lpstr>
      </vt:variant>
      <vt:variant>
        <vt:i4>5</vt:i4>
      </vt:variant>
    </vt:vector>
  </HeadingPairs>
  <TitlesOfParts>
    <vt:vector size="26" baseType="lpstr">
      <vt:lpstr>201223</vt:lpstr>
      <vt:lpstr>210106</vt:lpstr>
      <vt:lpstr>210106 (부대시설수정)</vt:lpstr>
      <vt:lpstr>210112</vt:lpstr>
      <vt:lpstr>210121</vt:lpstr>
      <vt:lpstr>210122</vt:lpstr>
      <vt:lpstr>210128</vt:lpstr>
      <vt:lpstr>210201 (주차대수)</vt:lpstr>
      <vt:lpstr>210205</vt:lpstr>
      <vt:lpstr>210218 (주차)</vt:lpstr>
      <vt:lpstr>20210224 (주차)</vt:lpstr>
      <vt:lpstr>20210226 (주차)</vt:lpstr>
      <vt:lpstr>20210305 (주차)</vt:lpstr>
      <vt:lpstr>20210310 (주차)</vt:lpstr>
      <vt:lpstr>20210316 (전체보완)</vt:lpstr>
      <vt:lpstr>20210326 (캐드구적, 교.평보완)</vt:lpstr>
      <vt:lpstr>20210405 (면적산출도, 교평보완)</vt:lpstr>
      <vt:lpstr>20210412 (저온PS 확대)</vt:lpstr>
      <vt:lpstr>20210528 (피난층계단보완)</vt:lpstr>
      <vt:lpstr>20210528 (주차용 표기 변경)</vt:lpstr>
      <vt:lpstr>20221108 (설계변경-지하2층 계단 변경)</vt:lpstr>
      <vt:lpstr>'210122'!Print_Area</vt:lpstr>
      <vt:lpstr>'210128'!Print_Area</vt:lpstr>
      <vt:lpstr>'210201 (주차대수)'!Print_Area</vt:lpstr>
      <vt:lpstr>'210205'!Print_Area</vt:lpstr>
      <vt:lpstr>'210218 (주차)'!Print_Area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hds</dc:creator>
  <cp:lastModifiedBy>조윤행</cp:lastModifiedBy>
  <cp:lastPrinted>2021-01-22T05:13:22Z</cp:lastPrinted>
  <dcterms:created xsi:type="dcterms:W3CDTF">2015-10-02T09:10:18Z</dcterms:created>
  <dcterms:modified xsi:type="dcterms:W3CDTF">2022-11-08T01:29:14Z</dcterms:modified>
</cp:coreProperties>
</file>