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visibility="veryHidden" xWindow="75" yWindow="15" windowWidth="22320" windowHeight="5595"/>
  </bookViews>
  <sheets>
    <sheet name="Table" sheetId="5" r:id="rId1"/>
    <sheet name="Calc" sheetId="2" r:id="rId2"/>
    <sheet name="PSI Max Pointed" sheetId="3" state="hidden" r:id="rId3"/>
    <sheet name="PSI, PHI Min Undercut" sheetId="4" state="hidden" r:id="rId4"/>
  </sheets>
  <definedNames>
    <definedName name="a">Calc!$D$3</definedName>
    <definedName name="ar">Calc!$D$12</definedName>
    <definedName name="b">Calc!$D$4</definedName>
    <definedName name="br">Calc!$D$11</definedName>
    <definedName name="e">Calc!$D$5</definedName>
    <definedName name="Family">Table!$A$2</definedName>
    <definedName name="h">Calc!$D$2</definedName>
    <definedName name="ha">Calc!$D$13</definedName>
    <definedName name="m">Calc!$D$6</definedName>
    <definedName name="pa">Calc!$D$9</definedName>
    <definedName name="pr">Calc!$D$10</definedName>
    <definedName name="s">Calc!$D$8</definedName>
    <definedName name="shi">Calc!#REF!</definedName>
    <definedName name="slo">Calc!#REF!</definedName>
    <definedName name="solver_adj" localSheetId="1" hidden="1">Calc!$D$26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Calc!$D$26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Calc!$E$26</definedName>
    <definedName name="solver_pre" localSheetId="1" hidden="1">0.00000001</definedName>
    <definedName name="solver_rbv" localSheetId="1" hidden="1">2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uc">Calc!$D$15</definedName>
    <definedName name="vc">Calc!$D$14</definedName>
    <definedName name="z">Calc!$D$7</definedName>
  </definedNames>
  <calcPr calcId="152511"/>
</workbook>
</file>

<file path=xl/calcChain.xml><?xml version="1.0" encoding="utf-8"?>
<calcChain xmlns="http://schemas.openxmlformats.org/spreadsheetml/2006/main">
  <c r="B56" i="4" l="1"/>
  <c r="D9" i="2"/>
  <c r="D8" i="2"/>
  <c r="D7" i="2"/>
  <c r="D10" i="2" s="1"/>
  <c r="I6" i="2"/>
  <c r="D6" i="2"/>
  <c r="D5" i="2"/>
  <c r="S4" i="2"/>
  <c r="S16" i="2" s="1"/>
  <c r="D4" i="2"/>
  <c r="D3" i="2"/>
  <c r="D2" i="2"/>
  <c r="AZ3" i="5"/>
  <c r="U16" i="2" l="1"/>
  <c r="D12" i="2"/>
  <c r="D11" i="2"/>
  <c r="C22" i="2" s="1"/>
  <c r="AY3" i="5"/>
  <c r="BA3" i="5"/>
  <c r="T16" i="2"/>
  <c r="D13" i="2"/>
  <c r="B17" i="3" s="1"/>
  <c r="D18" i="2"/>
  <c r="D20" i="2" s="1"/>
  <c r="G4" i="4" s="1"/>
  <c r="G56" i="4" s="1"/>
  <c r="D14" i="2"/>
  <c r="D15" i="2" s="1"/>
  <c r="E8" i="2"/>
  <c r="D21" i="2"/>
  <c r="E22" i="2" l="1"/>
  <c r="L4" i="2"/>
  <c r="L16" i="2" s="1"/>
  <c r="O3" i="2"/>
  <c r="O6" i="2" s="1"/>
  <c r="P6" i="2" s="1"/>
  <c r="G55" i="4"/>
  <c r="H55" i="4" s="1"/>
  <c r="G51" i="4"/>
  <c r="H51" i="4" s="1"/>
  <c r="G49" i="4"/>
  <c r="H49" i="4" s="1"/>
  <c r="G47" i="4"/>
  <c r="H47" i="4" s="1"/>
  <c r="G43" i="4"/>
  <c r="H43" i="4" s="1"/>
  <c r="G41" i="4"/>
  <c r="H41" i="4" s="1"/>
  <c r="G54" i="4"/>
  <c r="H54" i="4" s="1"/>
  <c r="G50" i="4"/>
  <c r="H50" i="4" s="1"/>
  <c r="G48" i="4"/>
  <c r="H48" i="4" s="1"/>
  <c r="G46" i="4"/>
  <c r="H46" i="4" s="1"/>
  <c r="G42" i="4"/>
  <c r="H42" i="4" s="1"/>
  <c r="G40" i="4"/>
  <c r="H40" i="4" s="1"/>
  <c r="G38" i="4"/>
  <c r="H38" i="4" s="1"/>
  <c r="G34" i="4"/>
  <c r="H34" i="4" s="1"/>
  <c r="G32" i="4"/>
  <c r="H32" i="4" s="1"/>
  <c r="G30" i="4"/>
  <c r="H30" i="4" s="1"/>
  <c r="G39" i="4"/>
  <c r="H39" i="4" s="1"/>
  <c r="G25" i="4"/>
  <c r="H25" i="4" s="1"/>
  <c r="G23" i="4"/>
  <c r="H23" i="4" s="1"/>
  <c r="G19" i="4"/>
  <c r="H19" i="4" s="1"/>
  <c r="G17" i="4"/>
  <c r="H17" i="4" s="1"/>
  <c r="G37" i="4"/>
  <c r="H37" i="4" s="1"/>
  <c r="G29" i="4"/>
  <c r="H29" i="4" s="1"/>
  <c r="G27" i="4"/>
  <c r="H27" i="4" s="1"/>
  <c r="G35" i="4"/>
  <c r="H35" i="4" s="1"/>
  <c r="G26" i="4"/>
  <c r="H26" i="4" s="1"/>
  <c r="G20" i="4"/>
  <c r="H20" i="4" s="1"/>
  <c r="G13" i="4"/>
  <c r="H13" i="4" s="1"/>
  <c r="G9" i="4"/>
  <c r="H9" i="4" s="1"/>
  <c r="G7" i="4"/>
  <c r="H7" i="4" s="1"/>
  <c r="G18" i="4"/>
  <c r="H18" i="4" s="1"/>
  <c r="G24" i="4"/>
  <c r="H24" i="4" s="1"/>
  <c r="G16" i="4"/>
  <c r="H16" i="4" s="1"/>
  <c r="G14" i="4"/>
  <c r="H14" i="4" s="1"/>
  <c r="G10" i="4"/>
  <c r="H10" i="4" s="1"/>
  <c r="G8" i="4"/>
  <c r="H8" i="4" s="1"/>
  <c r="G22" i="4"/>
  <c r="H22" i="4" s="1"/>
  <c r="G3" i="4"/>
  <c r="G6" i="4" s="1"/>
  <c r="H6" i="4" s="1"/>
  <c r="M3" i="4"/>
  <c r="M6" i="4" s="1"/>
  <c r="N6" i="4" s="1"/>
  <c r="O4" i="2"/>
  <c r="L2" i="3"/>
  <c r="H2" i="3"/>
  <c r="D2" i="3"/>
  <c r="J2" i="3"/>
  <c r="F2" i="3"/>
  <c r="M2" i="3"/>
  <c r="I2" i="3"/>
  <c r="E2" i="3"/>
  <c r="K2" i="3"/>
  <c r="G2" i="3"/>
  <c r="J6" i="2"/>
  <c r="D19" i="2"/>
  <c r="K6" i="2"/>
  <c r="H56" i="4"/>
  <c r="D56" i="4"/>
  <c r="C56" i="4"/>
  <c r="M16" i="2"/>
  <c r="P3" i="5" s="1"/>
  <c r="N16" i="2"/>
  <c r="AL3" i="5" s="1"/>
  <c r="P6" i="4" l="1"/>
  <c r="O6" i="4"/>
  <c r="I10" i="4"/>
  <c r="J10" i="4"/>
  <c r="J24" i="4"/>
  <c r="I24" i="4"/>
  <c r="J9" i="4"/>
  <c r="I9" i="4"/>
  <c r="J26" i="4"/>
  <c r="I26" i="4"/>
  <c r="I29" i="4"/>
  <c r="J29" i="4"/>
  <c r="J19" i="4"/>
  <c r="I19" i="4"/>
  <c r="J39" i="4"/>
  <c r="I39" i="4"/>
  <c r="J34" i="4"/>
  <c r="I34" i="4"/>
  <c r="I42" i="4"/>
  <c r="J42" i="4"/>
  <c r="I50" i="4"/>
  <c r="J50" i="4"/>
  <c r="J43" i="4"/>
  <c r="I43" i="4"/>
  <c r="J51" i="4"/>
  <c r="I51" i="4"/>
  <c r="Q6" i="2"/>
  <c r="R6" i="2"/>
  <c r="I6" i="4"/>
  <c r="J6" i="4"/>
  <c r="G12" i="4"/>
  <c r="H12" i="4" s="1"/>
  <c r="G15" i="4"/>
  <c r="H15" i="4" s="1"/>
  <c r="G11" i="4"/>
  <c r="H11" i="4" s="1"/>
  <c r="G31" i="4"/>
  <c r="H31" i="4" s="1"/>
  <c r="G33" i="4"/>
  <c r="H33" i="4" s="1"/>
  <c r="G21" i="4"/>
  <c r="H21" i="4" s="1"/>
  <c r="G28" i="4"/>
  <c r="H28" i="4" s="1"/>
  <c r="G36" i="4"/>
  <c r="H36" i="4" s="1"/>
  <c r="G44" i="4"/>
  <c r="H44" i="4" s="1"/>
  <c r="G52" i="4"/>
  <c r="H52" i="4" s="1"/>
  <c r="G45" i="4"/>
  <c r="H45" i="4" s="1"/>
  <c r="G53" i="4"/>
  <c r="H53" i="4" s="1"/>
  <c r="A19" i="3"/>
  <c r="B19" i="3" s="1"/>
  <c r="I22" i="4"/>
  <c r="J22" i="4"/>
  <c r="J14" i="4"/>
  <c r="I14" i="4"/>
  <c r="I18" i="4"/>
  <c r="J18" i="4"/>
  <c r="J13" i="4"/>
  <c r="I13" i="4"/>
  <c r="I35" i="4"/>
  <c r="J35" i="4"/>
  <c r="I37" i="4"/>
  <c r="J37" i="4"/>
  <c r="J23" i="4"/>
  <c r="I23" i="4"/>
  <c r="J30" i="4"/>
  <c r="I30" i="4"/>
  <c r="J38" i="4"/>
  <c r="I38" i="4"/>
  <c r="I46" i="4"/>
  <c r="J46" i="4"/>
  <c r="I54" i="4"/>
  <c r="J54" i="4"/>
  <c r="J47" i="4"/>
  <c r="I47" i="4"/>
  <c r="J55" i="4"/>
  <c r="I55" i="4"/>
  <c r="I56" i="4"/>
  <c r="J56" i="4"/>
  <c r="I4" i="2"/>
  <c r="I16" i="2" s="1"/>
  <c r="C23" i="2"/>
  <c r="O16" i="2"/>
  <c r="S3" i="2"/>
  <c r="S6" i="2" s="1"/>
  <c r="I8" i="4"/>
  <c r="J8" i="4"/>
  <c r="I16" i="4"/>
  <c r="J16" i="4"/>
  <c r="J7" i="4"/>
  <c r="I7" i="4"/>
  <c r="I20" i="4"/>
  <c r="J20" i="4"/>
  <c r="I27" i="4"/>
  <c r="J27" i="4"/>
  <c r="J17" i="4"/>
  <c r="I17" i="4"/>
  <c r="I25" i="4"/>
  <c r="J25" i="4"/>
  <c r="J32" i="4"/>
  <c r="I32" i="4"/>
  <c r="I40" i="4"/>
  <c r="J40" i="4"/>
  <c r="I48" i="4"/>
  <c r="J48" i="4"/>
  <c r="J41" i="4"/>
  <c r="I41" i="4"/>
  <c r="J49" i="4"/>
  <c r="I49" i="4"/>
  <c r="O15" i="2" l="1"/>
  <c r="P15" i="2" s="1"/>
  <c r="O12" i="2"/>
  <c r="P12" i="2" s="1"/>
  <c r="O7" i="2"/>
  <c r="P7" i="2" s="1"/>
  <c r="O14" i="2"/>
  <c r="P14" i="2" s="1"/>
  <c r="O9" i="2"/>
  <c r="P9" i="2" s="1"/>
  <c r="O10" i="2"/>
  <c r="P10" i="2" s="1"/>
  <c r="O8" i="2"/>
  <c r="P8" i="2" s="1"/>
  <c r="O13" i="2"/>
  <c r="P13" i="2" s="1"/>
  <c r="O11" i="2"/>
  <c r="P11" i="2" s="1"/>
  <c r="P16" i="2"/>
  <c r="B3" i="4"/>
  <c r="B6" i="4" s="1"/>
  <c r="S3" i="4"/>
  <c r="S6" i="4" s="1"/>
  <c r="AX3" i="5"/>
  <c r="E24" i="2"/>
  <c r="I33" i="4"/>
  <c r="J33" i="4"/>
  <c r="I15" i="2"/>
  <c r="I7" i="2"/>
  <c r="I10" i="2"/>
  <c r="I12" i="2"/>
  <c r="I11" i="2"/>
  <c r="I9" i="2"/>
  <c r="I14" i="2"/>
  <c r="I13" i="2"/>
  <c r="I8" i="2"/>
  <c r="J16" i="2"/>
  <c r="K16" i="2"/>
  <c r="J53" i="4"/>
  <c r="I53" i="4"/>
  <c r="J36" i="4"/>
  <c r="I36" i="4"/>
  <c r="I31" i="4"/>
  <c r="J31" i="4"/>
  <c r="S15" i="2"/>
  <c r="S12" i="2"/>
  <c r="S13" i="2"/>
  <c r="S10" i="2"/>
  <c r="S11" i="2"/>
  <c r="S9" i="2"/>
  <c r="S14" i="2"/>
  <c r="U6" i="2"/>
  <c r="S8" i="2"/>
  <c r="T6" i="2"/>
  <c r="S7" i="2"/>
  <c r="K20" i="3"/>
  <c r="K3" i="3" s="1"/>
  <c r="G20" i="3"/>
  <c r="G3" i="3" s="1"/>
  <c r="M20" i="3"/>
  <c r="M3" i="3" s="1"/>
  <c r="I20" i="3"/>
  <c r="I3" i="3" s="1"/>
  <c r="E20" i="3"/>
  <c r="E3" i="3" s="1"/>
  <c r="L20" i="3"/>
  <c r="L3" i="3" s="1"/>
  <c r="H20" i="3"/>
  <c r="H3" i="3" s="1"/>
  <c r="D20" i="3"/>
  <c r="D3" i="3" s="1"/>
  <c r="J20" i="3"/>
  <c r="J3" i="3" s="1"/>
  <c r="F20" i="3"/>
  <c r="F3" i="3" s="1"/>
  <c r="J45" i="4"/>
  <c r="I45" i="4"/>
  <c r="J28" i="4"/>
  <c r="I28" i="4"/>
  <c r="J11" i="4"/>
  <c r="I11" i="4"/>
  <c r="I52" i="4"/>
  <c r="J52" i="4"/>
  <c r="J21" i="4"/>
  <c r="I21" i="4"/>
  <c r="J15" i="4"/>
  <c r="I15" i="4"/>
  <c r="I44" i="4"/>
  <c r="J44" i="4"/>
  <c r="I12" i="4"/>
  <c r="J12" i="4"/>
  <c r="J14" i="2" l="1"/>
  <c r="K14" i="2"/>
  <c r="R9" i="2"/>
  <c r="AP3" i="5" s="1"/>
  <c r="Q9" i="2"/>
  <c r="T3" i="5" s="1"/>
  <c r="A20" i="3"/>
  <c r="B20" i="3" s="1"/>
  <c r="U7" i="2"/>
  <c r="T7" i="2"/>
  <c r="T8" i="2"/>
  <c r="U8" i="2"/>
  <c r="T11" i="2"/>
  <c r="U11" i="2"/>
  <c r="U15" i="2"/>
  <c r="T15" i="2"/>
  <c r="J13" i="2"/>
  <c r="K13" i="2"/>
  <c r="J12" i="2"/>
  <c r="K12" i="2"/>
  <c r="Q16" i="2"/>
  <c r="AA3" i="5" s="1"/>
  <c r="R16" i="2"/>
  <c r="AW3" i="5" s="1"/>
  <c r="Q10" i="2"/>
  <c r="U3" i="5" s="1"/>
  <c r="R10" i="2"/>
  <c r="AQ3" i="5" s="1"/>
  <c r="Q12" i="2"/>
  <c r="W3" i="5" s="1"/>
  <c r="R12" i="2"/>
  <c r="AS3" i="5" s="1"/>
  <c r="J10" i="2"/>
  <c r="K10" i="2"/>
  <c r="U6" i="4"/>
  <c r="T6" i="4"/>
  <c r="R15" i="2"/>
  <c r="AV3" i="5" s="1"/>
  <c r="Q15" i="2"/>
  <c r="Z3" i="5" s="1"/>
  <c r="J9" i="2"/>
  <c r="K9" i="2"/>
  <c r="R13" i="2"/>
  <c r="AT3" i="5" s="1"/>
  <c r="Q13" i="2"/>
  <c r="X3" i="5" s="1"/>
  <c r="R14" i="2"/>
  <c r="AU3" i="5" s="1"/>
  <c r="Q14" i="2"/>
  <c r="Y3" i="5" s="1"/>
  <c r="T10" i="2"/>
  <c r="U10" i="2"/>
  <c r="R11" i="2"/>
  <c r="AR3" i="5" s="1"/>
  <c r="Q11" i="2"/>
  <c r="V3" i="5" s="1"/>
  <c r="U14" i="2"/>
  <c r="T14" i="2"/>
  <c r="U13" i="2"/>
  <c r="T13" i="2"/>
  <c r="J7" i="2"/>
  <c r="K7" i="2"/>
  <c r="B55" i="4"/>
  <c r="B53" i="4"/>
  <c r="B51" i="4"/>
  <c r="B49" i="4"/>
  <c r="B47" i="4"/>
  <c r="B45" i="4"/>
  <c r="B43" i="4"/>
  <c r="B41" i="4"/>
  <c r="B54" i="4"/>
  <c r="B52" i="4"/>
  <c r="B50" i="4"/>
  <c r="B48" i="4"/>
  <c r="B46" i="4"/>
  <c r="B44" i="4"/>
  <c r="B42" i="4"/>
  <c r="B40" i="4"/>
  <c r="B38" i="4"/>
  <c r="B36" i="4"/>
  <c r="B34" i="4"/>
  <c r="B32" i="4"/>
  <c r="B30" i="4"/>
  <c r="B28" i="4"/>
  <c r="B27" i="4"/>
  <c r="B23" i="4"/>
  <c r="B21" i="4"/>
  <c r="B19" i="4"/>
  <c r="B17" i="4"/>
  <c r="B35" i="4"/>
  <c r="B31" i="4"/>
  <c r="B37" i="4"/>
  <c r="B33" i="4"/>
  <c r="B29" i="4"/>
  <c r="B25" i="4"/>
  <c r="B26" i="4"/>
  <c r="B22" i="4"/>
  <c r="B13" i="4"/>
  <c r="B11" i="4"/>
  <c r="B9" i="4"/>
  <c r="B7" i="4"/>
  <c r="B20" i="4"/>
  <c r="B14" i="4"/>
  <c r="B39" i="4"/>
  <c r="B18" i="4"/>
  <c r="B12" i="4"/>
  <c r="B10" i="4"/>
  <c r="B8" i="4"/>
  <c r="B24" i="4"/>
  <c r="B16" i="4"/>
  <c r="B15" i="4"/>
  <c r="D6" i="4"/>
  <c r="C6" i="4"/>
  <c r="U9" i="2"/>
  <c r="T9" i="2"/>
  <c r="T12" i="2"/>
  <c r="U12" i="2"/>
  <c r="K8" i="2"/>
  <c r="J8" i="2"/>
  <c r="J11" i="2"/>
  <c r="K11" i="2"/>
  <c r="J15" i="2"/>
  <c r="K15" i="2"/>
  <c r="R8" i="2"/>
  <c r="AO3" i="5" s="1"/>
  <c r="Q8" i="2"/>
  <c r="S3" i="5" s="1"/>
  <c r="Q7" i="2"/>
  <c r="R3" i="5" s="1"/>
  <c r="Q3" i="5" s="1"/>
  <c r="R7" i="2"/>
  <c r="AN3" i="5" s="1"/>
  <c r="AM3" i="5" s="1"/>
  <c r="C39" i="4" l="1"/>
  <c r="D39" i="4"/>
  <c r="C37" i="4"/>
  <c r="D37" i="4"/>
  <c r="C28" i="4"/>
  <c r="D28" i="4"/>
  <c r="C52" i="4"/>
  <c r="D52" i="4"/>
  <c r="D53" i="4"/>
  <c r="C53" i="4"/>
  <c r="D10" i="4"/>
  <c r="C10" i="4"/>
  <c r="D25" i="4"/>
  <c r="C25" i="4"/>
  <c r="D21" i="4"/>
  <c r="C21" i="4"/>
  <c r="C38" i="4"/>
  <c r="D38" i="4"/>
  <c r="C47" i="4"/>
  <c r="D47" i="4"/>
  <c r="D16" i="4"/>
  <c r="C16" i="4"/>
  <c r="D12" i="4"/>
  <c r="C12" i="4"/>
  <c r="D20" i="4"/>
  <c r="C20" i="4"/>
  <c r="D13" i="4"/>
  <c r="C13" i="4"/>
  <c r="C29" i="4"/>
  <c r="D29" i="4"/>
  <c r="C35" i="4"/>
  <c r="D35" i="4"/>
  <c r="C23" i="4"/>
  <c r="D23" i="4"/>
  <c r="C32" i="4"/>
  <c r="D32" i="4"/>
  <c r="C40" i="4"/>
  <c r="D40" i="4"/>
  <c r="D48" i="4"/>
  <c r="C48" i="4"/>
  <c r="D41" i="4"/>
  <c r="C41" i="4"/>
  <c r="D49" i="4"/>
  <c r="C49" i="4"/>
  <c r="K21" i="3"/>
  <c r="K4" i="3" s="1"/>
  <c r="G21" i="3"/>
  <c r="G4" i="3" s="1"/>
  <c r="M21" i="3"/>
  <c r="M4" i="3" s="1"/>
  <c r="I21" i="3"/>
  <c r="I4" i="3" s="1"/>
  <c r="E21" i="3"/>
  <c r="E4" i="3" s="1"/>
  <c r="L21" i="3"/>
  <c r="L4" i="3" s="1"/>
  <c r="H21" i="3"/>
  <c r="H4" i="3" s="1"/>
  <c r="D21" i="3"/>
  <c r="D4" i="3" s="1"/>
  <c r="J21" i="3"/>
  <c r="J4" i="3" s="1"/>
  <c r="F21" i="3"/>
  <c r="F4" i="3" s="1"/>
  <c r="D8" i="4"/>
  <c r="C8" i="4"/>
  <c r="D9" i="4"/>
  <c r="C9" i="4"/>
  <c r="C19" i="4"/>
  <c r="D19" i="4"/>
  <c r="C36" i="4"/>
  <c r="D36" i="4"/>
  <c r="D45" i="4"/>
  <c r="C45" i="4"/>
  <c r="C15" i="4"/>
  <c r="D15" i="4"/>
  <c r="D14" i="4"/>
  <c r="C14" i="4"/>
  <c r="D11" i="4"/>
  <c r="C11" i="4"/>
  <c r="D31" i="4"/>
  <c r="C31" i="4"/>
  <c r="D30" i="4"/>
  <c r="C30" i="4"/>
  <c r="C46" i="4"/>
  <c r="D46" i="4"/>
  <c r="C54" i="4"/>
  <c r="D54" i="4"/>
  <c r="C55" i="4"/>
  <c r="D55" i="4"/>
  <c r="C24" i="4"/>
  <c r="D24" i="4"/>
  <c r="D18" i="4"/>
  <c r="C18" i="4"/>
  <c r="D7" i="4"/>
  <c r="C7" i="4"/>
  <c r="K7" i="4" s="1"/>
  <c r="D22" i="4"/>
  <c r="C22" i="4"/>
  <c r="D33" i="4"/>
  <c r="C33" i="4"/>
  <c r="D17" i="4"/>
  <c r="C17" i="4"/>
  <c r="C27" i="4"/>
  <c r="D27" i="4"/>
  <c r="C34" i="4"/>
  <c r="D34" i="4"/>
  <c r="C42" i="4"/>
  <c r="D42" i="4"/>
  <c r="C50" i="4"/>
  <c r="D50" i="4"/>
  <c r="C43" i="4"/>
  <c r="D43" i="4"/>
  <c r="D51" i="4"/>
  <c r="C51" i="4"/>
  <c r="K36" i="4"/>
  <c r="D26" i="4"/>
  <c r="C26" i="4"/>
  <c r="C44" i="4"/>
  <c r="D44" i="4"/>
  <c r="K50" i="4" l="1"/>
  <c r="K25" i="4"/>
  <c r="K32" i="4"/>
  <c r="K56" i="4"/>
  <c r="K48" i="4"/>
  <c r="K44" i="4"/>
  <c r="K30" i="4"/>
  <c r="K34" i="4"/>
  <c r="K41" i="4"/>
  <c r="K24" i="4"/>
  <c r="K35" i="4"/>
  <c r="K6" i="4"/>
  <c r="K42" i="4"/>
  <c r="K55" i="4"/>
  <c r="K39" i="4"/>
  <c r="K46" i="4"/>
  <c r="K16" i="4"/>
  <c r="K43" i="4"/>
  <c r="K51" i="4"/>
  <c r="K13" i="4"/>
  <c r="K40" i="4"/>
  <c r="A21" i="3"/>
  <c r="B21" i="3" s="1"/>
  <c r="K31" i="4"/>
  <c r="K27" i="4"/>
  <c r="K17" i="4"/>
  <c r="K10" i="4"/>
  <c r="K8" i="4"/>
  <c r="K38" i="4"/>
  <c r="K20" i="4"/>
  <c r="K22" i="4"/>
  <c r="K9" i="4"/>
  <c r="K19" i="4"/>
  <c r="K37" i="4"/>
  <c r="K18" i="4"/>
  <c r="K23" i="4"/>
  <c r="K14" i="4"/>
  <c r="K29" i="4"/>
  <c r="K49" i="4"/>
  <c r="K21" i="4"/>
  <c r="K15" i="4"/>
  <c r="K28" i="4"/>
  <c r="K12" i="4"/>
  <c r="K53" i="4"/>
  <c r="K33" i="4"/>
  <c r="K45" i="4"/>
  <c r="K11" i="4"/>
  <c r="K54" i="4"/>
  <c r="K47" i="4"/>
  <c r="K26" i="4"/>
  <c r="K52" i="4"/>
  <c r="K22" i="3" l="1"/>
  <c r="K5" i="3" s="1"/>
  <c r="G22" i="3"/>
  <c r="G5" i="3" s="1"/>
  <c r="M22" i="3"/>
  <c r="M5" i="3" s="1"/>
  <c r="I22" i="3"/>
  <c r="I5" i="3" s="1"/>
  <c r="E22" i="3"/>
  <c r="E5" i="3" s="1"/>
  <c r="L22" i="3"/>
  <c r="L5" i="3" s="1"/>
  <c r="H22" i="3"/>
  <c r="H5" i="3" s="1"/>
  <c r="D22" i="3"/>
  <c r="D5" i="3" s="1"/>
  <c r="A22" i="3" s="1"/>
  <c r="B22" i="3" s="1"/>
  <c r="F22" i="3"/>
  <c r="F5" i="3" s="1"/>
  <c r="J22" i="3"/>
  <c r="J5" i="3" s="1"/>
  <c r="M4" i="4"/>
  <c r="M56" i="4" s="1"/>
  <c r="K23" i="3" l="1"/>
  <c r="K6" i="3" s="1"/>
  <c r="G23" i="3"/>
  <c r="G6" i="3" s="1"/>
  <c r="M23" i="3"/>
  <c r="M6" i="3" s="1"/>
  <c r="I23" i="3"/>
  <c r="I6" i="3" s="1"/>
  <c r="E23" i="3"/>
  <c r="E6" i="3" s="1"/>
  <c r="L23" i="3"/>
  <c r="L6" i="3" s="1"/>
  <c r="H23" i="3"/>
  <c r="H6" i="3" s="1"/>
  <c r="D23" i="3"/>
  <c r="D6" i="3" s="1"/>
  <c r="F23" i="3"/>
  <c r="F6" i="3" s="1"/>
  <c r="J23" i="3"/>
  <c r="J6" i="3" s="1"/>
  <c r="M54" i="4"/>
  <c r="N54" i="4" s="1"/>
  <c r="M52" i="4"/>
  <c r="N52" i="4" s="1"/>
  <c r="M50" i="4"/>
  <c r="N50" i="4" s="1"/>
  <c r="M48" i="4"/>
  <c r="N48" i="4" s="1"/>
  <c r="M46" i="4"/>
  <c r="N46" i="4" s="1"/>
  <c r="M44" i="4"/>
  <c r="N44" i="4" s="1"/>
  <c r="M42" i="4"/>
  <c r="N42" i="4" s="1"/>
  <c r="M40" i="4"/>
  <c r="N40" i="4" s="1"/>
  <c r="M38" i="4"/>
  <c r="N38" i="4" s="1"/>
  <c r="M53" i="4"/>
  <c r="N53" i="4" s="1"/>
  <c r="M45" i="4"/>
  <c r="N45" i="4" s="1"/>
  <c r="M51" i="4"/>
  <c r="N51" i="4" s="1"/>
  <c r="M43" i="4"/>
  <c r="N43" i="4" s="1"/>
  <c r="M37" i="4"/>
  <c r="N37" i="4" s="1"/>
  <c r="M35" i="4"/>
  <c r="N35" i="4" s="1"/>
  <c r="M33" i="4"/>
  <c r="N33" i="4" s="1"/>
  <c r="M31" i="4"/>
  <c r="N31" i="4" s="1"/>
  <c r="M29" i="4"/>
  <c r="N29" i="4" s="1"/>
  <c r="M27" i="4"/>
  <c r="N27" i="4" s="1"/>
  <c r="M25" i="4"/>
  <c r="N25" i="4" s="1"/>
  <c r="M55" i="4"/>
  <c r="N55" i="4" s="1"/>
  <c r="M39" i="4"/>
  <c r="N39" i="4" s="1"/>
  <c r="M36" i="4"/>
  <c r="N36" i="4" s="1"/>
  <c r="M32" i="4"/>
  <c r="N32" i="4" s="1"/>
  <c r="M28" i="4"/>
  <c r="N28" i="4" s="1"/>
  <c r="M49" i="4"/>
  <c r="N49" i="4" s="1"/>
  <c r="M22" i="4"/>
  <c r="N22" i="4" s="1"/>
  <c r="M20" i="4"/>
  <c r="N20" i="4" s="1"/>
  <c r="M18" i="4"/>
  <c r="N18" i="4" s="1"/>
  <c r="M16" i="4"/>
  <c r="N16" i="4" s="1"/>
  <c r="M41" i="4"/>
  <c r="N41" i="4" s="1"/>
  <c r="M26" i="4"/>
  <c r="N26" i="4" s="1"/>
  <c r="M23" i="4"/>
  <c r="N23" i="4" s="1"/>
  <c r="M21" i="4"/>
  <c r="N21" i="4" s="1"/>
  <c r="M19" i="4"/>
  <c r="N19" i="4" s="1"/>
  <c r="M17" i="4"/>
  <c r="N17" i="4" s="1"/>
  <c r="M15" i="4"/>
  <c r="N15" i="4" s="1"/>
  <c r="M13" i="4"/>
  <c r="N13" i="4" s="1"/>
  <c r="M30" i="4"/>
  <c r="N30" i="4" s="1"/>
  <c r="M47" i="4"/>
  <c r="N47" i="4" s="1"/>
  <c r="M24" i="4"/>
  <c r="N24" i="4" s="1"/>
  <c r="M12" i="4"/>
  <c r="N12" i="4" s="1"/>
  <c r="M10" i="4"/>
  <c r="N10" i="4" s="1"/>
  <c r="M8" i="4"/>
  <c r="N8" i="4" s="1"/>
  <c r="M14" i="4"/>
  <c r="N14" i="4" s="1"/>
  <c r="M34" i="4"/>
  <c r="N34" i="4" s="1"/>
  <c r="M11" i="4"/>
  <c r="N11" i="4" s="1"/>
  <c r="M9" i="4"/>
  <c r="N9" i="4" s="1"/>
  <c r="M7" i="4"/>
  <c r="N7" i="4" s="1"/>
  <c r="N56" i="4"/>
  <c r="P7" i="4" l="1"/>
  <c r="O7" i="4"/>
  <c r="O15" i="4"/>
  <c r="P15" i="4"/>
  <c r="P28" i="4"/>
  <c r="O28" i="4"/>
  <c r="P43" i="4"/>
  <c r="O43" i="4"/>
  <c r="P56" i="4"/>
  <c r="O56" i="4"/>
  <c r="P34" i="4"/>
  <c r="O34" i="4"/>
  <c r="P12" i="4"/>
  <c r="O12" i="4"/>
  <c r="P13" i="4"/>
  <c r="O13" i="4"/>
  <c r="P21" i="4"/>
  <c r="O21" i="4"/>
  <c r="O16" i="4"/>
  <c r="P16" i="4"/>
  <c r="P49" i="4"/>
  <c r="O49" i="4"/>
  <c r="P39" i="4"/>
  <c r="O39" i="4"/>
  <c r="P29" i="4"/>
  <c r="O29" i="4"/>
  <c r="P37" i="4"/>
  <c r="O37" i="4"/>
  <c r="P53" i="4"/>
  <c r="O53" i="4"/>
  <c r="P44" i="4"/>
  <c r="O44" i="4"/>
  <c r="P52" i="4"/>
  <c r="O52" i="4"/>
  <c r="A23" i="3"/>
  <c r="B23" i="3" s="1"/>
  <c r="O24" i="4"/>
  <c r="P24" i="4"/>
  <c r="O18" i="4"/>
  <c r="P18" i="4"/>
  <c r="O31" i="4"/>
  <c r="P31" i="4"/>
  <c r="P46" i="4"/>
  <c r="O46" i="4"/>
  <c r="P9" i="4"/>
  <c r="O9" i="4"/>
  <c r="P8" i="4"/>
  <c r="O8" i="4"/>
  <c r="P47" i="4"/>
  <c r="O47" i="4"/>
  <c r="P17" i="4"/>
  <c r="O17" i="4"/>
  <c r="O26" i="4"/>
  <c r="P26" i="4"/>
  <c r="O20" i="4"/>
  <c r="P20" i="4"/>
  <c r="P32" i="4"/>
  <c r="O32" i="4"/>
  <c r="O25" i="4"/>
  <c r="P25" i="4"/>
  <c r="P33" i="4"/>
  <c r="O33" i="4"/>
  <c r="P51" i="4"/>
  <c r="O51" i="4"/>
  <c r="P40" i="4"/>
  <c r="O40" i="4"/>
  <c r="P48" i="4"/>
  <c r="O48" i="4"/>
  <c r="O14" i="4"/>
  <c r="P14" i="4"/>
  <c r="P23" i="4"/>
  <c r="O23" i="4"/>
  <c r="P55" i="4"/>
  <c r="O55" i="4"/>
  <c r="P38" i="4"/>
  <c r="O38" i="4"/>
  <c r="P54" i="4"/>
  <c r="O54" i="4"/>
  <c r="P11" i="4"/>
  <c r="O11" i="4"/>
  <c r="P10" i="4"/>
  <c r="O10" i="4"/>
  <c r="P30" i="4"/>
  <c r="O30" i="4"/>
  <c r="P19" i="4"/>
  <c r="O19" i="4"/>
  <c r="P41" i="4"/>
  <c r="O41" i="4"/>
  <c r="O22" i="4"/>
  <c r="P22" i="4"/>
  <c r="P36" i="4"/>
  <c r="O36" i="4"/>
  <c r="O27" i="4"/>
  <c r="P27" i="4"/>
  <c r="O35" i="4"/>
  <c r="P35" i="4"/>
  <c r="P45" i="4"/>
  <c r="O45" i="4"/>
  <c r="P42" i="4"/>
  <c r="O42" i="4"/>
  <c r="P50" i="4"/>
  <c r="O50" i="4"/>
  <c r="K24" i="3" l="1"/>
  <c r="K7" i="3" s="1"/>
  <c r="G24" i="3"/>
  <c r="G7" i="3" s="1"/>
  <c r="J24" i="3"/>
  <c r="J7" i="3" s="1"/>
  <c r="F24" i="3"/>
  <c r="F7" i="3" s="1"/>
  <c r="M24" i="3"/>
  <c r="M7" i="3" s="1"/>
  <c r="I24" i="3"/>
  <c r="I7" i="3" s="1"/>
  <c r="E24" i="3"/>
  <c r="E7" i="3" s="1"/>
  <c r="L24" i="3"/>
  <c r="L7" i="3" s="1"/>
  <c r="H24" i="3"/>
  <c r="H7" i="3" s="1"/>
  <c r="D24" i="3"/>
  <c r="D7" i="3" s="1"/>
  <c r="E56" i="4"/>
  <c r="E6" i="4"/>
  <c r="V6" i="4"/>
  <c r="E27" i="4"/>
  <c r="E33" i="4"/>
  <c r="E23" i="4"/>
  <c r="E34" i="4"/>
  <c r="E46" i="4"/>
  <c r="E41" i="4"/>
  <c r="E53" i="4"/>
  <c r="E29" i="4"/>
  <c r="E17" i="4"/>
  <c r="E31" i="4"/>
  <c r="E32" i="4"/>
  <c r="E37" i="4"/>
  <c r="E49" i="4"/>
  <c r="E21" i="4"/>
  <c r="E55" i="4"/>
  <c r="E40" i="4"/>
  <c r="E51" i="4"/>
  <c r="E52" i="4"/>
  <c r="E12" i="4"/>
  <c r="E24" i="4"/>
  <c r="E38" i="4"/>
  <c r="E19" i="4"/>
  <c r="E20" i="4"/>
  <c r="E44" i="4"/>
  <c r="E7" i="4"/>
  <c r="E28" i="4"/>
  <c r="E22" i="4"/>
  <c r="E14" i="4"/>
  <c r="E35" i="4"/>
  <c r="E42" i="4"/>
  <c r="E54" i="4"/>
  <c r="E48" i="4"/>
  <c r="E10" i="4"/>
  <c r="E36" i="4"/>
  <c r="E11" i="4"/>
  <c r="E39" i="4"/>
  <c r="E16" i="4"/>
  <c r="E43" i="4"/>
  <c r="E30" i="4"/>
  <c r="E26" i="4"/>
  <c r="E18" i="4"/>
  <c r="E45" i="4"/>
  <c r="E47" i="4"/>
  <c r="E15" i="4"/>
  <c r="E13" i="4"/>
  <c r="E9" i="4"/>
  <c r="E50" i="4"/>
  <c r="E25" i="4"/>
  <c r="E8" i="4"/>
  <c r="S4" i="4" l="1"/>
  <c r="S56" i="4" s="1"/>
  <c r="A24" i="3"/>
  <c r="B24" i="3" s="1"/>
  <c r="K25" i="3" l="1"/>
  <c r="K8" i="3" s="1"/>
  <c r="G25" i="3"/>
  <c r="G8" i="3" s="1"/>
  <c r="J25" i="3"/>
  <c r="J8" i="3" s="1"/>
  <c r="F25" i="3"/>
  <c r="F8" i="3" s="1"/>
  <c r="M25" i="3"/>
  <c r="M8" i="3" s="1"/>
  <c r="I25" i="3"/>
  <c r="I8" i="3" s="1"/>
  <c r="E25" i="3"/>
  <c r="E8" i="3" s="1"/>
  <c r="L25" i="3"/>
  <c r="L8" i="3" s="1"/>
  <c r="H25" i="3"/>
  <c r="H8" i="3" s="1"/>
  <c r="D25" i="3"/>
  <c r="D8" i="3" s="1"/>
  <c r="S54" i="4"/>
  <c r="S52" i="4"/>
  <c r="S50" i="4"/>
  <c r="S48" i="4"/>
  <c r="S46" i="4"/>
  <c r="S44" i="4"/>
  <c r="S42" i="4"/>
  <c r="S40" i="4"/>
  <c r="S55" i="4"/>
  <c r="S53" i="4"/>
  <c r="S51" i="4"/>
  <c r="S49" i="4"/>
  <c r="S47" i="4"/>
  <c r="S45" i="4"/>
  <c r="S43" i="4"/>
  <c r="S41" i="4"/>
  <c r="S39" i="4"/>
  <c r="S37" i="4"/>
  <c r="S35" i="4"/>
  <c r="S33" i="4"/>
  <c r="S31" i="4"/>
  <c r="S29" i="4"/>
  <c r="S27" i="4"/>
  <c r="S38" i="4"/>
  <c r="S22" i="4"/>
  <c r="S20" i="4"/>
  <c r="S18" i="4"/>
  <c r="S16" i="4"/>
  <c r="S36" i="4"/>
  <c r="S32" i="4"/>
  <c r="S28" i="4"/>
  <c r="S25" i="4"/>
  <c r="S34" i="4"/>
  <c r="S30" i="4"/>
  <c r="S26" i="4"/>
  <c r="S24" i="4"/>
  <c r="S23" i="4"/>
  <c r="S15" i="4"/>
  <c r="S13" i="4"/>
  <c r="S12" i="4"/>
  <c r="S10" i="4"/>
  <c r="S8" i="4"/>
  <c r="S21" i="4"/>
  <c r="S19" i="4"/>
  <c r="S14" i="4"/>
  <c r="S11" i="4"/>
  <c r="S9" i="4"/>
  <c r="S7" i="4"/>
  <c r="S17" i="4"/>
  <c r="T56" i="4"/>
  <c r="Q56" i="4" s="1"/>
  <c r="U56" i="4"/>
  <c r="V56" i="4" s="1"/>
  <c r="T11" i="4" l="1"/>
  <c r="U11" i="4"/>
  <c r="V11" i="4" s="1"/>
  <c r="T30" i="4"/>
  <c r="U30" i="4"/>
  <c r="V30" i="4" s="1"/>
  <c r="T20" i="4"/>
  <c r="U20" i="4"/>
  <c r="V20" i="4" s="1"/>
  <c r="U37" i="4"/>
  <c r="V37" i="4" s="1"/>
  <c r="T37" i="4"/>
  <c r="U45" i="4"/>
  <c r="V45" i="4" s="1"/>
  <c r="T45" i="4"/>
  <c r="U53" i="4"/>
  <c r="V53" i="4" s="1"/>
  <c r="T53" i="4"/>
  <c r="Q53" i="4" s="1"/>
  <c r="U44" i="4"/>
  <c r="V44" i="4" s="1"/>
  <c r="T44" i="4"/>
  <c r="U52" i="4"/>
  <c r="V52" i="4" s="1"/>
  <c r="T52" i="4"/>
  <c r="Q52" i="4" s="1"/>
  <c r="U17" i="4"/>
  <c r="V17" i="4" s="1"/>
  <c r="T17" i="4"/>
  <c r="T14" i="4"/>
  <c r="U14" i="4"/>
  <c r="V14" i="4" s="1"/>
  <c r="U10" i="4"/>
  <c r="V10" i="4" s="1"/>
  <c r="T10" i="4"/>
  <c r="U23" i="4"/>
  <c r="V23" i="4" s="1"/>
  <c r="T23" i="4"/>
  <c r="T34" i="4"/>
  <c r="U34" i="4"/>
  <c r="V34" i="4" s="1"/>
  <c r="U36" i="4"/>
  <c r="V36" i="4" s="1"/>
  <c r="T36" i="4"/>
  <c r="U22" i="4"/>
  <c r="V22" i="4" s="1"/>
  <c r="T22" i="4"/>
  <c r="U31" i="4"/>
  <c r="V31" i="4" s="1"/>
  <c r="T31" i="4"/>
  <c r="T39" i="4"/>
  <c r="U39" i="4"/>
  <c r="V39" i="4" s="1"/>
  <c r="T47" i="4"/>
  <c r="U47" i="4"/>
  <c r="V47" i="4" s="1"/>
  <c r="T55" i="4"/>
  <c r="Q55" i="4" s="1"/>
  <c r="U55" i="4"/>
  <c r="V55" i="4" s="1"/>
  <c r="U46" i="4"/>
  <c r="V46" i="4" s="1"/>
  <c r="T46" i="4"/>
  <c r="U54" i="4"/>
  <c r="V54" i="4" s="1"/>
  <c r="T54" i="4"/>
  <c r="Q54" i="4" s="1"/>
  <c r="U15" i="4"/>
  <c r="V15" i="4" s="1"/>
  <c r="T15" i="4"/>
  <c r="U32" i="4"/>
  <c r="V32" i="4" s="1"/>
  <c r="T32" i="4"/>
  <c r="T29" i="4"/>
  <c r="U29" i="4"/>
  <c r="V29" i="4" s="1"/>
  <c r="U7" i="4"/>
  <c r="V7" i="4" s="1"/>
  <c r="T7" i="4"/>
  <c r="U19" i="4"/>
  <c r="V19" i="4" s="1"/>
  <c r="T19" i="4"/>
  <c r="U12" i="4"/>
  <c r="V12" i="4" s="1"/>
  <c r="T12" i="4"/>
  <c r="U24" i="4"/>
  <c r="V24" i="4" s="1"/>
  <c r="T24" i="4"/>
  <c r="T25" i="4"/>
  <c r="U25" i="4"/>
  <c r="V25" i="4" s="1"/>
  <c r="T16" i="4"/>
  <c r="U16" i="4"/>
  <c r="V16" i="4" s="1"/>
  <c r="T38" i="4"/>
  <c r="U38" i="4"/>
  <c r="V38" i="4" s="1"/>
  <c r="T33" i="4"/>
  <c r="U33" i="4"/>
  <c r="V33" i="4" s="1"/>
  <c r="U41" i="4"/>
  <c r="V41" i="4" s="1"/>
  <c r="T41" i="4"/>
  <c r="U49" i="4"/>
  <c r="V49" i="4" s="1"/>
  <c r="T49" i="4"/>
  <c r="Q49" i="4" s="1"/>
  <c r="T40" i="4"/>
  <c r="U40" i="4"/>
  <c r="V40" i="4" s="1"/>
  <c r="U48" i="4"/>
  <c r="V48" i="4" s="1"/>
  <c r="T48" i="4"/>
  <c r="Q48" i="4" s="1"/>
  <c r="A25" i="3"/>
  <c r="B25" i="3" s="1"/>
  <c r="U8" i="4"/>
  <c r="V8" i="4" s="1"/>
  <c r="T8" i="4"/>
  <c r="U9" i="4"/>
  <c r="V9" i="4" s="1"/>
  <c r="T9" i="4"/>
  <c r="U21" i="4"/>
  <c r="V21" i="4" s="1"/>
  <c r="T21" i="4"/>
  <c r="U13" i="4"/>
  <c r="V13" i="4" s="1"/>
  <c r="T13" i="4"/>
  <c r="T26" i="4"/>
  <c r="U26" i="4"/>
  <c r="V26" i="4" s="1"/>
  <c r="U28" i="4"/>
  <c r="V28" i="4" s="1"/>
  <c r="T28" i="4"/>
  <c r="U18" i="4"/>
  <c r="V18" i="4" s="1"/>
  <c r="T18" i="4"/>
  <c r="T27" i="4"/>
  <c r="Q27" i="4" s="1"/>
  <c r="U27" i="4"/>
  <c r="V27" i="4" s="1"/>
  <c r="U35" i="4"/>
  <c r="V35" i="4" s="1"/>
  <c r="T35" i="4"/>
  <c r="T43" i="4"/>
  <c r="Q43" i="4" s="1"/>
  <c r="U43" i="4"/>
  <c r="V43" i="4" s="1"/>
  <c r="T51" i="4"/>
  <c r="U51" i="4"/>
  <c r="V51" i="4" s="1"/>
  <c r="U42" i="4"/>
  <c r="V42" i="4" s="1"/>
  <c r="T42" i="4"/>
  <c r="U50" i="4"/>
  <c r="V50" i="4" s="1"/>
  <c r="T50" i="4"/>
  <c r="Q46" i="4" l="1"/>
  <c r="Q36" i="4"/>
  <c r="Q37" i="4"/>
  <c r="Q50" i="4"/>
  <c r="Q35" i="4"/>
  <c r="Q18" i="4"/>
  <c r="Q21" i="4"/>
  <c r="Q8" i="4"/>
  <c r="Q33" i="4"/>
  <c r="Q16" i="4"/>
  <c r="Q29" i="4"/>
  <c r="Q47" i="4"/>
  <c r="Q14" i="4"/>
  <c r="Q30" i="4"/>
  <c r="Q24" i="4"/>
  <c r="Q15" i="4"/>
  <c r="Q31" i="4"/>
  <c r="Q23" i="4"/>
  <c r="Q51" i="4"/>
  <c r="Q26" i="4"/>
  <c r="Q41" i="4"/>
  <c r="Q12" i="4"/>
  <c r="Q6" i="4"/>
  <c r="Q7" i="4"/>
  <c r="Q32" i="4"/>
  <c r="Q22" i="4"/>
  <c r="Q10" i="4"/>
  <c r="Q17" i="4"/>
  <c r="Q44" i="4"/>
  <c r="Q45" i="4"/>
  <c r="Q19" i="4"/>
  <c r="Q42" i="4"/>
  <c r="Q28" i="4"/>
  <c r="Q13" i="4"/>
  <c r="Q9" i="4"/>
  <c r="K26" i="3"/>
  <c r="K9" i="3" s="1"/>
  <c r="G26" i="3"/>
  <c r="G9" i="3" s="1"/>
  <c r="J26" i="3"/>
  <c r="J9" i="3" s="1"/>
  <c r="F26" i="3"/>
  <c r="F9" i="3" s="1"/>
  <c r="M26" i="3"/>
  <c r="M9" i="3" s="1"/>
  <c r="I26" i="3"/>
  <c r="I9" i="3" s="1"/>
  <c r="E26" i="3"/>
  <c r="E9" i="3" s="1"/>
  <c r="L26" i="3"/>
  <c r="L9" i="3" s="1"/>
  <c r="H26" i="3"/>
  <c r="H9" i="3" s="1"/>
  <c r="D26" i="3"/>
  <c r="D9" i="3" s="1"/>
  <c r="Q40" i="4"/>
  <c r="Q38" i="4"/>
  <c r="Q25" i="4"/>
  <c r="V58" i="4"/>
  <c r="F18" i="2" s="1"/>
  <c r="Q39" i="4"/>
  <c r="Q34" i="4"/>
  <c r="Q20" i="4"/>
  <c r="Q11" i="4"/>
  <c r="Q58" i="4" l="1"/>
  <c r="F20" i="2" s="1"/>
  <c r="A26" i="3"/>
  <c r="B26" i="3" s="1"/>
  <c r="K27" i="3" l="1"/>
  <c r="K10" i="3" s="1"/>
  <c r="G27" i="3"/>
  <c r="G10" i="3" s="1"/>
  <c r="J27" i="3"/>
  <c r="J10" i="3" s="1"/>
  <c r="F27" i="3"/>
  <c r="F10" i="3" s="1"/>
  <c r="M27" i="3"/>
  <c r="M10" i="3" s="1"/>
  <c r="I27" i="3"/>
  <c r="I10" i="3" s="1"/>
  <c r="E27" i="3"/>
  <c r="E10" i="3" s="1"/>
  <c r="L27" i="3"/>
  <c r="L10" i="3" s="1"/>
  <c r="H27" i="3"/>
  <c r="H10" i="3" s="1"/>
  <c r="D27" i="3"/>
  <c r="D10" i="3" s="1"/>
  <c r="A27" i="3" s="1"/>
  <c r="B27" i="3" s="1"/>
  <c r="K28" i="3" l="1"/>
  <c r="K11" i="3" s="1"/>
  <c r="G28" i="3"/>
  <c r="G11" i="3" s="1"/>
  <c r="J28" i="3"/>
  <c r="J11" i="3" s="1"/>
  <c r="F28" i="3"/>
  <c r="F11" i="3" s="1"/>
  <c r="M28" i="3"/>
  <c r="M11" i="3" s="1"/>
  <c r="I28" i="3"/>
  <c r="I11" i="3" s="1"/>
  <c r="E28" i="3"/>
  <c r="E11" i="3" s="1"/>
  <c r="L28" i="3"/>
  <c r="L11" i="3" s="1"/>
  <c r="H28" i="3"/>
  <c r="H11" i="3" s="1"/>
  <c r="D28" i="3"/>
  <c r="D11" i="3" s="1"/>
  <c r="A28" i="3" s="1"/>
  <c r="B28" i="3" s="1"/>
  <c r="K29" i="3" l="1"/>
  <c r="K12" i="3" s="1"/>
  <c r="G29" i="3"/>
  <c r="G12" i="3" s="1"/>
  <c r="J29" i="3"/>
  <c r="J12" i="3" s="1"/>
  <c r="F29" i="3"/>
  <c r="F12" i="3" s="1"/>
  <c r="M29" i="3"/>
  <c r="M12" i="3" s="1"/>
  <c r="I29" i="3"/>
  <c r="I12" i="3" s="1"/>
  <c r="E29" i="3"/>
  <c r="E12" i="3" s="1"/>
  <c r="L29" i="3"/>
  <c r="L12" i="3" s="1"/>
  <c r="H29" i="3"/>
  <c r="H12" i="3" s="1"/>
  <c r="D29" i="3"/>
  <c r="D12" i="3" s="1"/>
  <c r="A29" i="3" s="1"/>
  <c r="B29" i="3" s="1"/>
  <c r="K30" i="3" l="1"/>
  <c r="K13" i="3" s="1"/>
  <c r="G30" i="3"/>
  <c r="G13" i="3" s="1"/>
  <c r="J30" i="3"/>
  <c r="J13" i="3" s="1"/>
  <c r="F30" i="3"/>
  <c r="F13" i="3" s="1"/>
  <c r="M30" i="3"/>
  <c r="M13" i="3" s="1"/>
  <c r="I30" i="3"/>
  <c r="I13" i="3" s="1"/>
  <c r="E30" i="3"/>
  <c r="E13" i="3" s="1"/>
  <c r="L30" i="3"/>
  <c r="L13" i="3" s="1"/>
  <c r="H30" i="3"/>
  <c r="H13" i="3" s="1"/>
  <c r="D30" i="3"/>
  <c r="D13" i="3" s="1"/>
  <c r="A30" i="3" s="1"/>
  <c r="B30" i="3" s="1"/>
  <c r="K31" i="3" l="1"/>
  <c r="K14" i="3" s="1"/>
  <c r="G31" i="3"/>
  <c r="G14" i="3" s="1"/>
  <c r="J31" i="3"/>
  <c r="J14" i="3" s="1"/>
  <c r="F31" i="3"/>
  <c r="F14" i="3" s="1"/>
  <c r="M31" i="3"/>
  <c r="M14" i="3" s="1"/>
  <c r="I31" i="3"/>
  <c r="I14" i="3" s="1"/>
  <c r="E31" i="3"/>
  <c r="E14" i="3" s="1"/>
  <c r="L31" i="3"/>
  <c r="L14" i="3" s="1"/>
  <c r="H31" i="3"/>
  <c r="H14" i="3" s="1"/>
  <c r="D31" i="3"/>
  <c r="D14" i="3" s="1"/>
  <c r="A31" i="3" s="1"/>
  <c r="B31" i="3" s="1"/>
  <c r="K32" i="3" l="1"/>
  <c r="K15" i="3" s="1"/>
  <c r="G32" i="3"/>
  <c r="G15" i="3" s="1"/>
  <c r="J32" i="3"/>
  <c r="J15" i="3" s="1"/>
  <c r="F32" i="3"/>
  <c r="F15" i="3" s="1"/>
  <c r="M32" i="3"/>
  <c r="M15" i="3" s="1"/>
  <c r="I32" i="3"/>
  <c r="I15" i="3" s="1"/>
  <c r="E32" i="3"/>
  <c r="E15" i="3" s="1"/>
  <c r="L32" i="3"/>
  <c r="L15" i="3" s="1"/>
  <c r="H32" i="3"/>
  <c r="H15" i="3" s="1"/>
  <c r="D32" i="3"/>
  <c r="D15" i="3" s="1"/>
  <c r="A32" i="3" s="1"/>
  <c r="B32" i="3" s="1"/>
  <c r="K33" i="3" l="1"/>
  <c r="K16" i="3" s="1"/>
  <c r="G33" i="3"/>
  <c r="G16" i="3" s="1"/>
  <c r="J33" i="3"/>
  <c r="J16" i="3" s="1"/>
  <c r="F33" i="3"/>
  <c r="F16" i="3" s="1"/>
  <c r="M33" i="3"/>
  <c r="M16" i="3" s="1"/>
  <c r="I33" i="3"/>
  <c r="I16" i="3" s="1"/>
  <c r="E33" i="3"/>
  <c r="E16" i="3" s="1"/>
  <c r="L33" i="3"/>
  <c r="L16" i="3" s="1"/>
  <c r="H33" i="3"/>
  <c r="H16" i="3" s="1"/>
  <c r="D33" i="3"/>
  <c r="D16" i="3" s="1"/>
  <c r="A33" i="3" s="1"/>
  <c r="B33" i="3" s="1"/>
  <c r="K34" i="3" l="1"/>
  <c r="K17" i="3" s="1"/>
  <c r="G34" i="3"/>
  <c r="G17" i="3" s="1"/>
  <c r="J34" i="3"/>
  <c r="J17" i="3" s="1"/>
  <c r="F34" i="3"/>
  <c r="F17" i="3" s="1"/>
  <c r="M34" i="3"/>
  <c r="M17" i="3" s="1"/>
  <c r="I34" i="3"/>
  <c r="I17" i="3" s="1"/>
  <c r="E34" i="3"/>
  <c r="E17" i="3" s="1"/>
  <c r="L34" i="3"/>
  <c r="L17" i="3" s="1"/>
  <c r="H34" i="3"/>
  <c r="H17" i="3" s="1"/>
  <c r="D34" i="3"/>
  <c r="D17" i="3" s="1"/>
  <c r="A34" i="3" s="1"/>
  <c r="B34" i="3" s="1"/>
  <c r="E19" i="2" s="1"/>
  <c r="L3" i="2" s="1"/>
  <c r="L6" i="2" s="1"/>
  <c r="M6" i="2" l="1"/>
  <c r="N6" i="2"/>
  <c r="AB3" i="5" s="1"/>
  <c r="L14" i="2"/>
  <c r="L7" i="2"/>
  <c r="L12" i="2"/>
  <c r="L8" i="2"/>
  <c r="L15" i="2"/>
  <c r="L9" i="2"/>
  <c r="L13" i="2"/>
  <c r="L11" i="2"/>
  <c r="L10" i="2"/>
  <c r="M8" i="2" l="1"/>
  <c r="H3" i="5" s="1"/>
  <c r="N8" i="2"/>
  <c r="AD3" i="5" s="1"/>
  <c r="M13" i="2"/>
  <c r="M3" i="5" s="1"/>
  <c r="N13" i="2"/>
  <c r="AI3" i="5" s="1"/>
  <c r="N9" i="2"/>
  <c r="AE3" i="5" s="1"/>
  <c r="M9" i="2"/>
  <c r="I3" i="5" s="1"/>
  <c r="N7" i="2"/>
  <c r="AC3" i="5" s="1"/>
  <c r="M7" i="2"/>
  <c r="G3" i="5" s="1"/>
  <c r="M10" i="2"/>
  <c r="J3" i="5" s="1"/>
  <c r="N10" i="2"/>
  <c r="AF3" i="5" s="1"/>
  <c r="N15" i="2"/>
  <c r="AK3" i="5" s="1"/>
  <c r="M15" i="2"/>
  <c r="O3" i="5" s="1"/>
  <c r="N14" i="2"/>
  <c r="AJ3" i="5" s="1"/>
  <c r="M14" i="2"/>
  <c r="N3" i="5" s="1"/>
  <c r="N11" i="2"/>
  <c r="AG3" i="5" s="1"/>
  <c r="M11" i="2"/>
  <c r="K3" i="5" s="1"/>
  <c r="N12" i="2"/>
  <c r="AH3" i="5" s="1"/>
  <c r="M12" i="2"/>
  <c r="L3" i="5" s="1"/>
</calcChain>
</file>

<file path=xl/sharedStrings.xml><?xml version="1.0" encoding="utf-8"?>
<sst xmlns="http://schemas.openxmlformats.org/spreadsheetml/2006/main" count="184" uniqueCount="155">
  <si>
    <t>a =</t>
  </si>
  <si>
    <t>h =</t>
  </si>
  <si>
    <t>b =</t>
  </si>
  <si>
    <t>e =</t>
  </si>
  <si>
    <t>m =</t>
  </si>
  <si>
    <t>z =</t>
  </si>
  <si>
    <t>Half Width:</t>
  </si>
  <si>
    <t>Addendum:</t>
  </si>
  <si>
    <t>Dedendum:</t>
  </si>
  <si>
    <t>Fillet Radius:</t>
  </si>
  <si>
    <t>Module:</t>
  </si>
  <si>
    <t>Teeth:</t>
  </si>
  <si>
    <t>Profile Shift:</t>
  </si>
  <si>
    <t>s =</t>
  </si>
  <si>
    <t>Pressure Angle:</t>
  </si>
  <si>
    <t>α =</t>
  </si>
  <si>
    <t>R =</t>
  </si>
  <si>
    <t>Pitch Radius:</t>
  </si>
  <si>
    <t>Base Radius:</t>
  </si>
  <si>
    <t>R₀ =</t>
  </si>
  <si>
    <t>γ =</t>
  </si>
  <si>
    <t>Half Angle:</t>
  </si>
  <si>
    <t>Involute Angle:</t>
  </si>
  <si>
    <t>Trochoid Angle:</t>
  </si>
  <si>
    <t>Ψmin =</t>
  </si>
  <si>
    <t>Ψmax =</t>
  </si>
  <si>
    <t>φmin =</t>
  </si>
  <si>
    <t>φmax =</t>
  </si>
  <si>
    <t>Addendum Radius:</t>
  </si>
  <si>
    <r>
      <t>r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=</t>
    </r>
  </si>
  <si>
    <t>s min</t>
  </si>
  <si>
    <t>s max</t>
  </si>
  <si>
    <t>vC =</t>
  </si>
  <si>
    <t>uC =</t>
  </si>
  <si>
    <t>Normal</t>
  </si>
  <si>
    <t>Involute</t>
  </si>
  <si>
    <t>Trochoidal</t>
  </si>
  <si>
    <t>Start</t>
  </si>
  <si>
    <t>Stop</t>
  </si>
  <si>
    <t>Dedendum</t>
  </si>
  <si>
    <t>Addendum</t>
  </si>
  <si>
    <t>X</t>
  </si>
  <si>
    <t>Y</t>
  </si>
  <si>
    <t>θ</t>
  </si>
  <si>
    <t>Ψ</t>
  </si>
  <si>
    <t>φ</t>
  </si>
  <si>
    <t>λ</t>
  </si>
  <si>
    <t>Undercut</t>
  </si>
  <si>
    <t>Pointed</t>
  </si>
  <si>
    <t>Undercut Check</t>
  </si>
  <si>
    <t>Pointed Check</t>
  </si>
  <si>
    <t>Fillet Center</t>
  </si>
  <si>
    <t>X1 Check</t>
  </si>
  <si>
    <t>Y1 Check</t>
  </si>
  <si>
    <t>X2 Check</t>
  </si>
  <si>
    <t>Y2 Check</t>
  </si>
  <si>
    <t>$PRP@Module</t>
  </si>
  <si>
    <t>$PRP@Teeth</t>
  </si>
  <si>
    <t>$PRP@Pressure Angle</t>
  </si>
  <si>
    <t>$PRP@Profile Shift</t>
  </si>
  <si>
    <t>Gear Blank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</si>
  <si>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</si>
  <si>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</si>
  <si>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</si>
  <si>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</si>
  <si>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</si>
  <si>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</si>
  <si>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</si>
  <si>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</si>
  <si>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</si>
  <si>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</si>
  <si>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</si>
  <si>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</si>
  <si>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</si>
  <si>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</si>
  <si>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</si>
  <si>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</si>
  <si>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</si>
  <si>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</si>
  <si>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</si>
  <si>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</si>
  <si>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</si>
  <si>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</si>
  <si>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</si>
  <si>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</si>
  <si>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</si>
  <si>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</si>
  <si>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</si>
  <si>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</si>
  <si>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</si>
  <si>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</si>
  <si>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</si>
  <si>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</si>
  <si>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</si>
  <si>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</si>
  <si>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</si>
  <si>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</si>
  <si>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</si>
  <si>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</si>
  <si>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</si>
  <si>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</si>
  <si>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</si>
  <si>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</si>
  <si>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</si>
  <si>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</si>
  <si>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D2@Sketch1</t>
  </si>
  <si>
    <t>D3@Sketch1</t>
  </si>
  <si>
    <t>D4@Sketch1</t>
  </si>
  <si>
    <t>D5@Sketch1</t>
  </si>
  <si>
    <t>D6@Sketch1</t>
  </si>
  <si>
    <t>D7@Sketch1</t>
  </si>
  <si>
    <t>D8@Sketch1</t>
  </si>
  <si>
    <t>D9@Sketch1</t>
  </si>
  <si>
    <t>D10@Sketch1</t>
  </si>
  <si>
    <t>D11@Sketch1</t>
  </si>
  <si>
    <t>D12@Sketch1</t>
  </si>
  <si>
    <t>D13@Sketch1</t>
  </si>
  <si>
    <t>D14@Sketch1</t>
  </si>
  <si>
    <t>D15@Sketch1</t>
  </si>
  <si>
    <t>D16@Sketch1</t>
  </si>
  <si>
    <t>D17@Sketch1</t>
  </si>
  <si>
    <t>D18@Sketch1</t>
  </si>
  <si>
    <t>D19@Sketch1</t>
  </si>
  <si>
    <t>D20@Sketch1</t>
  </si>
  <si>
    <t>D21@Sketch1</t>
  </si>
  <si>
    <t>D22@Sketch1</t>
  </si>
  <si>
    <t>D23@Sketch1</t>
  </si>
  <si>
    <t>D25@Sketch1</t>
  </si>
  <si>
    <t>D26@Sketch1</t>
  </si>
  <si>
    <t>D27@Sketch1</t>
  </si>
  <si>
    <t>D28@Sketch1</t>
  </si>
  <si>
    <t>D29@Sketch1</t>
  </si>
  <si>
    <t>D30@Sketch1</t>
  </si>
  <si>
    <t>D31@Sketch1</t>
  </si>
  <si>
    <t>D32@Sketch1</t>
  </si>
  <si>
    <t>D33@Sketch1</t>
  </si>
  <si>
    <t>D34@Sketch1</t>
  </si>
  <si>
    <t>D35@Sketch1</t>
  </si>
  <si>
    <t>D36@Sketch1</t>
  </si>
  <si>
    <t>D37@Sketch1</t>
  </si>
  <si>
    <t>D38@Sketch1</t>
  </si>
  <si>
    <t>D39@Sketch1</t>
  </si>
  <si>
    <t>D40@Sketch1</t>
  </si>
  <si>
    <t>D41@Sketch1</t>
  </si>
  <si>
    <t>D42@Sketch1</t>
  </si>
  <si>
    <t>D43@Sketch1</t>
  </si>
  <si>
    <t>D44@Sketch1</t>
  </si>
  <si>
    <t>D45@Sketch1</t>
  </si>
  <si>
    <t>D46@Sketch1</t>
  </si>
  <si>
    <t>$STATE@Addendum</t>
  </si>
  <si>
    <t>D1@Sketch6</t>
  </si>
  <si>
    <t>D1@Teeth</t>
  </si>
  <si>
    <t>Design Table for: Part1</t>
  </si>
  <si>
    <t>D1@Pitch Diameter</t>
  </si>
  <si>
    <t>D2@Sketch9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</si>
</sst>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000"/>
    <numFmt numFmtId="166" formatCode="0.0000000000"/>
    <numFmt numFmtId="167" formatCode="0.00000000000"/>
    <numFmt numFmtId="168" formatCode="0.000000000000"/>
    <numFmt numFmtId="169" formatCode="0.0000000000000"/>
    <numFmt numFmtId="170" formatCode="0.00000000000000"/>
    <numFmt numFmtId="171" formatCode="0.000000000000000"/>
    <numFmt numFmtId="172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Border="1"/>
    <xf numFmtId="164" fontId="0" fillId="0" borderId="0" xfId="0" applyNumberFormat="1"/>
    <xf numFmtId="164" fontId="0" fillId="0" borderId="0" xfId="0" applyNumberFormat="1" applyBorder="1"/>
    <xf numFmtId="0" fontId="1" fillId="0" borderId="0" xfId="0" quotePrefix="1" applyFont="1" applyFill="1" applyBorder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Border="1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1" fillId="0" borderId="4" xfId="0" applyFont="1" applyBorder="1" applyAlignment="1">
      <alignment horizontal="center"/>
    </xf>
    <xf numFmtId="165" fontId="0" fillId="0" borderId="0" xfId="0" applyNumberFormat="1" applyFill="1" applyBorder="1"/>
    <xf numFmtId="166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right"/>
    </xf>
    <xf numFmtId="1" fontId="0" fillId="0" borderId="0" xfId="0" applyNumberFormat="1" applyFill="1" applyBorder="1"/>
    <xf numFmtId="1" fontId="0" fillId="2" borderId="0" xfId="0" applyNumberFormat="1" applyFill="1" applyBorder="1"/>
    <xf numFmtId="165" fontId="0" fillId="0" borderId="0" xfId="0" applyNumberFormat="1" applyBorder="1"/>
    <xf numFmtId="165" fontId="0" fillId="2" borderId="0" xfId="0" applyNumberFormat="1" applyFill="1" applyBorder="1"/>
    <xf numFmtId="169" fontId="0" fillId="0" borderId="0" xfId="0" applyNumberFormat="1"/>
    <xf numFmtId="16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6" xfId="0" applyNumberFormat="1" applyBorder="1"/>
    <xf numFmtId="0" fontId="0" fillId="0" borderId="6" xfId="0" applyBorder="1"/>
    <xf numFmtId="0" fontId="0" fillId="7" borderId="6" xfId="0" applyFill="1" applyBorder="1"/>
    <xf numFmtId="49" fontId="0" fillId="0" borderId="6" xfId="0" applyNumberFormat="1" applyBorder="1" applyAlignment="1">
      <alignment textRotation="90"/>
    </xf>
    <xf numFmtId="0" fontId="0" fillId="0" borderId="6" xfId="0" applyBorder="1" applyAlignment="1">
      <alignment textRotation="90"/>
    </xf>
    <xf numFmtId="0" fontId="0" fillId="7" borderId="6" xfId="0" applyFill="1" applyBorder="1" applyAlignment="1">
      <alignment textRotation="90"/>
    </xf>
    <xf numFmtId="2" fontId="0" fillId="7" borderId="6" xfId="0" applyNumberFormat="1" applyFill="1" applyBorder="1"/>
    <xf numFmtId="0" fontId="0" fillId="8" borderId="6" xfId="0" applyFill="1" applyBorder="1"/>
    <xf numFmtId="0" fontId="0" fillId="8" borderId="6" xfId="0" applyFill="1" applyBorder="1" applyAlignment="1">
      <alignment textRotation="90"/>
    </xf>
    <xf numFmtId="172" fontId="0" fillId="8" borderId="6" xfId="0" applyNumberForma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7595095438041"/>
          <c:y val="3.9839788812525603E-2"/>
          <c:w val="0.23631482228589648"/>
          <c:h val="0.85049744029521057"/>
        </c:manualLayout>
      </c:layout>
      <c:scatterChart>
        <c:scatterStyle val="smoothMarker"/>
        <c:varyColors val="0"/>
        <c:ser>
          <c:idx val="0"/>
          <c:order val="0"/>
          <c:tx>
            <c:v>add</c:v>
          </c:tx>
          <c:marker>
            <c:symbol val="none"/>
          </c:marker>
          <c:xVal>
            <c:numRef>
              <c:f>Calc!$J$6:$J$16</c:f>
              <c:numCache>
                <c:formatCode>0.000</c:formatCode>
                <c:ptCount val="11"/>
                <c:pt idx="0">
                  <c:v>0</c:v>
                </c:pt>
                <c:pt idx="1">
                  <c:v>6.2589253813019149E-2</c:v>
                </c:pt>
                <c:pt idx="2">
                  <c:v>0.12517850549250253</c:v>
                </c:pt>
                <c:pt idx="3">
                  <c:v>0.18776775290491449</c:v>
                </c:pt>
                <c:pt idx="4">
                  <c:v>0.25035699391671928</c:v>
                </c:pt>
                <c:pt idx="5">
                  <c:v>0.31294622639438185</c:v>
                </c:pt>
                <c:pt idx="6">
                  <c:v>0.37553544820436696</c:v>
                </c:pt>
                <c:pt idx="7">
                  <c:v>0.43812465721313998</c:v>
                </c:pt>
                <c:pt idx="8">
                  <c:v>0.5007138512871665</c:v>
                </c:pt>
                <c:pt idx="9">
                  <c:v>0.56330302829291323</c:v>
                </c:pt>
                <c:pt idx="10">
                  <c:v>0.6258921860968466</c:v>
                </c:pt>
              </c:numCache>
            </c:numRef>
          </c:xVal>
          <c:yVal>
            <c:numRef>
              <c:f>Calc!$K$6:$K$16</c:f>
              <c:numCache>
                <c:formatCode>0.000</c:formatCode>
                <c:ptCount val="11"/>
                <c:pt idx="0">
                  <c:v>339</c:v>
                </c:pt>
                <c:pt idx="1">
                  <c:v>338.9999942221022</c:v>
                </c:pt>
                <c:pt idx="2">
                  <c:v>338.99997688840892</c:v>
                </c:pt>
                <c:pt idx="3">
                  <c:v>338.99994799892073</c:v>
                </c:pt>
                <c:pt idx="4">
                  <c:v>338.99990755363876</c:v>
                </c:pt>
                <c:pt idx="5">
                  <c:v>338.99985555256421</c:v>
                </c:pt>
                <c:pt idx="6">
                  <c:v>338.9997919956989</c:v>
                </c:pt>
                <c:pt idx="7">
                  <c:v>338.99971688304515</c:v>
                </c:pt>
                <c:pt idx="8">
                  <c:v>338.9996302146053</c:v>
                </c:pt>
                <c:pt idx="9">
                  <c:v>338.99953199038242</c:v>
                </c:pt>
                <c:pt idx="10">
                  <c:v>338.99942221037986</c:v>
                </c:pt>
              </c:numCache>
            </c:numRef>
          </c:yVal>
          <c:smooth val="1"/>
        </c:ser>
        <c:ser>
          <c:idx val="3"/>
          <c:order val="3"/>
          <c:tx>
            <c:v>ded</c:v>
          </c:tx>
          <c:marker>
            <c:symbol val="none"/>
          </c:marker>
          <c:xVal>
            <c:numRef>
              <c:f>Calc!$T$6:$T$16</c:f>
              <c:numCache>
                <c:formatCode>0.000</c:formatCode>
                <c:ptCount val="11"/>
                <c:pt idx="0">
                  <c:v>2.2470892775295672</c:v>
                </c:pt>
                <c:pt idx="1">
                  <c:v>2.2566889069293348</c:v>
                </c:pt>
                <c:pt idx="2">
                  <c:v>2.2662885344828476</c:v>
                </c:pt>
                <c:pt idx="3">
                  <c:v>2.2758881601822525</c:v>
                </c:pt>
                <c:pt idx="4">
                  <c:v>2.2854877840196952</c:v>
                </c:pt>
                <c:pt idx="5">
                  <c:v>2.295087405987323</c:v>
                </c:pt>
                <c:pt idx="6">
                  <c:v>2.3046870260772807</c:v>
                </c:pt>
                <c:pt idx="7">
                  <c:v>2.314286644281716</c:v>
                </c:pt>
                <c:pt idx="8">
                  <c:v>2.3238862605927744</c:v>
                </c:pt>
                <c:pt idx="9">
                  <c:v>2.333485875002602</c:v>
                </c:pt>
                <c:pt idx="10">
                  <c:v>2.343085487503346</c:v>
                </c:pt>
              </c:numCache>
            </c:numRef>
          </c:xVal>
          <c:yVal>
            <c:numRef>
              <c:f>Calc!$U$6:$U$16</c:f>
              <c:numCache>
                <c:formatCode>0.000</c:formatCode>
                <c:ptCount val="11"/>
                <c:pt idx="0">
                  <c:v>335.61747751685817</c:v>
                </c:pt>
                <c:pt idx="1">
                  <c:v>335.61741310631862</c:v>
                </c:pt>
                <c:pt idx="2">
                  <c:v>335.61734842120194</c:v>
                </c:pt>
                <c:pt idx="3">
                  <c:v>335.61728346150818</c:v>
                </c:pt>
                <c:pt idx="4">
                  <c:v>335.6172182272374</c:v>
                </c:pt>
                <c:pt idx="5">
                  <c:v>335.61715271838966</c:v>
                </c:pt>
                <c:pt idx="6">
                  <c:v>335.61708693496496</c:v>
                </c:pt>
                <c:pt idx="7">
                  <c:v>335.61702087696341</c:v>
                </c:pt>
                <c:pt idx="8">
                  <c:v>335.61695454438507</c:v>
                </c:pt>
                <c:pt idx="9">
                  <c:v>335.61688793722999</c:v>
                </c:pt>
                <c:pt idx="10">
                  <c:v>335.61682105549812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0064"/>
        <c:axId val="174996784"/>
      </c:scatterChart>
      <c:scatterChart>
        <c:scatterStyle val="lineMarker"/>
        <c:varyColors val="0"/>
        <c:ser>
          <c:idx val="1"/>
          <c:order val="1"/>
          <c:tx>
            <c:v>inv</c:v>
          </c:tx>
          <c:marker>
            <c:symbol val="none"/>
          </c:marker>
          <c:xVal>
            <c:numRef>
              <c:f>Calc!$M$6:$M$16</c:f>
              <c:numCache>
                <c:formatCode>0.000</c:formatCode>
                <c:ptCount val="11"/>
                <c:pt idx="0">
                  <c:v>7.5635183776823263E-14</c:v>
                </c:pt>
                <c:pt idx="1">
                  <c:v>0.18733325868705833</c:v>
                </c:pt>
                <c:pt idx="2">
                  <c:v>0.37067177150519193</c:v>
                </c:pt>
                <c:pt idx="3">
                  <c:v>0.55005543028767456</c:v>
                </c:pt>
                <c:pt idx="4">
                  <c:v>0.72552426463983044</c:v>
                </c:pt>
                <c:pt idx="5">
                  <c:v>0.89711844048898226</c:v>
                </c:pt>
                <c:pt idx="6">
                  <c:v>1.0648782586307997</c:v>
                </c:pt>
                <c:pt idx="7">
                  <c:v>1.2288441532720127</c:v>
                </c:pt>
                <c:pt idx="8">
                  <c:v>1.3890566905697999</c:v>
                </c:pt>
                <c:pt idx="9">
                  <c:v>1.5455565671675171</c:v>
                </c:pt>
                <c:pt idx="10">
                  <c:v>1.6983846087272279</c:v>
                </c:pt>
              </c:numCache>
            </c:numRef>
          </c:xVal>
          <c:yVal>
            <c:numRef>
              <c:f>Calc!$N$6:$N$16</c:f>
              <c:numCache>
                <c:formatCode>0.000</c:formatCode>
                <c:ptCount val="11"/>
                <c:pt idx="0">
                  <c:v>340.63058547340023</c:v>
                </c:pt>
                <c:pt idx="1">
                  <c:v>340.14961748479982</c:v>
                </c:pt>
                <c:pt idx="2">
                  <c:v>339.67303151327582</c:v>
                </c:pt>
                <c:pt idx="3">
                  <c:v>339.20085244218046</c:v>
                </c:pt>
                <c:pt idx="4">
                  <c:v>338.7331048979986</c:v>
                </c:pt>
                <c:pt idx="5">
                  <c:v>338.26981324963242</c:v>
                </c:pt>
                <c:pt idx="6">
                  <c:v>337.81100160769455</c:v>
                </c:pt>
                <c:pt idx="7">
                  <c:v>337.35669382380735</c:v>
                </c:pt>
                <c:pt idx="8">
                  <c:v>336.90691348991152</c:v>
                </c:pt>
                <c:pt idx="9">
                  <c:v>336.46168393758137</c:v>
                </c:pt>
                <c:pt idx="10">
                  <c:v>336.02102823734776</c:v>
                </c:pt>
              </c:numCache>
            </c:numRef>
          </c:yVal>
          <c:smooth val="0"/>
        </c:ser>
        <c:ser>
          <c:idx val="2"/>
          <c:order val="2"/>
          <c:tx>
            <c:v>tro</c:v>
          </c:tx>
          <c:marker>
            <c:symbol val="none"/>
          </c:marker>
          <c:xVal>
            <c:numRef>
              <c:f>Calc!$Q$6:$Q$16</c:f>
              <c:numCache>
                <c:formatCode>0.000</c:formatCode>
                <c:ptCount val="11"/>
                <c:pt idx="0">
                  <c:v>1.6983846087272259</c:v>
                </c:pt>
                <c:pt idx="1">
                  <c:v>1.7068025179374378</c:v>
                </c:pt>
                <c:pt idx="2">
                  <c:v>1.7176121067406587</c:v>
                </c:pt>
                <c:pt idx="3">
                  <c:v>1.73192244548298</c:v>
                </c:pt>
                <c:pt idx="4">
                  <c:v>1.7514982471870195</c:v>
                </c:pt>
                <c:pt idx="5">
                  <c:v>1.7791950085399102</c:v>
                </c:pt>
                <c:pt idx="6">
                  <c:v>1.8196254240987417</c:v>
                </c:pt>
                <c:pt idx="7">
                  <c:v>1.8798925618280715</c:v>
                </c:pt>
                <c:pt idx="8">
                  <c:v>1.9692436093655949</c:v>
                </c:pt>
                <c:pt idx="9">
                  <c:v>2.0942510746030334</c:v>
                </c:pt>
                <c:pt idx="10">
                  <c:v>2.2470892775295672</c:v>
                </c:pt>
              </c:numCache>
            </c:numRef>
          </c:xVal>
          <c:yVal>
            <c:numRef>
              <c:f>Calc!$R$6:$R$16</c:f>
              <c:numCache>
                <c:formatCode>0.000</c:formatCode>
                <c:ptCount val="11"/>
                <c:pt idx="0">
                  <c:v>336.02102823734771</c:v>
                </c:pt>
                <c:pt idx="1">
                  <c:v>335.99795066450906</c:v>
                </c:pt>
                <c:pt idx="2">
                  <c:v>335.97163706788047</c:v>
                </c:pt>
                <c:pt idx="3">
                  <c:v>335.94111594901256</c:v>
                </c:pt>
                <c:pt idx="4">
                  <c:v>335.90516686902077</c:v>
                </c:pt>
                <c:pt idx="5">
                  <c:v>335.86238881642055</c:v>
                </c:pt>
                <c:pt idx="6">
                  <c:v>335.81158170189661</c:v>
                </c:pt>
                <c:pt idx="7">
                  <c:v>335.75297126520979</c:v>
                </c:pt>
                <c:pt idx="8">
                  <c:v>335.69113907133101</c:v>
                </c:pt>
                <c:pt idx="9">
                  <c:v>335.63922071123017</c:v>
                </c:pt>
                <c:pt idx="10">
                  <c:v>335.61747751685817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0064"/>
        <c:axId val="174996784"/>
      </c:scatterChart>
      <c:valAx>
        <c:axId val="174990064"/>
        <c:scaling>
          <c:orientation val="minMax"/>
        </c:scaling>
        <c:delete val="0"/>
        <c:axPos val="b"/>
        <c:majorGridlines/>
        <c:numFmt formatCode="0.0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4996784"/>
        <c:crosses val="autoZero"/>
        <c:crossBetween val="midCat"/>
        <c:majorUnit val="0.1"/>
      </c:valAx>
      <c:valAx>
        <c:axId val="174996784"/>
        <c:scaling>
          <c:orientation val="minMax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crossAx val="174990064"/>
        <c:crosses val="autoZero"/>
        <c:crossBetween val="midCat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171449</xdr:colOff>
      <xdr:row>1</xdr:row>
      <xdr:rowOff>9524</xdr:rowOff>
    </xdr:from>
    <xdr:to>
      <xdr:col>27</xdr:col>
      <xdr:colOff>590550</xdr:colOff>
      <xdr:row>32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tabSelected="1" topLeftCell="AC1" zoomScale="131" zoomScaleNormal="85" workbookViewId="0">
      <selection activeCell="BC2" sqref="BC2"/>
    </sheetView>
  </sheetViews>
  <sheetFormatPr defaultRowHeight="15" x14ac:dyDescent="0.25"/>
  <cols>
    <col min="1" max="1" width="22.28515625" style="42" bestFit="1" customWidth="1"/>
    <col min="2" max="2" width="3.7109375" style="49" bestFit="1" customWidth="1"/>
    <col min="3" max="3" width="4.140625" style="49" bestFit="1" customWidth="1"/>
    <col min="4" max="5" width="3.7109375" style="49" bestFit="1" customWidth="1"/>
    <col min="6" max="15" width="4.5703125" style="44" bestFit="1" customWidth="1"/>
    <col min="16" max="18" width="4.7109375" style="44" bestFit="1" customWidth="1"/>
    <col min="19" max="27" width="4.5703125" style="44" bestFit="1" customWidth="1"/>
    <col min="28" max="49" width="5.5703125" style="44" bestFit="1" customWidth="1"/>
    <col min="50" max="52" width="4.28515625" style="44" bestFit="1" customWidth="1"/>
    <col min="53" max="53" width="4.28515625" style="44" customWidth="1"/>
    <col min="54" max="54" width="13" style="43" bestFit="1" customWidth="1"/>
    <col min="55" max="16384" width="9.140625" style="43"/>
  </cols>
  <sheetData>
    <row r="1" spans="1:54" x14ac:dyDescent="0.25">
      <c r="A1" s="42" t="s">
        <v>152</v>
      </c>
      <c r="F1" s="44" t="s">
        <v>61</v>
      </c>
      <c r="G1" s="44" t="s">
        <v>62</v>
      </c>
      <c r="H1" s="44" t="s">
        <v>63</v>
      </c>
      <c r="I1" s="44" t="s">
        <v>64</v>
      </c>
      <c r="J1" s="44" t="s">
        <v>65</v>
      </c>
      <c r="K1" s="44" t="s">
        <v>66</v>
      </c>
      <c r="L1" s="44" t="s">
        <v>67</v>
      </c>
      <c r="M1" s="44" t="s">
        <v>68</v>
      </c>
      <c r="N1" s="44" t="s">
        <v>69</v>
      </c>
      <c r="O1" s="44" t="s">
        <v>70</v>
      </c>
      <c r="P1" s="44" t="s">
        <v>71</v>
      </c>
      <c r="Q1" s="44" t="s">
        <v>72</v>
      </c>
      <c r="R1" s="44" t="s">
        <v>73</v>
      </c>
      <c r="S1" s="44" t="s">
        <v>74</v>
      </c>
      <c r="T1" s="44" t="s">
        <v>75</v>
      </c>
      <c r="U1" s="44" t="s">
        <v>76</v>
      </c>
      <c r="V1" s="44" t="s">
        <v>77</v>
      </c>
      <c r="W1" s="44" t="s">
        <v>78</v>
      </c>
      <c r="X1" s="44" t="s">
        <v>79</v>
      </c>
      <c r="Y1" s="44" t="s">
        <v>80</v>
      </c>
      <c r="Z1" s="44" t="s">
        <v>81</v>
      </c>
      <c r="AA1" s="44" t="s">
        <v>82</v>
      </c>
      <c r="AB1" s="44" t="s">
        <v>83</v>
      </c>
      <c r="AC1" s="44" t="s">
        <v>84</v>
      </c>
      <c r="AD1" s="44" t="s">
        <v>85</v>
      </c>
      <c r="AE1" s="44" t="s">
        <v>86</v>
      </c>
      <c r="AF1" s="44" t="s">
        <v>87</v>
      </c>
      <c r="AG1" s="44" t="s">
        <v>88</v>
      </c>
      <c r="AH1" s="44" t="s">
        <v>89</v>
      </c>
      <c r="AI1" s="44" t="s">
        <v>90</v>
      </c>
      <c r="AJ1" s="44" t="s">
        <v>91</v>
      </c>
      <c r="AK1" s="44" t="s">
        <v>92</v>
      </c>
      <c r="AL1" s="44" t="s">
        <v>93</v>
      </c>
      <c r="AM1" s="44" t="s">
        <v>94</v>
      </c>
      <c r="AN1" s="44" t="s">
        <v>95</v>
      </c>
      <c r="AO1" s="44" t="s">
        <v>96</v>
      </c>
      <c r="AP1" s="44" t="s">
        <v>97</v>
      </c>
      <c r="AQ1" s="44" t="s">
        <v>98</v>
      </c>
      <c r="AR1" s="44" t="s">
        <v>99</v>
      </c>
      <c r="AS1" s="44" t="s">
        <v>100</v>
      </c>
      <c r="AT1" s="44" t="s">
        <v>101</v>
      </c>
      <c r="AU1" s="44" t="s">
        <v>102</v>
      </c>
      <c r="AV1" s="44" t="s">
        <v>103</v>
      </c>
      <c r="AW1" s="44" t="s">
        <v>104</v>
      </c>
    </row>
    <row r="2" spans="1:54" s="46" customFormat="1" ht="109.5" x14ac:dyDescent="0.25">
      <c r="A2" s="45"/>
      <c r="B2" s="50" t="s">
        <v>56</v>
      </c>
      <c r="C2" s="50" t="s">
        <v>57</v>
      </c>
      <c r="D2" s="50" t="s">
        <v>58</v>
      </c>
      <c r="E2" s="50" t="s">
        <v>59</v>
      </c>
      <c r="F2" s="47" t="s">
        <v>105</v>
      </c>
      <c r="G2" s="47" t="s">
        <v>106</v>
      </c>
      <c r="H2" s="47" t="s">
        <v>107</v>
      </c>
      <c r="I2" s="47" t="s">
        <v>108</v>
      </c>
      <c r="J2" s="47" t="s">
        <v>109</v>
      </c>
      <c r="K2" s="47" t="s">
        <v>110</v>
      </c>
      <c r="L2" s="47" t="s">
        <v>111</v>
      </c>
      <c r="M2" s="47" t="s">
        <v>112</v>
      </c>
      <c r="N2" s="47" t="s">
        <v>113</v>
      </c>
      <c r="O2" s="47" t="s">
        <v>114</v>
      </c>
      <c r="P2" s="47" t="s">
        <v>115</v>
      </c>
      <c r="Q2" s="47" t="s">
        <v>116</v>
      </c>
      <c r="R2" s="47" t="s">
        <v>117</v>
      </c>
      <c r="S2" s="47" t="s">
        <v>118</v>
      </c>
      <c r="T2" s="47" t="s">
        <v>119</v>
      </c>
      <c r="U2" s="47" t="s">
        <v>120</v>
      </c>
      <c r="V2" s="47" t="s">
        <v>121</v>
      </c>
      <c r="W2" s="47" t="s">
        <v>122</v>
      </c>
      <c r="X2" s="47" t="s">
        <v>123</v>
      </c>
      <c r="Y2" s="47" t="s">
        <v>124</v>
      </c>
      <c r="Z2" s="47" t="s">
        <v>125</v>
      </c>
      <c r="AA2" s="47" t="s">
        <v>126</v>
      </c>
      <c r="AB2" s="47" t="s">
        <v>127</v>
      </c>
      <c r="AC2" s="47" t="s">
        <v>128</v>
      </c>
      <c r="AD2" s="47" t="s">
        <v>129</v>
      </c>
      <c r="AE2" s="47" t="s">
        <v>130</v>
      </c>
      <c r="AF2" s="47" t="s">
        <v>131</v>
      </c>
      <c r="AG2" s="47" t="s">
        <v>132</v>
      </c>
      <c r="AH2" s="47" t="s">
        <v>133</v>
      </c>
      <c r="AI2" s="47" t="s">
        <v>134</v>
      </c>
      <c r="AJ2" s="47" t="s">
        <v>135</v>
      </c>
      <c r="AK2" s="47" t="s">
        <v>136</v>
      </c>
      <c r="AL2" s="47" t="s">
        <v>137</v>
      </c>
      <c r="AM2" s="47" t="s">
        <v>138</v>
      </c>
      <c r="AN2" s="47" t="s">
        <v>139</v>
      </c>
      <c r="AO2" s="47" t="s">
        <v>140</v>
      </c>
      <c r="AP2" s="47" t="s">
        <v>141</v>
      </c>
      <c r="AQ2" s="47" t="s">
        <v>142</v>
      </c>
      <c r="AR2" s="47" t="s">
        <v>143</v>
      </c>
      <c r="AS2" s="47" t="s">
        <v>144</v>
      </c>
      <c r="AT2" s="47" t="s">
        <v>145</v>
      </c>
      <c r="AU2" s="47" t="s">
        <v>146</v>
      </c>
      <c r="AV2" s="47" t="s">
        <v>147</v>
      </c>
      <c r="AW2" s="47" t="s">
        <v>148</v>
      </c>
      <c r="AX2" s="47" t="s">
        <v>149</v>
      </c>
      <c r="AY2" s="47" t="s">
        <v>150</v>
      </c>
      <c r="AZ2" s="47" t="s">
        <v>151</v>
      </c>
      <c r="BA2" s="47" t="s">
        <v>153</v>
      </c>
      <c r="BB2" s="46" t="s">
        <v>154</v>
      </c>
    </row>
    <row r="3" spans="1:54" x14ac:dyDescent="0.25">
      <c r="A3" s="42" t="s">
        <v>60</v>
      </c>
      <c r="B3" s="51">
        <v>1.5</v>
      </c>
      <c r="C3" s="49">
        <v>450</v>
      </c>
      <c r="D3" s="49">
        <v>20</v>
      </c>
      <c r="E3" s="49">
        <v>0</v>
      </c>
      <c r="F3" s="48">
        <v>0</v>
      </c>
      <c r="G3" s="48">
        <f>Calc!$M$7</f>
        <v>0.18733325868705833</v>
      </c>
      <c r="H3" s="48">
        <f>Calc!$M$8</f>
        <v>0.37067177150519193</v>
      </c>
      <c r="I3" s="48">
        <f>Calc!$M$9</f>
        <v>0.55005543028767456</v>
      </c>
      <c r="J3" s="48">
        <f>Calc!$M$10</f>
        <v>0.72552426463983044</v>
      </c>
      <c r="K3" s="48">
        <f>Calc!$M$11</f>
        <v>0.89711844048898226</v>
      </c>
      <c r="L3" s="48">
        <f>Calc!$M$12</f>
        <v>1.0648782586307997</v>
      </c>
      <c r="M3" s="48">
        <f>Calc!$M$13</f>
        <v>1.2288441532720127</v>
      </c>
      <c r="N3" s="48">
        <f>Calc!$M$14</f>
        <v>1.3890566905697999</v>
      </c>
      <c r="O3" s="48">
        <f>Calc!$M$15</f>
        <v>1.5455565671675171</v>
      </c>
      <c r="P3" s="48">
        <f>Calc!$M$16</f>
        <v>1.6983846087272279</v>
      </c>
      <c r="Q3" s="48">
        <f>IF(Calc!$C$22,Calc!$Q$6,P3-(P3-R3)/2)</f>
        <v>1.7025935633323328</v>
      </c>
      <c r="R3" s="48">
        <f>Calc!$Q$7</f>
        <v>1.7068025179374378</v>
      </c>
      <c r="S3" s="48">
        <f>Calc!$Q$8</f>
        <v>1.7176121067406587</v>
      </c>
      <c r="T3" s="48">
        <f>Calc!$Q$9</f>
        <v>1.73192244548298</v>
      </c>
      <c r="U3" s="48">
        <f>Calc!$Q$10</f>
        <v>1.7514982471870195</v>
      </c>
      <c r="V3" s="48">
        <f>Calc!$Q$11</f>
        <v>1.7791950085399102</v>
      </c>
      <c r="W3" s="48">
        <f>Calc!$Q$12</f>
        <v>1.8196254240987417</v>
      </c>
      <c r="X3" s="48">
        <f>Calc!$Q$13</f>
        <v>1.8798925618280715</v>
      </c>
      <c r="Y3" s="48">
        <f>Calc!$Q$14</f>
        <v>1.9692436093655949</v>
      </c>
      <c r="Z3" s="48">
        <f>Calc!$Q$15</f>
        <v>2.0942510746030334</v>
      </c>
      <c r="AA3" s="48">
        <f>Calc!$Q$16</f>
        <v>2.2470892775295672</v>
      </c>
      <c r="AB3" s="48">
        <f>Calc!$N$6</f>
        <v>340.63058547340023</v>
      </c>
      <c r="AC3" s="48">
        <f>Calc!$N$7</f>
        <v>340.14961748479982</v>
      </c>
      <c r="AD3" s="48">
        <f>Calc!$N$8</f>
        <v>339.67303151327582</v>
      </c>
      <c r="AE3" s="48">
        <f>Calc!$N$9</f>
        <v>339.20085244218046</v>
      </c>
      <c r="AF3" s="48">
        <f>Calc!$N$10</f>
        <v>338.7331048979986</v>
      </c>
      <c r="AG3" s="48">
        <f>Calc!$N$11</f>
        <v>338.26981324963242</v>
      </c>
      <c r="AH3" s="48">
        <f>Calc!$N$12</f>
        <v>337.81100160769455</v>
      </c>
      <c r="AI3" s="48">
        <f>Calc!$N$13</f>
        <v>337.35669382380735</v>
      </c>
      <c r="AJ3" s="48">
        <f>Calc!$N$14</f>
        <v>336.90691348991152</v>
      </c>
      <c r="AK3" s="48">
        <f>Calc!$N$15</f>
        <v>336.46168393758137</v>
      </c>
      <c r="AL3" s="48">
        <f>Calc!$N$16</f>
        <v>336.02102823734776</v>
      </c>
      <c r="AM3" s="48">
        <f>IF(Calc!$C$22,Calc!$R$6,AL3-(AL3-AN3)/2)</f>
        <v>336.00948945092841</v>
      </c>
      <c r="AN3" s="48">
        <f>Calc!$R$7</f>
        <v>335.99795066450906</v>
      </c>
      <c r="AO3" s="48">
        <f>Calc!$R$8</f>
        <v>335.97163706788047</v>
      </c>
      <c r="AP3" s="48">
        <f>Calc!$R$9</f>
        <v>335.94111594901256</v>
      </c>
      <c r="AQ3" s="48">
        <f>Calc!$R$10</f>
        <v>335.90516686902077</v>
      </c>
      <c r="AR3" s="48">
        <f>Calc!$R$11</f>
        <v>335.86238881642055</v>
      </c>
      <c r="AS3" s="48">
        <f>Calc!$R$12</f>
        <v>335.81158170189661</v>
      </c>
      <c r="AT3" s="48">
        <f>Calc!$R$13</f>
        <v>335.75297126520979</v>
      </c>
      <c r="AU3" s="48">
        <f>Calc!$R$14</f>
        <v>335.69113907133101</v>
      </c>
      <c r="AV3" s="48">
        <f>Calc!$R$15</f>
        <v>335.63922071123017</v>
      </c>
      <c r="AW3" s="48">
        <f>Calc!$R$16</f>
        <v>335.61747751685817</v>
      </c>
      <c r="AX3" s="44" t="str">
        <f>IF(Calc!$C$23,"S","U")</f>
        <v>U</v>
      </c>
      <c r="AY3" s="44">
        <f>(pr+s+a)*2*m</f>
        <v>678</v>
      </c>
      <c r="AZ3" s="44">
        <f>$C$3</f>
        <v>450</v>
      </c>
      <c r="BA3" s="44">
        <f>(pr+s)*2*m</f>
        <v>675</v>
      </c>
      <c r="BB3" s="43">
        <v>337.26925151058299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"/>
  <sheetViews>
    <sheetView workbookViewId="0">
      <selection activeCell="D12" sqref="D12"/>
    </sheetView>
  </sheetViews>
  <sheetFormatPr defaultRowHeight="15" x14ac:dyDescent="0.25"/>
  <cols>
    <col min="1" max="1" width="3.7109375" customWidth="1"/>
    <col min="2" max="2" width="18" bestFit="1" customWidth="1"/>
    <col min="3" max="3" width="7.7109375" bestFit="1" customWidth="1"/>
    <col min="4" max="4" width="7.5703125" bestFit="1" customWidth="1"/>
    <col min="5" max="5" width="8" bestFit="1" customWidth="1"/>
    <col min="6" max="6" width="9.140625" bestFit="1" customWidth="1"/>
    <col min="7" max="7" width="3.85546875" customWidth="1"/>
    <col min="8" max="8" width="5.140625" bestFit="1" customWidth="1"/>
    <col min="9" max="10" width="5.5703125" bestFit="1" customWidth="1"/>
    <col min="11" max="11" width="6.5703125" bestFit="1" customWidth="1"/>
    <col min="12" max="13" width="5.5703125" bestFit="1" customWidth="1"/>
    <col min="14" max="14" width="6.5703125" bestFit="1" customWidth="1"/>
    <col min="15" max="15" width="6.28515625" bestFit="1" customWidth="1"/>
    <col min="16" max="17" width="5.5703125" bestFit="1" customWidth="1"/>
    <col min="18" max="18" width="6.5703125" bestFit="1" customWidth="1"/>
    <col min="19" max="20" width="5.5703125" customWidth="1"/>
    <col min="21" max="21" width="6.5703125" bestFit="1" customWidth="1"/>
    <col min="22" max="22" width="6.140625" bestFit="1" customWidth="1"/>
  </cols>
  <sheetData>
    <row r="2" spans="2:21" x14ac:dyDescent="0.25">
      <c r="B2" t="s">
        <v>6</v>
      </c>
      <c r="C2" s="5" t="s">
        <v>1</v>
      </c>
      <c r="D2" s="6">
        <f>PI()/4</f>
        <v>0.78539816339744828</v>
      </c>
      <c r="I2" s="52" t="s">
        <v>40</v>
      </c>
      <c r="J2" s="53"/>
      <c r="K2" s="54"/>
      <c r="L2" s="55" t="s">
        <v>35</v>
      </c>
      <c r="M2" s="56"/>
      <c r="N2" s="56"/>
      <c r="O2" s="57" t="s">
        <v>36</v>
      </c>
      <c r="P2" s="58"/>
      <c r="Q2" s="58"/>
      <c r="R2" s="59"/>
      <c r="S2" s="60" t="s">
        <v>39</v>
      </c>
      <c r="T2" s="61"/>
      <c r="U2" s="62"/>
    </row>
    <row r="3" spans="2:21" x14ac:dyDescent="0.25">
      <c r="B3" t="s">
        <v>7</v>
      </c>
      <c r="C3" s="5" t="s">
        <v>0</v>
      </c>
      <c r="D3" s="6">
        <f>1</f>
        <v>1</v>
      </c>
      <c r="H3" t="s">
        <v>37</v>
      </c>
      <c r="I3" s="16">
        <v>0</v>
      </c>
      <c r="J3" s="10"/>
      <c r="K3" s="11"/>
      <c r="L3" s="16">
        <f>$E$19</f>
        <v>0.39189411962550003</v>
      </c>
      <c r="N3" s="10"/>
      <c r="O3" s="16">
        <f>IF($C$22,$F$20,$D$20)</f>
        <v>-1.7318867447446262E-2</v>
      </c>
      <c r="P3" s="10"/>
      <c r="Q3" s="10"/>
      <c r="R3" s="11"/>
      <c r="S3" s="16">
        <f>-O4</f>
        <v>6.695288092221737E-3</v>
      </c>
      <c r="T3" s="10"/>
      <c r="U3" s="11"/>
    </row>
    <row r="4" spans="2:21" x14ac:dyDescent="0.25">
      <c r="B4" t="s">
        <v>8</v>
      </c>
      <c r="C4" s="5" t="s">
        <v>2</v>
      </c>
      <c r="D4" s="6">
        <f>1.25</f>
        <v>1.25</v>
      </c>
      <c r="H4" t="s">
        <v>38</v>
      </c>
      <c r="I4" s="16">
        <f>ATAN(D19)-D19+ha</f>
        <v>1.8462906834397774E-3</v>
      </c>
      <c r="J4" s="10"/>
      <c r="K4" s="11"/>
      <c r="L4" s="16">
        <f>IF($C$22,$F$18,$D$18)</f>
        <v>0.35014202532274474</v>
      </c>
      <c r="N4" s="10"/>
      <c r="O4" s="16">
        <f>$D$21</f>
        <v>-6.695288092221737E-3</v>
      </c>
      <c r="Q4" s="10"/>
      <c r="R4" s="11"/>
      <c r="S4" s="16">
        <f>PI()/z</f>
        <v>6.9813170079773184E-3</v>
      </c>
      <c r="T4" s="10"/>
      <c r="U4" s="11"/>
    </row>
    <row r="5" spans="2:21" x14ac:dyDescent="0.25">
      <c r="B5" t="s">
        <v>9</v>
      </c>
      <c r="C5" s="5" t="s">
        <v>3</v>
      </c>
      <c r="D5" s="6">
        <f>0.38</f>
        <v>0.38</v>
      </c>
      <c r="I5" s="12" t="s">
        <v>43</v>
      </c>
      <c r="J5" s="13" t="s">
        <v>41</v>
      </c>
      <c r="K5" s="14" t="s">
        <v>42</v>
      </c>
      <c r="L5" s="15" t="s">
        <v>44</v>
      </c>
      <c r="M5" s="13" t="s">
        <v>41</v>
      </c>
      <c r="N5" s="13" t="s">
        <v>42</v>
      </c>
      <c r="O5" s="15" t="s">
        <v>45</v>
      </c>
      <c r="P5" s="21" t="s">
        <v>46</v>
      </c>
      <c r="Q5" s="13" t="s">
        <v>41</v>
      </c>
      <c r="R5" s="14" t="s">
        <v>42</v>
      </c>
      <c r="S5" s="12" t="s">
        <v>43</v>
      </c>
      <c r="T5" s="13" t="s">
        <v>41</v>
      </c>
      <c r="U5" s="14" t="s">
        <v>42</v>
      </c>
    </row>
    <row r="6" spans="2:21" x14ac:dyDescent="0.25">
      <c r="B6" t="s">
        <v>10</v>
      </c>
      <c r="C6" s="5" t="s">
        <v>4</v>
      </c>
      <c r="D6" s="7">
        <f>Table!$B$3</f>
        <v>1.5</v>
      </c>
      <c r="H6">
        <v>0</v>
      </c>
      <c r="I6" s="16">
        <f>I3</f>
        <v>0</v>
      </c>
      <c r="J6" s="3">
        <f t="shared" ref="J6:J16" si="0">ar*SIN(I6)*m</f>
        <v>0</v>
      </c>
      <c r="K6" s="17">
        <f t="shared" ref="K6:K16" si="1">ar*COS(I6)*m</f>
        <v>339</v>
      </c>
      <c r="L6" s="16">
        <f>L3</f>
        <v>0.39189411962550003</v>
      </c>
      <c r="M6" s="3">
        <f t="shared" ref="M6:M16" si="2">(br*SQRT(1+L6^2)*SIN(ATAN(L6)-L6+ha))*m</f>
        <v>7.5635183776823263E-14</v>
      </c>
      <c r="N6" s="3">
        <f t="shared" ref="N6:N16" si="3">(br*SQRT(1+L6^2)*COS(ATAN(L6)-L6+ha))*m</f>
        <v>340.63058547340023</v>
      </c>
      <c r="O6" s="16">
        <f>O3</f>
        <v>-1.7318867447446262E-2</v>
      </c>
      <c r="P6" s="3">
        <f t="shared" ref="P6:P16" si="4">1+e/SQRT((pr*O6+uc)^2+(s+vc)^2)</f>
        <v>1.1493881085790278</v>
      </c>
      <c r="Q6" s="3">
        <f t="shared" ref="Q6:Q16" si="5">(P6*(pr*O6+uc)*COS(O6)-(pr+P6*(s+vc))*SIN(O6))*m</f>
        <v>1.6983846087272259</v>
      </c>
      <c r="R6" s="17">
        <f t="shared" ref="R6:R16" si="6">(P6*(pr*O6+uc)*SIN(O6)+(pr+P6*(s+vc))*COS(O6))*m</f>
        <v>336.02102823734771</v>
      </c>
      <c r="S6" s="16">
        <f>S3</f>
        <v>6.695288092221737E-3</v>
      </c>
      <c r="T6" s="3">
        <f t="shared" ref="T6:T16" si="7">(pr-b+s)*SIN(S6)*m</f>
        <v>2.2470892775295672</v>
      </c>
      <c r="U6" s="17">
        <f t="shared" ref="U6:U16" si="8">(pr-b+s)*COS(S6)*m</f>
        <v>335.61747751685817</v>
      </c>
    </row>
    <row r="7" spans="2:21" x14ac:dyDescent="0.25">
      <c r="B7" t="s">
        <v>11</v>
      </c>
      <c r="C7" s="5" t="s">
        <v>5</v>
      </c>
      <c r="D7" s="7">
        <f>Table!$C$3</f>
        <v>450</v>
      </c>
      <c r="E7" s="18" t="s">
        <v>30</v>
      </c>
      <c r="F7" s="18" t="s">
        <v>31</v>
      </c>
      <c r="H7">
        <v>1</v>
      </c>
      <c r="I7" s="16">
        <f t="shared" ref="I7:I15" si="9">$H7*(I$16-I$6)/$H$16+I$6</f>
        <v>1.8462906834397773E-4</v>
      </c>
      <c r="J7" s="3">
        <f t="shared" si="0"/>
        <v>6.2589253813019149E-2</v>
      </c>
      <c r="K7" s="17">
        <f t="shared" si="1"/>
        <v>338.9999942221022</v>
      </c>
      <c r="L7" s="16">
        <f t="shared" ref="L7:L15" si="10">$H7*(L$16-L$6)/$H$16+L$6</f>
        <v>0.38771891019522448</v>
      </c>
      <c r="M7" s="3">
        <f t="shared" si="2"/>
        <v>0.18733325868705833</v>
      </c>
      <c r="N7" s="3">
        <f t="shared" si="3"/>
        <v>340.14961748479982</v>
      </c>
      <c r="O7" s="16">
        <f t="shared" ref="O7:O15" si="11">$H7*(O$16-O$6)/$H$16+O$6</f>
        <v>-1.6256509511923811E-2</v>
      </c>
      <c r="P7" s="3">
        <f t="shared" si="4"/>
        <v>1.1637553308285931</v>
      </c>
      <c r="Q7" s="3">
        <f t="shared" si="5"/>
        <v>1.7068025179374378</v>
      </c>
      <c r="R7" s="17">
        <f t="shared" si="6"/>
        <v>335.99795066450906</v>
      </c>
      <c r="S7" s="16">
        <f t="shared" ref="S7:S15" si="12">$H7*(S$16-S$6)/$H$16+S$6</f>
        <v>6.7238909837972951E-3</v>
      </c>
      <c r="T7" s="3">
        <f t="shared" si="7"/>
        <v>2.2566889069293348</v>
      </c>
      <c r="U7" s="17">
        <f t="shared" si="8"/>
        <v>335.61741310631862</v>
      </c>
    </row>
    <row r="8" spans="2:21" x14ac:dyDescent="0.25">
      <c r="B8" t="s">
        <v>12</v>
      </c>
      <c r="C8" s="5" t="s">
        <v>13</v>
      </c>
      <c r="D8" s="7">
        <f>Table!$E$3</f>
        <v>0</v>
      </c>
      <c r="E8" s="19">
        <f>MAX(-0.5, (30-z)/40)</f>
        <v>-0.5</v>
      </c>
      <c r="F8" s="19">
        <v>0.6</v>
      </c>
      <c r="H8">
        <v>2</v>
      </c>
      <c r="I8" s="16">
        <f t="shared" si="9"/>
        <v>3.6925813668795546E-4</v>
      </c>
      <c r="J8" s="3">
        <f t="shared" si="0"/>
        <v>0.12517850549250253</v>
      </c>
      <c r="K8" s="17">
        <f t="shared" si="1"/>
        <v>338.99997688840892</v>
      </c>
      <c r="L8" s="16">
        <f t="shared" si="10"/>
        <v>0.38354370076494898</v>
      </c>
      <c r="M8" s="3">
        <f t="shared" si="2"/>
        <v>0.37067177150519193</v>
      </c>
      <c r="N8" s="3">
        <f t="shared" si="3"/>
        <v>339.67303151327582</v>
      </c>
      <c r="O8" s="16">
        <f t="shared" si="11"/>
        <v>-1.5194151576401357E-2</v>
      </c>
      <c r="P8" s="3">
        <f t="shared" si="4"/>
        <v>1.1808790147027211</v>
      </c>
      <c r="Q8" s="3">
        <f t="shared" si="5"/>
        <v>1.7176121067406587</v>
      </c>
      <c r="R8" s="17">
        <f t="shared" si="6"/>
        <v>335.97163706788047</v>
      </c>
      <c r="S8" s="16">
        <f t="shared" si="12"/>
        <v>6.7524938753728532E-3</v>
      </c>
      <c r="T8" s="3">
        <f t="shared" si="7"/>
        <v>2.2662885344828476</v>
      </c>
      <c r="U8" s="17">
        <f t="shared" si="8"/>
        <v>335.61734842120194</v>
      </c>
    </row>
    <row r="9" spans="2:21" x14ac:dyDescent="0.25">
      <c r="B9" t="s">
        <v>14</v>
      </c>
      <c r="C9" s="8" t="s">
        <v>15</v>
      </c>
      <c r="D9" s="7">
        <f>RADIANS(Table!$D$3)</f>
        <v>0.3490658503988659</v>
      </c>
      <c r="H9">
        <v>3</v>
      </c>
      <c r="I9" s="16">
        <f t="shared" si="9"/>
        <v>5.5388720503193325E-4</v>
      </c>
      <c r="J9" s="3">
        <f t="shared" si="0"/>
        <v>0.18776775290491449</v>
      </c>
      <c r="K9" s="17">
        <f t="shared" si="1"/>
        <v>338.99994799892073</v>
      </c>
      <c r="L9" s="16">
        <f t="shared" si="10"/>
        <v>0.37936849133467343</v>
      </c>
      <c r="M9" s="3">
        <f t="shared" si="2"/>
        <v>0.55005543028767456</v>
      </c>
      <c r="N9" s="3">
        <f t="shared" si="3"/>
        <v>339.20085244218046</v>
      </c>
      <c r="O9" s="16">
        <f t="shared" si="11"/>
        <v>-1.4131793640878906E-2</v>
      </c>
      <c r="P9" s="3">
        <f t="shared" si="4"/>
        <v>1.2014974194170596</v>
      </c>
      <c r="Q9" s="3">
        <f t="shared" si="5"/>
        <v>1.73192244548298</v>
      </c>
      <c r="R9" s="17">
        <f t="shared" si="6"/>
        <v>335.94111594901256</v>
      </c>
      <c r="S9" s="16">
        <f t="shared" si="12"/>
        <v>6.7810967669484114E-3</v>
      </c>
      <c r="T9" s="3">
        <f t="shared" si="7"/>
        <v>2.2758881601822525</v>
      </c>
      <c r="U9" s="17">
        <f t="shared" si="8"/>
        <v>335.61728346150818</v>
      </c>
    </row>
    <row r="10" spans="2:21" x14ac:dyDescent="0.25">
      <c r="B10" t="s">
        <v>17</v>
      </c>
      <c r="C10" s="9" t="s">
        <v>16</v>
      </c>
      <c r="D10" s="6">
        <f>z/2</f>
        <v>225</v>
      </c>
      <c r="H10">
        <v>4</v>
      </c>
      <c r="I10" s="16">
        <f t="shared" si="9"/>
        <v>7.3851627337591093E-4</v>
      </c>
      <c r="J10" s="3">
        <f t="shared" si="0"/>
        <v>0.25035699391671928</v>
      </c>
      <c r="K10" s="17">
        <f t="shared" si="1"/>
        <v>338.99990755363876</v>
      </c>
      <c r="L10" s="16">
        <f t="shared" si="10"/>
        <v>0.37519328190439794</v>
      </c>
      <c r="M10" s="3">
        <f t="shared" si="2"/>
        <v>0.72552426463983044</v>
      </c>
      <c r="N10" s="3">
        <f t="shared" si="3"/>
        <v>338.7331048979986</v>
      </c>
      <c r="O10" s="16">
        <f t="shared" si="11"/>
        <v>-1.3069435705356453E-2</v>
      </c>
      <c r="P10" s="3">
        <f t="shared" si="4"/>
        <v>1.2265366179920452</v>
      </c>
      <c r="Q10" s="3">
        <f t="shared" si="5"/>
        <v>1.7514982471870195</v>
      </c>
      <c r="R10" s="17">
        <f t="shared" si="6"/>
        <v>335.90516686902077</v>
      </c>
      <c r="S10" s="16">
        <f t="shared" si="12"/>
        <v>6.8096996585239695E-3</v>
      </c>
      <c r="T10" s="3">
        <f t="shared" si="7"/>
        <v>2.2854877840196952</v>
      </c>
      <c r="U10" s="17">
        <f t="shared" si="8"/>
        <v>335.6172182272374</v>
      </c>
    </row>
    <row r="11" spans="2:21" x14ac:dyDescent="0.25">
      <c r="B11" t="s">
        <v>18</v>
      </c>
      <c r="C11" s="9" t="s">
        <v>19</v>
      </c>
      <c r="D11" s="6">
        <f>pr*COS(pa)</f>
        <v>211.43083967682941</v>
      </c>
      <c r="H11">
        <v>5</v>
      </c>
      <c r="I11" s="16">
        <f t="shared" si="9"/>
        <v>9.2314534171988871E-4</v>
      </c>
      <c r="J11" s="3">
        <f t="shared" si="0"/>
        <v>0.31294622639438185</v>
      </c>
      <c r="K11" s="17">
        <f t="shared" si="1"/>
        <v>338.99985555256421</v>
      </c>
      <c r="L11" s="16">
        <f t="shared" si="10"/>
        <v>0.37101807247412238</v>
      </c>
      <c r="M11" s="3">
        <f t="shared" si="2"/>
        <v>0.89711844048898226</v>
      </c>
      <c r="N11" s="3">
        <f t="shared" si="3"/>
        <v>338.26981324963242</v>
      </c>
      <c r="O11" s="16">
        <f t="shared" si="11"/>
        <v>-1.2007077769834E-2</v>
      </c>
      <c r="P11" s="3">
        <f t="shared" si="4"/>
        <v>1.2570567812064832</v>
      </c>
      <c r="Q11" s="3">
        <f t="shared" si="5"/>
        <v>1.7791950085399102</v>
      </c>
      <c r="R11" s="17">
        <f t="shared" si="6"/>
        <v>335.86238881642055</v>
      </c>
      <c r="S11" s="16">
        <f t="shared" si="12"/>
        <v>6.8383025500995277E-3</v>
      </c>
      <c r="T11" s="3">
        <f t="shared" si="7"/>
        <v>2.295087405987323</v>
      </c>
      <c r="U11" s="17">
        <f t="shared" si="8"/>
        <v>335.61715271838966</v>
      </c>
    </row>
    <row r="12" spans="2:21" ht="18" x14ac:dyDescent="0.35">
      <c r="B12" t="s">
        <v>28</v>
      </c>
      <c r="C12" s="9" t="s">
        <v>29</v>
      </c>
      <c r="D12" s="6">
        <f>pr+s+a</f>
        <v>226</v>
      </c>
      <c r="H12">
        <v>6</v>
      </c>
      <c r="I12" s="16">
        <f t="shared" si="9"/>
        <v>1.1077744100638665E-3</v>
      </c>
      <c r="J12" s="3">
        <f t="shared" si="0"/>
        <v>0.37553544820436696</v>
      </c>
      <c r="K12" s="17">
        <f t="shared" si="1"/>
        <v>338.9997919956989</v>
      </c>
      <c r="L12" s="16">
        <f t="shared" si="10"/>
        <v>0.36684286304384683</v>
      </c>
      <c r="M12" s="3">
        <f t="shared" si="2"/>
        <v>1.0648782586307997</v>
      </c>
      <c r="N12" s="3">
        <f t="shared" si="3"/>
        <v>337.81100160769455</v>
      </c>
      <c r="O12" s="16">
        <f t="shared" si="11"/>
        <v>-1.0944719834311547E-2</v>
      </c>
      <c r="P12" s="3">
        <f t="shared" si="4"/>
        <v>1.2939587106017034</v>
      </c>
      <c r="Q12" s="3">
        <f t="shared" si="5"/>
        <v>1.8196254240987417</v>
      </c>
      <c r="R12" s="17">
        <f t="shared" si="6"/>
        <v>335.81158170189661</v>
      </c>
      <c r="S12" s="16">
        <f t="shared" si="12"/>
        <v>6.8669054416750858E-3</v>
      </c>
      <c r="T12" s="3">
        <f t="shared" si="7"/>
        <v>2.3046870260772807</v>
      </c>
      <c r="U12" s="17">
        <f t="shared" si="8"/>
        <v>335.61708693496496</v>
      </c>
    </row>
    <row r="13" spans="2:21" x14ac:dyDescent="0.25">
      <c r="B13" t="s">
        <v>21</v>
      </c>
      <c r="C13" s="9" t="s">
        <v>20</v>
      </c>
      <c r="D13" s="6">
        <f>(h+s*TAN(pa))/pr+TAN(pa)-pa</f>
        <v>1.839504237132511E-2</v>
      </c>
      <c r="H13">
        <v>7</v>
      </c>
      <c r="I13" s="16">
        <f t="shared" si="9"/>
        <v>1.2924034784078443E-3</v>
      </c>
      <c r="J13" s="3">
        <f t="shared" si="0"/>
        <v>0.43812465721313998</v>
      </c>
      <c r="K13" s="17">
        <f t="shared" si="1"/>
        <v>338.99971688304515</v>
      </c>
      <c r="L13" s="16">
        <f t="shared" si="10"/>
        <v>0.36266765361357134</v>
      </c>
      <c r="M13" s="3">
        <f t="shared" si="2"/>
        <v>1.2288441532720127</v>
      </c>
      <c r="N13" s="3">
        <f t="shared" si="3"/>
        <v>337.35669382380735</v>
      </c>
      <c r="O13" s="16">
        <f t="shared" si="11"/>
        <v>-9.8823618987890945E-3</v>
      </c>
      <c r="P13" s="3">
        <f t="shared" si="4"/>
        <v>1.3370468379002505</v>
      </c>
      <c r="Q13" s="3">
        <f t="shared" si="5"/>
        <v>1.8798925618280715</v>
      </c>
      <c r="R13" s="17">
        <f t="shared" si="6"/>
        <v>335.75297126520979</v>
      </c>
      <c r="S13" s="16">
        <f t="shared" si="12"/>
        <v>6.8955083332506439E-3</v>
      </c>
      <c r="T13" s="3">
        <f t="shared" si="7"/>
        <v>2.314286644281716</v>
      </c>
      <c r="U13" s="17">
        <f t="shared" si="8"/>
        <v>335.61702087696341</v>
      </c>
    </row>
    <row r="14" spans="2:21" x14ac:dyDescent="0.25">
      <c r="B14" t="s">
        <v>51</v>
      </c>
      <c r="C14" s="9" t="s">
        <v>32</v>
      </c>
      <c r="D14" s="6">
        <f>e-b</f>
        <v>-0.87</v>
      </c>
      <c r="H14">
        <v>8</v>
      </c>
      <c r="I14" s="16">
        <f t="shared" si="9"/>
        <v>1.4770325467518219E-3</v>
      </c>
      <c r="J14" s="3">
        <f t="shared" si="0"/>
        <v>0.5007138512871665</v>
      </c>
      <c r="K14" s="17">
        <f t="shared" si="1"/>
        <v>338.9996302146053</v>
      </c>
      <c r="L14" s="16">
        <f t="shared" si="10"/>
        <v>0.35849244418329579</v>
      </c>
      <c r="M14" s="3">
        <f t="shared" si="2"/>
        <v>1.3890566905697999</v>
      </c>
      <c r="N14" s="3">
        <f t="shared" si="3"/>
        <v>336.90691348991152</v>
      </c>
      <c r="O14" s="16">
        <f t="shared" si="11"/>
        <v>-8.8200039632666434E-3</v>
      </c>
      <c r="P14" s="3">
        <f t="shared" si="4"/>
        <v>1.3827965166241256</v>
      </c>
      <c r="Q14" s="3">
        <f t="shared" si="5"/>
        <v>1.9692436093655949</v>
      </c>
      <c r="R14" s="17">
        <f t="shared" si="6"/>
        <v>335.69113907133101</v>
      </c>
      <c r="S14" s="16">
        <f t="shared" si="12"/>
        <v>6.9241112248262021E-3</v>
      </c>
      <c r="T14" s="3">
        <f t="shared" si="7"/>
        <v>2.3238862605927744</v>
      </c>
      <c r="U14" s="17">
        <f t="shared" si="8"/>
        <v>335.61695454438507</v>
      </c>
    </row>
    <row r="15" spans="2:21" x14ac:dyDescent="0.25">
      <c r="B15" t="s">
        <v>51</v>
      </c>
      <c r="C15" s="9" t="s">
        <v>33</v>
      </c>
      <c r="D15" s="6">
        <f>h+e/COS(pa)-vc*TAN(pa)</f>
        <v>1.5064398207498908</v>
      </c>
      <c r="H15">
        <v>9</v>
      </c>
      <c r="I15" s="16">
        <f t="shared" si="9"/>
        <v>1.6616616150957996E-3</v>
      </c>
      <c r="J15" s="3">
        <f t="shared" si="0"/>
        <v>0.56330302829291323</v>
      </c>
      <c r="K15" s="17">
        <f t="shared" si="1"/>
        <v>338.99953199038242</v>
      </c>
      <c r="L15" s="16">
        <f t="shared" si="10"/>
        <v>0.35431723475302029</v>
      </c>
      <c r="M15" s="3">
        <f t="shared" si="2"/>
        <v>1.5455565671675171</v>
      </c>
      <c r="N15" s="3">
        <f t="shared" si="3"/>
        <v>336.46168393758137</v>
      </c>
      <c r="O15" s="16">
        <f t="shared" si="11"/>
        <v>-7.7576460277441906E-3</v>
      </c>
      <c r="P15" s="3">
        <f t="shared" si="4"/>
        <v>1.4211743345438872</v>
      </c>
      <c r="Q15" s="3">
        <f t="shared" si="5"/>
        <v>2.0942510746030334</v>
      </c>
      <c r="R15" s="17">
        <f t="shared" si="6"/>
        <v>335.63922071123017</v>
      </c>
      <c r="S15" s="16">
        <f t="shared" si="12"/>
        <v>6.9527141164017602E-3</v>
      </c>
      <c r="T15" s="3">
        <f t="shared" si="7"/>
        <v>2.333485875002602</v>
      </c>
      <c r="U15" s="17">
        <f t="shared" si="8"/>
        <v>335.61688793722999</v>
      </c>
    </row>
    <row r="16" spans="2:21" x14ac:dyDescent="0.25">
      <c r="C16" s="1"/>
      <c r="D16" s="20"/>
      <c r="H16">
        <v>10</v>
      </c>
      <c r="I16" s="16">
        <f>I4</f>
        <v>1.8462906834397774E-3</v>
      </c>
      <c r="J16" s="3">
        <f t="shared" si="0"/>
        <v>0.6258921860968466</v>
      </c>
      <c r="K16" s="17">
        <f t="shared" si="1"/>
        <v>338.99942221037986</v>
      </c>
      <c r="L16" s="16">
        <f>L4</f>
        <v>0.35014202532274474</v>
      </c>
      <c r="M16" s="3">
        <f t="shared" si="2"/>
        <v>1.6983846087272279</v>
      </c>
      <c r="N16" s="3">
        <f t="shared" si="3"/>
        <v>336.02102823734776</v>
      </c>
      <c r="O16" s="16">
        <f>O4</f>
        <v>-6.695288092221737E-3</v>
      </c>
      <c r="P16" s="3">
        <f t="shared" si="4"/>
        <v>1.4367816091954024</v>
      </c>
      <c r="Q16" s="3">
        <f t="shared" si="5"/>
        <v>2.2470892775295672</v>
      </c>
      <c r="R16" s="17">
        <f t="shared" si="6"/>
        <v>335.61747751685817</v>
      </c>
      <c r="S16" s="16">
        <f>S4</f>
        <v>6.9813170079773184E-3</v>
      </c>
      <c r="T16" s="3">
        <f t="shared" si="7"/>
        <v>2.343085487503346</v>
      </c>
      <c r="U16" s="17">
        <f t="shared" si="8"/>
        <v>335.61682105549812</v>
      </c>
    </row>
    <row r="17" spans="2:15" x14ac:dyDescent="0.25">
      <c r="C17" s="1"/>
      <c r="D17" t="s">
        <v>34</v>
      </c>
      <c r="E17" t="s">
        <v>48</v>
      </c>
      <c r="F17" t="s">
        <v>47</v>
      </c>
      <c r="M17" s="2"/>
    </row>
    <row r="18" spans="2:15" x14ac:dyDescent="0.25">
      <c r="B18" t="s">
        <v>22</v>
      </c>
      <c r="C18" s="1" t="s">
        <v>24</v>
      </c>
      <c r="D18" s="2">
        <f>TAN(pa)+(s+e*(1-SIN(pa))-b)/(br*SIN(pa))</f>
        <v>0.35014202532274474</v>
      </c>
      <c r="E18" s="6"/>
      <c r="F18" s="2">
        <f>'PSI, PHI Min Undercut'!$V$58</f>
        <v>0.35038991849469903</v>
      </c>
      <c r="O18" s="37"/>
    </row>
    <row r="19" spans="2:15" x14ac:dyDescent="0.25">
      <c r="B19" t="s">
        <v>22</v>
      </c>
      <c r="C19" s="1" t="s">
        <v>25</v>
      </c>
      <c r="D19" s="2">
        <f>SQRT((ar/br)^2-1)</f>
        <v>0.37757534320549463</v>
      </c>
      <c r="E19" s="2">
        <f>'PSI Max Pointed'!B34</f>
        <v>0.39189411962550003</v>
      </c>
      <c r="F19" s="6"/>
    </row>
    <row r="20" spans="2:15" x14ac:dyDescent="0.25">
      <c r="B20" t="s">
        <v>23</v>
      </c>
      <c r="C20" s="1" t="s">
        <v>26</v>
      </c>
      <c r="D20" s="2">
        <f>D18-pa-ha</f>
        <v>-1.7318867447446262E-2</v>
      </c>
      <c r="E20" s="6"/>
      <c r="F20" s="2">
        <f>'PSI, PHI Min Undercut'!$Q$58</f>
        <v>-1.7318867447446262E-2</v>
      </c>
    </row>
    <row r="21" spans="2:15" x14ac:dyDescent="0.25">
      <c r="B21" t="s">
        <v>23</v>
      </c>
      <c r="C21" s="1" t="s">
        <v>27</v>
      </c>
      <c r="D21" s="2">
        <f>-(h+e/COS(pa)+(b-e)*TAN(pa))/pr</f>
        <v>-6.695288092221737E-3</v>
      </c>
      <c r="E21" s="6"/>
      <c r="F21" s="6"/>
    </row>
    <row r="22" spans="2:15" x14ac:dyDescent="0.25">
      <c r="B22" t="s">
        <v>49</v>
      </c>
      <c r="C22" t="b">
        <f>IF((TAN(pa)+(s+e*(1-SIN(pa))-b)/(br*SIN(pa)))&lt;=0,TRUE,FALSE)</f>
        <v>0</v>
      </c>
      <c r="E22" t="str">
        <f>IF(C22&lt;=0,"Undercut","")</f>
        <v/>
      </c>
    </row>
    <row r="23" spans="2:15" x14ac:dyDescent="0.25">
      <c r="B23" t="s">
        <v>50</v>
      </c>
      <c r="C23" t="b">
        <f>IF(((h+s*TAN(pa))/pr+TAN(pa)-pa-D19+ATAN(D19))&lt;=0,TRUE,FALSE)</f>
        <v>0</v>
      </c>
    </row>
    <row r="24" spans="2:15" x14ac:dyDescent="0.25">
      <c r="E24" t="str">
        <f>IF(C23&lt;=0,"Pointed","")</f>
        <v/>
      </c>
    </row>
    <row r="25" spans="2:15" x14ac:dyDescent="0.25">
      <c r="B25" s="36"/>
    </row>
    <row r="26" spans="2:15" x14ac:dyDescent="0.25">
      <c r="B26" s="36"/>
      <c r="C26" s="4"/>
    </row>
    <row r="27" spans="2:15" x14ac:dyDescent="0.25">
      <c r="C27" s="4"/>
    </row>
    <row r="28" spans="2:15" x14ac:dyDescent="0.25">
      <c r="C28" s="1"/>
    </row>
  </sheetData>
  <mergeCells count="4">
    <mergeCell ref="I2:K2"/>
    <mergeCell ref="L2:N2"/>
    <mergeCell ref="O2:R2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="85" zoomScaleNormal="85" workbookViewId="0"/>
  </sheetViews>
  <sheetFormatPr defaultRowHeight="15" x14ac:dyDescent="0.25"/>
  <cols>
    <col min="1" max="1" width="9.140625" style="10"/>
    <col min="2" max="2" width="20.85546875" style="10" bestFit="1" customWidth="1"/>
    <col min="3" max="3" width="3.140625" style="30" bestFit="1" customWidth="1"/>
    <col min="4" max="13" width="9.85546875" style="30" customWidth="1"/>
    <col min="14" max="16384" width="9.140625" style="10"/>
  </cols>
  <sheetData>
    <row r="2" spans="3:13" x14ac:dyDescent="0.25">
      <c r="C2" s="29">
        <v>1</v>
      </c>
      <c r="D2" s="34">
        <f>$B$17-INDEX(D$19:D$34,$C2)+ATAN(INDEX(D$19:D$34,$C2))</f>
        <v>1.839504237132511E-2</v>
      </c>
      <c r="E2" s="34">
        <f t="shared" ref="E2:M2" si="0">$B$17-INDEX(E$19:E$34,$C2)+ATAN(INDEX(E$19:E$34,$C2))</f>
        <v>-0.19620679423122667</v>
      </c>
      <c r="F2" s="34">
        <f t="shared" si="0"/>
        <v>-0.87445623983458454</v>
      </c>
      <c r="G2" s="34">
        <f t="shared" si="0"/>
        <v>-1.7325591852304205</v>
      </c>
      <c r="H2" s="34">
        <f t="shared" si="0"/>
        <v>-2.6557872939606426</v>
      </c>
      <c r="I2" s="34">
        <f t="shared" si="0"/>
        <v>-3.6082041906836588</v>
      </c>
      <c r="J2" s="34">
        <f t="shared" si="0"/>
        <v>-4.5759573082484053</v>
      </c>
      <c r="K2" s="34">
        <f t="shared" si="0"/>
        <v>-5.5527056854379424</v>
      </c>
      <c r="L2" s="34">
        <f t="shared" si="0"/>
        <v>-6.5351636253805401</v>
      </c>
      <c r="M2" s="34">
        <f t="shared" si="0"/>
        <v>-7.5214658520076734</v>
      </c>
    </row>
    <row r="3" spans="3:13" x14ac:dyDescent="0.25">
      <c r="C3" s="29">
        <v>2</v>
      </c>
      <c r="D3" s="34">
        <f t="shared" ref="D3:M17" si="1">$B$17-INDEX(D$19:D$34,$C3)+ATAN(INDEX(D$19:D$34,$C3))</f>
        <v>1.839504237132511E-2</v>
      </c>
      <c r="E3" s="34">
        <f t="shared" si="1"/>
        <v>1.8063694862487142E-2</v>
      </c>
      <c r="F3" s="34">
        <f t="shared" si="1"/>
        <v>1.5790602221205874E-2</v>
      </c>
      <c r="G3" s="34">
        <f t="shared" si="1"/>
        <v>9.8518368491922192E-3</v>
      </c>
      <c r="H3" s="34">
        <f t="shared" si="1"/>
        <v>-1.0985805163100104E-3</v>
      </c>
      <c r="I3" s="34">
        <f t="shared" si="1"/>
        <v>-1.7957348627868797E-2</v>
      </c>
      <c r="J3" s="34">
        <f t="shared" si="1"/>
        <v>-4.118545735809076E-2</v>
      </c>
      <c r="K3" s="34">
        <f t="shared" si="1"/>
        <v>-7.0878993239466226E-2</v>
      </c>
      <c r="L3" s="34">
        <f t="shared" si="1"/>
        <v>-0.10686401540512225</v>
      </c>
      <c r="M3" s="34">
        <f t="shared" si="1"/>
        <v>-0.14878985584216831</v>
      </c>
    </row>
    <row r="4" spans="3:13" x14ac:dyDescent="0.25">
      <c r="C4" s="29">
        <v>3</v>
      </c>
      <c r="D4" s="34">
        <f t="shared" si="1"/>
        <v>9.8518368491922192E-3</v>
      </c>
      <c r="E4" s="34">
        <f t="shared" si="1"/>
        <v>9.0007124137205241E-3</v>
      </c>
      <c r="F4" s="34">
        <f t="shared" si="1"/>
        <v>8.0979869137813298E-3</v>
      </c>
      <c r="G4" s="34">
        <f t="shared" si="1"/>
        <v>7.1426027919695434E-3</v>
      </c>
      <c r="H4" s="34">
        <f t="shared" si="1"/>
        <v>6.1335491518805796E-3</v>
      </c>
      <c r="I4" s="34">
        <f t="shared" si="1"/>
        <v>5.0698617580522964E-3</v>
      </c>
      <c r="J4" s="34">
        <f t="shared" si="1"/>
        <v>3.9506229530372194E-3</v>
      </c>
      <c r="K4" s="34">
        <f t="shared" si="1"/>
        <v>2.7749614947629175E-3</v>
      </c>
      <c r="L4" s="34">
        <f t="shared" si="1"/>
        <v>1.5420523175013745E-3</v>
      </c>
      <c r="M4" s="34">
        <f t="shared" si="1"/>
        <v>2.5111621990636657E-4</v>
      </c>
    </row>
    <row r="5" spans="3:13" x14ac:dyDescent="0.25">
      <c r="C5" s="29">
        <v>4</v>
      </c>
      <c r="D5" s="34">
        <f t="shared" si="1"/>
        <v>2.5111621990636657E-4</v>
      </c>
      <c r="E5" s="34">
        <f t="shared" si="1"/>
        <v>1.1880248967022222E-4</v>
      </c>
      <c r="F5" s="34">
        <f t="shared" si="1"/>
        <v>-1.4099592943073169E-5</v>
      </c>
      <c r="G5" s="34">
        <f t="shared" si="1"/>
        <v>-1.4759073226316977E-4</v>
      </c>
      <c r="H5" s="34">
        <f t="shared" si="1"/>
        <v>-2.8167162812481328E-4</v>
      </c>
      <c r="I5" s="34">
        <f t="shared" si="1"/>
        <v>-4.1634297587272995E-4</v>
      </c>
      <c r="J5" s="34">
        <f t="shared" si="1"/>
        <v>-5.5160546636667807E-4</v>
      </c>
      <c r="K5" s="34">
        <f t="shared" si="1"/>
        <v>-6.8745978598649948E-4</v>
      </c>
      <c r="L5" s="34">
        <f t="shared" si="1"/>
        <v>-8.2390661663739317E-4</v>
      </c>
      <c r="M5" s="34">
        <f t="shared" si="1"/>
        <v>-9.6094663575480022E-4</v>
      </c>
    </row>
    <row r="6" spans="3:13" x14ac:dyDescent="0.25">
      <c r="C6" s="32">
        <v>5</v>
      </c>
      <c r="D6" s="34">
        <f t="shared" si="1"/>
        <v>1.1880248967022222E-4</v>
      </c>
      <c r="E6" s="34">
        <f t="shared" si="1"/>
        <v>1.0553876892255287E-4</v>
      </c>
      <c r="F6" s="34">
        <f t="shared" si="1"/>
        <v>9.2269163941061105E-5</v>
      </c>
      <c r="G6" s="34">
        <f t="shared" si="1"/>
        <v>7.8993674019811611E-5</v>
      </c>
      <c r="H6" s="34">
        <f t="shared" si="1"/>
        <v>6.5712298453368678E-5</v>
      </c>
      <c r="I6" s="34">
        <f t="shared" si="1"/>
        <v>5.2425036536740688E-5</v>
      </c>
      <c r="J6" s="34">
        <f t="shared" si="1"/>
        <v>3.9131887565380108E-5</v>
      </c>
      <c r="K6" s="34">
        <f t="shared" si="1"/>
        <v>2.5832850835127985E-5</v>
      </c>
      <c r="L6" s="34">
        <f t="shared" si="1"/>
        <v>1.2527925642324966E-5</v>
      </c>
      <c r="M6" s="34">
        <f t="shared" si="1"/>
        <v>-7.8288871613318989E-7</v>
      </c>
    </row>
    <row r="7" spans="3:13" x14ac:dyDescent="0.25">
      <c r="C7" s="29">
        <v>6</v>
      </c>
      <c r="D7" s="34">
        <f t="shared" si="1"/>
        <v>1.2527925642324966E-5</v>
      </c>
      <c r="E7" s="34">
        <f t="shared" si="1"/>
        <v>1.1197109230531854E-5</v>
      </c>
      <c r="F7" s="34">
        <f t="shared" si="1"/>
        <v>9.8662339264032894E-6</v>
      </c>
      <c r="G7" s="34">
        <f t="shared" si="1"/>
        <v>8.5352997292176269E-6</v>
      </c>
      <c r="H7" s="34">
        <f t="shared" si="1"/>
        <v>7.2043066381977106E-6</v>
      </c>
      <c r="I7" s="34">
        <f t="shared" si="1"/>
        <v>5.8732546527329177E-6</v>
      </c>
      <c r="J7" s="34">
        <f t="shared" si="1"/>
        <v>4.5421437721571145E-6</v>
      </c>
      <c r="K7" s="34">
        <f t="shared" si="1"/>
        <v>3.2109739956376337E-6</v>
      </c>
      <c r="L7" s="34">
        <f t="shared" si="1"/>
        <v>1.8797453225638527E-6</v>
      </c>
      <c r="M7" s="34">
        <f t="shared" si="1"/>
        <v>5.4845775221412651E-7</v>
      </c>
    </row>
    <row r="8" spans="3:13" x14ac:dyDescent="0.25">
      <c r="C8" s="29">
        <v>7</v>
      </c>
      <c r="D8" s="34">
        <f t="shared" si="1"/>
        <v>5.4845775221412651E-7</v>
      </c>
      <c r="E8" s="34">
        <f t="shared" si="1"/>
        <v>4.1532575578706599E-7</v>
      </c>
      <c r="F8" s="34">
        <f t="shared" si="1"/>
        <v>2.8219317038669089E-7</v>
      </c>
      <c r="G8" s="34">
        <f t="shared" si="1"/>
        <v>1.4905999601300124E-7</v>
      </c>
      <c r="H8" s="34">
        <f t="shared" si="1"/>
        <v>1.592623266599702E-8</v>
      </c>
      <c r="I8" s="34">
        <f t="shared" si="1"/>
        <v>-1.1720811965432176E-7</v>
      </c>
      <c r="J8" s="34">
        <f t="shared" si="1"/>
        <v>-2.5034306100346626E-7</v>
      </c>
      <c r="K8" s="34">
        <f t="shared" si="1"/>
        <v>-3.8347859127041417E-7</v>
      </c>
      <c r="L8" s="34">
        <f t="shared" si="1"/>
        <v>-5.166147105661878E-7</v>
      </c>
      <c r="M8" s="34">
        <f t="shared" si="1"/>
        <v>-6.4975141883527598E-7</v>
      </c>
    </row>
    <row r="9" spans="3:13" x14ac:dyDescent="0.25">
      <c r="C9" s="29">
        <v>8</v>
      </c>
      <c r="D9" s="34">
        <f t="shared" si="1"/>
        <v>1.592623266599702E-8</v>
      </c>
      <c r="E9" s="34">
        <f t="shared" si="1"/>
        <v>2.6128239571931999E-9</v>
      </c>
      <c r="F9" s="34">
        <f t="shared" si="1"/>
        <v>-1.0700590691303802E-8</v>
      </c>
      <c r="G9" s="34">
        <f t="shared" si="1"/>
        <v>-2.4014011168471683E-8</v>
      </c>
      <c r="H9" s="34">
        <f t="shared" si="1"/>
        <v>-3.7327437585332746E-8</v>
      </c>
      <c r="I9" s="34">
        <f t="shared" si="1"/>
        <v>-5.0640869886375839E-8</v>
      </c>
      <c r="J9" s="34">
        <f t="shared" si="1"/>
        <v>-6.3954308071600963E-8</v>
      </c>
      <c r="K9" s="34">
        <f t="shared" si="1"/>
        <v>-7.7267752141008117E-8</v>
      </c>
      <c r="L9" s="34">
        <f t="shared" si="1"/>
        <v>-9.0581202094597302E-8</v>
      </c>
      <c r="M9" s="34">
        <f t="shared" si="1"/>
        <v>-1.0389465793236852E-7</v>
      </c>
    </row>
    <row r="10" spans="3:13" x14ac:dyDescent="0.25">
      <c r="C10" s="29">
        <v>9</v>
      </c>
      <c r="D10" s="34">
        <f t="shared" si="1"/>
        <v>2.6128239571931999E-9</v>
      </c>
      <c r="E10" s="34">
        <f t="shared" si="1"/>
        <v>1.2814827532459105E-9</v>
      </c>
      <c r="F10" s="34">
        <f t="shared" si="1"/>
        <v>-4.9858506212530074E-11</v>
      </c>
      <c r="G10" s="34">
        <f t="shared" si="1"/>
        <v>-1.3811998211821219E-9</v>
      </c>
      <c r="H10" s="34">
        <f t="shared" si="1"/>
        <v>-2.712541191662865E-9</v>
      </c>
      <c r="I10" s="34">
        <f t="shared" si="1"/>
        <v>-4.0438826176547593E-9</v>
      </c>
      <c r="J10" s="34">
        <f t="shared" si="1"/>
        <v>-5.3752240991578049E-9</v>
      </c>
      <c r="K10" s="34">
        <f t="shared" si="1"/>
        <v>-6.7065656916831529E-9</v>
      </c>
      <c r="L10" s="34">
        <f t="shared" si="1"/>
        <v>-8.0379072842085009E-9</v>
      </c>
      <c r="M10" s="34">
        <f t="shared" si="1"/>
        <v>-9.3692489322450001E-9</v>
      </c>
    </row>
    <row r="11" spans="3:13" x14ac:dyDescent="0.25">
      <c r="C11" s="29">
        <v>10</v>
      </c>
      <c r="D11" s="34">
        <f t="shared" si="1"/>
        <v>1.2814827532459105E-9</v>
      </c>
      <c r="E11" s="34">
        <f t="shared" si="1"/>
        <v>1.1483486384022967E-9</v>
      </c>
      <c r="F11" s="34">
        <f t="shared" si="1"/>
        <v>1.0152145235586829E-9</v>
      </c>
      <c r="G11" s="34">
        <f t="shared" si="1"/>
        <v>8.8208035320391787E-10</v>
      </c>
      <c r="H11" s="34">
        <f t="shared" si="1"/>
        <v>7.4894623836030405E-10</v>
      </c>
      <c r="I11" s="34">
        <f t="shared" si="1"/>
        <v>6.1581212351669024E-10</v>
      </c>
      <c r="J11" s="34">
        <f t="shared" si="1"/>
        <v>4.8267800867307642E-10</v>
      </c>
      <c r="K11" s="34">
        <f t="shared" si="1"/>
        <v>3.495438938294626E-10</v>
      </c>
      <c r="L11" s="34">
        <f t="shared" si="1"/>
        <v>2.1640972347469756E-10</v>
      </c>
      <c r="M11" s="34">
        <f t="shared" si="1"/>
        <v>8.3275608631083742E-11</v>
      </c>
    </row>
    <row r="12" spans="3:13" x14ac:dyDescent="0.25">
      <c r="C12" s="29">
        <v>11</v>
      </c>
      <c r="D12" s="34">
        <f t="shared" si="1"/>
        <v>8.3275608631083742E-11</v>
      </c>
      <c r="E12" s="34">
        <f t="shared" si="1"/>
        <v>6.9962202697837483E-11</v>
      </c>
      <c r="F12" s="34">
        <f t="shared" si="1"/>
        <v>5.6648796764591225E-11</v>
      </c>
      <c r="G12" s="34">
        <f t="shared" si="1"/>
        <v>4.3335390831344967E-11</v>
      </c>
      <c r="H12" s="34">
        <f t="shared" si="1"/>
        <v>3.0021984898098708E-11</v>
      </c>
      <c r="I12" s="34">
        <f t="shared" si="1"/>
        <v>1.670857896485245E-11</v>
      </c>
      <c r="J12" s="34">
        <f t="shared" si="1"/>
        <v>3.39511752045496E-12</v>
      </c>
      <c r="K12" s="34">
        <f t="shared" si="1"/>
        <v>-9.9182884127912985E-12</v>
      </c>
      <c r="L12" s="34">
        <f t="shared" si="1"/>
        <v>-2.3231694346037557E-11</v>
      </c>
      <c r="M12" s="34">
        <f t="shared" si="1"/>
        <v>-3.6545100279283815E-11</v>
      </c>
    </row>
    <row r="13" spans="3:13" x14ac:dyDescent="0.25">
      <c r="C13" s="29">
        <v>12</v>
      </c>
      <c r="D13" s="34">
        <f t="shared" si="1"/>
        <v>3.39511752045496E-12</v>
      </c>
      <c r="E13" s="34">
        <f t="shared" si="1"/>
        <v>2.0637935804757035E-12</v>
      </c>
      <c r="F13" s="34">
        <f t="shared" si="1"/>
        <v>7.3246964049644703E-13</v>
      </c>
      <c r="G13" s="34">
        <f t="shared" si="1"/>
        <v>-5.989098106340407E-13</v>
      </c>
      <c r="H13" s="34">
        <f t="shared" si="1"/>
        <v>-1.9302337506132972E-12</v>
      </c>
      <c r="I13" s="34">
        <f t="shared" si="1"/>
        <v>-3.2615576905925536E-12</v>
      </c>
      <c r="J13" s="34">
        <f t="shared" si="1"/>
        <v>-4.5928816305718101E-12</v>
      </c>
      <c r="K13" s="34">
        <f t="shared" si="1"/>
        <v>-5.9242610817022978E-12</v>
      </c>
      <c r="L13" s="34">
        <f t="shared" si="1"/>
        <v>-7.2555850216815543E-12</v>
      </c>
      <c r="M13" s="34">
        <f t="shared" si="1"/>
        <v>-8.5869089616608107E-12</v>
      </c>
    </row>
    <row r="14" spans="3:13" x14ac:dyDescent="0.25">
      <c r="C14" s="29">
        <v>13</v>
      </c>
      <c r="D14" s="34">
        <f t="shared" si="1"/>
        <v>7.3246964049644703E-13</v>
      </c>
      <c r="E14" s="34">
        <f t="shared" si="1"/>
        <v>5.9935389984389076E-13</v>
      </c>
      <c r="F14" s="34">
        <f t="shared" si="1"/>
        <v>4.6618264804010323E-13</v>
      </c>
      <c r="G14" s="34">
        <f t="shared" si="1"/>
        <v>3.3306690738754696E-13</v>
      </c>
      <c r="H14" s="34">
        <f t="shared" si="1"/>
        <v>1.9989565558375944E-13</v>
      </c>
      <c r="I14" s="34">
        <f t="shared" si="1"/>
        <v>6.6779914931203166E-14</v>
      </c>
      <c r="J14" s="34">
        <f t="shared" si="1"/>
        <v>-6.6335825721353103E-14</v>
      </c>
      <c r="K14" s="34">
        <f t="shared" si="1"/>
        <v>-1.9950707752514063E-13</v>
      </c>
      <c r="L14" s="34">
        <f t="shared" si="1"/>
        <v>-3.326228181776969E-13</v>
      </c>
      <c r="M14" s="34">
        <f t="shared" si="1"/>
        <v>-4.6573855883025317E-13</v>
      </c>
    </row>
    <row r="15" spans="3:13" x14ac:dyDescent="0.25">
      <c r="C15" s="29">
        <v>14</v>
      </c>
      <c r="D15" s="34">
        <f t="shared" si="1"/>
        <v>6.6779914931203166E-14</v>
      </c>
      <c r="E15" s="34">
        <f t="shared" si="1"/>
        <v>5.3457238635701287E-14</v>
      </c>
      <c r="F15" s="34">
        <f t="shared" si="1"/>
        <v>4.0134562340199409E-14</v>
      </c>
      <c r="G15" s="34">
        <f t="shared" si="1"/>
        <v>2.6867397195928788E-14</v>
      </c>
      <c r="H15" s="34">
        <f t="shared" si="1"/>
        <v>1.354472090042691E-14</v>
      </c>
      <c r="I15" s="34">
        <f t="shared" si="1"/>
        <v>0</v>
      </c>
      <c r="J15" s="34">
        <f t="shared" si="1"/>
        <v>-1.3100631690576847E-14</v>
      </c>
      <c r="K15" s="34">
        <f t="shared" si="1"/>
        <v>-2.6423307986078726E-14</v>
      </c>
      <c r="L15" s="34">
        <f t="shared" si="1"/>
        <v>-3.9745984281580604E-14</v>
      </c>
      <c r="M15" s="34">
        <f t="shared" si="1"/>
        <v>-5.3013149425851225E-14</v>
      </c>
    </row>
    <row r="16" spans="3:13" x14ac:dyDescent="0.25">
      <c r="C16" s="29">
        <v>15</v>
      </c>
      <c r="D16" s="34">
        <f t="shared" si="1"/>
        <v>0</v>
      </c>
      <c r="E16" s="34">
        <f t="shared" si="1"/>
        <v>-1.1102230246251565E-15</v>
      </c>
      <c r="F16" s="34">
        <f t="shared" si="1"/>
        <v>-2.4424906541753444E-15</v>
      </c>
      <c r="G16" s="34">
        <f t="shared" si="1"/>
        <v>-3.7747582837255322E-15</v>
      </c>
      <c r="H16" s="34">
        <f t="shared" si="1"/>
        <v>-5.1070259132757201E-15</v>
      </c>
      <c r="I16" s="34">
        <f t="shared" si="1"/>
        <v>-6.4392935428259079E-15</v>
      </c>
      <c r="J16" s="34">
        <f t="shared" si="1"/>
        <v>-7.7715611723760958E-15</v>
      </c>
      <c r="K16" s="34">
        <f t="shared" si="1"/>
        <v>-9.1038288019262836E-15</v>
      </c>
      <c r="L16" s="34">
        <f t="shared" si="1"/>
        <v>-1.0436096431476471E-14</v>
      </c>
      <c r="M16" s="34">
        <f t="shared" si="1"/>
        <v>-1.1768364061026659E-14</v>
      </c>
    </row>
    <row r="17" spans="1:13" x14ac:dyDescent="0.25">
      <c r="A17" s="31" t="s">
        <v>20</v>
      </c>
      <c r="B17" s="28">
        <f>Calc!$D$13</f>
        <v>1.839504237132511E-2</v>
      </c>
      <c r="C17" s="29">
        <v>16</v>
      </c>
      <c r="D17" s="34">
        <f t="shared" si="1"/>
        <v>0</v>
      </c>
      <c r="E17" s="34">
        <f t="shared" si="1"/>
        <v>0</v>
      </c>
      <c r="F17" s="34">
        <f t="shared" si="1"/>
        <v>0</v>
      </c>
      <c r="G17" s="34">
        <f t="shared" si="1"/>
        <v>0</v>
      </c>
      <c r="H17" s="34">
        <f t="shared" si="1"/>
        <v>0</v>
      </c>
      <c r="I17" s="34">
        <f t="shared" si="1"/>
        <v>-4.4408920985006262E-16</v>
      </c>
      <c r="J17" s="34">
        <f t="shared" si="1"/>
        <v>-5.5511151231257827E-16</v>
      </c>
      <c r="K17" s="34">
        <f t="shared" si="1"/>
        <v>-7.2164496600635175E-16</v>
      </c>
      <c r="L17" s="34">
        <f t="shared" si="1"/>
        <v>-8.3266726846886741E-16</v>
      </c>
      <c r="M17" s="34">
        <f t="shared" si="1"/>
        <v>-9.9920072216264089E-16</v>
      </c>
    </row>
    <row r="18" spans="1:13" x14ac:dyDescent="0.25">
      <c r="C18" s="29"/>
      <c r="D18" s="35">
        <v>0</v>
      </c>
      <c r="E18" s="35">
        <v>1</v>
      </c>
      <c r="F18" s="35">
        <v>2</v>
      </c>
      <c r="G18" s="35">
        <v>3</v>
      </c>
      <c r="H18" s="35">
        <v>4</v>
      </c>
      <c r="I18" s="35">
        <v>5</v>
      </c>
      <c r="J18" s="35">
        <v>6</v>
      </c>
      <c r="K18" s="35">
        <v>7</v>
      </c>
      <c r="L18" s="35">
        <v>8</v>
      </c>
      <c r="M18" s="35">
        <v>9</v>
      </c>
    </row>
    <row r="19" spans="1:13" x14ac:dyDescent="0.25">
      <c r="A19" s="29">
        <f t="shared" ref="A19:A34" si="2">MATCH(SMALL(D2:M2,11-COUNTIF(D2:M2,"&gt;=0")),D2:M2,0)-1</f>
        <v>0</v>
      </c>
      <c r="B19" s="10">
        <f t="shared" ref="B19:B20" si="3">INDEX(D19:M19,1,A19+1)</f>
        <v>0</v>
      </c>
      <c r="C19" s="33">
        <v>0</v>
      </c>
      <c r="D19" s="22">
        <v>0</v>
      </c>
      <c r="E19" s="22">
        <v>1</v>
      </c>
      <c r="F19" s="22">
        <v>2</v>
      </c>
      <c r="G19" s="22">
        <v>3</v>
      </c>
      <c r="H19" s="22">
        <v>4</v>
      </c>
      <c r="I19" s="22">
        <v>5</v>
      </c>
      <c r="J19" s="22">
        <v>6</v>
      </c>
      <c r="K19" s="22">
        <v>7</v>
      </c>
      <c r="L19" s="22">
        <v>8</v>
      </c>
      <c r="M19" s="22">
        <v>9</v>
      </c>
    </row>
    <row r="20" spans="1:13" x14ac:dyDescent="0.25">
      <c r="A20" s="29">
        <f t="shared" si="2"/>
        <v>3</v>
      </c>
      <c r="B20" s="10">
        <f t="shared" si="3"/>
        <v>0.30000000000000004</v>
      </c>
      <c r="C20" s="33">
        <v>1</v>
      </c>
      <c r="D20" s="34">
        <f t="shared" ref="D20:D34" si="4">D$18*10^(-$C20)+$B19</f>
        <v>0</v>
      </c>
      <c r="E20" s="34">
        <f t="shared" ref="E20:M20" si="5">E$18*10^(-$C20)+$B19</f>
        <v>0.1</v>
      </c>
      <c r="F20" s="34">
        <f t="shared" si="5"/>
        <v>0.2</v>
      </c>
      <c r="G20" s="34">
        <f t="shared" si="5"/>
        <v>0.30000000000000004</v>
      </c>
      <c r="H20" s="34">
        <f t="shared" si="5"/>
        <v>0.4</v>
      </c>
      <c r="I20" s="34">
        <f t="shared" si="5"/>
        <v>0.5</v>
      </c>
      <c r="J20" s="34">
        <f t="shared" si="5"/>
        <v>0.60000000000000009</v>
      </c>
      <c r="K20" s="34">
        <f t="shared" si="5"/>
        <v>0.70000000000000007</v>
      </c>
      <c r="L20" s="34">
        <f t="shared" si="5"/>
        <v>0.8</v>
      </c>
      <c r="M20" s="34">
        <f t="shared" si="5"/>
        <v>0.9</v>
      </c>
    </row>
    <row r="21" spans="1:13" x14ac:dyDescent="0.25">
      <c r="A21" s="29">
        <f t="shared" si="2"/>
        <v>9</v>
      </c>
      <c r="B21" s="10">
        <f t="shared" ref="B21:B34" si="6">INDEX(D21:M21,1,A21+1)</f>
        <v>0.39</v>
      </c>
      <c r="C21" s="33">
        <v>2</v>
      </c>
      <c r="D21" s="34">
        <f t="shared" si="4"/>
        <v>0.30000000000000004</v>
      </c>
      <c r="E21" s="34">
        <f t="shared" ref="E21:E34" si="7">E$18*10^(-$C21)+$B20</f>
        <v>0.31000000000000005</v>
      </c>
      <c r="F21" s="34">
        <f t="shared" ref="F21:F34" si="8">F$18*10^(-$C21)+$B20</f>
        <v>0.32000000000000006</v>
      </c>
      <c r="G21" s="34">
        <f t="shared" ref="G21:G34" si="9">G$18*10^(-$C21)+$B20</f>
        <v>0.33000000000000007</v>
      </c>
      <c r="H21" s="34">
        <f t="shared" ref="H21:H34" si="10">H$18*10^(-$C21)+$B20</f>
        <v>0.34</v>
      </c>
      <c r="I21" s="34">
        <f t="shared" ref="I21:I34" si="11">I$18*10^(-$C21)+$B20</f>
        <v>0.35000000000000003</v>
      </c>
      <c r="J21" s="34">
        <f t="shared" ref="J21:J34" si="12">J$18*10^(-$C21)+$B20</f>
        <v>0.36000000000000004</v>
      </c>
      <c r="K21" s="34">
        <f t="shared" ref="K21:K34" si="13">K$18*10^(-$C21)+$B20</f>
        <v>0.37000000000000005</v>
      </c>
      <c r="L21" s="34">
        <f t="shared" ref="L21:L34" si="14">L$18*10^(-$C21)+$B20</f>
        <v>0.38000000000000006</v>
      </c>
      <c r="M21" s="34">
        <f t="shared" ref="M21:M34" si="15">M$18*10^(-$C21)+$B20</f>
        <v>0.39</v>
      </c>
    </row>
    <row r="22" spans="1:13" x14ac:dyDescent="0.25">
      <c r="A22" s="29">
        <f t="shared" si="2"/>
        <v>1</v>
      </c>
      <c r="B22" s="10">
        <f t="shared" si="6"/>
        <v>0.39100000000000001</v>
      </c>
      <c r="C22" s="33">
        <v>3</v>
      </c>
      <c r="D22" s="34">
        <f t="shared" si="4"/>
        <v>0.39</v>
      </c>
      <c r="E22" s="34">
        <f t="shared" si="7"/>
        <v>0.39100000000000001</v>
      </c>
      <c r="F22" s="34">
        <f t="shared" si="8"/>
        <v>0.39200000000000002</v>
      </c>
      <c r="G22" s="34">
        <f t="shared" si="9"/>
        <v>0.39300000000000002</v>
      </c>
      <c r="H22" s="34">
        <f t="shared" si="10"/>
        <v>0.39400000000000002</v>
      </c>
      <c r="I22" s="34">
        <f t="shared" si="11"/>
        <v>0.39500000000000002</v>
      </c>
      <c r="J22" s="34">
        <f t="shared" si="12"/>
        <v>0.39600000000000002</v>
      </c>
      <c r="K22" s="34">
        <f t="shared" si="13"/>
        <v>0.39700000000000002</v>
      </c>
      <c r="L22" s="34">
        <f t="shared" si="14"/>
        <v>0.39800000000000002</v>
      </c>
      <c r="M22" s="34">
        <f t="shared" si="15"/>
        <v>0.39900000000000002</v>
      </c>
    </row>
    <row r="23" spans="1:13" x14ac:dyDescent="0.25">
      <c r="A23" s="29">
        <f t="shared" si="2"/>
        <v>8</v>
      </c>
      <c r="B23" s="10">
        <f t="shared" si="6"/>
        <v>0.39180000000000004</v>
      </c>
      <c r="C23" s="33">
        <v>4</v>
      </c>
      <c r="D23" s="34">
        <f t="shared" si="4"/>
        <v>0.39100000000000001</v>
      </c>
      <c r="E23" s="34">
        <f t="shared" si="7"/>
        <v>0.3911</v>
      </c>
      <c r="F23" s="34">
        <f t="shared" si="8"/>
        <v>0.39119999999999999</v>
      </c>
      <c r="G23" s="34">
        <f t="shared" si="9"/>
        <v>0.39130000000000004</v>
      </c>
      <c r="H23" s="34">
        <f t="shared" si="10"/>
        <v>0.39140000000000003</v>
      </c>
      <c r="I23" s="34">
        <f t="shared" si="11"/>
        <v>0.39150000000000001</v>
      </c>
      <c r="J23" s="34">
        <f t="shared" si="12"/>
        <v>0.3916</v>
      </c>
      <c r="K23" s="34">
        <f t="shared" si="13"/>
        <v>0.39169999999999999</v>
      </c>
      <c r="L23" s="34">
        <f t="shared" si="14"/>
        <v>0.39180000000000004</v>
      </c>
      <c r="M23" s="34">
        <f t="shared" si="15"/>
        <v>0.39190000000000003</v>
      </c>
    </row>
    <row r="24" spans="1:13" x14ac:dyDescent="0.25">
      <c r="A24" s="29">
        <f t="shared" si="2"/>
        <v>9</v>
      </c>
      <c r="B24" s="10">
        <f t="shared" si="6"/>
        <v>0.39189000000000002</v>
      </c>
      <c r="C24" s="33">
        <v>5</v>
      </c>
      <c r="D24" s="34">
        <f t="shared" si="4"/>
        <v>0.39180000000000004</v>
      </c>
      <c r="E24" s="34">
        <f t="shared" si="7"/>
        <v>0.39181000000000005</v>
      </c>
      <c r="F24" s="34">
        <f t="shared" si="8"/>
        <v>0.39182000000000006</v>
      </c>
      <c r="G24" s="34">
        <f t="shared" si="9"/>
        <v>0.39183000000000001</v>
      </c>
      <c r="H24" s="34">
        <f t="shared" si="10"/>
        <v>0.39184000000000002</v>
      </c>
      <c r="I24" s="34">
        <f t="shared" si="11"/>
        <v>0.39185000000000003</v>
      </c>
      <c r="J24" s="34">
        <f t="shared" si="12"/>
        <v>0.39186000000000004</v>
      </c>
      <c r="K24" s="34">
        <f t="shared" si="13"/>
        <v>0.39187000000000005</v>
      </c>
      <c r="L24" s="34">
        <f t="shared" si="14"/>
        <v>0.39188000000000006</v>
      </c>
      <c r="M24" s="34">
        <f t="shared" si="15"/>
        <v>0.39189000000000002</v>
      </c>
    </row>
    <row r="25" spans="1:13" x14ac:dyDescent="0.25">
      <c r="A25" s="29">
        <f t="shared" si="2"/>
        <v>4</v>
      </c>
      <c r="B25" s="10">
        <f t="shared" si="6"/>
        <v>0.39189400000000002</v>
      </c>
      <c r="C25" s="33">
        <v>6</v>
      </c>
      <c r="D25" s="34">
        <f t="shared" si="4"/>
        <v>0.39189000000000002</v>
      </c>
      <c r="E25" s="34">
        <f t="shared" si="7"/>
        <v>0.39189099999999999</v>
      </c>
      <c r="F25" s="34">
        <f t="shared" si="8"/>
        <v>0.39189200000000002</v>
      </c>
      <c r="G25" s="34">
        <f t="shared" si="9"/>
        <v>0.39189299999999999</v>
      </c>
      <c r="H25" s="34">
        <f t="shared" si="10"/>
        <v>0.39189400000000002</v>
      </c>
      <c r="I25" s="34">
        <f t="shared" si="11"/>
        <v>0.39189499999999999</v>
      </c>
      <c r="J25" s="34">
        <f t="shared" si="12"/>
        <v>0.39189600000000002</v>
      </c>
      <c r="K25" s="34">
        <f t="shared" si="13"/>
        <v>0.391897</v>
      </c>
      <c r="L25" s="34">
        <f t="shared" si="14"/>
        <v>0.39189800000000002</v>
      </c>
      <c r="M25" s="34">
        <f t="shared" si="15"/>
        <v>0.391899</v>
      </c>
    </row>
    <row r="26" spans="1:13" x14ac:dyDescent="0.25">
      <c r="A26" s="29">
        <f t="shared" si="2"/>
        <v>1</v>
      </c>
      <c r="B26" s="10">
        <f t="shared" si="6"/>
        <v>0.39189410000000002</v>
      </c>
      <c r="C26" s="33">
        <v>7</v>
      </c>
      <c r="D26" s="34">
        <f t="shared" si="4"/>
        <v>0.39189400000000002</v>
      </c>
      <c r="E26" s="34">
        <f t="shared" si="7"/>
        <v>0.39189410000000002</v>
      </c>
      <c r="F26" s="34">
        <f t="shared" si="8"/>
        <v>0.39189420000000003</v>
      </c>
      <c r="G26" s="34">
        <f t="shared" si="9"/>
        <v>0.39189430000000003</v>
      </c>
      <c r="H26" s="34">
        <f t="shared" si="10"/>
        <v>0.39189440000000003</v>
      </c>
      <c r="I26" s="34">
        <f t="shared" si="11"/>
        <v>0.39189450000000003</v>
      </c>
      <c r="J26" s="34">
        <f t="shared" si="12"/>
        <v>0.39189460000000004</v>
      </c>
      <c r="K26" s="34">
        <f t="shared" si="13"/>
        <v>0.39189470000000004</v>
      </c>
      <c r="L26" s="34">
        <f t="shared" si="14"/>
        <v>0.39189480000000004</v>
      </c>
      <c r="M26" s="34">
        <f t="shared" si="15"/>
        <v>0.39189490000000005</v>
      </c>
    </row>
    <row r="27" spans="1:13" x14ac:dyDescent="0.25">
      <c r="A27" s="29">
        <f t="shared" si="2"/>
        <v>1</v>
      </c>
      <c r="B27" s="10">
        <f t="shared" si="6"/>
        <v>0.39189411000000002</v>
      </c>
      <c r="C27" s="33">
        <v>8</v>
      </c>
      <c r="D27" s="34">
        <f t="shared" si="4"/>
        <v>0.39189410000000002</v>
      </c>
      <c r="E27" s="34">
        <f t="shared" si="7"/>
        <v>0.39189411000000002</v>
      </c>
      <c r="F27" s="34">
        <f t="shared" si="8"/>
        <v>0.39189412000000001</v>
      </c>
      <c r="G27" s="34">
        <f t="shared" si="9"/>
        <v>0.39189413000000001</v>
      </c>
      <c r="H27" s="34">
        <f t="shared" si="10"/>
        <v>0.39189414</v>
      </c>
      <c r="I27" s="34">
        <f t="shared" si="11"/>
        <v>0.39189415</v>
      </c>
      <c r="J27" s="34">
        <f t="shared" si="12"/>
        <v>0.39189416000000005</v>
      </c>
      <c r="K27" s="34">
        <f t="shared" si="13"/>
        <v>0.39189417000000004</v>
      </c>
      <c r="L27" s="34">
        <f t="shared" si="14"/>
        <v>0.39189418000000004</v>
      </c>
      <c r="M27" s="34">
        <f t="shared" si="15"/>
        <v>0.39189419000000003</v>
      </c>
    </row>
    <row r="28" spans="1:13" x14ac:dyDescent="0.25">
      <c r="A28" s="29">
        <f t="shared" si="2"/>
        <v>9</v>
      </c>
      <c r="B28" s="10">
        <f t="shared" si="6"/>
        <v>0.39189411900000004</v>
      </c>
      <c r="C28" s="33">
        <v>9</v>
      </c>
      <c r="D28" s="34">
        <f t="shared" si="4"/>
        <v>0.39189411000000002</v>
      </c>
      <c r="E28" s="34">
        <f t="shared" si="7"/>
        <v>0.39189411100000004</v>
      </c>
      <c r="F28" s="34">
        <f t="shared" si="8"/>
        <v>0.39189411200000002</v>
      </c>
      <c r="G28" s="34">
        <f t="shared" si="9"/>
        <v>0.39189411300000004</v>
      </c>
      <c r="H28" s="34">
        <f t="shared" si="10"/>
        <v>0.39189411400000002</v>
      </c>
      <c r="I28" s="34">
        <f t="shared" si="11"/>
        <v>0.39189411500000004</v>
      </c>
      <c r="J28" s="34">
        <f t="shared" si="12"/>
        <v>0.39189411600000001</v>
      </c>
      <c r="K28" s="34">
        <f t="shared" si="13"/>
        <v>0.39189411700000004</v>
      </c>
      <c r="L28" s="34">
        <f t="shared" si="14"/>
        <v>0.39189411800000001</v>
      </c>
      <c r="M28" s="34">
        <f t="shared" si="15"/>
        <v>0.39189411900000004</v>
      </c>
    </row>
    <row r="29" spans="1:13" x14ac:dyDescent="0.25">
      <c r="A29" s="29">
        <f t="shared" si="2"/>
        <v>6</v>
      </c>
      <c r="B29" s="23">
        <f t="shared" si="6"/>
        <v>0.39189411960000003</v>
      </c>
      <c r="C29" s="33">
        <v>10</v>
      </c>
      <c r="D29" s="34">
        <f t="shared" si="4"/>
        <v>0.39189411900000004</v>
      </c>
      <c r="E29" s="34">
        <f t="shared" si="7"/>
        <v>0.39189411910000005</v>
      </c>
      <c r="F29" s="34">
        <f t="shared" si="8"/>
        <v>0.39189411920000006</v>
      </c>
      <c r="G29" s="34">
        <f t="shared" si="9"/>
        <v>0.39189411930000007</v>
      </c>
      <c r="H29" s="34">
        <f t="shared" si="10"/>
        <v>0.39189411940000002</v>
      </c>
      <c r="I29" s="34">
        <f t="shared" si="11"/>
        <v>0.39189411950000003</v>
      </c>
      <c r="J29" s="34">
        <f t="shared" si="12"/>
        <v>0.39189411960000003</v>
      </c>
      <c r="K29" s="34">
        <f t="shared" si="13"/>
        <v>0.39189411970000004</v>
      </c>
      <c r="L29" s="34">
        <f t="shared" si="14"/>
        <v>0.39189411980000005</v>
      </c>
      <c r="M29" s="34">
        <f t="shared" si="15"/>
        <v>0.39189411990000006</v>
      </c>
    </row>
    <row r="30" spans="1:13" x14ac:dyDescent="0.25">
      <c r="A30" s="29">
        <f t="shared" si="2"/>
        <v>2</v>
      </c>
      <c r="B30" s="24">
        <f t="shared" si="6"/>
        <v>0.39189411962000004</v>
      </c>
      <c r="C30" s="33">
        <v>11</v>
      </c>
      <c r="D30" s="34">
        <f t="shared" si="4"/>
        <v>0.39189411960000003</v>
      </c>
      <c r="E30" s="34">
        <f t="shared" si="7"/>
        <v>0.39189411961000004</v>
      </c>
      <c r="F30" s="34">
        <f t="shared" si="8"/>
        <v>0.39189411962000004</v>
      </c>
      <c r="G30" s="34">
        <f t="shared" si="9"/>
        <v>0.39189411963000004</v>
      </c>
      <c r="H30" s="34">
        <f t="shared" si="10"/>
        <v>0.39189411964000004</v>
      </c>
      <c r="I30" s="34">
        <f t="shared" si="11"/>
        <v>0.39189411965000004</v>
      </c>
      <c r="J30" s="34">
        <f t="shared" si="12"/>
        <v>0.39189411966000004</v>
      </c>
      <c r="K30" s="34">
        <f t="shared" si="13"/>
        <v>0.39189411967000004</v>
      </c>
      <c r="L30" s="34">
        <f t="shared" si="14"/>
        <v>0.39189411968000004</v>
      </c>
      <c r="M30" s="34">
        <f t="shared" si="15"/>
        <v>0.39189411969000004</v>
      </c>
    </row>
    <row r="31" spans="1:13" x14ac:dyDescent="0.25">
      <c r="A31" s="29">
        <f t="shared" si="2"/>
        <v>5</v>
      </c>
      <c r="B31" s="25">
        <f t="shared" si="6"/>
        <v>0.39189411962500004</v>
      </c>
      <c r="C31" s="33">
        <v>12</v>
      </c>
      <c r="D31" s="34">
        <f t="shared" si="4"/>
        <v>0.39189411962000004</v>
      </c>
      <c r="E31" s="34">
        <f t="shared" si="7"/>
        <v>0.39189411962100001</v>
      </c>
      <c r="F31" s="34">
        <f t="shared" si="8"/>
        <v>0.39189411962200005</v>
      </c>
      <c r="G31" s="34">
        <f t="shared" si="9"/>
        <v>0.39189411962300003</v>
      </c>
      <c r="H31" s="34">
        <f t="shared" si="10"/>
        <v>0.39189411962400006</v>
      </c>
      <c r="I31" s="34">
        <f t="shared" si="11"/>
        <v>0.39189411962500004</v>
      </c>
      <c r="J31" s="34">
        <f t="shared" si="12"/>
        <v>0.39189411962600001</v>
      </c>
      <c r="K31" s="34">
        <f t="shared" si="13"/>
        <v>0.39189411962700005</v>
      </c>
      <c r="L31" s="34">
        <f t="shared" si="14"/>
        <v>0.39189411962800003</v>
      </c>
      <c r="M31" s="34">
        <f t="shared" si="15"/>
        <v>0.39189411962900006</v>
      </c>
    </row>
    <row r="32" spans="1:13" x14ac:dyDescent="0.25">
      <c r="A32" s="29">
        <f t="shared" si="2"/>
        <v>5</v>
      </c>
      <c r="B32" s="26">
        <f t="shared" si="6"/>
        <v>0.39189411962550003</v>
      </c>
      <c r="C32" s="33">
        <v>13</v>
      </c>
      <c r="D32" s="34">
        <f t="shared" si="4"/>
        <v>0.39189411962500004</v>
      </c>
      <c r="E32" s="34">
        <f t="shared" si="7"/>
        <v>0.39189411962510001</v>
      </c>
      <c r="F32" s="34">
        <f t="shared" si="8"/>
        <v>0.39189411962520004</v>
      </c>
      <c r="G32" s="34">
        <f t="shared" si="9"/>
        <v>0.39189411962530002</v>
      </c>
      <c r="H32" s="34">
        <f t="shared" si="10"/>
        <v>0.39189411962540005</v>
      </c>
      <c r="I32" s="34">
        <f t="shared" si="11"/>
        <v>0.39189411962550003</v>
      </c>
      <c r="J32" s="34">
        <f t="shared" si="12"/>
        <v>0.39189411962560006</v>
      </c>
      <c r="K32" s="34">
        <f t="shared" si="13"/>
        <v>0.39189411962570003</v>
      </c>
      <c r="L32" s="34">
        <f t="shared" si="14"/>
        <v>0.39189411962580006</v>
      </c>
      <c r="M32" s="34">
        <f t="shared" si="15"/>
        <v>0.39189411962590004</v>
      </c>
    </row>
    <row r="33" spans="1:13" x14ac:dyDescent="0.25">
      <c r="A33" s="29">
        <f t="shared" si="2"/>
        <v>0</v>
      </c>
      <c r="B33" s="27">
        <f t="shared" si="6"/>
        <v>0.39189411962550003</v>
      </c>
      <c r="C33" s="33">
        <v>14</v>
      </c>
      <c r="D33" s="34">
        <f t="shared" si="4"/>
        <v>0.39189411962550003</v>
      </c>
      <c r="E33" s="34">
        <f t="shared" si="7"/>
        <v>0.39189411962551002</v>
      </c>
      <c r="F33" s="34">
        <f t="shared" si="8"/>
        <v>0.39189411962552001</v>
      </c>
      <c r="G33" s="34">
        <f t="shared" si="9"/>
        <v>0.39189411962553</v>
      </c>
      <c r="H33" s="34">
        <f t="shared" si="10"/>
        <v>0.39189411962554005</v>
      </c>
      <c r="I33" s="34">
        <f t="shared" si="11"/>
        <v>0.39189411962555004</v>
      </c>
      <c r="J33" s="34">
        <f t="shared" si="12"/>
        <v>0.39189411962556003</v>
      </c>
      <c r="K33" s="34">
        <f t="shared" si="13"/>
        <v>0.39189411962557003</v>
      </c>
      <c r="L33" s="34">
        <f t="shared" si="14"/>
        <v>0.39189411962558002</v>
      </c>
      <c r="M33" s="34">
        <f t="shared" si="15"/>
        <v>0.39189411962559001</v>
      </c>
    </row>
    <row r="34" spans="1:13" x14ac:dyDescent="0.25">
      <c r="A34" s="29">
        <f t="shared" si="2"/>
        <v>0</v>
      </c>
      <c r="B34" s="28">
        <f t="shared" si="6"/>
        <v>0.39189411962550003</v>
      </c>
      <c r="C34" s="33">
        <v>15</v>
      </c>
      <c r="D34" s="34">
        <f t="shared" si="4"/>
        <v>0.39189411962550003</v>
      </c>
      <c r="E34" s="34">
        <f t="shared" si="7"/>
        <v>0.39189411962550103</v>
      </c>
      <c r="F34" s="34">
        <f t="shared" si="8"/>
        <v>0.39189411962550202</v>
      </c>
      <c r="G34" s="34">
        <f t="shared" si="9"/>
        <v>0.39189411962550302</v>
      </c>
      <c r="H34" s="34">
        <f t="shared" si="10"/>
        <v>0.39189411962550402</v>
      </c>
      <c r="I34" s="34">
        <f t="shared" si="11"/>
        <v>0.39189411962550502</v>
      </c>
      <c r="J34" s="34">
        <f t="shared" si="12"/>
        <v>0.39189411962550602</v>
      </c>
      <c r="K34" s="34">
        <f t="shared" si="13"/>
        <v>0.39189411962550702</v>
      </c>
      <c r="L34" s="34">
        <f t="shared" si="14"/>
        <v>0.39189411962550802</v>
      </c>
      <c r="M34" s="34">
        <f t="shared" si="15"/>
        <v>0.39189411962550902</v>
      </c>
    </row>
  </sheetData>
  <sortState ref="A1:B11">
    <sortCondition ref="A1"/>
  </sortState>
  <pageMargins left="0.7" right="0.7" top="0.75" bottom="0.75" header="0.3" footer="0.3"/>
  <ignoredErrors>
    <ignoredError sqref="B1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zoomScale="85" zoomScaleNormal="85" workbookViewId="0">
      <selection activeCell="B3" sqref="B3"/>
    </sheetView>
  </sheetViews>
  <sheetFormatPr defaultRowHeight="15" x14ac:dyDescent="0.25"/>
  <cols>
    <col min="1" max="1" width="9.140625" style="10"/>
    <col min="2" max="2" width="6.28515625" style="10" bestFit="1" customWidth="1"/>
    <col min="3" max="3" width="5.5703125" style="10" bestFit="1" customWidth="1"/>
    <col min="4" max="4" width="6.7109375" style="10" bestFit="1" customWidth="1"/>
    <col min="5" max="6" width="9.140625" style="10"/>
    <col min="7" max="7" width="6.28515625" style="10" bestFit="1" customWidth="1"/>
    <col min="8" max="10" width="5.5703125" style="10" bestFit="1" customWidth="1"/>
    <col min="11" max="12" width="9.140625" style="10"/>
    <col min="13" max="13" width="6.28515625" style="10" bestFit="1" customWidth="1"/>
    <col min="14" max="16" width="5.5703125" style="10" bestFit="1" customWidth="1"/>
    <col min="17" max="18" width="9.140625" style="10"/>
    <col min="19" max="21" width="5.5703125" style="10" bestFit="1" customWidth="1"/>
    <col min="22" max="16384" width="9.140625" style="10"/>
  </cols>
  <sheetData>
    <row r="2" spans="1:22" x14ac:dyDescent="0.25">
      <c r="B2" s="56" t="s">
        <v>35</v>
      </c>
      <c r="C2" s="56"/>
      <c r="D2" s="56"/>
      <c r="G2" s="58" t="s">
        <v>36</v>
      </c>
      <c r="H2" s="58"/>
      <c r="I2" s="58"/>
      <c r="J2" s="58"/>
      <c r="M2" s="58" t="s">
        <v>36</v>
      </c>
      <c r="N2" s="58"/>
      <c r="O2" s="58"/>
      <c r="P2" s="58"/>
      <c r="S2" s="56" t="s">
        <v>35</v>
      </c>
      <c r="T2" s="56"/>
      <c r="U2" s="56"/>
    </row>
    <row r="3" spans="1:22" x14ac:dyDescent="0.25">
      <c r="B3" s="3">
        <f>IF(Calc!$C$23,Calc!$E$19,Calc!$D$19)</f>
        <v>0.37757534320549463</v>
      </c>
      <c r="G3" s="3">
        <f>Calc!$D$21</f>
        <v>-6.695288092221737E-3</v>
      </c>
      <c r="M3" s="3">
        <f>Calc!$D$21</f>
        <v>-6.695288092221737E-3</v>
      </c>
      <c r="S3" s="3">
        <f>IF(Calc!$C$23,Calc!$E$19,Calc!$D$19)</f>
        <v>0.37757534320549463</v>
      </c>
    </row>
    <row r="4" spans="1:22" x14ac:dyDescent="0.25">
      <c r="B4" s="3">
        <v>0</v>
      </c>
      <c r="G4" s="3">
        <f>Calc!$D$20</f>
        <v>-1.7318867447446262E-2</v>
      </c>
      <c r="M4" s="3">
        <f>IF(OR(K6:K56),MAX(K6:K56),G56)</f>
        <v>-1.7318867447446262E-2</v>
      </c>
      <c r="S4" s="3">
        <f>MAX(E6:E56)</f>
        <v>0.34736931574905505</v>
      </c>
    </row>
    <row r="5" spans="1:22" x14ac:dyDescent="0.25">
      <c r="B5" s="38" t="s">
        <v>44</v>
      </c>
      <c r="C5" s="38" t="s">
        <v>41</v>
      </c>
      <c r="D5" s="38" t="s">
        <v>42</v>
      </c>
      <c r="E5" s="41" t="s">
        <v>53</v>
      </c>
      <c r="G5" s="38" t="s">
        <v>45</v>
      </c>
      <c r="H5" s="39" t="s">
        <v>46</v>
      </c>
      <c r="I5" s="38" t="s">
        <v>41</v>
      </c>
      <c r="J5" s="38" t="s">
        <v>42</v>
      </c>
      <c r="K5" s="41" t="s">
        <v>52</v>
      </c>
      <c r="M5" s="38" t="s">
        <v>45</v>
      </c>
      <c r="N5" s="39" t="s">
        <v>46</v>
      </c>
      <c r="O5" s="38" t="s">
        <v>41</v>
      </c>
      <c r="P5" s="38" t="s">
        <v>42</v>
      </c>
      <c r="Q5" s="41" t="s">
        <v>54</v>
      </c>
      <c r="S5" s="38" t="s">
        <v>44</v>
      </c>
      <c r="T5" s="38" t="s">
        <v>41</v>
      </c>
      <c r="U5" s="38" t="s">
        <v>42</v>
      </c>
      <c r="V5" s="41" t="s">
        <v>55</v>
      </c>
    </row>
    <row r="6" spans="1:22" x14ac:dyDescent="0.25">
      <c r="A6" s="10">
        <v>0</v>
      </c>
      <c r="B6" s="3">
        <f>B3</f>
        <v>0.37757534320549463</v>
      </c>
      <c r="C6" s="3">
        <f t="shared" ref="C6:C55" si="0">br*SQRT(1+B6^2)*SIN(ATAN(B6)-B6+ha)</f>
        <v>0.41726145739789772</v>
      </c>
      <c r="D6" s="3">
        <f t="shared" ref="D6:D25" si="1">br*SQRT(1+B6^2)*COS(ATAN(B6)-B6+ha)</f>
        <v>225.99961480691991</v>
      </c>
      <c r="E6" s="10" t="str">
        <f t="shared" ref="E6:E30" si="2">IF(D6&lt;MAX($P$6:$P$56),B6,"NA")</f>
        <v>NA</v>
      </c>
      <c r="G6" s="3">
        <f>G3</f>
        <v>-6.695288092221737E-3</v>
      </c>
      <c r="H6" s="3">
        <f t="shared" ref="H6:H55" si="3">1+e/SQRT((pr*G6+uc)^2+(s+vc)^2)</f>
        <v>1.4367816091954024</v>
      </c>
      <c r="I6" s="3">
        <f t="shared" ref="I6:I25" si="4">H6*(pr*G6+uc)*COS(G6)-(pr+H6*(s+vc))*SIN(G6)</f>
        <v>1.4980595183530447</v>
      </c>
      <c r="J6" s="3">
        <f t="shared" ref="J6:J25" si="5">H6*(pr*G6+uc)*SIN(G6)+(pr+H6*(s+vc))*COS(G6)</f>
        <v>223.74498501123878</v>
      </c>
      <c r="K6" s="10" t="b">
        <f t="shared" ref="K6:K30" si="6">IF(AND(I6&gt;MAX($C$6:$C$56),J6&gt;$D$56),G6,FALSE)</f>
        <v>0</v>
      </c>
      <c r="M6" s="3">
        <f>M3</f>
        <v>-6.695288092221737E-3</v>
      </c>
      <c r="N6" s="3">
        <f t="shared" ref="N6:N55" si="7">1+e/SQRT((pr*M6+uc)^2+(s+vc)^2)</f>
        <v>1.4367816091954024</v>
      </c>
      <c r="O6" s="3">
        <f t="shared" ref="O6:O25" si="8">N6*(pr*M6+uc)*COS(M6)-(pr+N6*(s+vc))*SIN(M6)</f>
        <v>1.4980595183530447</v>
      </c>
      <c r="P6" s="3">
        <f t="shared" ref="P6:P25" si="9">N6*(pr*M6+uc)*SIN(M6)+(pr+N6*(s+vc))*COS(M6)</f>
        <v>223.74498501123878</v>
      </c>
      <c r="Q6" s="10" t="str">
        <f>IF(O6&lt;MAX(T6:$T$56),M6,"NA")</f>
        <v>NA</v>
      </c>
      <c r="S6" s="3">
        <f>S3</f>
        <v>0.37757534320549463</v>
      </c>
      <c r="T6" s="3">
        <f t="shared" ref="T6:T55" si="10">br*SQRT(1+S6^2)*SIN(ATAN(S6)-S6+ha)</f>
        <v>0.41726145739789772</v>
      </c>
      <c r="U6" s="3">
        <f t="shared" ref="U6:U25" si="11">br*SQRT(1+S6^2)*COS(ATAN(S6)-S6+ha)</f>
        <v>225.99961480691991</v>
      </c>
      <c r="V6" s="10">
        <f t="shared" ref="V6:V30" si="12">IF(U6&gt;MAX($P$6:$P$56),S6,"NA")</f>
        <v>0.37757534320549463</v>
      </c>
    </row>
    <row r="7" spans="1:22" x14ac:dyDescent="0.25">
      <c r="A7" s="10">
        <v>1</v>
      </c>
      <c r="B7" s="3">
        <f t="shared" ref="B7:B30" si="13">A7*(B$56-B$6)/$A$56+B$6</f>
        <v>0.37002383634138475</v>
      </c>
      <c r="C7" s="3">
        <f t="shared" si="0"/>
        <v>0.62494208972284304</v>
      </c>
      <c r="D7" s="3">
        <f t="shared" si="1"/>
        <v>225.44009990695065</v>
      </c>
      <c r="E7" s="10" t="str">
        <f t="shared" si="2"/>
        <v>NA</v>
      </c>
      <c r="G7" s="3">
        <f t="shared" ref="G7:G30" si="14">A7*(G$56-G$6)/$A$56+G$6</f>
        <v>-6.9077596793262275E-3</v>
      </c>
      <c r="H7" s="3">
        <f t="shared" si="3"/>
        <v>1.4361236780238646</v>
      </c>
      <c r="I7" s="3">
        <f t="shared" si="4"/>
        <v>1.4769490458809855</v>
      </c>
      <c r="J7" s="3">
        <f t="shared" si="5"/>
        <v>223.7457083040301</v>
      </c>
      <c r="K7" s="10" t="b">
        <f t="shared" si="6"/>
        <v>0</v>
      </c>
      <c r="M7" s="3">
        <f t="shared" ref="M7:M30" si="15">A7*(M$56-M$6)/$A$56+M$6</f>
        <v>-6.9077596793262275E-3</v>
      </c>
      <c r="N7" s="3">
        <f t="shared" si="7"/>
        <v>1.4361236780238646</v>
      </c>
      <c r="O7" s="3">
        <f t="shared" si="8"/>
        <v>1.4769490458809855</v>
      </c>
      <c r="P7" s="3">
        <f t="shared" si="9"/>
        <v>223.7457083040301</v>
      </c>
      <c r="Q7" s="10" t="str">
        <f>IF(O7&lt;MAX(T7:$T$56),M7,"NA")</f>
        <v>NA</v>
      </c>
      <c r="S7" s="3">
        <f t="shared" ref="S7:S30" si="16">A7*(S$56-S$6)/$A$56+S$6</f>
        <v>0.37697122265636585</v>
      </c>
      <c r="T7" s="3">
        <f t="shared" si="10"/>
        <v>0.43418660498420736</v>
      </c>
      <c r="U7" s="3">
        <f t="shared" si="11"/>
        <v>225.95449585428651</v>
      </c>
      <c r="V7" s="10">
        <f t="shared" si="12"/>
        <v>0.37697122265636585</v>
      </c>
    </row>
    <row r="8" spans="1:22" x14ac:dyDescent="0.25">
      <c r="A8" s="10">
        <v>2</v>
      </c>
      <c r="B8" s="3">
        <f t="shared" si="13"/>
        <v>0.36247232947727487</v>
      </c>
      <c r="C8" s="3">
        <f t="shared" si="0"/>
        <v>0.82428171187203658</v>
      </c>
      <c r="D8" s="3">
        <f t="shared" si="1"/>
        <v>224.89036741716865</v>
      </c>
      <c r="E8" s="10" t="str">
        <f t="shared" si="2"/>
        <v>NA</v>
      </c>
      <c r="G8" s="3">
        <f t="shared" si="14"/>
        <v>-7.1202312664307181E-3</v>
      </c>
      <c r="H8" s="3">
        <f t="shared" si="3"/>
        <v>1.434167581342306</v>
      </c>
      <c r="I8" s="3">
        <f t="shared" si="4"/>
        <v>1.4560340150387581</v>
      </c>
      <c r="J8" s="3">
        <f t="shared" si="5"/>
        <v>223.74757871201049</v>
      </c>
      <c r="K8" s="10" t="b">
        <f t="shared" si="6"/>
        <v>0</v>
      </c>
      <c r="M8" s="3">
        <f t="shared" si="15"/>
        <v>-7.1202312664307181E-3</v>
      </c>
      <c r="N8" s="3">
        <f t="shared" si="7"/>
        <v>1.434167581342306</v>
      </c>
      <c r="O8" s="3">
        <f t="shared" si="8"/>
        <v>1.4560340150387581</v>
      </c>
      <c r="P8" s="3">
        <f t="shared" si="9"/>
        <v>223.74757871201049</v>
      </c>
      <c r="Q8" s="10" t="str">
        <f>IF(O8&lt;MAX(T8:$T$56),M8,"NA")</f>
        <v>NA</v>
      </c>
      <c r="S8" s="3">
        <f t="shared" si="16"/>
        <v>0.37636710210723706</v>
      </c>
      <c r="T8" s="3">
        <f t="shared" si="10"/>
        <v>0.45105743393691045</v>
      </c>
      <c r="U8" s="3">
        <f t="shared" si="11"/>
        <v>225.90943894954216</v>
      </c>
      <c r="V8" s="10">
        <f t="shared" si="12"/>
        <v>0.37636710210723706</v>
      </c>
    </row>
    <row r="9" spans="1:22" x14ac:dyDescent="0.25">
      <c r="A9" s="10">
        <v>3</v>
      </c>
      <c r="B9" s="3">
        <f t="shared" si="13"/>
        <v>0.35492082261316493</v>
      </c>
      <c r="C9" s="3">
        <f t="shared" si="0"/>
        <v>1.0154401436713008</v>
      </c>
      <c r="D9" s="3">
        <f t="shared" si="1"/>
        <v>224.35051075807542</v>
      </c>
      <c r="E9" s="10" t="str">
        <f t="shared" si="2"/>
        <v>NA</v>
      </c>
      <c r="G9" s="3">
        <f t="shared" si="14"/>
        <v>-7.3327028535352086E-3</v>
      </c>
      <c r="H9" s="3">
        <f t="shared" si="3"/>
        <v>1.4309651055927648</v>
      </c>
      <c r="I9" s="3">
        <f t="shared" si="4"/>
        <v>1.4354935704179845</v>
      </c>
      <c r="J9" s="3">
        <f t="shared" si="5"/>
        <v>223.75054974690991</v>
      </c>
      <c r="K9" s="10" t="b">
        <f t="shared" si="6"/>
        <v>0</v>
      </c>
      <c r="M9" s="3">
        <f t="shared" si="15"/>
        <v>-7.3327028535352086E-3</v>
      </c>
      <c r="N9" s="3">
        <f t="shared" si="7"/>
        <v>1.4309651055927648</v>
      </c>
      <c r="O9" s="3">
        <f t="shared" si="8"/>
        <v>1.4354935704179845</v>
      </c>
      <c r="P9" s="3">
        <f t="shared" si="9"/>
        <v>223.75054974690991</v>
      </c>
      <c r="Q9" s="10" t="str">
        <f>IF(O9&lt;MAX(T9:$T$56),M9,"NA")</f>
        <v>NA</v>
      </c>
      <c r="S9" s="3">
        <f t="shared" si="16"/>
        <v>0.37576298155810828</v>
      </c>
      <c r="T9" s="3">
        <f t="shared" si="10"/>
        <v>0.4678740254116881</v>
      </c>
      <c r="U9" s="3">
        <f t="shared" si="11"/>
        <v>225.86444414182378</v>
      </c>
      <c r="V9" s="10">
        <f t="shared" si="12"/>
        <v>0.37576298155810828</v>
      </c>
    </row>
    <row r="10" spans="1:22" x14ac:dyDescent="0.25">
      <c r="A10" s="10">
        <v>4</v>
      </c>
      <c r="B10" s="3">
        <f t="shared" si="13"/>
        <v>0.34736931574905505</v>
      </c>
      <c r="C10" s="3">
        <f t="shared" si="0"/>
        <v>1.1985781353305314</v>
      </c>
      <c r="D10" s="3">
        <f t="shared" si="1"/>
        <v>223.82062149252494</v>
      </c>
      <c r="E10" s="10">
        <f t="shared" si="2"/>
        <v>0.34736931574905505</v>
      </c>
      <c r="G10" s="3">
        <f t="shared" si="14"/>
        <v>-7.5451744406396992E-3</v>
      </c>
      <c r="H10" s="3">
        <f t="shared" si="3"/>
        <v>1.426598399372877</v>
      </c>
      <c r="I10" s="3">
        <f t="shared" si="4"/>
        <v>1.4154909094614005</v>
      </c>
      <c r="J10" s="3">
        <f t="shared" si="5"/>
        <v>223.75454847272061</v>
      </c>
      <c r="K10" s="10" t="b">
        <f t="shared" si="6"/>
        <v>0</v>
      </c>
      <c r="M10" s="3">
        <f t="shared" si="15"/>
        <v>-7.5451744406396992E-3</v>
      </c>
      <c r="N10" s="3">
        <f t="shared" si="7"/>
        <v>1.426598399372877</v>
      </c>
      <c r="O10" s="3">
        <f t="shared" si="8"/>
        <v>1.4154909094614005</v>
      </c>
      <c r="P10" s="3">
        <f t="shared" si="9"/>
        <v>223.75454847272061</v>
      </c>
      <c r="Q10" s="10" t="str">
        <f>IF(O10&lt;MAX(T10:$T$56),M10,"NA")</f>
        <v>NA</v>
      </c>
      <c r="S10" s="3">
        <f t="shared" si="16"/>
        <v>0.37515886100897944</v>
      </c>
      <c r="T10" s="3">
        <f t="shared" si="10"/>
        <v>0.48463646060378485</v>
      </c>
      <c r="U10" s="3">
        <f t="shared" si="11"/>
        <v>225.81951148019292</v>
      </c>
      <c r="V10" s="10">
        <f t="shared" si="12"/>
        <v>0.37515886100897944</v>
      </c>
    </row>
    <row r="11" spans="1:22" x14ac:dyDescent="0.25">
      <c r="A11" s="10">
        <v>5</v>
      </c>
      <c r="B11" s="3">
        <f t="shared" si="13"/>
        <v>0.33981780888494517</v>
      </c>
      <c r="C11" s="3">
        <f t="shared" si="0"/>
        <v>1.3738573484885532</v>
      </c>
      <c r="D11" s="3">
        <f t="shared" si="1"/>
        <v>223.30078931703611</v>
      </c>
      <c r="E11" s="10">
        <f t="shared" si="2"/>
        <v>0.33981780888494517</v>
      </c>
      <c r="G11" s="3">
        <f t="shared" si="14"/>
        <v>-7.7576460277441889E-3</v>
      </c>
      <c r="H11" s="3">
        <f t="shared" si="3"/>
        <v>1.4211743345438872</v>
      </c>
      <c r="I11" s="3">
        <f t="shared" si="4"/>
        <v>1.3961673830686894</v>
      </c>
      <c r="J11" s="3">
        <f t="shared" si="5"/>
        <v>223.75948047415343</v>
      </c>
      <c r="K11" s="10" t="b">
        <f t="shared" si="6"/>
        <v>0</v>
      </c>
      <c r="M11" s="3">
        <f t="shared" si="15"/>
        <v>-7.7576460277441889E-3</v>
      </c>
      <c r="N11" s="3">
        <f t="shared" si="7"/>
        <v>1.4211743345438872</v>
      </c>
      <c r="O11" s="3">
        <f t="shared" si="8"/>
        <v>1.3961673830686894</v>
      </c>
      <c r="P11" s="3">
        <f t="shared" si="9"/>
        <v>223.75948047415343</v>
      </c>
      <c r="Q11" s="10" t="str">
        <f>IF(O11&lt;MAX(T11:$T$56),M11,"NA")</f>
        <v>NA</v>
      </c>
      <c r="S11" s="3">
        <f t="shared" si="16"/>
        <v>0.37455474045985065</v>
      </c>
      <c r="T11" s="3">
        <f t="shared" si="10"/>
        <v>0.50134482074791364</v>
      </c>
      <c r="U11" s="3">
        <f t="shared" si="11"/>
        <v>225.77464101363563</v>
      </c>
      <c r="V11" s="10">
        <f t="shared" si="12"/>
        <v>0.37455474045985065</v>
      </c>
    </row>
    <row r="12" spans="1:22" x14ac:dyDescent="0.25">
      <c r="A12" s="10">
        <v>6</v>
      </c>
      <c r="B12" s="3">
        <f t="shared" si="13"/>
        <v>0.33226630202083529</v>
      </c>
      <c r="C12" s="3">
        <f t="shared" si="0"/>
        <v>1.5414403371800076</v>
      </c>
      <c r="D12" s="3">
        <f t="shared" si="1"/>
        <v>222.79110205328632</v>
      </c>
      <c r="E12" s="10">
        <f t="shared" si="2"/>
        <v>0.33226630202083529</v>
      </c>
      <c r="G12" s="3">
        <f t="shared" si="14"/>
        <v>-7.9701176148486794E-3</v>
      </c>
      <c r="H12" s="3">
        <f t="shared" si="3"/>
        <v>1.4148176824876475</v>
      </c>
      <c r="I12" s="3">
        <f t="shared" si="4"/>
        <v>1.3776385679792973</v>
      </c>
      <c r="J12" s="3">
        <f t="shared" si="5"/>
        <v>223.76523584778391</v>
      </c>
      <c r="K12" s="10" t="b">
        <f t="shared" si="6"/>
        <v>0</v>
      </c>
      <c r="M12" s="3">
        <f t="shared" si="15"/>
        <v>-7.9701176148486794E-3</v>
      </c>
      <c r="N12" s="3">
        <f t="shared" si="7"/>
        <v>1.4148176824876475</v>
      </c>
      <c r="O12" s="3">
        <f t="shared" si="8"/>
        <v>1.3776385679792973</v>
      </c>
      <c r="P12" s="3">
        <f t="shared" si="9"/>
        <v>223.76523584778391</v>
      </c>
      <c r="Q12" s="10" t="str">
        <f>IF(O12&lt;MAX(T12:$T$56),M12,"NA")</f>
        <v>NA</v>
      </c>
      <c r="S12" s="3">
        <f t="shared" si="16"/>
        <v>0.37395061991072187</v>
      </c>
      <c r="T12" s="3">
        <f t="shared" si="10"/>
        <v>0.51799918711818749</v>
      </c>
      <c r="U12" s="3">
        <f t="shared" si="11"/>
        <v>225.72983279106253</v>
      </c>
      <c r="V12" s="10">
        <f t="shared" si="12"/>
        <v>0.37395061991072187</v>
      </c>
    </row>
    <row r="13" spans="1:22" x14ac:dyDescent="0.25">
      <c r="A13" s="10">
        <v>7</v>
      </c>
      <c r="B13" s="3">
        <f t="shared" si="13"/>
        <v>0.32471479515672536</v>
      </c>
      <c r="C13" s="3">
        <f t="shared" si="0"/>
        <v>1.7014905287261533</v>
      </c>
      <c r="D13" s="3">
        <f t="shared" si="1"/>
        <v>222.29164563978563</v>
      </c>
      <c r="E13" s="10">
        <f t="shared" si="2"/>
        <v>0.32471479515672536</v>
      </c>
      <c r="G13" s="3">
        <f t="shared" si="14"/>
        <v>-8.18258920195317E-3</v>
      </c>
      <c r="H13" s="3">
        <f t="shared" si="3"/>
        <v>1.4076638993928481</v>
      </c>
      <c r="I13" s="3">
        <f t="shared" si="4"/>
        <v>1.3599924376270816</v>
      </c>
      <c r="J13" s="3">
        <f t="shared" si="5"/>
        <v>223.77169552123746</v>
      </c>
      <c r="K13" s="10" t="b">
        <f t="shared" si="6"/>
        <v>0</v>
      </c>
      <c r="M13" s="3">
        <f t="shared" si="15"/>
        <v>-8.18258920195317E-3</v>
      </c>
      <c r="N13" s="3">
        <f t="shared" si="7"/>
        <v>1.4076638993928481</v>
      </c>
      <c r="O13" s="3">
        <f t="shared" si="8"/>
        <v>1.3599924376270816</v>
      </c>
      <c r="P13" s="3">
        <f t="shared" si="9"/>
        <v>223.77169552123746</v>
      </c>
      <c r="Q13" s="10" t="str">
        <f>IF(O13&lt;MAX(T13:$T$56),M13,"NA")</f>
        <v>NA</v>
      </c>
      <c r="S13" s="3">
        <f t="shared" si="16"/>
        <v>0.37334649936159309</v>
      </c>
      <c r="T13" s="3">
        <f t="shared" si="10"/>
        <v>0.53459964102805069</v>
      </c>
      <c r="U13" s="3">
        <f t="shared" si="11"/>
        <v>225.68508686130875</v>
      </c>
      <c r="V13" s="10">
        <f t="shared" si="12"/>
        <v>0.37334649936159309</v>
      </c>
    </row>
    <row r="14" spans="1:22" x14ac:dyDescent="0.25">
      <c r="A14" s="10">
        <v>8</v>
      </c>
      <c r="B14" s="3">
        <f t="shared" si="13"/>
        <v>0.31716328829261548</v>
      </c>
      <c r="C14" s="3">
        <f t="shared" si="0"/>
        <v>1.8541722045509943</v>
      </c>
      <c r="D14" s="3">
        <f t="shared" si="1"/>
        <v>221.80250412373283</v>
      </c>
      <c r="E14" s="10">
        <f t="shared" si="2"/>
        <v>0.31716328829261548</v>
      </c>
      <c r="G14" s="3">
        <f t="shared" si="14"/>
        <v>-8.3950607890576606E-3</v>
      </c>
      <c r="H14" s="3">
        <f t="shared" si="3"/>
        <v>1.3998522418990875</v>
      </c>
      <c r="I14" s="3">
        <f t="shared" si="4"/>
        <v>1.3432894816516665</v>
      </c>
      <c r="J14" s="3">
        <f t="shared" si="5"/>
        <v>223.77873727098151</v>
      </c>
      <c r="K14" s="10" t="b">
        <f t="shared" si="6"/>
        <v>0</v>
      </c>
      <c r="M14" s="3">
        <f t="shared" si="15"/>
        <v>-8.3950607890576606E-3</v>
      </c>
      <c r="N14" s="3">
        <f t="shared" si="7"/>
        <v>1.3998522418990875</v>
      </c>
      <c r="O14" s="3">
        <f t="shared" si="8"/>
        <v>1.3432894816516665</v>
      </c>
      <c r="P14" s="3">
        <f t="shared" si="9"/>
        <v>223.77873727098151</v>
      </c>
      <c r="Q14" s="10" t="str">
        <f>IF(O14&lt;MAX(T14:$T$56),M14,"NA")</f>
        <v>NA</v>
      </c>
      <c r="S14" s="3">
        <f t="shared" si="16"/>
        <v>0.3727423788124643</v>
      </c>
      <c r="T14" s="3">
        <f t="shared" si="10"/>
        <v>0.55114626383026222</v>
      </c>
      <c r="U14" s="3">
        <f t="shared" si="11"/>
        <v>225.64040327313384</v>
      </c>
      <c r="V14" s="10">
        <f t="shared" si="12"/>
        <v>0.3727423788124643</v>
      </c>
    </row>
    <row r="15" spans="1:22" x14ac:dyDescent="0.25">
      <c r="A15" s="10">
        <v>9</v>
      </c>
      <c r="B15" s="3">
        <f t="shared" si="13"/>
        <v>0.30961178142850559</v>
      </c>
      <c r="C15" s="3">
        <f t="shared" si="0"/>
        <v>1.999650480924551</v>
      </c>
      <c r="D15" s="3">
        <f t="shared" si="1"/>
        <v>221.32375965305417</v>
      </c>
      <c r="E15" s="10">
        <f t="shared" si="2"/>
        <v>0.30961178142850559</v>
      </c>
      <c r="G15" s="3">
        <f t="shared" si="14"/>
        <v>-8.6075323761621511E-3</v>
      </c>
      <c r="H15" s="3">
        <f t="shared" si="3"/>
        <v>1.3915197624074291</v>
      </c>
      <c r="I15" s="3">
        <f t="shared" si="4"/>
        <v>1.3275644226209635</v>
      </c>
      <c r="J15" s="3">
        <f t="shared" si="5"/>
        <v>223.78624096093768</v>
      </c>
      <c r="K15" s="10" t="b">
        <f t="shared" si="6"/>
        <v>0</v>
      </c>
      <c r="M15" s="3">
        <f t="shared" si="15"/>
        <v>-8.6075323761621511E-3</v>
      </c>
      <c r="N15" s="3">
        <f t="shared" si="7"/>
        <v>1.3915197624074291</v>
      </c>
      <c r="O15" s="3">
        <f t="shared" si="8"/>
        <v>1.3275644226209635</v>
      </c>
      <c r="P15" s="3">
        <f t="shared" si="9"/>
        <v>223.78624096093768</v>
      </c>
      <c r="Q15" s="10" t="str">
        <f>IF(O15&lt;MAX(T15:$T$56),M15,"NA")</f>
        <v>NA</v>
      </c>
      <c r="S15" s="3">
        <f t="shared" si="16"/>
        <v>0.37213825826333552</v>
      </c>
      <c r="T15" s="3">
        <f t="shared" si="10"/>
        <v>0.56763913691676582</v>
      </c>
      <c r="U15" s="3">
        <f t="shared" si="11"/>
        <v>225.59578207522173</v>
      </c>
      <c r="V15" s="10">
        <f t="shared" si="12"/>
        <v>0.37213825826333552</v>
      </c>
    </row>
    <row r="16" spans="1:22" x14ac:dyDescent="0.25">
      <c r="A16" s="10">
        <v>10</v>
      </c>
      <c r="B16" s="3">
        <f t="shared" si="13"/>
        <v>0.30206027456439571</v>
      </c>
      <c r="C16" s="3">
        <f t="shared" si="0"/>
        <v>2.1380912896348456</v>
      </c>
      <c r="D16" s="3">
        <f t="shared" si="1"/>
        <v>220.85549246862502</v>
      </c>
      <c r="E16" s="10">
        <f t="shared" si="2"/>
        <v>0.30206027456439571</v>
      </c>
      <c r="G16" s="3">
        <f t="shared" si="14"/>
        <v>-8.8200039632666417E-3</v>
      </c>
      <c r="H16" s="3">
        <f t="shared" si="3"/>
        <v>1.3827965166241256</v>
      </c>
      <c r="I16" s="3">
        <f t="shared" si="4"/>
        <v>1.3128290729103964</v>
      </c>
      <c r="J16" s="3">
        <f t="shared" si="5"/>
        <v>223.79409271422065</v>
      </c>
      <c r="K16" s="10" t="b">
        <f t="shared" si="6"/>
        <v>0</v>
      </c>
      <c r="M16" s="3">
        <f t="shared" si="15"/>
        <v>-8.8200039632666417E-3</v>
      </c>
      <c r="N16" s="3">
        <f t="shared" si="7"/>
        <v>1.3827965166241256</v>
      </c>
      <c r="O16" s="3">
        <f t="shared" si="8"/>
        <v>1.3128290729103964</v>
      </c>
      <c r="P16" s="3">
        <f t="shared" si="9"/>
        <v>223.79409271422065</v>
      </c>
      <c r="Q16" s="10" t="str">
        <f>IF(O16&lt;MAX(T16:$T$56),M16,"NA")</f>
        <v>NA</v>
      </c>
      <c r="S16" s="3">
        <f t="shared" si="16"/>
        <v>0.37153413771420674</v>
      </c>
      <c r="T16" s="3">
        <f t="shared" si="10"/>
        <v>0.58407834171869988</v>
      </c>
      <c r="U16" s="3">
        <f t="shared" si="11"/>
        <v>225.55122331618088</v>
      </c>
      <c r="V16" s="10">
        <f t="shared" si="12"/>
        <v>0.37153413771420674</v>
      </c>
    </row>
    <row r="17" spans="1:22" x14ac:dyDescent="0.25">
      <c r="A17" s="10">
        <v>11</v>
      </c>
      <c r="B17" s="3">
        <f t="shared" si="13"/>
        <v>0.29450876770028578</v>
      </c>
      <c r="C17" s="3">
        <f t="shared" si="0"/>
        <v>2.2696613585903056</v>
      </c>
      <c r="D17" s="3">
        <f t="shared" si="1"/>
        <v>220.3977808966751</v>
      </c>
      <c r="E17" s="10">
        <f t="shared" si="2"/>
        <v>0.29450876770028578</v>
      </c>
      <c r="G17" s="3">
        <f t="shared" si="14"/>
        <v>-9.0324755503711322E-3</v>
      </c>
      <c r="H17" s="3">
        <f t="shared" si="3"/>
        <v>1.3738021050673406</v>
      </c>
      <c r="I17" s="3">
        <f t="shared" si="4"/>
        <v>1.2990758595373404</v>
      </c>
      <c r="J17" s="3">
        <f t="shared" si="5"/>
        <v>223.80218791465563</v>
      </c>
      <c r="K17" s="10" t="b">
        <f t="shared" si="6"/>
        <v>0</v>
      </c>
      <c r="M17" s="3">
        <f t="shared" si="15"/>
        <v>-9.0324755503711322E-3</v>
      </c>
      <c r="N17" s="3">
        <f t="shared" si="7"/>
        <v>1.3738021050673406</v>
      </c>
      <c r="O17" s="3">
        <f t="shared" si="8"/>
        <v>1.2990758595373404</v>
      </c>
      <c r="P17" s="3">
        <f t="shared" si="9"/>
        <v>223.80218791465563</v>
      </c>
      <c r="Q17" s="10" t="str">
        <f>IF(O17&lt;MAX(T17:$T$56),M17,"NA")</f>
        <v>NA</v>
      </c>
      <c r="S17" s="3">
        <f t="shared" si="16"/>
        <v>0.3709300171650779</v>
      </c>
      <c r="T17" s="3">
        <f t="shared" si="10"/>
        <v>0.60046395970626909</v>
      </c>
      <c r="U17" s="3">
        <f t="shared" si="11"/>
        <v>225.50672704454405</v>
      </c>
      <c r="V17" s="10">
        <f t="shared" si="12"/>
        <v>0.3709300171650779</v>
      </c>
    </row>
    <row r="18" spans="1:22" x14ac:dyDescent="0.25">
      <c r="A18" s="10">
        <v>12</v>
      </c>
      <c r="B18" s="3">
        <f t="shared" si="13"/>
        <v>0.2869572608361759</v>
      </c>
      <c r="C18" s="3">
        <f t="shared" si="0"/>
        <v>2.3945281923542705</v>
      </c>
      <c r="D18" s="3">
        <f t="shared" si="1"/>
        <v>219.95070134137819</v>
      </c>
      <c r="E18" s="10">
        <f t="shared" si="2"/>
        <v>0.2869572608361759</v>
      </c>
      <c r="G18" s="3">
        <f t="shared" si="14"/>
        <v>-9.2449471374756228E-3</v>
      </c>
      <c r="H18" s="3">
        <f t="shared" si="3"/>
        <v>1.3646435000161159</v>
      </c>
      <c r="I18" s="3">
        <f t="shared" si="4"/>
        <v>1.2862815970550672</v>
      </c>
      <c r="J18" s="3">
        <f t="shared" si="5"/>
        <v>223.81043308316532</v>
      </c>
      <c r="K18" s="10" t="b">
        <f t="shared" si="6"/>
        <v>0</v>
      </c>
      <c r="M18" s="3">
        <f t="shared" si="15"/>
        <v>-9.2449471374756228E-3</v>
      </c>
      <c r="N18" s="3">
        <f t="shared" si="7"/>
        <v>1.3646435000161159</v>
      </c>
      <c r="O18" s="3">
        <f t="shared" si="8"/>
        <v>1.2862815970550672</v>
      </c>
      <c r="P18" s="3">
        <f t="shared" si="9"/>
        <v>223.81043308316532</v>
      </c>
      <c r="Q18" s="10" t="str">
        <f>IF(O18&lt;MAX(T18:$T$56),M18,"NA")</f>
        <v>NA</v>
      </c>
      <c r="S18" s="3">
        <f t="shared" si="16"/>
        <v>0.37032589661594911</v>
      </c>
      <c r="T18" s="3">
        <f t="shared" si="10"/>
        <v>0.61679607238873002</v>
      </c>
      <c r="U18" s="3">
        <f t="shared" si="11"/>
        <v>225.46229330876838</v>
      </c>
      <c r="V18" s="10">
        <f t="shared" si="12"/>
        <v>0.37032589661594911</v>
      </c>
    </row>
    <row r="19" spans="1:22" x14ac:dyDescent="0.25">
      <c r="A19" s="10">
        <v>13</v>
      </c>
      <c r="B19" s="3">
        <f t="shared" si="13"/>
        <v>0.27940575397206602</v>
      </c>
      <c r="C19" s="3">
        <f t="shared" si="0"/>
        <v>2.5128600526132572</v>
      </c>
      <c r="D19" s="3">
        <f t="shared" si="1"/>
        <v>219.51432827762653</v>
      </c>
      <c r="E19" s="10">
        <f t="shared" si="2"/>
        <v>0.27940575397206602</v>
      </c>
      <c r="G19" s="3">
        <f t="shared" si="14"/>
        <v>-9.4574187245801133E-3</v>
      </c>
      <c r="H19" s="3">
        <f t="shared" si="3"/>
        <v>1.3554139951498039</v>
      </c>
      <c r="I19" s="3">
        <f t="shared" si="4"/>
        <v>1.2744111791728376</v>
      </c>
      <c r="J19" s="3">
        <f t="shared" si="5"/>
        <v>223.81874677335944</v>
      </c>
      <c r="K19" s="10" t="b">
        <f t="shared" si="6"/>
        <v>0</v>
      </c>
      <c r="M19" s="3">
        <f t="shared" si="15"/>
        <v>-9.4574187245801133E-3</v>
      </c>
      <c r="N19" s="3">
        <f t="shared" si="7"/>
        <v>1.3554139951498039</v>
      </c>
      <c r="O19" s="3">
        <f t="shared" si="8"/>
        <v>1.2744111791728376</v>
      </c>
      <c r="P19" s="3">
        <f t="shared" si="9"/>
        <v>223.81874677335944</v>
      </c>
      <c r="Q19" s="10" t="str">
        <f>IF(O19&lt;MAX(T19:$T$56),M19,"NA")</f>
        <v>NA</v>
      </c>
      <c r="S19" s="3">
        <f t="shared" si="16"/>
        <v>0.36972177606682033</v>
      </c>
      <c r="T19" s="3">
        <f t="shared" si="10"/>
        <v>0.63307476131431517</v>
      </c>
      <c r="U19" s="3">
        <f t="shared" si="11"/>
        <v>225.4179221572353</v>
      </c>
      <c r="V19" s="10">
        <f t="shared" si="12"/>
        <v>0.36972177606682033</v>
      </c>
    </row>
    <row r="20" spans="1:22" x14ac:dyDescent="0.25">
      <c r="A20" s="10">
        <v>14</v>
      </c>
      <c r="B20" s="3">
        <f t="shared" si="13"/>
        <v>0.27185424710795614</v>
      </c>
      <c r="C20" s="3">
        <f t="shared" si="0"/>
        <v>2.6248259385806749</v>
      </c>
      <c r="D20" s="3">
        <f t="shared" si="1"/>
        <v>219.08873424399084</v>
      </c>
      <c r="E20" s="10">
        <f t="shared" si="2"/>
        <v>0.27185424710795614</v>
      </c>
      <c r="G20" s="3">
        <f t="shared" si="14"/>
        <v>-9.6698903116846039E-3</v>
      </c>
      <c r="H20" s="3">
        <f t="shared" si="3"/>
        <v>1.346193056306215</v>
      </c>
      <c r="I20" s="3">
        <f t="shared" si="4"/>
        <v>1.263420962116176</v>
      </c>
      <c r="J20" s="3">
        <f t="shared" si="5"/>
        <v>223.82705968140792</v>
      </c>
      <c r="K20" s="10" t="b">
        <f t="shared" si="6"/>
        <v>0</v>
      </c>
      <c r="M20" s="3">
        <f t="shared" si="15"/>
        <v>-9.6698903116846039E-3</v>
      </c>
      <c r="N20" s="3">
        <f t="shared" si="7"/>
        <v>1.346193056306215</v>
      </c>
      <c r="O20" s="3">
        <f t="shared" si="8"/>
        <v>1.263420962116176</v>
      </c>
      <c r="P20" s="3">
        <f t="shared" si="9"/>
        <v>223.82705968140792</v>
      </c>
      <c r="Q20" s="10" t="str">
        <f>IF(O20&lt;MAX(T20:$T$56),M20,"NA")</f>
        <v>NA</v>
      </c>
      <c r="S20" s="3">
        <f t="shared" si="16"/>
        <v>0.36911765551769155</v>
      </c>
      <c r="T20" s="3">
        <f t="shared" si="10"/>
        <v>0.64930010807018201</v>
      </c>
      <c r="U20" s="3">
        <f t="shared" si="11"/>
        <v>225.3736136382505</v>
      </c>
      <c r="V20" s="10">
        <f t="shared" si="12"/>
        <v>0.36911765551769155</v>
      </c>
    </row>
    <row r="21" spans="1:22" x14ac:dyDescent="0.25">
      <c r="A21" s="10">
        <v>15</v>
      </c>
      <c r="B21" s="3">
        <f t="shared" si="13"/>
        <v>0.26430274024384626</v>
      </c>
      <c r="C21" s="3">
        <f t="shared" si="0"/>
        <v>2.7305955673376752</v>
      </c>
      <c r="D21" s="3">
        <f t="shared" si="1"/>
        <v>218.67398983586665</v>
      </c>
      <c r="E21" s="10">
        <f t="shared" si="2"/>
        <v>0.26430274024384626</v>
      </c>
      <c r="G21" s="3">
        <f t="shared" si="14"/>
        <v>-9.8823618987890945E-3</v>
      </c>
      <c r="H21" s="3">
        <f t="shared" si="3"/>
        <v>1.3370468379002505</v>
      </c>
      <c r="I21" s="3">
        <f t="shared" si="4"/>
        <v>1.2532617078853809</v>
      </c>
      <c r="J21" s="3">
        <f t="shared" si="5"/>
        <v>223.83531417680655</v>
      </c>
      <c r="K21" s="10" t="b">
        <f t="shared" si="6"/>
        <v>0</v>
      </c>
      <c r="M21" s="3">
        <f t="shared" si="15"/>
        <v>-9.8823618987890945E-3</v>
      </c>
      <c r="N21" s="3">
        <f t="shared" si="7"/>
        <v>1.3370468379002505</v>
      </c>
      <c r="O21" s="3">
        <f t="shared" si="8"/>
        <v>1.2532617078853809</v>
      </c>
      <c r="P21" s="3">
        <f t="shared" si="9"/>
        <v>223.83531417680655</v>
      </c>
      <c r="Q21" s="10" t="str">
        <f>IF(O21&lt;MAX(T21:$T$56),M21,"NA")</f>
        <v>NA</v>
      </c>
      <c r="S21" s="3">
        <f t="shared" si="16"/>
        <v>0.36851353496856276</v>
      </c>
      <c r="T21" s="3">
        <f t="shared" si="10"/>
        <v>0.66547219428230153</v>
      </c>
      <c r="U21" s="3">
        <f t="shared" si="11"/>
        <v>225.32936780004403</v>
      </c>
      <c r="V21" s="10">
        <f t="shared" si="12"/>
        <v>0.36851353496856276</v>
      </c>
    </row>
    <row r="22" spans="1:22" x14ac:dyDescent="0.25">
      <c r="A22" s="10">
        <v>16</v>
      </c>
      <c r="B22" s="3">
        <f t="shared" si="13"/>
        <v>0.25675123337973638</v>
      </c>
      <c r="C22" s="3">
        <f t="shared" si="0"/>
        <v>2.8303393541127817</v>
      </c>
      <c r="D22" s="3">
        <f t="shared" si="1"/>
        <v>218.27016369880613</v>
      </c>
      <c r="E22" s="10">
        <f t="shared" si="2"/>
        <v>0.25675123337973638</v>
      </c>
      <c r="G22" s="3">
        <f t="shared" si="14"/>
        <v>-1.0094833485893585E-2</v>
      </c>
      <c r="H22" s="3">
        <f t="shared" si="3"/>
        <v>1.3280291463435576</v>
      </c>
      <c r="I22" s="3">
        <f t="shared" si="4"/>
        <v>1.243881032971071</v>
      </c>
      <c r="J22" s="3">
        <f t="shared" si="5"/>
        <v>223.84346344547461</v>
      </c>
      <c r="K22" s="10" t="b">
        <f t="shared" si="6"/>
        <v>0</v>
      </c>
      <c r="M22" s="3">
        <f t="shared" si="15"/>
        <v>-1.0094833485893585E-2</v>
      </c>
      <c r="N22" s="3">
        <f t="shared" si="7"/>
        <v>1.3280291463435576</v>
      </c>
      <c r="O22" s="3">
        <f t="shared" si="8"/>
        <v>1.243881032971071</v>
      </c>
      <c r="P22" s="3">
        <f t="shared" si="9"/>
        <v>223.84346344547461</v>
      </c>
      <c r="Q22" s="10" t="str">
        <f>IF(O22&lt;MAX(T22:$T$56),M22,"NA")</f>
        <v>NA</v>
      </c>
      <c r="S22" s="3">
        <f t="shared" si="16"/>
        <v>0.36790941441943398</v>
      </c>
      <c r="T22" s="3">
        <f t="shared" si="10"/>
        <v>0.68159110161547054</v>
      </c>
      <c r="U22" s="3">
        <f t="shared" si="11"/>
        <v>225.28518469077011</v>
      </c>
      <c r="V22" s="10">
        <f t="shared" si="12"/>
        <v>0.36790941441943398</v>
      </c>
    </row>
    <row r="23" spans="1:22" x14ac:dyDescent="0.25">
      <c r="A23" s="10">
        <v>17</v>
      </c>
      <c r="B23" s="3">
        <f t="shared" si="13"/>
        <v>0.24919972651562647</v>
      </c>
      <c r="C23" s="3">
        <f t="shared" si="0"/>
        <v>2.9242283925021826</v>
      </c>
      <c r="D23" s="3">
        <f t="shared" si="1"/>
        <v>217.8773225220385</v>
      </c>
      <c r="E23" s="10">
        <f t="shared" si="2"/>
        <v>0.24919972651562647</v>
      </c>
      <c r="G23" s="3">
        <f t="shared" si="14"/>
        <v>-1.0307305072998076E-2</v>
      </c>
      <c r="H23" s="3">
        <f t="shared" si="3"/>
        <v>1.3191826656444541</v>
      </c>
      <c r="I23" s="3">
        <f t="shared" si="4"/>
        <v>1.2352253642292443</v>
      </c>
      <c r="J23" s="3">
        <f t="shared" si="5"/>
        <v>223.85147040669847</v>
      </c>
      <c r="K23" s="10" t="b">
        <f t="shared" si="6"/>
        <v>0</v>
      </c>
      <c r="M23" s="3">
        <f t="shared" si="15"/>
        <v>-1.0307305072998076E-2</v>
      </c>
      <c r="N23" s="3">
        <f t="shared" si="7"/>
        <v>1.3191826656444541</v>
      </c>
      <c r="O23" s="3">
        <f t="shared" si="8"/>
        <v>1.2352253642292443</v>
      </c>
      <c r="P23" s="3">
        <f t="shared" si="9"/>
        <v>223.85147040669847</v>
      </c>
      <c r="Q23" s="10" t="str">
        <f>IF(O23&lt;MAX(T23:$T$56),M23,"NA")</f>
        <v>NA</v>
      </c>
      <c r="S23" s="3">
        <f t="shared" si="16"/>
        <v>0.36730529387030519</v>
      </c>
      <c r="T23" s="3">
        <f t="shared" si="10"/>
        <v>0.69765691177321432</v>
      </c>
      <c r="U23" s="3">
        <f t="shared" si="11"/>
        <v>225.24106435850703</v>
      </c>
      <c r="V23" s="10">
        <f t="shared" si="12"/>
        <v>0.36730529387030519</v>
      </c>
    </row>
    <row r="24" spans="1:22" x14ac:dyDescent="0.25">
      <c r="A24" s="10">
        <v>18</v>
      </c>
      <c r="B24" s="3">
        <f t="shared" si="13"/>
        <v>0.24164821965151656</v>
      </c>
      <c r="C24" s="3">
        <f t="shared" si="0"/>
        <v>3.0124344346320751</v>
      </c>
      <c r="D24" s="3">
        <f t="shared" si="1"/>
        <v>217.49553103217687</v>
      </c>
      <c r="E24" s="10">
        <f t="shared" si="2"/>
        <v>0.24164821965151656</v>
      </c>
      <c r="G24" s="3">
        <f t="shared" si="14"/>
        <v>-1.0519776660102566E-2</v>
      </c>
      <c r="H24" s="3">
        <f t="shared" si="3"/>
        <v>1.3105403005002825</v>
      </c>
      <c r="I24" s="3">
        <f t="shared" si="4"/>
        <v>1.2272414396726135</v>
      </c>
      <c r="J24" s="3">
        <f t="shared" si="5"/>
        <v>223.8593065301381</v>
      </c>
      <c r="K24" s="10" t="b">
        <f t="shared" si="6"/>
        <v>0</v>
      </c>
      <c r="M24" s="3">
        <f t="shared" si="15"/>
        <v>-1.0519776660102566E-2</v>
      </c>
      <c r="N24" s="3">
        <f t="shared" si="7"/>
        <v>1.3105403005002825</v>
      </c>
      <c r="O24" s="3">
        <f t="shared" si="8"/>
        <v>1.2272414396726135</v>
      </c>
      <c r="P24" s="3">
        <f t="shared" si="9"/>
        <v>223.8593065301381</v>
      </c>
      <c r="Q24" s="10" t="str">
        <f>IF(O24&lt;MAX(T24:$T$56),M24,"NA")</f>
        <v>NA</v>
      </c>
      <c r="S24" s="3">
        <f t="shared" si="16"/>
        <v>0.36670117332117635</v>
      </c>
      <c r="T24" s="3">
        <f t="shared" si="10"/>
        <v>0.71366970649768835</v>
      </c>
      <c r="U24" s="3">
        <f t="shared" si="11"/>
        <v>225.1970068512575</v>
      </c>
      <c r="V24" s="10">
        <f t="shared" si="12"/>
        <v>0.36670117332117635</v>
      </c>
    </row>
    <row r="25" spans="1:22" x14ac:dyDescent="0.25">
      <c r="A25" s="10">
        <v>19</v>
      </c>
      <c r="B25" s="3">
        <f t="shared" si="13"/>
        <v>0.23409671278740665</v>
      </c>
      <c r="C25" s="3">
        <f t="shared" si="0"/>
        <v>3.095129871265061</v>
      </c>
      <c r="D25" s="3">
        <f t="shared" si="1"/>
        <v>217.12485198711386</v>
      </c>
      <c r="E25" s="10">
        <f t="shared" si="2"/>
        <v>0.23409671278740665</v>
      </c>
      <c r="G25" s="3">
        <f t="shared" si="14"/>
        <v>-1.0732248247207057E-2</v>
      </c>
      <c r="H25" s="3">
        <f t="shared" si="3"/>
        <v>1.3021265314110764</v>
      </c>
      <c r="I25" s="3">
        <f t="shared" si="4"/>
        <v>1.2198774114961526</v>
      </c>
      <c r="J25" s="3">
        <f t="shared" si="5"/>
        <v>223.86695064472107</v>
      </c>
      <c r="K25" s="10" t="b">
        <f t="shared" si="6"/>
        <v>0</v>
      </c>
      <c r="M25" s="3">
        <f t="shared" si="15"/>
        <v>-1.0732248247207057E-2</v>
      </c>
      <c r="N25" s="3">
        <f t="shared" si="7"/>
        <v>1.3021265314110764</v>
      </c>
      <c r="O25" s="3">
        <f t="shared" si="8"/>
        <v>1.2198774114961526</v>
      </c>
      <c r="P25" s="3">
        <f t="shared" si="9"/>
        <v>223.86695064472107</v>
      </c>
      <c r="Q25" s="10" t="str">
        <f>IF(O25&lt;MAX(T25:$T$56),M25,"NA")</f>
        <v>NA</v>
      </c>
      <c r="S25" s="3">
        <f t="shared" si="16"/>
        <v>0.36609705277204757</v>
      </c>
      <c r="T25" s="3">
        <f t="shared" si="10"/>
        <v>0.72962956756968267</v>
      </c>
      <c r="U25" s="3">
        <f t="shared" si="11"/>
        <v>225.15301221694824</v>
      </c>
      <c r="V25" s="10">
        <f t="shared" si="12"/>
        <v>0.36609705277204757</v>
      </c>
    </row>
    <row r="26" spans="1:22" x14ac:dyDescent="0.25">
      <c r="A26" s="10">
        <v>20</v>
      </c>
      <c r="B26" s="3">
        <f t="shared" si="13"/>
        <v>0.22654520592329677</v>
      </c>
      <c r="C26" s="3">
        <f t="shared" si="0"/>
        <v>3.1724877118521659</v>
      </c>
      <c r="D26" s="3">
        <f t="shared" ref="D26:D30" si="17">br*SQRT(1+B26^2)*COS(ATAN(B26)-B26+ha)</f>
        <v>216.76534617010532</v>
      </c>
      <c r="E26" s="10">
        <f t="shared" si="2"/>
        <v>0.22654520592329677</v>
      </c>
      <c r="G26" s="3">
        <f t="shared" si="14"/>
        <v>-1.0944719834311546E-2</v>
      </c>
      <c r="H26" s="3">
        <f t="shared" si="3"/>
        <v>1.2939587106017034</v>
      </c>
      <c r="I26" s="3">
        <f t="shared" ref="I26:I30" si="18">H26*(pr*G26+uc)*COS(G26)-(pr+H26*(s+vc))*SIN(G26)</f>
        <v>1.2130836160658285</v>
      </c>
      <c r="J26" s="3">
        <f t="shared" ref="J26:J30" si="19">H26*(pr*G26+uc)*SIN(G26)+(pr+H26*(s+vc))*COS(G26)</f>
        <v>223.87438780126442</v>
      </c>
      <c r="K26" s="10" t="b">
        <f t="shared" si="6"/>
        <v>0</v>
      </c>
      <c r="M26" s="3">
        <f t="shared" si="15"/>
        <v>-1.0944719834311546E-2</v>
      </c>
      <c r="N26" s="3">
        <f t="shared" si="7"/>
        <v>1.2939587106017034</v>
      </c>
      <c r="O26" s="3">
        <f t="shared" ref="O26:O30" si="20">N26*(pr*M26+uc)*COS(M26)-(pr+N26*(s+vc))*SIN(M26)</f>
        <v>1.2130836160658285</v>
      </c>
      <c r="P26" s="3">
        <f t="shared" ref="P26:P30" si="21">N26*(pr*M26+uc)*SIN(M26)+(pr+N26*(s+vc))*COS(M26)</f>
        <v>223.87438780126442</v>
      </c>
      <c r="Q26" s="10" t="str">
        <f>IF(O26&lt;MAX(T26:$T$56),M26,"NA")</f>
        <v>NA</v>
      </c>
      <c r="S26" s="3">
        <f t="shared" si="16"/>
        <v>0.36549293222291879</v>
      </c>
      <c r="T26" s="3">
        <f t="shared" si="10"/>
        <v>0.74553657680853658</v>
      </c>
      <c r="U26" s="3">
        <f t="shared" ref="U26:U30" si="22">br*SQRT(1+S26^2)*COS(ATAN(S26)-S26+ha)</f>
        <v>225.10908050343005</v>
      </c>
      <c r="V26" s="10">
        <f t="shared" si="12"/>
        <v>0.36549293222291879</v>
      </c>
    </row>
    <row r="27" spans="1:22" x14ac:dyDescent="0.25">
      <c r="A27" s="10">
        <v>21</v>
      </c>
      <c r="B27" s="3">
        <f t="shared" si="13"/>
        <v>0.21899369905918689</v>
      </c>
      <c r="C27" s="3">
        <f t="shared" si="0"/>
        <v>3.2446815645321792</v>
      </c>
      <c r="D27" s="3">
        <f t="shared" si="17"/>
        <v>216.41707238404376</v>
      </c>
      <c r="E27" s="10">
        <f t="shared" si="2"/>
        <v>0.21899369905918689</v>
      </c>
      <c r="G27" s="3">
        <f t="shared" si="14"/>
        <v>-1.1157191421416038E-2</v>
      </c>
      <c r="H27" s="3">
        <f t="shared" si="3"/>
        <v>1.2860482551740131</v>
      </c>
      <c r="I27" s="3">
        <f t="shared" si="18"/>
        <v>1.2068130749282218</v>
      </c>
      <c r="J27" s="3">
        <f t="shared" si="19"/>
        <v>223.88160822652031</v>
      </c>
      <c r="K27" s="10" t="b">
        <f t="shared" si="6"/>
        <v>0</v>
      </c>
      <c r="M27" s="3">
        <f t="shared" si="15"/>
        <v>-1.1157191421416038E-2</v>
      </c>
      <c r="N27" s="3">
        <f t="shared" si="7"/>
        <v>1.2860482551740131</v>
      </c>
      <c r="O27" s="3">
        <f t="shared" si="20"/>
        <v>1.2068130749282218</v>
      </c>
      <c r="P27" s="3">
        <f t="shared" si="21"/>
        <v>223.88160822652031</v>
      </c>
      <c r="Q27" s="10" t="str">
        <f>IF(O27&lt;MAX(T27:$T$56),M27,"NA")</f>
        <v>NA</v>
      </c>
      <c r="S27" s="3">
        <f t="shared" si="16"/>
        <v>0.36488881167379</v>
      </c>
      <c r="T27" s="3">
        <f t="shared" si="10"/>
        <v>0.76139081607203241</v>
      </c>
      <c r="U27" s="3">
        <f t="shared" si="22"/>
        <v>225.06521175847783</v>
      </c>
      <c r="V27" s="10">
        <f t="shared" si="12"/>
        <v>0.36488881167379</v>
      </c>
    </row>
    <row r="28" spans="1:22" x14ac:dyDescent="0.25">
      <c r="A28" s="10">
        <v>22</v>
      </c>
      <c r="B28" s="3">
        <f t="shared" si="13"/>
        <v>0.21144219219507698</v>
      </c>
      <c r="C28" s="3">
        <f t="shared" si="0"/>
        <v>3.3118856160801036</v>
      </c>
      <c r="D28" s="3">
        <f t="shared" si="17"/>
        <v>216.08008744592061</v>
      </c>
      <c r="E28" s="10">
        <f t="shared" si="2"/>
        <v>0.21144219219507698</v>
      </c>
      <c r="G28" s="3">
        <f t="shared" si="14"/>
        <v>-1.1369663008520527E-2</v>
      </c>
      <c r="H28" s="3">
        <f t="shared" si="3"/>
        <v>1.2784017147961906</v>
      </c>
      <c r="I28" s="3">
        <f t="shared" si="18"/>
        <v>1.2010217854565257</v>
      </c>
      <c r="J28" s="3">
        <f t="shared" si="19"/>
        <v>223.8886063881242</v>
      </c>
      <c r="K28" s="10" t="b">
        <f t="shared" si="6"/>
        <v>0</v>
      </c>
      <c r="M28" s="3">
        <f t="shared" si="15"/>
        <v>-1.1369663008520527E-2</v>
      </c>
      <c r="N28" s="3">
        <f t="shared" si="7"/>
        <v>1.2784017147961906</v>
      </c>
      <c r="O28" s="3">
        <f t="shared" si="20"/>
        <v>1.2010217854565257</v>
      </c>
      <c r="P28" s="3">
        <f t="shared" si="21"/>
        <v>223.8886063881242</v>
      </c>
      <c r="Q28" s="10" t="str">
        <f>IF(O28&lt;MAX(T28:$T$56),M28,"NA")</f>
        <v>NA</v>
      </c>
      <c r="S28" s="3">
        <f t="shared" si="16"/>
        <v>0.36428469112466122</v>
      </c>
      <c r="T28" s="3">
        <f t="shared" si="10"/>
        <v>0.77719236725641239</v>
      </c>
      <c r="U28" s="3">
        <f t="shared" si="22"/>
        <v>225.02140602979057</v>
      </c>
      <c r="V28" s="10">
        <f t="shared" si="12"/>
        <v>0.36428469112466122</v>
      </c>
    </row>
    <row r="29" spans="1:22" x14ac:dyDescent="0.25">
      <c r="A29" s="10">
        <v>23</v>
      </c>
      <c r="B29" s="3">
        <f t="shared" si="13"/>
        <v>0.2038906853309671</v>
      </c>
      <c r="C29" s="3">
        <f t="shared" si="0"/>
        <v>3.3742746118063973</v>
      </c>
      <c r="D29" s="3">
        <f t="shared" si="17"/>
        <v>215.75444618147895</v>
      </c>
      <c r="E29" s="10">
        <f t="shared" si="2"/>
        <v>0.2038906853309671</v>
      </c>
      <c r="G29" s="3">
        <f t="shared" si="14"/>
        <v>-1.1582134595625019E-2</v>
      </c>
      <c r="H29" s="3">
        <f t="shared" si="3"/>
        <v>1.2710217060979134</v>
      </c>
      <c r="I29" s="3">
        <f t="shared" si="18"/>
        <v>1.1956688519700409</v>
      </c>
      <c r="J29" s="3">
        <f t="shared" si="19"/>
        <v>223.89538017698328</v>
      </c>
      <c r="K29" s="10" t="b">
        <f t="shared" si="6"/>
        <v>0</v>
      </c>
      <c r="M29" s="3">
        <f t="shared" si="15"/>
        <v>-1.1582134595625019E-2</v>
      </c>
      <c r="N29" s="3">
        <f t="shared" si="7"/>
        <v>1.2710217060979134</v>
      </c>
      <c r="O29" s="3">
        <f t="shared" si="20"/>
        <v>1.1956688519700409</v>
      </c>
      <c r="P29" s="3">
        <f t="shared" si="21"/>
        <v>223.89538017698328</v>
      </c>
      <c r="Q29" s="10">
        <f>IF(O29&lt;MAX(T29:$T$56),M29,"NA")</f>
        <v>-1.1582134595625019E-2</v>
      </c>
      <c r="S29" s="3">
        <f t="shared" si="16"/>
        <v>0.36368057057553244</v>
      </c>
      <c r="T29" s="3">
        <f t="shared" si="10"/>
        <v>0.79294131229624842</v>
      </c>
      <c r="U29" s="3">
        <f t="shared" si="22"/>
        <v>224.97766336499132</v>
      </c>
      <c r="V29" s="10">
        <f t="shared" si="12"/>
        <v>0.36368057057553244</v>
      </c>
    </row>
    <row r="30" spans="1:22" x14ac:dyDescent="0.25">
      <c r="A30" s="10">
        <v>24</v>
      </c>
      <c r="B30" s="3">
        <f t="shared" si="13"/>
        <v>0.19633917846685722</v>
      </c>
      <c r="C30" s="3">
        <f t="shared" si="0"/>
        <v>3.432023835408744</v>
      </c>
      <c r="D30" s="3">
        <f t="shared" si="17"/>
        <v>215.44020142005641</v>
      </c>
      <c r="E30" s="10">
        <f t="shared" si="2"/>
        <v>0.19633917846685722</v>
      </c>
      <c r="G30" s="3">
        <f t="shared" si="14"/>
        <v>-1.1794606182729508E-2</v>
      </c>
      <c r="H30" s="3">
        <f t="shared" si="3"/>
        <v>1.26390771586034</v>
      </c>
      <c r="I30" s="3">
        <f t="shared" si="18"/>
        <v>1.1907164996868633</v>
      </c>
      <c r="J30" s="3">
        <f t="shared" si="19"/>
        <v>223.90193020502736</v>
      </c>
      <c r="K30" s="10" t="b">
        <f t="shared" si="6"/>
        <v>0</v>
      </c>
      <c r="M30" s="3">
        <f t="shared" si="15"/>
        <v>-1.1794606182729508E-2</v>
      </c>
      <c r="N30" s="3">
        <f t="shared" si="7"/>
        <v>1.26390771586034</v>
      </c>
      <c r="O30" s="3">
        <f t="shared" si="20"/>
        <v>1.1907164996868633</v>
      </c>
      <c r="P30" s="3">
        <f t="shared" si="21"/>
        <v>223.90193020502736</v>
      </c>
      <c r="Q30" s="10">
        <f>IF(O30&lt;MAX(T30:$T$56),M30,"NA")</f>
        <v>-1.1794606182729508E-2</v>
      </c>
      <c r="S30" s="3">
        <f t="shared" si="16"/>
        <v>0.36307645002640365</v>
      </c>
      <c r="T30" s="3">
        <f t="shared" si="10"/>
        <v>0.80863773316442267</v>
      </c>
      <c r="U30" s="3">
        <f t="shared" si="22"/>
        <v>224.933983811627</v>
      </c>
      <c r="V30" s="10">
        <f t="shared" si="12"/>
        <v>0.36307645002640365</v>
      </c>
    </row>
    <row r="31" spans="1:22" x14ac:dyDescent="0.25">
      <c r="A31" s="10">
        <v>25</v>
      </c>
      <c r="B31" s="3">
        <f t="shared" ref="B31:B55" si="23">A31*(B$56-B$6)/$A$56+B$6</f>
        <v>0.18878767160274731</v>
      </c>
      <c r="C31" s="3">
        <f t="shared" si="0"/>
        <v>3.48530908877806</v>
      </c>
      <c r="D31" s="3">
        <f t="shared" ref="D31:D55" si="24">br*SQRT(1+B31^2)*COS(ATAN(B31)-B31+ha)</f>
        <v>215.13740398961903</v>
      </c>
      <c r="E31" s="10">
        <f t="shared" ref="E31:E55" si="25">IF(D31&lt;MAX($P$6:$P$56),B31,"NA")</f>
        <v>0.18878767160274731</v>
      </c>
      <c r="G31" s="3">
        <f t="shared" ref="G31:G55" si="26">A31*(G$56-G$6)/$A$56+G$6</f>
        <v>-1.2007077769834E-2</v>
      </c>
      <c r="H31" s="3">
        <f t="shared" si="3"/>
        <v>1.2570567812064832</v>
      </c>
      <c r="I31" s="3">
        <f t="shared" ref="I31:I55" si="27">H31*(pr*G31+uc)*COS(G31)-(pr+H31*(s+vc))*SIN(G31)</f>
        <v>1.1861300056932735</v>
      </c>
      <c r="J31" s="3">
        <f t="shared" ref="J31:J55" si="28">H31*(pr*G31+uc)*SIN(G31)+(pr+H31*(s+vc))*COS(G31)</f>
        <v>223.90825921094702</v>
      </c>
      <c r="K31" s="10" t="b">
        <f t="shared" ref="K31:K55" si="29">IF(AND(I31&gt;MAX($C$6:$C$56),J31&gt;$D$56),G31,FALSE)</f>
        <v>0</v>
      </c>
      <c r="M31" s="3">
        <f t="shared" ref="M31:M55" si="30">A31*(M$56-M$6)/$A$56+M$6</f>
        <v>-1.2007077769834E-2</v>
      </c>
      <c r="N31" s="3">
        <f t="shared" si="7"/>
        <v>1.2570567812064832</v>
      </c>
      <c r="O31" s="3">
        <f t="shared" ref="O31:O55" si="31">N31*(pr*M31+uc)*COS(M31)-(pr+N31*(s+vc))*SIN(M31)</f>
        <v>1.1861300056932735</v>
      </c>
      <c r="P31" s="3">
        <f t="shared" ref="P31:P55" si="32">N31*(pr*M31+uc)*SIN(M31)+(pr+N31*(s+vc))*COS(M31)</f>
        <v>223.90825921094702</v>
      </c>
      <c r="Q31" s="10">
        <f>IF(O31&lt;MAX(T31:$T$56),M31,"NA")</f>
        <v>-1.2007077769834E-2</v>
      </c>
      <c r="S31" s="3">
        <f t="shared" ref="S31:S55" si="33">A31*(S$56-S$6)/$A$56+S$6</f>
        <v>0.36247232947727487</v>
      </c>
      <c r="T31" s="3">
        <f t="shared" si="10"/>
        <v>0.82428171187203658</v>
      </c>
      <c r="U31" s="3">
        <f t="shared" ref="U31:U55" si="34">br*SQRT(1+S31^2)*COS(ATAN(S31)-S31+ha)</f>
        <v>224.89036741716865</v>
      </c>
      <c r="V31" s="10">
        <f t="shared" ref="V31:V55" si="35">IF(U31&gt;MAX($P$6:$P$56),S31,"NA")</f>
        <v>0.36247232947727487</v>
      </c>
    </row>
    <row r="32" spans="1:22" x14ac:dyDescent="0.25">
      <c r="A32" s="10">
        <v>26</v>
      </c>
      <c r="B32" s="3">
        <f t="shared" si="23"/>
        <v>0.18123616473863743</v>
      </c>
      <c r="C32" s="3">
        <f t="shared" si="0"/>
        <v>3.5343066717605103</v>
      </c>
      <c r="D32" s="3">
        <f t="shared" si="24"/>
        <v>214.84610271198594</v>
      </c>
      <c r="E32" s="10">
        <f t="shared" si="25"/>
        <v>0.18123616473863743</v>
      </c>
      <c r="G32" s="3">
        <f t="shared" si="26"/>
        <v>-1.2219549356938489E-2</v>
      </c>
      <c r="H32" s="3">
        <f t="shared" si="3"/>
        <v>1.2504640583378066</v>
      </c>
      <c r="I32" s="3">
        <f t="shared" si="27"/>
        <v>1.1818775737756666</v>
      </c>
      <c r="J32" s="3">
        <f t="shared" si="28"/>
        <v>223.91437156367095</v>
      </c>
      <c r="K32" s="10" t="b">
        <f t="shared" si="29"/>
        <v>0</v>
      </c>
      <c r="M32" s="3">
        <f t="shared" si="30"/>
        <v>-1.2219549356938489E-2</v>
      </c>
      <c r="N32" s="3">
        <f t="shared" si="7"/>
        <v>1.2504640583378066</v>
      </c>
      <c r="O32" s="3">
        <f t="shared" si="31"/>
        <v>1.1818775737756666</v>
      </c>
      <c r="P32" s="3">
        <f t="shared" si="32"/>
        <v>223.91437156367095</v>
      </c>
      <c r="Q32" s="10">
        <f>IF(O32&lt;MAX(T32:$T$56),M32,"NA")</f>
        <v>-1.2219549356938489E-2</v>
      </c>
      <c r="S32" s="3">
        <f t="shared" si="33"/>
        <v>0.36186820892814603</v>
      </c>
      <c r="T32" s="3">
        <f t="shared" si="10"/>
        <v>0.83987333046838086</v>
      </c>
      <c r="U32" s="3">
        <f t="shared" si="34"/>
        <v>224.84681422901104</v>
      </c>
      <c r="V32" s="10">
        <f t="shared" si="35"/>
        <v>0.36186820892814603</v>
      </c>
    </row>
    <row r="33" spans="1:22" x14ac:dyDescent="0.25">
      <c r="A33" s="10">
        <v>27</v>
      </c>
      <c r="B33" s="3">
        <f t="shared" si="23"/>
        <v>0.17368465787452753</v>
      </c>
      <c r="C33" s="3">
        <f t="shared" si="0"/>
        <v>3.5791933618772429</v>
      </c>
      <c r="D33" s="3">
        <f t="shared" si="24"/>
        <v>214.5663443982462</v>
      </c>
      <c r="E33" s="10">
        <f t="shared" si="25"/>
        <v>0.17368465787452753</v>
      </c>
      <c r="G33" s="3">
        <f t="shared" si="26"/>
        <v>-1.2432020944042981E-2</v>
      </c>
      <c r="H33" s="3">
        <f t="shared" si="3"/>
        <v>1.2441232927766994</v>
      </c>
      <c r="I33" s="3">
        <f t="shared" si="27"/>
        <v>1.177930173687886</v>
      </c>
      <c r="J33" s="3">
        <f t="shared" si="28"/>
        <v>223.92027285213476</v>
      </c>
      <c r="K33" s="10" t="b">
        <f t="shared" si="29"/>
        <v>0</v>
      </c>
      <c r="M33" s="3">
        <f t="shared" si="30"/>
        <v>-1.2432020944042981E-2</v>
      </c>
      <c r="N33" s="3">
        <f t="shared" si="7"/>
        <v>1.2441232927766994</v>
      </c>
      <c r="O33" s="3">
        <f t="shared" si="31"/>
        <v>1.177930173687886</v>
      </c>
      <c r="P33" s="3">
        <f t="shared" si="32"/>
        <v>223.92027285213476</v>
      </c>
      <c r="Q33" s="10">
        <f>IF(O33&lt;MAX(T33:$T$56),M33,"NA")</f>
        <v>-1.2432020944042981E-2</v>
      </c>
      <c r="S33" s="3">
        <f t="shared" si="33"/>
        <v>0.36126408837901725</v>
      </c>
      <c r="T33" s="3">
        <f t="shared" si="10"/>
        <v>0.85541267104084584</v>
      </c>
      <c r="U33" s="3">
        <f t="shared" si="34"/>
        <v>224.8033242944731</v>
      </c>
      <c r="V33" s="10">
        <f t="shared" si="35"/>
        <v>0.36126408837901725</v>
      </c>
    </row>
    <row r="34" spans="1:22" x14ac:dyDescent="0.25">
      <c r="A34" s="10">
        <v>28</v>
      </c>
      <c r="B34" s="3">
        <f t="shared" si="23"/>
        <v>0.16613315101041762</v>
      </c>
      <c r="C34" s="3">
        <f t="shared" si="0"/>
        <v>3.6201463940035854</v>
      </c>
      <c r="D34" s="3">
        <f t="shared" si="24"/>
        <v>214.29817384436708</v>
      </c>
      <c r="E34" s="10">
        <f t="shared" si="25"/>
        <v>0.16613315101041762</v>
      </c>
      <c r="G34" s="3">
        <f t="shared" si="26"/>
        <v>-1.264449253114747E-2</v>
      </c>
      <c r="H34" s="3">
        <f t="shared" si="3"/>
        <v>1.2380272042221419</v>
      </c>
      <c r="I34" s="3">
        <f t="shared" si="27"/>
        <v>1.1742613602520591</v>
      </c>
      <c r="J34" s="3">
        <f t="shared" si="28"/>
        <v>223.92596954979689</v>
      </c>
      <c r="K34" s="10" t="b">
        <f t="shared" si="29"/>
        <v>0</v>
      </c>
      <c r="M34" s="3">
        <f t="shared" si="30"/>
        <v>-1.264449253114747E-2</v>
      </c>
      <c r="N34" s="3">
        <f t="shared" si="7"/>
        <v>1.2380272042221419</v>
      </c>
      <c r="O34" s="3">
        <f t="shared" si="31"/>
        <v>1.1742613602520591</v>
      </c>
      <c r="P34" s="3">
        <f t="shared" si="32"/>
        <v>223.92596954979689</v>
      </c>
      <c r="Q34" s="10">
        <f>IF(O34&lt;MAX(T34:$T$56),M34,"NA")</f>
        <v>-1.264449253114747E-2</v>
      </c>
      <c r="S34" s="3">
        <f t="shared" si="33"/>
        <v>0.36065996782988846</v>
      </c>
      <c r="T34" s="3">
        <f t="shared" si="10"/>
        <v>0.8708998157148552</v>
      </c>
      <c r="U34" s="3">
        <f t="shared" si="34"/>
        <v>224.75989766079752</v>
      </c>
      <c r="V34" s="10">
        <f t="shared" si="35"/>
        <v>0.36065996782988846</v>
      </c>
    </row>
    <row r="35" spans="1:22" x14ac:dyDescent="0.25">
      <c r="A35" s="10">
        <v>29</v>
      </c>
      <c r="B35" s="3">
        <f t="shared" si="23"/>
        <v>0.15858164414630774</v>
      </c>
      <c r="C35" s="3">
        <f t="shared" si="0"/>
        <v>3.6573434400094258</v>
      </c>
      <c r="D35" s="3">
        <f t="shared" si="24"/>
        <v>214.0416338269948</v>
      </c>
      <c r="E35" s="10">
        <f t="shared" si="25"/>
        <v>0.15858164414630774</v>
      </c>
      <c r="G35" s="3">
        <f t="shared" si="26"/>
        <v>-1.2856964118251961E-2</v>
      </c>
      <c r="H35" s="3">
        <f t="shared" si="3"/>
        <v>1.2321677984956279</v>
      </c>
      <c r="I35" s="3">
        <f t="shared" si="27"/>
        <v>1.1708470835396201</v>
      </c>
      <c r="J35" s="3">
        <f t="shared" si="28"/>
        <v>223.9314687429322</v>
      </c>
      <c r="K35" s="10" t="b">
        <f t="shared" si="29"/>
        <v>0</v>
      </c>
      <c r="M35" s="3">
        <f t="shared" si="30"/>
        <v>-1.2856964118251961E-2</v>
      </c>
      <c r="N35" s="3">
        <f t="shared" si="7"/>
        <v>1.2321677984956279</v>
      </c>
      <c r="O35" s="3">
        <f t="shared" si="31"/>
        <v>1.1708470835396201</v>
      </c>
      <c r="P35" s="3">
        <f t="shared" si="32"/>
        <v>223.9314687429322</v>
      </c>
      <c r="Q35" s="10">
        <f>IF(O35&lt;MAX(T35:$T$56),M35,"NA")</f>
        <v>-1.2856964118251961E-2</v>
      </c>
      <c r="S35" s="3">
        <f t="shared" si="33"/>
        <v>0.36005584728075968</v>
      </c>
      <c r="T35" s="3">
        <f t="shared" si="10"/>
        <v>0.88633484665384044</v>
      </c>
      <c r="U35" s="3">
        <f t="shared" si="34"/>
        <v>224.71653437515081</v>
      </c>
      <c r="V35" s="10">
        <f t="shared" si="35"/>
        <v>0.36005584728075968</v>
      </c>
    </row>
    <row r="36" spans="1:22" x14ac:dyDescent="0.25">
      <c r="A36" s="10">
        <v>30</v>
      </c>
      <c r="B36" s="3">
        <f t="shared" si="23"/>
        <v>0.15103013728219786</v>
      </c>
      <c r="C36" s="3">
        <f t="shared" si="0"/>
        <v>3.6909625883626136</v>
      </c>
      <c r="D36" s="3">
        <f t="shared" si="24"/>
        <v>213.79676509944809</v>
      </c>
      <c r="E36" s="10">
        <f t="shared" si="25"/>
        <v>0.15103013728219786</v>
      </c>
      <c r="G36" s="3">
        <f t="shared" si="26"/>
        <v>-1.3069435705356451E-2</v>
      </c>
      <c r="H36" s="3">
        <f t="shared" si="3"/>
        <v>1.2265366179920454</v>
      </c>
      <c r="I36" s="3">
        <f t="shared" si="27"/>
        <v>1.1676654981246795</v>
      </c>
      <c r="J36" s="3">
        <f t="shared" si="28"/>
        <v>223.93677791268053</v>
      </c>
      <c r="K36" s="10" t="b">
        <f t="shared" si="29"/>
        <v>0</v>
      </c>
      <c r="M36" s="3">
        <f t="shared" si="30"/>
        <v>-1.3069435705356451E-2</v>
      </c>
      <c r="N36" s="3">
        <f t="shared" si="7"/>
        <v>1.2265366179920454</v>
      </c>
      <c r="O36" s="3">
        <f t="shared" si="31"/>
        <v>1.1676654981246795</v>
      </c>
      <c r="P36" s="3">
        <f t="shared" si="32"/>
        <v>223.93677791268053</v>
      </c>
      <c r="Q36" s="10">
        <f>IF(O36&lt;MAX(T36:$T$56),M36,"NA")</f>
        <v>-1.3069435705356451E-2</v>
      </c>
      <c r="S36" s="3">
        <f t="shared" si="33"/>
        <v>0.35945172673163089</v>
      </c>
      <c r="T36" s="3">
        <f t="shared" si="10"/>
        <v>0.90171784605915128</v>
      </c>
      <c r="U36" s="3">
        <f t="shared" si="34"/>
        <v>224.67323448462326</v>
      </c>
      <c r="V36" s="10">
        <f t="shared" si="35"/>
        <v>0.35945172673163089</v>
      </c>
    </row>
    <row r="37" spans="1:22" x14ac:dyDescent="0.25">
      <c r="A37" s="10">
        <v>31</v>
      </c>
      <c r="B37" s="3">
        <f t="shared" si="23"/>
        <v>0.14347863041808795</v>
      </c>
      <c r="C37" s="3">
        <f t="shared" si="0"/>
        <v>3.7211823236969734</v>
      </c>
      <c r="D37" s="3">
        <f t="shared" si="24"/>
        <v>213.56360638790426</v>
      </c>
      <c r="E37" s="10">
        <f t="shared" si="25"/>
        <v>0.14347863041808795</v>
      </c>
      <c r="G37" s="3">
        <f t="shared" si="26"/>
        <v>-1.3281907292460943E-2</v>
      </c>
      <c r="H37" s="3">
        <f t="shared" si="3"/>
        <v>1.2211249407902922</v>
      </c>
      <c r="I37" s="3">
        <f t="shared" si="27"/>
        <v>1.1646967769012737</v>
      </c>
      <c r="J37" s="3">
        <f t="shared" si="28"/>
        <v>223.94190476194487</v>
      </c>
      <c r="K37" s="10" t="b">
        <f t="shared" si="29"/>
        <v>0</v>
      </c>
      <c r="M37" s="3">
        <f t="shared" si="30"/>
        <v>-1.3281907292460943E-2</v>
      </c>
      <c r="N37" s="3">
        <f t="shared" si="7"/>
        <v>1.2211249407902922</v>
      </c>
      <c r="O37" s="3">
        <f t="shared" si="31"/>
        <v>1.1646967769012737</v>
      </c>
      <c r="P37" s="3">
        <f t="shared" si="32"/>
        <v>223.94190476194487</v>
      </c>
      <c r="Q37" s="10">
        <f>IF(O37&lt;MAX(T37:$T$56),M37,"NA")</f>
        <v>-1.3281907292460943E-2</v>
      </c>
      <c r="S37" s="3">
        <f t="shared" si="33"/>
        <v>0.35884760618250211</v>
      </c>
      <c r="T37" s="3">
        <f t="shared" si="10"/>
        <v>0.91704889616996932</v>
      </c>
      <c r="U37" s="3">
        <f t="shared" si="34"/>
        <v>224.62999803622924</v>
      </c>
      <c r="V37" s="10">
        <f t="shared" si="35"/>
        <v>0.35884760618250211</v>
      </c>
    </row>
    <row r="38" spans="1:22" x14ac:dyDescent="0.25">
      <c r="A38" s="10">
        <v>32</v>
      </c>
      <c r="B38" s="3">
        <f t="shared" si="23"/>
        <v>0.13592712355397807</v>
      </c>
      <c r="C38" s="3">
        <f t="shared" si="0"/>
        <v>3.7481815063468278</v>
      </c>
      <c r="D38" s="3">
        <f t="shared" si="24"/>
        <v>213.34219438777882</v>
      </c>
      <c r="E38" s="10">
        <f t="shared" si="25"/>
        <v>0.13592712355397807</v>
      </c>
      <c r="G38" s="3">
        <f t="shared" si="26"/>
        <v>-1.3494378879565432E-2</v>
      </c>
      <c r="H38" s="3">
        <f t="shared" si="3"/>
        <v>1.2159239372728572</v>
      </c>
      <c r="I38" s="3">
        <f t="shared" si="27"/>
        <v>1.1619229330699552</v>
      </c>
      <c r="J38" s="3">
        <f t="shared" si="28"/>
        <v>223.9468570793847</v>
      </c>
      <c r="K38" s="10" t="b">
        <f t="shared" si="29"/>
        <v>0</v>
      </c>
      <c r="M38" s="3">
        <f t="shared" si="30"/>
        <v>-1.3494378879565432E-2</v>
      </c>
      <c r="N38" s="3">
        <f t="shared" si="7"/>
        <v>1.2159239372728572</v>
      </c>
      <c r="O38" s="3">
        <f t="shared" si="31"/>
        <v>1.1619229330699552</v>
      </c>
      <c r="P38" s="3">
        <f t="shared" si="32"/>
        <v>223.9468570793847</v>
      </c>
      <c r="Q38" s="10">
        <f>IF(O38&lt;MAX(T38:$T$56),M38,"NA")</f>
        <v>-1.3494378879565432E-2</v>
      </c>
      <c r="S38" s="3">
        <f t="shared" si="33"/>
        <v>0.35824348563337327</v>
      </c>
      <c r="T38" s="3">
        <f t="shared" si="10"/>
        <v>0.93232807926331984</v>
      </c>
      <c r="U38" s="3">
        <f t="shared" si="34"/>
        <v>224.58682507690642</v>
      </c>
      <c r="V38" s="10">
        <f t="shared" si="35"/>
        <v>0.35824348563337327</v>
      </c>
    </row>
    <row r="39" spans="1:22" x14ac:dyDescent="0.25">
      <c r="A39" s="10">
        <v>33</v>
      </c>
      <c r="B39" s="3">
        <f t="shared" si="23"/>
        <v>0.12837561668986819</v>
      </c>
      <c r="C39" s="3">
        <f t="shared" si="0"/>
        <v>3.7721393518497242</v>
      </c>
      <c r="D39" s="3">
        <f t="shared" si="24"/>
        <v>213.13256376029886</v>
      </c>
      <c r="E39" s="10">
        <f t="shared" si="25"/>
        <v>0.12837561668986819</v>
      </c>
      <c r="G39" s="3">
        <f t="shared" si="26"/>
        <v>-1.3706850466669923E-2</v>
      </c>
      <c r="H39" s="3">
        <f t="shared" si="3"/>
        <v>1.2109247918450463</v>
      </c>
      <c r="I39" s="3">
        <f t="shared" si="27"/>
        <v>1.1593276525022103</v>
      </c>
      <c r="J39" s="3">
        <f t="shared" si="28"/>
        <v>223.95164263385752</v>
      </c>
      <c r="K39" s="10" t="b">
        <f t="shared" si="29"/>
        <v>0</v>
      </c>
      <c r="M39" s="3">
        <f t="shared" si="30"/>
        <v>-1.3706850466669923E-2</v>
      </c>
      <c r="N39" s="3">
        <f t="shared" si="7"/>
        <v>1.2109247918450463</v>
      </c>
      <c r="O39" s="3">
        <f t="shared" si="31"/>
        <v>1.1593276525022103</v>
      </c>
      <c r="P39" s="3">
        <f t="shared" si="32"/>
        <v>223.95164263385752</v>
      </c>
      <c r="Q39" s="10">
        <f>IF(O39&lt;MAX(T39:$T$56),M39,"NA")</f>
        <v>-1.3706850466669923E-2</v>
      </c>
      <c r="S39" s="3">
        <f t="shared" si="33"/>
        <v>0.35763936508424449</v>
      </c>
      <c r="T39" s="3">
        <f t="shared" si="10"/>
        <v>0.94755547765394943</v>
      </c>
      <c r="U39" s="3">
        <f t="shared" si="34"/>
        <v>224.54371565351661</v>
      </c>
      <c r="V39" s="10">
        <f t="shared" si="35"/>
        <v>0.35763936508424449</v>
      </c>
    </row>
    <row r="40" spans="1:22" x14ac:dyDescent="0.25">
      <c r="A40" s="10">
        <v>34</v>
      </c>
      <c r="B40" s="3">
        <f t="shared" si="23"/>
        <v>0.12082410982575831</v>
      </c>
      <c r="C40" s="3">
        <f t="shared" si="0"/>
        <v>3.7932354104190864</v>
      </c>
      <c r="D40" s="3">
        <f t="shared" si="24"/>
        <v>212.9347471292694</v>
      </c>
      <c r="E40" s="10">
        <f t="shared" si="25"/>
        <v>0.12082410982575831</v>
      </c>
      <c r="G40" s="3">
        <f t="shared" si="26"/>
        <v>-1.3919322053774413E-2</v>
      </c>
      <c r="H40" s="3">
        <f t="shared" si="3"/>
        <v>1.2061187961847439</v>
      </c>
      <c r="I40" s="3">
        <f t="shared" si="27"/>
        <v>1.156896137676193</v>
      </c>
      <c r="J40" s="3">
        <f t="shared" si="28"/>
        <v>223.95626909368249</v>
      </c>
      <c r="K40" s="10" t="b">
        <f t="shared" si="29"/>
        <v>0</v>
      </c>
      <c r="M40" s="3">
        <f t="shared" si="30"/>
        <v>-1.3919322053774413E-2</v>
      </c>
      <c r="N40" s="3">
        <f t="shared" si="7"/>
        <v>1.2061187961847439</v>
      </c>
      <c r="O40" s="3">
        <f t="shared" si="31"/>
        <v>1.156896137676193</v>
      </c>
      <c r="P40" s="3">
        <f t="shared" si="32"/>
        <v>223.95626909368249</v>
      </c>
      <c r="Q40" s="10">
        <f>IF(O40&lt;MAX(T40:$T$56),M40,"NA")</f>
        <v>-1.3919322053774413E-2</v>
      </c>
      <c r="S40" s="3">
        <f t="shared" si="33"/>
        <v>0.3570352445351157</v>
      </c>
      <c r="T40" s="3">
        <f t="shared" si="10"/>
        <v>0.96273117369425221</v>
      </c>
      <c r="U40" s="3">
        <f t="shared" si="34"/>
        <v>224.50066981284525</v>
      </c>
      <c r="V40" s="10">
        <f t="shared" si="35"/>
        <v>0.3570352445351157</v>
      </c>
    </row>
    <row r="41" spans="1:22" x14ac:dyDescent="0.25">
      <c r="A41" s="10">
        <v>35</v>
      </c>
      <c r="B41" s="3">
        <f t="shared" si="23"/>
        <v>0.11327260296164837</v>
      </c>
      <c r="C41" s="3">
        <f t="shared" si="0"/>
        <v>3.8116495463886402</v>
      </c>
      <c r="D41" s="3">
        <f t="shared" si="24"/>
        <v>212.74877507803478</v>
      </c>
      <c r="E41" s="10">
        <f t="shared" si="25"/>
        <v>0.11327260296164837</v>
      </c>
      <c r="G41" s="3">
        <f t="shared" si="26"/>
        <v>-1.4131793640878906E-2</v>
      </c>
      <c r="H41" s="3">
        <f t="shared" si="3"/>
        <v>1.2014974194170596</v>
      </c>
      <c r="I41" s="3">
        <f t="shared" si="27"/>
        <v>1.15461496365532</v>
      </c>
      <c r="J41" s="3">
        <f t="shared" si="28"/>
        <v>223.96074396600838</v>
      </c>
      <c r="K41" s="10" t="b">
        <f t="shared" si="29"/>
        <v>0</v>
      </c>
      <c r="M41" s="3">
        <f t="shared" si="30"/>
        <v>-1.4131793640878906E-2</v>
      </c>
      <c r="N41" s="3">
        <f t="shared" si="7"/>
        <v>1.2014974194170596</v>
      </c>
      <c r="O41" s="3">
        <f t="shared" si="31"/>
        <v>1.15461496365532</v>
      </c>
      <c r="P41" s="3">
        <f t="shared" si="32"/>
        <v>223.96074396600838</v>
      </c>
      <c r="Q41" s="10">
        <f>IF(O41&lt;MAX(T41:$T$56),M41,"NA")</f>
        <v>-1.4131793640878906E-2</v>
      </c>
      <c r="S41" s="3">
        <f t="shared" si="33"/>
        <v>0.35643112398598692</v>
      </c>
      <c r="T41" s="3">
        <f t="shared" si="10"/>
        <v>0.97785524977427252</v>
      </c>
      <c r="U41" s="3">
        <f t="shared" si="34"/>
        <v>224.45768760160124</v>
      </c>
      <c r="V41" s="10">
        <f t="shared" si="35"/>
        <v>0.35643112398598692</v>
      </c>
    </row>
    <row r="42" spans="1:22" x14ac:dyDescent="0.25">
      <c r="A42" s="10">
        <v>36</v>
      </c>
      <c r="B42" s="3">
        <f t="shared" si="23"/>
        <v>0.10572109609753849</v>
      </c>
      <c r="C42" s="3">
        <f t="shared" si="0"/>
        <v>3.8275619176302595</v>
      </c>
      <c r="D42" s="3">
        <f t="shared" si="24"/>
        <v>212.57467614663378</v>
      </c>
      <c r="E42" s="10">
        <f t="shared" si="25"/>
        <v>0.10572109609753849</v>
      </c>
      <c r="G42" s="3">
        <f t="shared" si="26"/>
        <v>-1.4344265227983394E-2</v>
      </c>
      <c r="H42" s="3">
        <f t="shared" si="3"/>
        <v>1.1970523597019813</v>
      </c>
      <c r="I42" s="3">
        <f t="shared" si="27"/>
        <v>1.1524719460812944</v>
      </c>
      <c r="J42" s="3">
        <f t="shared" si="28"/>
        <v>223.96507455236426</v>
      </c>
      <c r="K42" s="10" t="b">
        <f t="shared" si="29"/>
        <v>0</v>
      </c>
      <c r="M42" s="3">
        <f t="shared" si="30"/>
        <v>-1.4344265227983394E-2</v>
      </c>
      <c r="N42" s="3">
        <f t="shared" si="7"/>
        <v>1.1970523597019813</v>
      </c>
      <c r="O42" s="3">
        <f t="shared" si="31"/>
        <v>1.1524719460812944</v>
      </c>
      <c r="P42" s="3">
        <f t="shared" si="32"/>
        <v>223.96507455236426</v>
      </c>
      <c r="Q42" s="10">
        <f>IF(O42&lt;MAX(T42:$T$56),M42,"NA")</f>
        <v>-1.4344265227983394E-2</v>
      </c>
      <c r="S42" s="3">
        <f t="shared" si="33"/>
        <v>0.35582700343685814</v>
      </c>
      <c r="T42" s="3">
        <f t="shared" si="10"/>
        <v>0.99292778832158601</v>
      </c>
      <c r="U42" s="3">
        <f t="shared" si="34"/>
        <v>224.41476906641736</v>
      </c>
      <c r="V42" s="10">
        <f t="shared" si="35"/>
        <v>0.35582700343685814</v>
      </c>
    </row>
    <row r="43" spans="1:22" x14ac:dyDescent="0.25">
      <c r="A43" s="10">
        <v>37</v>
      </c>
      <c r="B43" s="3">
        <f t="shared" si="23"/>
        <v>9.8169589233428611E-2</v>
      </c>
      <c r="C43" s="3">
        <f t="shared" si="0"/>
        <v>3.8411529549471135</v>
      </c>
      <c r="D43" s="3">
        <f t="shared" si="24"/>
        <v>212.41247682914928</v>
      </c>
      <c r="E43" s="10">
        <f t="shared" si="25"/>
        <v>9.8169589233428611E-2</v>
      </c>
      <c r="G43" s="3">
        <f t="shared" si="26"/>
        <v>-1.4556736815087883E-2</v>
      </c>
      <c r="H43" s="3">
        <f t="shared" si="3"/>
        <v>1.1927755809438243</v>
      </c>
      <c r="I43" s="3">
        <f t="shared" si="27"/>
        <v>1.1504560208183121</v>
      </c>
      <c r="J43" s="3">
        <f t="shared" si="28"/>
        <v>223.96926791715316</v>
      </c>
      <c r="K43" s="10" t="b">
        <f t="shared" si="29"/>
        <v>0</v>
      </c>
      <c r="M43" s="3">
        <f t="shared" si="30"/>
        <v>-1.4556736815087883E-2</v>
      </c>
      <c r="N43" s="3">
        <f t="shared" si="7"/>
        <v>1.1927755809438243</v>
      </c>
      <c r="O43" s="3">
        <f t="shared" si="31"/>
        <v>1.1504560208183121</v>
      </c>
      <c r="P43" s="3">
        <f t="shared" si="32"/>
        <v>223.96926791715316</v>
      </c>
      <c r="Q43" s="10">
        <f>IF(O43&lt;MAX(T43:$T$56),M43,"NA")</f>
        <v>-1.4556736815087883E-2</v>
      </c>
      <c r="S43" s="3">
        <f t="shared" si="33"/>
        <v>0.35522288288772935</v>
      </c>
      <c r="T43" s="3">
        <f t="shared" si="10"/>
        <v>1.007948871801263</v>
      </c>
      <c r="U43" s="3">
        <f t="shared" si="34"/>
        <v>224.37191425384992</v>
      </c>
      <c r="V43" s="10">
        <f t="shared" si="35"/>
        <v>0.35522288288772935</v>
      </c>
    </row>
    <row r="44" spans="1:22" x14ac:dyDescent="0.25">
      <c r="A44" s="10">
        <v>38</v>
      </c>
      <c r="B44" s="3">
        <f t="shared" si="23"/>
        <v>9.0618082369318675E-2</v>
      </c>
      <c r="C44" s="3">
        <f t="shared" si="0"/>
        <v>3.8526033414437744</v>
      </c>
      <c r="D44" s="3">
        <f t="shared" si="24"/>
        <v>212.26220157125283</v>
      </c>
      <c r="E44" s="10">
        <f t="shared" si="25"/>
        <v>9.0618082369318675E-2</v>
      </c>
      <c r="G44" s="3">
        <f t="shared" si="26"/>
        <v>-1.4769208402192376E-2</v>
      </c>
      <c r="H44" s="3">
        <f t="shared" si="3"/>
        <v>1.188659337669443</v>
      </c>
      <c r="I44" s="3">
        <f t="shared" si="27"/>
        <v>1.1485571346721724</v>
      </c>
      <c r="J44" s="3">
        <f t="shared" si="28"/>
        <v>223.97333086642936</v>
      </c>
      <c r="K44" s="10" t="b">
        <f t="shared" si="29"/>
        <v>0</v>
      </c>
      <c r="M44" s="3">
        <f t="shared" si="30"/>
        <v>-1.4769208402192376E-2</v>
      </c>
      <c r="N44" s="3">
        <f t="shared" si="7"/>
        <v>1.188659337669443</v>
      </c>
      <c r="O44" s="3">
        <f t="shared" si="31"/>
        <v>1.1485571346721724</v>
      </c>
      <c r="P44" s="3">
        <f t="shared" si="32"/>
        <v>223.97333086642936</v>
      </c>
      <c r="Q44" s="10">
        <f>IF(O44&lt;MAX(T44:$T$56),M44,"NA")</f>
        <v>-1.4769208402192376E-2</v>
      </c>
      <c r="S44" s="3">
        <f t="shared" si="33"/>
        <v>0.35461876233860057</v>
      </c>
      <c r="T44" s="3">
        <f t="shared" si="10"/>
        <v>1.0229185827157903</v>
      </c>
      <c r="U44" s="3">
        <f t="shared" si="34"/>
        <v>224.32912321037898</v>
      </c>
      <c r="V44" s="10">
        <f t="shared" si="35"/>
        <v>0.35461876233860057</v>
      </c>
    </row>
    <row r="45" spans="1:22" x14ac:dyDescent="0.25">
      <c r="A45" s="10">
        <v>39</v>
      </c>
      <c r="B45" s="3">
        <f t="shared" si="23"/>
        <v>8.3066575505208795E-2</v>
      </c>
      <c r="C45" s="3">
        <f t="shared" si="0"/>
        <v>3.8620939918751298</v>
      </c>
      <c r="D45" s="3">
        <f t="shared" si="24"/>
        <v>212.12387276794411</v>
      </c>
      <c r="E45" s="10">
        <f t="shared" si="25"/>
        <v>8.3066575505208795E-2</v>
      </c>
      <c r="G45" s="3">
        <f t="shared" si="26"/>
        <v>-1.4981679989296868E-2</v>
      </c>
      <c r="H45" s="3">
        <f t="shared" si="3"/>
        <v>1.1846961905657234</v>
      </c>
      <c r="I45" s="3">
        <f t="shared" si="27"/>
        <v>1.1467661464829115</v>
      </c>
      <c r="J45" s="3">
        <f t="shared" si="28"/>
        <v>223.97726993478597</v>
      </c>
      <c r="K45" s="10" t="b">
        <f t="shared" si="29"/>
        <v>0</v>
      </c>
      <c r="M45" s="3">
        <f t="shared" si="30"/>
        <v>-1.4981679989296868E-2</v>
      </c>
      <c r="N45" s="3">
        <f t="shared" si="7"/>
        <v>1.1846961905657234</v>
      </c>
      <c r="O45" s="3">
        <f t="shared" si="31"/>
        <v>1.1467661464829115</v>
      </c>
      <c r="P45" s="3">
        <f t="shared" si="32"/>
        <v>223.97726993478597</v>
      </c>
      <c r="Q45" s="10">
        <f>IF(O45&lt;MAX(T45:$T$56),M45,"NA")</f>
        <v>-1.4981679989296868E-2</v>
      </c>
      <c r="S45" s="3">
        <f t="shared" si="33"/>
        <v>0.35401464178947173</v>
      </c>
      <c r="T45" s="3">
        <f t="shared" si="10"/>
        <v>1.0378370036050231</v>
      </c>
      <c r="U45" s="3">
        <f t="shared" si="34"/>
        <v>224.28639598240784</v>
      </c>
      <c r="V45" s="10">
        <f t="shared" si="35"/>
        <v>0.35401464178947173</v>
      </c>
    </row>
    <row r="46" spans="1:22" x14ac:dyDescent="0.25">
      <c r="A46" s="10">
        <v>40</v>
      </c>
      <c r="B46" s="3">
        <f t="shared" si="23"/>
        <v>7.5515068641098915E-2</v>
      </c>
      <c r="C46" s="3">
        <f t="shared" si="0"/>
        <v>3.869806031975827</v>
      </c>
      <c r="D46" s="3">
        <f t="shared" si="24"/>
        <v>211.99751076148527</v>
      </c>
      <c r="E46" s="10">
        <f t="shared" si="25"/>
        <v>7.5515068641098915E-2</v>
      </c>
      <c r="G46" s="3">
        <f t="shared" si="26"/>
        <v>-1.5194151576401357E-2</v>
      </c>
      <c r="H46" s="3">
        <f t="shared" si="3"/>
        <v>1.1808790147027211</v>
      </c>
      <c r="I46" s="3">
        <f t="shared" si="27"/>
        <v>1.1450747378271058</v>
      </c>
      <c r="J46" s="3">
        <f t="shared" si="28"/>
        <v>223.98109137858697</v>
      </c>
      <c r="K46" s="10" t="b">
        <f t="shared" si="29"/>
        <v>0</v>
      </c>
      <c r="M46" s="3">
        <f t="shared" si="30"/>
        <v>-1.5194151576401357E-2</v>
      </c>
      <c r="N46" s="3">
        <f t="shared" si="7"/>
        <v>1.1808790147027211</v>
      </c>
      <c r="O46" s="3">
        <f t="shared" si="31"/>
        <v>1.1450747378271058</v>
      </c>
      <c r="P46" s="3">
        <f t="shared" si="32"/>
        <v>223.98109137858697</v>
      </c>
      <c r="Q46" s="10">
        <f>IF(O46&lt;MAX(T46:$T$56),M46,"NA")</f>
        <v>-1.5194151576401357E-2</v>
      </c>
      <c r="S46" s="3">
        <f t="shared" si="33"/>
        <v>0.35341052124034295</v>
      </c>
      <c r="T46" s="3">
        <f t="shared" si="10"/>
        <v>1.0527042170461209</v>
      </c>
      <c r="U46" s="3">
        <f t="shared" si="34"/>
        <v>224.24373261626363</v>
      </c>
      <c r="V46" s="10">
        <f t="shared" si="35"/>
        <v>0.35341052124034295</v>
      </c>
    </row>
    <row r="47" spans="1:22" x14ac:dyDescent="0.25">
      <c r="A47" s="10">
        <v>41</v>
      </c>
      <c r="B47" s="3">
        <f t="shared" si="23"/>
        <v>6.7963561776989034E-2</v>
      </c>
      <c r="C47" s="3">
        <f t="shared" si="0"/>
        <v>3.875920777772011</v>
      </c>
      <c r="D47" s="3">
        <f t="shared" si="24"/>
        <v>211.88313383953104</v>
      </c>
      <c r="E47" s="10">
        <f t="shared" si="25"/>
        <v>6.7963561776989034E-2</v>
      </c>
      <c r="G47" s="3">
        <f t="shared" si="26"/>
        <v>-1.5406623163505846E-2</v>
      </c>
      <c r="H47" s="3">
        <f t="shared" si="3"/>
        <v>1.1772010020841173</v>
      </c>
      <c r="I47" s="3">
        <f t="shared" si="27"/>
        <v>1.143475332547212</v>
      </c>
      <c r="J47" s="3">
        <f t="shared" si="28"/>
        <v>223.98480117411191</v>
      </c>
      <c r="K47" s="10" t="b">
        <f t="shared" si="29"/>
        <v>0</v>
      </c>
      <c r="M47" s="3">
        <f t="shared" si="30"/>
        <v>-1.5406623163505846E-2</v>
      </c>
      <c r="N47" s="3">
        <f t="shared" si="7"/>
        <v>1.1772010020841173</v>
      </c>
      <c r="O47" s="3">
        <f t="shared" si="31"/>
        <v>1.143475332547212</v>
      </c>
      <c r="P47" s="3">
        <f t="shared" si="32"/>
        <v>223.98480117411191</v>
      </c>
      <c r="Q47" s="10">
        <f>IF(O47&lt;MAX(T47:$T$56),M47,"NA")</f>
        <v>-1.5406623163505846E-2</v>
      </c>
      <c r="S47" s="3">
        <f t="shared" si="33"/>
        <v>0.35280640069121416</v>
      </c>
      <c r="T47" s="3">
        <f t="shared" si="10"/>
        <v>1.0675203056534901</v>
      </c>
      <c r="U47" s="3">
        <f t="shared" si="34"/>
        <v>224.20113315819688</v>
      </c>
      <c r="V47" s="10">
        <f t="shared" si="35"/>
        <v>0.35280640069121416</v>
      </c>
    </row>
    <row r="48" spans="1:22" x14ac:dyDescent="0.25">
      <c r="A48" s="10">
        <v>42</v>
      </c>
      <c r="B48" s="3">
        <f t="shared" si="23"/>
        <v>6.0412054912879154E-2</v>
      </c>
      <c r="C48" s="3">
        <f t="shared" si="0"/>
        <v>3.8806197148771808</v>
      </c>
      <c r="D48" s="3">
        <f t="shared" si="24"/>
        <v>211.78075823345364</v>
      </c>
      <c r="E48" s="10">
        <f t="shared" si="25"/>
        <v>6.0412054912879154E-2</v>
      </c>
      <c r="G48" s="3">
        <f t="shared" si="26"/>
        <v>-1.5619094750610338E-2</v>
      </c>
      <c r="H48" s="3">
        <f t="shared" si="3"/>
        <v>1.1736556598495658</v>
      </c>
      <c r="I48" s="3">
        <f t="shared" si="27"/>
        <v>1.1419610243360343</v>
      </c>
      <c r="J48" s="3">
        <f t="shared" si="28"/>
        <v>223.98840501946117</v>
      </c>
      <c r="K48" s="10" t="b">
        <f t="shared" si="29"/>
        <v>0</v>
      </c>
      <c r="M48" s="3">
        <f t="shared" si="30"/>
        <v>-1.5619094750610338E-2</v>
      </c>
      <c r="N48" s="3">
        <f t="shared" si="7"/>
        <v>1.1736556598495658</v>
      </c>
      <c r="O48" s="3">
        <f t="shared" si="31"/>
        <v>1.1419610243360343</v>
      </c>
      <c r="P48" s="3">
        <f t="shared" si="32"/>
        <v>223.98840501946117</v>
      </c>
      <c r="Q48" s="10">
        <f>IF(O48&lt;MAX(T48:$T$56),M48,"NA")</f>
        <v>-1.5619094750610338E-2</v>
      </c>
      <c r="S48" s="3">
        <f t="shared" si="33"/>
        <v>0.35220228014208538</v>
      </c>
      <c r="T48" s="3">
        <f t="shared" si="10"/>
        <v>1.0822853520786935</v>
      </c>
      <c r="U48" s="3">
        <f t="shared" si="34"/>
        <v>224.15859765438165</v>
      </c>
      <c r="V48" s="10">
        <f t="shared" si="35"/>
        <v>0.35220228014208538</v>
      </c>
    </row>
    <row r="49" spans="1:22" x14ac:dyDescent="0.25">
      <c r="A49" s="10">
        <v>43</v>
      </c>
      <c r="B49" s="3">
        <f t="shared" si="23"/>
        <v>5.2860548048769218E-2</v>
      </c>
      <c r="C49" s="3">
        <f t="shared" si="0"/>
        <v>3.8840844777738597</v>
      </c>
      <c r="D49" s="3">
        <f t="shared" si="24"/>
        <v>211.69039811686369</v>
      </c>
      <c r="E49" s="10">
        <f t="shared" si="25"/>
        <v>5.2860548048769218E-2</v>
      </c>
      <c r="G49" s="3">
        <f t="shared" si="26"/>
        <v>-1.5831566337714827E-2</v>
      </c>
      <c r="H49" s="3">
        <f t="shared" si="3"/>
        <v>1.1702368051932448</v>
      </c>
      <c r="I49" s="3">
        <f t="shared" si="27"/>
        <v>1.1405255116344581</v>
      </c>
      <c r="J49" s="3">
        <f t="shared" si="28"/>
        <v>223.99190833929413</v>
      </c>
      <c r="K49" s="10" t="b">
        <f t="shared" si="29"/>
        <v>0</v>
      </c>
      <c r="M49" s="3">
        <f t="shared" si="30"/>
        <v>-1.5831566337714827E-2</v>
      </c>
      <c r="N49" s="3">
        <f t="shared" si="7"/>
        <v>1.1702368051932448</v>
      </c>
      <c r="O49" s="3">
        <f t="shared" si="31"/>
        <v>1.1405255116344581</v>
      </c>
      <c r="P49" s="3">
        <f t="shared" si="32"/>
        <v>223.99190833929413</v>
      </c>
      <c r="Q49" s="10">
        <f>IF(O49&lt;MAX(T49:$T$56),M49,"NA")</f>
        <v>-1.5831566337714827E-2</v>
      </c>
      <c r="S49" s="3">
        <f t="shared" si="33"/>
        <v>0.35159815959295659</v>
      </c>
      <c r="T49" s="3">
        <f t="shared" si="10"/>
        <v>1.0969994390104223</v>
      </c>
      <c r="U49" s="3">
        <f t="shared" si="34"/>
        <v>224.11612615091542</v>
      </c>
      <c r="V49" s="10">
        <f t="shared" si="35"/>
        <v>0.35159815959295659</v>
      </c>
    </row>
    <row r="50" spans="1:22" x14ac:dyDescent="0.25">
      <c r="A50" s="10">
        <v>44</v>
      </c>
      <c r="B50" s="3">
        <f t="shared" si="23"/>
        <v>4.5309041184659338E-2</v>
      </c>
      <c r="C50" s="3">
        <f t="shared" si="0"/>
        <v>3.8864968290829123</v>
      </c>
      <c r="D50" s="3">
        <f t="shared" si="24"/>
        <v>211.61206560432655</v>
      </c>
      <c r="E50" s="10">
        <f t="shared" si="25"/>
        <v>4.5309041184659338E-2</v>
      </c>
      <c r="G50" s="3">
        <f t="shared" si="26"/>
        <v>-1.6044037924819319E-2</v>
      </c>
      <c r="H50" s="3">
        <f t="shared" si="3"/>
        <v>1.1669385578501839</v>
      </c>
      <c r="I50" s="3">
        <f t="shared" si="27"/>
        <v>1.1391630391424274</v>
      </c>
      <c r="J50" s="3">
        <f t="shared" si="28"/>
        <v>223.99531629166134</v>
      </c>
      <c r="K50" s="10" t="b">
        <f t="shared" si="29"/>
        <v>0</v>
      </c>
      <c r="M50" s="3">
        <f t="shared" si="30"/>
        <v>-1.6044037924819319E-2</v>
      </c>
      <c r="N50" s="3">
        <f t="shared" si="7"/>
        <v>1.1669385578501839</v>
      </c>
      <c r="O50" s="3">
        <f t="shared" si="31"/>
        <v>1.1391630391424274</v>
      </c>
      <c r="P50" s="3">
        <f t="shared" si="32"/>
        <v>223.99531629166134</v>
      </c>
      <c r="Q50" s="10">
        <f>IF(O50&lt;MAX(T50:$T$56),M50,"NA")</f>
        <v>-1.6044037924819319E-2</v>
      </c>
      <c r="S50" s="3">
        <f t="shared" si="33"/>
        <v>0.35099403904382781</v>
      </c>
      <c r="T50" s="3">
        <f t="shared" si="10"/>
        <v>1.1116626491744306</v>
      </c>
      <c r="U50" s="3">
        <f t="shared" si="34"/>
        <v>224.07371869381907</v>
      </c>
      <c r="V50" s="10">
        <f t="shared" si="35"/>
        <v>0.35099403904382781</v>
      </c>
    </row>
    <row r="51" spans="1:22" x14ac:dyDescent="0.25">
      <c r="A51" s="10">
        <v>45</v>
      </c>
      <c r="B51" s="3">
        <f t="shared" si="23"/>
        <v>3.7757534320549457E-2</v>
      </c>
      <c r="C51" s="3">
        <f t="shared" si="0"/>
        <v>3.8880386388222594</v>
      </c>
      <c r="D51" s="3">
        <f t="shared" si="24"/>
        <v>211.54577075027441</v>
      </c>
      <c r="E51" s="10">
        <f t="shared" si="25"/>
        <v>3.7757534320549457E-2</v>
      </c>
      <c r="G51" s="3">
        <f t="shared" si="26"/>
        <v>-1.6256509511923808E-2</v>
      </c>
      <c r="H51" s="3">
        <f t="shared" si="3"/>
        <v>1.1637553308285933</v>
      </c>
      <c r="I51" s="3">
        <f t="shared" si="27"/>
        <v>1.1378683452916247</v>
      </c>
      <c r="J51" s="3">
        <f t="shared" si="28"/>
        <v>223.99863377633937</v>
      </c>
      <c r="K51" s="10" t="b">
        <f t="shared" si="29"/>
        <v>0</v>
      </c>
      <c r="M51" s="3">
        <f t="shared" si="30"/>
        <v>-1.6256509511923808E-2</v>
      </c>
      <c r="N51" s="3">
        <f t="shared" si="7"/>
        <v>1.1637553308285933</v>
      </c>
      <c r="O51" s="3">
        <f t="shared" si="31"/>
        <v>1.1378683452916247</v>
      </c>
      <c r="P51" s="3">
        <f t="shared" si="32"/>
        <v>223.99863377633937</v>
      </c>
      <c r="Q51" s="10">
        <f>IF(O51&lt;MAX(T51:$T$56),M51,"NA")</f>
        <v>-1.6256509511923808E-2</v>
      </c>
      <c r="S51" s="3">
        <f t="shared" si="33"/>
        <v>0.35038991849469903</v>
      </c>
      <c r="T51" s="3">
        <f t="shared" si="10"/>
        <v>1.1262750653334344</v>
      </c>
      <c r="U51" s="3">
        <f t="shared" si="34"/>
        <v>224.03137532903696</v>
      </c>
      <c r="V51" s="10">
        <f t="shared" si="35"/>
        <v>0.35038991849469903</v>
      </c>
    </row>
    <row r="52" spans="1:22" x14ac:dyDescent="0.25">
      <c r="A52" s="40">
        <v>46</v>
      </c>
      <c r="B52" s="3">
        <f t="shared" si="23"/>
        <v>3.0206027456439577E-2</v>
      </c>
      <c r="C52" s="3">
        <f t="shared" si="0"/>
        <v>3.8888918636567631</v>
      </c>
      <c r="D52" s="3">
        <f t="shared" si="24"/>
        <v>211.49152154811466</v>
      </c>
      <c r="E52" s="10">
        <f t="shared" si="25"/>
        <v>3.0206027456439577E-2</v>
      </c>
      <c r="G52" s="3">
        <f t="shared" si="26"/>
        <v>-1.64689810990283E-2</v>
      </c>
      <c r="H52" s="3">
        <f t="shared" si="3"/>
        <v>1.1606818199256095</v>
      </c>
      <c r="I52" s="3">
        <f t="shared" si="27"/>
        <v>1.1366366150795035</v>
      </c>
      <c r="J52" s="3">
        <f t="shared" si="28"/>
        <v>224.00186544420396</v>
      </c>
      <c r="K52" s="10" t="b">
        <f t="shared" si="29"/>
        <v>0</v>
      </c>
      <c r="M52" s="3">
        <f t="shared" si="30"/>
        <v>-1.64689810990283E-2</v>
      </c>
      <c r="N52" s="3">
        <f t="shared" si="7"/>
        <v>1.1606818199256095</v>
      </c>
      <c r="O52" s="3">
        <f t="shared" si="31"/>
        <v>1.1366366150795035</v>
      </c>
      <c r="P52" s="3">
        <f t="shared" si="32"/>
        <v>224.00186544420396</v>
      </c>
      <c r="Q52" s="10">
        <f>IF(O52&lt;MAX(T52:$T$56),M52,"NA")</f>
        <v>-1.64689810990283E-2</v>
      </c>
      <c r="S52" s="3">
        <f t="shared" si="33"/>
        <v>0.34978579794557019</v>
      </c>
      <c r="T52" s="3">
        <f t="shared" si="10"/>
        <v>1.1408367702870976</v>
      </c>
      <c r="U52" s="3">
        <f t="shared" si="34"/>
        <v>223.98909610243669</v>
      </c>
      <c r="V52" s="10" t="str">
        <f t="shared" si="35"/>
        <v>NA</v>
      </c>
    </row>
    <row r="53" spans="1:22" x14ac:dyDescent="0.25">
      <c r="A53" s="40">
        <v>47</v>
      </c>
      <c r="B53" s="3">
        <f t="shared" si="23"/>
        <v>2.2654520592329641E-2</v>
      </c>
      <c r="C53" s="3">
        <f t="shared" si="0"/>
        <v>3.8892385261410527</v>
      </c>
      <c r="D53" s="3">
        <f t="shared" si="24"/>
        <v>211.44932392953328</v>
      </c>
      <c r="E53" s="10">
        <f t="shared" si="25"/>
        <v>2.2654520592329641E-2</v>
      </c>
      <c r="G53" s="3">
        <f t="shared" si="26"/>
        <v>-1.6681452686132789E-2</v>
      </c>
      <c r="H53" s="3">
        <f t="shared" si="3"/>
        <v>1.1577129924498402</v>
      </c>
      <c r="I53" s="3">
        <f t="shared" si="27"/>
        <v>1.1354634377159831</v>
      </c>
      <c r="J53" s="3">
        <f t="shared" si="28"/>
        <v>224.00501570727249</v>
      </c>
      <c r="K53" s="10" t="b">
        <f t="shared" si="29"/>
        <v>0</v>
      </c>
      <c r="M53" s="3">
        <f t="shared" si="30"/>
        <v>-1.6681452686132789E-2</v>
      </c>
      <c r="N53" s="3">
        <f t="shared" si="7"/>
        <v>1.1577129924498402</v>
      </c>
      <c r="O53" s="3">
        <f t="shared" si="31"/>
        <v>1.1354634377159831</v>
      </c>
      <c r="P53" s="3">
        <f t="shared" si="32"/>
        <v>224.00501570727249</v>
      </c>
      <c r="Q53" s="10">
        <f>IF(O53&lt;MAX(T53:$T$56),M53,"NA")</f>
        <v>-1.6681452686132789E-2</v>
      </c>
      <c r="S53" s="3">
        <f t="shared" si="33"/>
        <v>0.3491816773964414</v>
      </c>
      <c r="T53" s="3">
        <f t="shared" si="10"/>
        <v>1.1553478468719462</v>
      </c>
      <c r="U53" s="3">
        <f t="shared" si="34"/>
        <v>223.94688105980941</v>
      </c>
      <c r="V53" s="10" t="str">
        <f t="shared" si="35"/>
        <v>NA</v>
      </c>
    </row>
    <row r="54" spans="1:22" x14ac:dyDescent="0.25">
      <c r="A54" s="40">
        <v>48</v>
      </c>
      <c r="B54" s="3">
        <f t="shared" si="23"/>
        <v>1.5103013728219816E-2</v>
      </c>
      <c r="C54" s="3">
        <f t="shared" si="0"/>
        <v>3.8892606939570951</v>
      </c>
      <c r="D54" s="3">
        <f t="shared" si="24"/>
        <v>211.41918176399525</v>
      </c>
      <c r="E54" s="10">
        <f t="shared" si="25"/>
        <v>1.5103013728219816E-2</v>
      </c>
      <c r="G54" s="3">
        <f t="shared" si="26"/>
        <v>-1.6893924273237281E-2</v>
      </c>
      <c r="H54" s="3">
        <f t="shared" si="3"/>
        <v>1.1548440754819445</v>
      </c>
      <c r="I54" s="3">
        <f t="shared" si="27"/>
        <v>1.1343447685842545</v>
      </c>
      <c r="J54" s="3">
        <f t="shared" si="28"/>
        <v>224.00808874912988</v>
      </c>
      <c r="K54" s="10" t="b">
        <f t="shared" si="29"/>
        <v>0</v>
      </c>
      <c r="M54" s="3">
        <f t="shared" si="30"/>
        <v>-1.6893924273237281E-2</v>
      </c>
      <c r="N54" s="3">
        <f t="shared" si="7"/>
        <v>1.1548440754819445</v>
      </c>
      <c r="O54" s="3">
        <f t="shared" si="31"/>
        <v>1.1343447685842545</v>
      </c>
      <c r="P54" s="3">
        <f t="shared" si="32"/>
        <v>224.00808874912988</v>
      </c>
      <c r="Q54" s="10">
        <f>IF(O54&lt;MAX(T54:$T$56),M54,"NA")</f>
        <v>-1.6893924273237281E-2</v>
      </c>
      <c r="S54" s="3">
        <f t="shared" si="33"/>
        <v>0.34857755684731262</v>
      </c>
      <c r="T54" s="3">
        <f t="shared" si="10"/>
        <v>1.1698083779613169</v>
      </c>
      <c r="U54" s="3">
        <f t="shared" si="34"/>
        <v>223.90473024686941</v>
      </c>
      <c r="V54" s="10" t="str">
        <f t="shared" si="35"/>
        <v>NA</v>
      </c>
    </row>
    <row r="55" spans="1:22" x14ac:dyDescent="0.25">
      <c r="A55" s="40">
        <v>49</v>
      </c>
      <c r="B55" s="3">
        <f t="shared" si="23"/>
        <v>7.5515068641098804E-3</v>
      </c>
      <c r="C55" s="3">
        <f t="shared" si="0"/>
        <v>3.8891404591482477</v>
      </c>
      <c r="D55" s="3">
        <f t="shared" si="24"/>
        <v>211.4010968584401</v>
      </c>
      <c r="E55" s="10">
        <f t="shared" si="25"/>
        <v>7.5515068641098804E-3</v>
      </c>
      <c r="G55" s="3">
        <f t="shared" si="26"/>
        <v>-1.710639586034177E-2</v>
      </c>
      <c r="H55" s="3">
        <f t="shared" si="3"/>
        <v>1.1520705439302814</v>
      </c>
      <c r="I55" s="3">
        <f t="shared" si="27"/>
        <v>1.1332768950650252</v>
      </c>
      <c r="J55" s="3">
        <f t="shared" si="28"/>
        <v>224.01108853551514</v>
      </c>
      <c r="K55" s="10" t="b">
        <f t="shared" si="29"/>
        <v>0</v>
      </c>
      <c r="M55" s="3">
        <f t="shared" si="30"/>
        <v>-1.710639586034177E-2</v>
      </c>
      <c r="N55" s="3">
        <f t="shared" si="7"/>
        <v>1.1520705439302814</v>
      </c>
      <c r="O55" s="3">
        <f t="shared" si="31"/>
        <v>1.1332768950650252</v>
      </c>
      <c r="P55" s="3">
        <f t="shared" si="32"/>
        <v>224.01108853551514</v>
      </c>
      <c r="Q55" s="10">
        <f>IF(O55&lt;MAX(T55:$T$56),M55,"NA")</f>
        <v>-1.710639586034177E-2</v>
      </c>
      <c r="S55" s="3">
        <f t="shared" si="33"/>
        <v>0.34797343629818384</v>
      </c>
      <c r="T55" s="3">
        <f t="shared" si="10"/>
        <v>1.1842184464652603</v>
      </c>
      <c r="U55" s="3">
        <f t="shared" si="34"/>
        <v>223.86264370925426</v>
      </c>
      <c r="V55" s="10" t="str">
        <f t="shared" si="35"/>
        <v>NA</v>
      </c>
    </row>
    <row r="56" spans="1:22" x14ac:dyDescent="0.25">
      <c r="A56" s="10">
        <v>50</v>
      </c>
      <c r="B56" s="3">
        <f>B4</f>
        <v>0</v>
      </c>
      <c r="C56" s="3">
        <f>br*SQRT(1+B56^2)*SIN(ATAN(B56)-B56+ha)</f>
        <v>3.8890599173515916</v>
      </c>
      <c r="D56" s="3">
        <f>br*SQRT(1+B56^2)*COS(ATAN(B56)-B56+ha)</f>
        <v>211.39506895717409</v>
      </c>
      <c r="E56" s="10">
        <f>IF(D56&lt;MAX($P$6:$P$56),B56,"NA")</f>
        <v>0</v>
      </c>
      <c r="G56" s="3">
        <f>G4</f>
        <v>-1.7318867447446262E-2</v>
      </c>
      <c r="H56" s="3">
        <f>1+e/SQRT((pr*G56+uc)^2+(s+vc)^2)</f>
        <v>1.1493881085790278</v>
      </c>
      <c r="I56" s="3">
        <f>H56*(pr*G56+uc)*COS(G56)-(pr+H56*(s+vc))*SIN(G56)</f>
        <v>1.1322564058181506</v>
      </c>
      <c r="J56" s="3">
        <f>H56*(pr*G56+uc)*SIN(G56)+(pr+H56*(s+vc))*COS(G56)</f>
        <v>224.01401882489847</v>
      </c>
      <c r="K56" s="10" t="b">
        <f>IF(AND(I56&gt;MAX($C$6:$C$56),J56&gt;$D$56),G56,FALSE)</f>
        <v>0</v>
      </c>
      <c r="M56" s="3">
        <f>M4</f>
        <v>-1.7318867447446262E-2</v>
      </c>
      <c r="N56" s="3">
        <f>1+e/SQRT((pr*M56+uc)^2+(s+vc)^2)</f>
        <v>1.1493881085790278</v>
      </c>
      <c r="O56" s="3">
        <f>N56*(pr*M56+uc)*COS(M56)-(pr+N56*(s+vc))*SIN(M56)</f>
        <v>1.1322564058181506</v>
      </c>
      <c r="P56" s="3">
        <f>N56*(pr*M56+uc)*SIN(M56)+(pr+N56*(s+vc))*COS(M56)</f>
        <v>224.01401882489847</v>
      </c>
      <c r="Q56" s="10">
        <f>IF(O56&lt;MAX(T56:$T$56),M56,"NA")</f>
        <v>-1.7318867447446262E-2</v>
      </c>
      <c r="S56" s="3">
        <f>S4</f>
        <v>0.34736931574905505</v>
      </c>
      <c r="T56" s="3">
        <f>br*SQRT(1+S56^2)*SIN(ATAN(S56)-S56+ha)</f>
        <v>1.1985781353305314</v>
      </c>
      <c r="U56" s="3">
        <f>br*SQRT(1+S56^2)*COS(ATAN(S56)-S56+ha)</f>
        <v>223.82062149252494</v>
      </c>
      <c r="V56" s="10" t="str">
        <f>IF(U56&gt;MAX($P$6:$P$56),S56,"NA")</f>
        <v>NA</v>
      </c>
    </row>
    <row r="57" spans="1:22" x14ac:dyDescent="0.25">
      <c r="A57" s="40"/>
      <c r="C57" s="3"/>
    </row>
    <row r="58" spans="1:22" x14ac:dyDescent="0.25">
      <c r="A58" s="40"/>
      <c r="G58" s="37"/>
      <c r="K58" s="40"/>
      <c r="M58" s="37"/>
      <c r="Q58" s="40">
        <f>MIN(Q6:Q56)</f>
        <v>-1.7318867447446262E-2</v>
      </c>
      <c r="V58" s="40">
        <f>MIN(V6:V56)</f>
        <v>0.35038991849469903</v>
      </c>
    </row>
  </sheetData>
  <mergeCells count="4">
    <mergeCell ref="B2:D2"/>
    <mergeCell ref="G2:J2"/>
    <mergeCell ref="S2:U2"/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Table</vt:lpstr>
      <vt:lpstr>Calc</vt:lpstr>
      <vt:lpstr>PSI Max Pointed</vt:lpstr>
      <vt:lpstr>PSI, PHI Min Undercut</vt:lpstr>
      <vt:lpstr>a</vt:lpstr>
      <vt:lpstr>ar</vt:lpstr>
      <vt:lpstr>b</vt:lpstr>
      <vt:lpstr>br</vt:lpstr>
      <vt:lpstr>e</vt:lpstr>
      <vt:lpstr>Family</vt:lpstr>
      <vt:lpstr>h</vt:lpstr>
      <vt:lpstr>ha</vt:lpstr>
      <vt:lpstr>m</vt:lpstr>
      <vt:lpstr>pa</vt:lpstr>
      <vt:lpstr>pr</vt:lpstr>
      <vt:lpstr>s</vt:lpstr>
      <vt:lpstr>uc</vt:lpstr>
      <vt:lpstr>vc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2014-02-18T19:52:31Z</dcterms:modified>
</cp:coreProperties>
</file>