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https://hultstudents-my.sharepoint.com/personal/ctemirbekova_student_hult_edu/Documents/Documents/Data Fundamentals/"/>
    </mc:Choice>
  </mc:AlternateContent>
  <xr:revisionPtr revIDLastSave="33" documentId="8_{36AE78EB-F380-47F3-8198-F8B44BB70D36}" xr6:coauthVersionLast="47" xr6:coauthVersionMax="47" xr10:uidLastSave="{4F78DFD6-11FE-463C-8814-93FC4A3D3A3F}"/>
  <bookViews>
    <workbookView xWindow="-110" yWindow="-110" windowWidth="19420" windowHeight="10420" firstSheet="1" activeTab="1" xr2:uid="{4E1E2841-EF40-4D3A-83EF-A0A8479F2231}"/>
  </bookViews>
  <sheets>
    <sheet name="Basic info" sheetId="1" r:id="rId1"/>
    <sheet name="Calculations" sheetId="2" r:id="rId2"/>
    <sheet name="Tax Rates and Inflation" sheetId="3" r:id="rId3"/>
    <sheet name="Tax calculations" sheetId="4" r:id="rId4"/>
    <sheet name="Decision Email" sheetId="5" r:id="rId5"/>
  </sheets>
  <definedNames>
    <definedName name="IRA_Distribution_Table">'Tax Rates and Inflation'!#REF!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60" i="2" l="1"/>
  <c r="D253" i="2"/>
  <c r="E253" i="2" s="1"/>
  <c r="F253" i="2" s="1"/>
  <c r="G253" i="2" s="1"/>
  <c r="H253" i="2" s="1"/>
  <c r="I253" i="2" s="1"/>
  <c r="J253" i="2" s="1"/>
  <c r="K253" i="2" s="1"/>
  <c r="L253" i="2" s="1"/>
  <c r="M253" i="2" s="1"/>
  <c r="N253" i="2" s="1"/>
  <c r="C252" i="2"/>
  <c r="C254" i="2" s="1"/>
  <c r="C257" i="2" s="1"/>
  <c r="D251" i="2" s="1"/>
  <c r="D238" i="2"/>
  <c r="E238" i="2" s="1"/>
  <c r="C237" i="2"/>
  <c r="C239" i="2" s="1"/>
  <c r="C242" i="2" s="1"/>
  <c r="D236" i="2" s="1"/>
  <c r="D223" i="2"/>
  <c r="E223" i="2" s="1"/>
  <c r="F223" i="2" s="1"/>
  <c r="G223" i="2" s="1"/>
  <c r="H223" i="2" s="1"/>
  <c r="I223" i="2" s="1"/>
  <c r="J223" i="2" s="1"/>
  <c r="K223" i="2" s="1"/>
  <c r="L223" i="2" s="1"/>
  <c r="M223" i="2" s="1"/>
  <c r="N223" i="2" s="1"/>
  <c r="C222" i="2"/>
  <c r="C224" i="2" s="1"/>
  <c r="C227" i="2" s="1"/>
  <c r="D221" i="2" s="1"/>
  <c r="D208" i="2"/>
  <c r="E208" i="2" s="1"/>
  <c r="F208" i="2" s="1"/>
  <c r="G208" i="2" s="1"/>
  <c r="H208" i="2" s="1"/>
  <c r="I208" i="2" s="1"/>
  <c r="J208" i="2" s="1"/>
  <c r="K208" i="2" s="1"/>
  <c r="L208" i="2" s="1"/>
  <c r="M208" i="2" s="1"/>
  <c r="N208" i="2" s="1"/>
  <c r="C207" i="2"/>
  <c r="C209" i="2" s="1"/>
  <c r="C212" i="2" s="1"/>
  <c r="D206" i="2" s="1"/>
  <c r="D193" i="2"/>
  <c r="E193" i="2" s="1"/>
  <c r="F193" i="2" s="1"/>
  <c r="G193" i="2" s="1"/>
  <c r="H193" i="2" s="1"/>
  <c r="I193" i="2" s="1"/>
  <c r="J193" i="2" s="1"/>
  <c r="K193" i="2" s="1"/>
  <c r="L193" i="2" s="1"/>
  <c r="M193" i="2" s="1"/>
  <c r="N193" i="2" s="1"/>
  <c r="C192" i="2"/>
  <c r="C194" i="2" s="1"/>
  <c r="C197" i="2" s="1"/>
  <c r="D191" i="2" s="1"/>
  <c r="D178" i="2"/>
  <c r="E178" i="2" s="1"/>
  <c r="C177" i="2"/>
  <c r="C179" i="2" s="1"/>
  <c r="C182" i="2" s="1"/>
  <c r="D176" i="2" s="1"/>
  <c r="D163" i="2"/>
  <c r="E163" i="2" s="1"/>
  <c r="F163" i="2" s="1"/>
  <c r="G163" i="2" s="1"/>
  <c r="H163" i="2" s="1"/>
  <c r="I163" i="2" s="1"/>
  <c r="J163" i="2" s="1"/>
  <c r="K163" i="2" s="1"/>
  <c r="L163" i="2" s="1"/>
  <c r="M163" i="2" s="1"/>
  <c r="N163" i="2" s="1"/>
  <c r="C162" i="2"/>
  <c r="C164" i="2" s="1"/>
  <c r="C167" i="2" s="1"/>
  <c r="D161" i="2" s="1"/>
  <c r="D148" i="2"/>
  <c r="E148" i="2" s="1"/>
  <c r="C147" i="2"/>
  <c r="C149" i="2" s="1"/>
  <c r="C152" i="2" s="1"/>
  <c r="D146" i="2" s="1"/>
  <c r="D133" i="2"/>
  <c r="E133" i="2" s="1"/>
  <c r="F133" i="2" s="1"/>
  <c r="G133" i="2" s="1"/>
  <c r="H133" i="2" s="1"/>
  <c r="I133" i="2" s="1"/>
  <c r="J133" i="2" s="1"/>
  <c r="K133" i="2" s="1"/>
  <c r="L133" i="2" s="1"/>
  <c r="M133" i="2" s="1"/>
  <c r="N133" i="2" s="1"/>
  <c r="C132" i="2"/>
  <c r="C134" i="2" s="1"/>
  <c r="C137" i="2" s="1"/>
  <c r="D131" i="2" s="1"/>
  <c r="D118" i="2"/>
  <c r="E118" i="2" s="1"/>
  <c r="F118" i="2" s="1"/>
  <c r="G118" i="2" s="1"/>
  <c r="H118" i="2" s="1"/>
  <c r="I118" i="2" s="1"/>
  <c r="J118" i="2" s="1"/>
  <c r="K118" i="2" s="1"/>
  <c r="L118" i="2" s="1"/>
  <c r="M118" i="2" s="1"/>
  <c r="N118" i="2" s="1"/>
  <c r="D252" i="2" l="1"/>
  <c r="D254" i="2" s="1"/>
  <c r="D257" i="2" s="1"/>
  <c r="E251" i="2" s="1"/>
  <c r="O253" i="2"/>
  <c r="D237" i="2"/>
  <c r="D239" i="2" s="1"/>
  <c r="D242" i="2" s="1"/>
  <c r="E236" i="2" s="1"/>
  <c r="F238" i="2"/>
  <c r="G238" i="2" s="1"/>
  <c r="H238" i="2" s="1"/>
  <c r="I238" i="2" s="1"/>
  <c r="J238" i="2" s="1"/>
  <c r="K238" i="2" s="1"/>
  <c r="L238" i="2" s="1"/>
  <c r="M238" i="2" s="1"/>
  <c r="N238" i="2" s="1"/>
  <c r="D222" i="2"/>
  <c r="D224" i="2" s="1"/>
  <c r="D227" i="2" s="1"/>
  <c r="E221" i="2" s="1"/>
  <c r="O223" i="2"/>
  <c r="D207" i="2"/>
  <c r="D209" i="2" s="1"/>
  <c r="D212" i="2" s="1"/>
  <c r="E206" i="2" s="1"/>
  <c r="O208" i="2"/>
  <c r="D192" i="2"/>
  <c r="D194" i="2" s="1"/>
  <c r="D197" i="2" s="1"/>
  <c r="E191" i="2" s="1"/>
  <c r="O193" i="2"/>
  <c r="F178" i="2"/>
  <c r="G178" i="2" s="1"/>
  <c r="H178" i="2" s="1"/>
  <c r="I178" i="2" s="1"/>
  <c r="J178" i="2" s="1"/>
  <c r="K178" i="2" s="1"/>
  <c r="L178" i="2" s="1"/>
  <c r="M178" i="2" s="1"/>
  <c r="N178" i="2" s="1"/>
  <c r="O178" i="2"/>
  <c r="D177" i="2"/>
  <c r="D179" i="2" s="1"/>
  <c r="D182" i="2" s="1"/>
  <c r="E176" i="2" s="1"/>
  <c r="D162" i="2"/>
  <c r="D164" i="2" s="1"/>
  <c r="D167" i="2" s="1"/>
  <c r="E161" i="2" s="1"/>
  <c r="O163" i="2"/>
  <c r="D147" i="2"/>
  <c r="D149" i="2" s="1"/>
  <c r="D152" i="2" s="1"/>
  <c r="E146" i="2" s="1"/>
  <c r="F148" i="2"/>
  <c r="G148" i="2" s="1"/>
  <c r="H148" i="2" s="1"/>
  <c r="I148" i="2" s="1"/>
  <c r="J148" i="2" s="1"/>
  <c r="K148" i="2" s="1"/>
  <c r="L148" i="2" s="1"/>
  <c r="M148" i="2" s="1"/>
  <c r="N148" i="2" s="1"/>
  <c r="D132" i="2"/>
  <c r="O133" i="2"/>
  <c r="O118" i="2"/>
  <c r="E252" i="2" l="1"/>
  <c r="E237" i="2"/>
  <c r="E239" i="2"/>
  <c r="E242" i="2" s="1"/>
  <c r="F236" i="2" s="1"/>
  <c r="O238" i="2"/>
  <c r="E222" i="2"/>
  <c r="E207" i="2"/>
  <c r="E209" i="2"/>
  <c r="E212" i="2" s="1"/>
  <c r="F206" i="2" s="1"/>
  <c r="E192" i="2"/>
  <c r="E194" i="2" s="1"/>
  <c r="E197" i="2" s="1"/>
  <c r="F191" i="2" s="1"/>
  <c r="E177" i="2"/>
  <c r="E179" i="2"/>
  <c r="E182" i="2" s="1"/>
  <c r="F176" i="2" s="1"/>
  <c r="E162" i="2"/>
  <c r="E147" i="2"/>
  <c r="E149" i="2" s="1"/>
  <c r="E152" i="2" s="1"/>
  <c r="F146" i="2" s="1"/>
  <c r="O148" i="2"/>
  <c r="D134" i="2"/>
  <c r="D137" i="2" s="1"/>
  <c r="E131" i="2" s="1"/>
  <c r="E254" i="2" l="1"/>
  <c r="E257" i="2" s="1"/>
  <c r="F251" i="2" s="1"/>
  <c r="F237" i="2"/>
  <c r="E224" i="2"/>
  <c r="E227" i="2" s="1"/>
  <c r="F221" i="2" s="1"/>
  <c r="F207" i="2"/>
  <c r="F209" i="2" s="1"/>
  <c r="F212" i="2" s="1"/>
  <c r="G206" i="2" s="1"/>
  <c r="F192" i="2"/>
  <c r="F194" i="2" s="1"/>
  <c r="F197" i="2" s="1"/>
  <c r="G191" i="2" s="1"/>
  <c r="F177" i="2"/>
  <c r="E164" i="2"/>
  <c r="E167" i="2" s="1"/>
  <c r="F161" i="2" s="1"/>
  <c r="F147" i="2"/>
  <c r="F149" i="2" s="1"/>
  <c r="F152" i="2" s="1"/>
  <c r="G146" i="2" s="1"/>
  <c r="E132" i="2"/>
  <c r="E134" i="2" s="1"/>
  <c r="E137" i="2" s="1"/>
  <c r="F131" i="2" s="1"/>
  <c r="C103" i="2"/>
  <c r="D103" i="2" s="1"/>
  <c r="E103" i="2" s="1"/>
  <c r="F103" i="2" s="1"/>
  <c r="G103" i="2" s="1"/>
  <c r="H103" i="2" s="1"/>
  <c r="I103" i="2" s="1"/>
  <c r="J103" i="2" s="1"/>
  <c r="K103" i="2" s="1"/>
  <c r="L103" i="2" s="1"/>
  <c r="M103" i="2" s="1"/>
  <c r="N103" i="2" s="1"/>
  <c r="C92" i="2"/>
  <c r="C80" i="2"/>
  <c r="D80" i="2" s="1"/>
  <c r="E80" i="2" s="1"/>
  <c r="F80" i="2" s="1"/>
  <c r="G80" i="2" s="1"/>
  <c r="H80" i="2" s="1"/>
  <c r="I80" i="2" s="1"/>
  <c r="J80" i="2" s="1"/>
  <c r="K80" i="2" s="1"/>
  <c r="L80" i="2" s="1"/>
  <c r="M80" i="2" s="1"/>
  <c r="N80" i="2" s="1"/>
  <c r="C69" i="2"/>
  <c r="C58" i="2"/>
  <c r="C47" i="2"/>
  <c r="D47" i="2" s="1"/>
  <c r="E47" i="2" s="1"/>
  <c r="F47" i="2" s="1"/>
  <c r="G47" i="2" s="1"/>
  <c r="H47" i="2" s="1"/>
  <c r="I47" i="2" s="1"/>
  <c r="J47" i="2" s="1"/>
  <c r="K47" i="2" s="1"/>
  <c r="L47" i="2" s="1"/>
  <c r="M47" i="2" s="1"/>
  <c r="N47" i="2" s="1"/>
  <c r="C36" i="2"/>
  <c r="D36" i="2" s="1"/>
  <c r="E36" i="2" s="1"/>
  <c r="F36" i="2" s="1"/>
  <c r="G36" i="2" s="1"/>
  <c r="H36" i="2" s="1"/>
  <c r="I36" i="2" s="1"/>
  <c r="J36" i="2" s="1"/>
  <c r="K36" i="2" s="1"/>
  <c r="L36" i="2" s="1"/>
  <c r="M36" i="2" s="1"/>
  <c r="N36" i="2" s="1"/>
  <c r="C25" i="2"/>
  <c r="D25" i="2" s="1"/>
  <c r="E25" i="2" s="1"/>
  <c r="F25" i="2" s="1"/>
  <c r="G25" i="2" s="1"/>
  <c r="H25" i="2" s="1"/>
  <c r="I25" i="2" s="1"/>
  <c r="J25" i="2" s="1"/>
  <c r="K25" i="2" s="1"/>
  <c r="L25" i="2" s="1"/>
  <c r="M25" i="2" s="1"/>
  <c r="N25" i="2" s="1"/>
  <c r="C19" i="2"/>
  <c r="C20" i="2" s="1"/>
  <c r="C14" i="2"/>
  <c r="D14" i="2" s="1"/>
  <c r="E14" i="2" s="1"/>
  <c r="F14" i="2" s="1"/>
  <c r="G14" i="2" s="1"/>
  <c r="H14" i="2" s="1"/>
  <c r="I14" i="2" s="1"/>
  <c r="J14" i="2" s="1"/>
  <c r="K14" i="2" s="1"/>
  <c r="L14" i="2" s="1"/>
  <c r="M14" i="2" s="1"/>
  <c r="N14" i="2" s="1"/>
  <c r="C12" i="2"/>
  <c r="C13" i="2" s="1"/>
  <c r="C26" i="4"/>
  <c r="C25" i="4"/>
  <c r="C24" i="4"/>
  <c r="C23" i="4"/>
  <c r="C22" i="4"/>
  <c r="C21" i="4"/>
  <c r="C20" i="4"/>
  <c r="E19" i="4"/>
  <c r="C19" i="4"/>
  <c r="B19" i="4"/>
  <c r="B20" i="4" s="1"/>
  <c r="B21" i="4" s="1"/>
  <c r="B22" i="4" s="1"/>
  <c r="B23" i="4" s="1"/>
  <c r="B24" i="4" s="1"/>
  <c r="B25" i="4" s="1"/>
  <c r="B26" i="4" s="1"/>
  <c r="C10" i="4"/>
  <c r="C9" i="4"/>
  <c r="C8" i="4"/>
  <c r="C7" i="4"/>
  <c r="C6" i="4"/>
  <c r="E5" i="4"/>
  <c r="C5" i="4"/>
  <c r="B5" i="4"/>
  <c r="B6" i="4" s="1"/>
  <c r="B7" i="4" s="1"/>
  <c r="B8" i="4" s="1"/>
  <c r="B9" i="4" s="1"/>
  <c r="B10" i="4" s="1"/>
  <c r="C38" i="3"/>
  <c r="C39" i="3" s="1"/>
  <c r="C40" i="3" s="1"/>
  <c r="C41" i="3" s="1"/>
  <c r="C42" i="3" s="1"/>
  <c r="C43" i="3" s="1"/>
  <c r="C44" i="3" s="1"/>
  <c r="C45" i="3" s="1"/>
  <c r="C46" i="3" s="1"/>
  <c r="C47" i="3" s="1"/>
  <c r="C48" i="3" s="1"/>
  <c r="C49" i="3" s="1"/>
  <c r="C50" i="3" s="1"/>
  <c r="C51" i="3" s="1"/>
  <c r="C52" i="3" s="1"/>
  <c r="C53" i="3" s="1"/>
  <c r="C54" i="3" s="1"/>
  <c r="C55" i="3" s="1"/>
  <c r="C56" i="3" s="1"/>
  <c r="C57" i="3" s="1"/>
  <c r="C58" i="3" s="1"/>
  <c r="C59" i="3" s="1"/>
  <c r="C60" i="3" s="1"/>
  <c r="C61" i="3" s="1"/>
  <c r="B27" i="3"/>
  <c r="B28" i="3" s="1"/>
  <c r="B29" i="3" s="1"/>
  <c r="B30" i="3" s="1"/>
  <c r="B31" i="3" s="1"/>
  <c r="B32" i="3" s="1"/>
  <c r="B33" i="3" s="1"/>
  <c r="B34" i="3" s="1"/>
  <c r="B35" i="3" s="1"/>
  <c r="B36" i="3" s="1"/>
  <c r="B37" i="3" s="1"/>
  <c r="B38" i="3" s="1"/>
  <c r="B39" i="3" s="1"/>
  <c r="B40" i="3" s="1"/>
  <c r="B41" i="3" s="1"/>
  <c r="B42" i="3" s="1"/>
  <c r="B43" i="3" s="1"/>
  <c r="B44" i="3" s="1"/>
  <c r="B45" i="3" s="1"/>
  <c r="B46" i="3" s="1"/>
  <c r="B47" i="3" s="1"/>
  <c r="B48" i="3" s="1"/>
  <c r="B49" i="3" s="1"/>
  <c r="B50" i="3" s="1"/>
  <c r="B51" i="3" s="1"/>
  <c r="B52" i="3" s="1"/>
  <c r="B53" i="3" s="1"/>
  <c r="B54" i="3" s="1"/>
  <c r="B55" i="3" s="1"/>
  <c r="B56" i="3" s="1"/>
  <c r="B57" i="3" s="1"/>
  <c r="B58" i="3" s="1"/>
  <c r="B59" i="3" s="1"/>
  <c r="B60" i="3" s="1"/>
  <c r="B61" i="3" s="1"/>
  <c r="I19" i="3"/>
  <c r="I18" i="3"/>
  <c r="I17" i="3"/>
  <c r="C17" i="3"/>
  <c r="I16" i="3"/>
  <c r="C16" i="3"/>
  <c r="I15" i="3"/>
  <c r="C15" i="3"/>
  <c r="I14" i="3"/>
  <c r="C14" i="3"/>
  <c r="I13" i="3"/>
  <c r="H13" i="3"/>
  <c r="H14" i="3" s="1"/>
  <c r="H15" i="3" s="1"/>
  <c r="H16" i="3" s="1"/>
  <c r="H17" i="3" s="1"/>
  <c r="H18" i="3" s="1"/>
  <c r="H19" i="3" s="1"/>
  <c r="C13" i="3"/>
  <c r="B13" i="3"/>
  <c r="B14" i="3" s="1"/>
  <c r="B15" i="3" s="1"/>
  <c r="B16" i="3" s="1"/>
  <c r="B17" i="3" s="1"/>
  <c r="K12" i="3"/>
  <c r="K13" i="3" s="1"/>
  <c r="K14" i="3" s="1"/>
  <c r="K15" i="3" s="1"/>
  <c r="K16" i="3" s="1"/>
  <c r="K17" i="3" s="1"/>
  <c r="K18" i="3" s="1"/>
  <c r="K19" i="3" s="1"/>
  <c r="I12" i="3"/>
  <c r="H12" i="3"/>
  <c r="E12" i="3"/>
  <c r="E13" i="3" s="1"/>
  <c r="E14" i="3" s="1"/>
  <c r="E15" i="3" s="1"/>
  <c r="E16" i="3" s="1"/>
  <c r="E17" i="3" s="1"/>
  <c r="C12" i="3"/>
  <c r="B12" i="3"/>
  <c r="E20" i="4" l="1"/>
  <c r="E21" i="4"/>
  <c r="E22" i="4" s="1"/>
  <c r="E23" i="4" s="1"/>
  <c r="E24" i="4" s="1"/>
  <c r="E25" i="4" s="1"/>
  <c r="E26" i="4" s="1"/>
  <c r="C262" i="2"/>
  <c r="F252" i="2"/>
  <c r="F254" i="2" s="1"/>
  <c r="F257" i="2" s="1"/>
  <c r="G251" i="2" s="1"/>
  <c r="F239" i="2"/>
  <c r="F242" i="2" s="1"/>
  <c r="G236" i="2" s="1"/>
  <c r="F222" i="2"/>
  <c r="F224" i="2" s="1"/>
  <c r="F227" i="2" s="1"/>
  <c r="G221" i="2" s="1"/>
  <c r="G207" i="2"/>
  <c r="G192" i="2"/>
  <c r="G194" i="2" s="1"/>
  <c r="G197" i="2" s="1"/>
  <c r="H191" i="2" s="1"/>
  <c r="F179" i="2"/>
  <c r="F182" i="2" s="1"/>
  <c r="G176" i="2" s="1"/>
  <c r="F162" i="2"/>
  <c r="G147" i="2"/>
  <c r="G149" i="2" s="1"/>
  <c r="G152" i="2" s="1"/>
  <c r="H146" i="2" s="1"/>
  <c r="F132" i="2"/>
  <c r="F134" i="2" s="1"/>
  <c r="F137" i="2" s="1"/>
  <c r="G131" i="2" s="1"/>
  <c r="O103" i="2"/>
  <c r="D92" i="2"/>
  <c r="E92" i="2" s="1"/>
  <c r="F92" i="2" s="1"/>
  <c r="G92" i="2" s="1"/>
  <c r="H92" i="2" s="1"/>
  <c r="I92" i="2" s="1"/>
  <c r="J92" i="2" s="1"/>
  <c r="K92" i="2" s="1"/>
  <c r="L92" i="2" s="1"/>
  <c r="M92" i="2" s="1"/>
  <c r="N92" i="2" s="1"/>
  <c r="O80" i="2"/>
  <c r="D58" i="2"/>
  <c r="E58" i="2" s="1"/>
  <c r="F58" i="2" s="1"/>
  <c r="G58" i="2" s="1"/>
  <c r="H58" i="2" s="1"/>
  <c r="I58" i="2" s="1"/>
  <c r="J58" i="2" s="1"/>
  <c r="K58" i="2" s="1"/>
  <c r="L58" i="2" s="1"/>
  <c r="M58" i="2" s="1"/>
  <c r="N58" i="2" s="1"/>
  <c r="D69" i="2"/>
  <c r="E69" i="2" s="1"/>
  <c r="F69" i="2" s="1"/>
  <c r="G69" i="2" s="1"/>
  <c r="H69" i="2" s="1"/>
  <c r="I69" i="2" s="1"/>
  <c r="J69" i="2" s="1"/>
  <c r="K69" i="2" s="1"/>
  <c r="L69" i="2" s="1"/>
  <c r="M69" i="2" s="1"/>
  <c r="N69" i="2" s="1"/>
  <c r="O47" i="2"/>
  <c r="O36" i="2"/>
  <c r="O25" i="2"/>
  <c r="D19" i="2"/>
  <c r="E19" i="2" s="1"/>
  <c r="F19" i="2" s="1"/>
  <c r="C15" i="2"/>
  <c r="C18" i="2" s="1"/>
  <c r="D12" i="2" s="1"/>
  <c r="E29" i="4"/>
  <c r="F29" i="4" s="1"/>
  <c r="E6" i="4"/>
  <c r="E7" i="4" s="1"/>
  <c r="E8" i="4" s="1"/>
  <c r="E9" i="4" s="1"/>
  <c r="E10" i="4" s="1"/>
  <c r="G29" i="4"/>
  <c r="D29" i="4"/>
  <c r="E12" i="4"/>
  <c r="F12" i="4" s="1"/>
  <c r="D12" i="4"/>
  <c r="G12" i="4"/>
  <c r="G252" i="2" l="1"/>
  <c r="G254" i="2" s="1"/>
  <c r="G257" i="2" s="1"/>
  <c r="H251" i="2" s="1"/>
  <c r="G237" i="2"/>
  <c r="G239" i="2" s="1"/>
  <c r="G242" i="2" s="1"/>
  <c r="H236" i="2" s="1"/>
  <c r="G222" i="2"/>
  <c r="G224" i="2" s="1"/>
  <c r="G227" i="2" s="1"/>
  <c r="H221" i="2" s="1"/>
  <c r="G209" i="2"/>
  <c r="G212" i="2" s="1"/>
  <c r="H206" i="2" s="1"/>
  <c r="H192" i="2"/>
  <c r="G177" i="2"/>
  <c r="G179" i="2" s="1"/>
  <c r="G182" i="2" s="1"/>
  <c r="H176" i="2" s="1"/>
  <c r="F164" i="2"/>
  <c r="F167" i="2" s="1"/>
  <c r="G161" i="2" s="1"/>
  <c r="H147" i="2"/>
  <c r="H149" i="2" s="1"/>
  <c r="H152" i="2" s="1"/>
  <c r="I146" i="2" s="1"/>
  <c r="G132" i="2"/>
  <c r="G134" i="2" s="1"/>
  <c r="G137" i="2" s="1"/>
  <c r="H131" i="2" s="1"/>
  <c r="O92" i="2"/>
  <c r="D20" i="2"/>
  <c r="O69" i="2"/>
  <c r="E20" i="2"/>
  <c r="O58" i="2"/>
  <c r="G19" i="2"/>
  <c r="G20" i="2" s="1"/>
  <c r="F20" i="2"/>
  <c r="D13" i="2"/>
  <c r="O14" i="2"/>
  <c r="H29" i="4"/>
  <c r="I29" i="4" s="1"/>
  <c r="H12" i="4"/>
  <c r="I12" i="4" s="1"/>
  <c r="H252" i="2" l="1"/>
  <c r="H254" i="2" s="1"/>
  <c r="H257" i="2" s="1"/>
  <c r="I251" i="2" s="1"/>
  <c r="H237" i="2"/>
  <c r="H239" i="2" s="1"/>
  <c r="H242" i="2" s="1"/>
  <c r="I236" i="2" s="1"/>
  <c r="H222" i="2"/>
  <c r="H224" i="2" s="1"/>
  <c r="H227" i="2" s="1"/>
  <c r="I221" i="2" s="1"/>
  <c r="H207" i="2"/>
  <c r="H209" i="2" s="1"/>
  <c r="H212" i="2" s="1"/>
  <c r="I206" i="2" s="1"/>
  <c r="H194" i="2"/>
  <c r="H197" i="2" s="1"/>
  <c r="I191" i="2" s="1"/>
  <c r="H177" i="2"/>
  <c r="H179" i="2" s="1"/>
  <c r="H182" i="2" s="1"/>
  <c r="I176" i="2" s="1"/>
  <c r="G162" i="2"/>
  <c r="G164" i="2" s="1"/>
  <c r="G167" i="2" s="1"/>
  <c r="H161" i="2" s="1"/>
  <c r="I147" i="2"/>
  <c r="I149" i="2" s="1"/>
  <c r="I152" i="2" s="1"/>
  <c r="J146" i="2" s="1"/>
  <c r="H132" i="2"/>
  <c r="H134" i="2" s="1"/>
  <c r="H137" i="2" s="1"/>
  <c r="I131" i="2" s="1"/>
  <c r="H19" i="2"/>
  <c r="H20" i="2" s="1"/>
  <c r="D15" i="2"/>
  <c r="D18" i="2" s="1"/>
  <c r="E12" i="2" s="1"/>
  <c r="I252" i="2" l="1"/>
  <c r="I254" i="2"/>
  <c r="I257" i="2" s="1"/>
  <c r="J251" i="2" s="1"/>
  <c r="I237" i="2"/>
  <c r="I239" i="2"/>
  <c r="I242" i="2" s="1"/>
  <c r="J236" i="2" s="1"/>
  <c r="I222" i="2"/>
  <c r="I224" i="2" s="1"/>
  <c r="I227" i="2" s="1"/>
  <c r="J221" i="2" s="1"/>
  <c r="I207" i="2"/>
  <c r="I209" i="2"/>
  <c r="I212" i="2" s="1"/>
  <c r="J206" i="2" s="1"/>
  <c r="I192" i="2"/>
  <c r="I194" i="2" s="1"/>
  <c r="I197" i="2" s="1"/>
  <c r="J191" i="2" s="1"/>
  <c r="I177" i="2"/>
  <c r="I179" i="2"/>
  <c r="I182" i="2" s="1"/>
  <c r="J176" i="2" s="1"/>
  <c r="H162" i="2"/>
  <c r="H164" i="2" s="1"/>
  <c r="H167" i="2" s="1"/>
  <c r="I161" i="2" s="1"/>
  <c r="J147" i="2"/>
  <c r="J149" i="2"/>
  <c r="J152" i="2" s="1"/>
  <c r="K146" i="2" s="1"/>
  <c r="I132" i="2"/>
  <c r="I134" i="2" s="1"/>
  <c r="I137" i="2" s="1"/>
  <c r="J131" i="2" s="1"/>
  <c r="I19" i="2"/>
  <c r="I20" i="2" s="1"/>
  <c r="E13" i="2"/>
  <c r="J252" i="2" l="1"/>
  <c r="J254" i="2"/>
  <c r="J257" i="2" s="1"/>
  <c r="K251" i="2" s="1"/>
  <c r="J237" i="2"/>
  <c r="J239" i="2" s="1"/>
  <c r="J242" i="2" s="1"/>
  <c r="K236" i="2" s="1"/>
  <c r="J222" i="2"/>
  <c r="J224" i="2" s="1"/>
  <c r="J227" i="2" s="1"/>
  <c r="K221" i="2" s="1"/>
  <c r="J207" i="2"/>
  <c r="J209" i="2"/>
  <c r="J212" i="2" s="1"/>
  <c r="K206" i="2" s="1"/>
  <c r="J192" i="2"/>
  <c r="J194" i="2" s="1"/>
  <c r="J197" i="2" s="1"/>
  <c r="K191" i="2" s="1"/>
  <c r="J177" i="2"/>
  <c r="J179" i="2" s="1"/>
  <c r="J182" i="2" s="1"/>
  <c r="K176" i="2" s="1"/>
  <c r="I162" i="2"/>
  <c r="I164" i="2" s="1"/>
  <c r="I167" i="2" s="1"/>
  <c r="J161" i="2" s="1"/>
  <c r="J19" i="2"/>
  <c r="K147" i="2"/>
  <c r="K149" i="2" s="1"/>
  <c r="K152" i="2" s="1"/>
  <c r="L146" i="2" s="1"/>
  <c r="J132" i="2"/>
  <c r="J134" i="2" s="1"/>
  <c r="J137" i="2" s="1"/>
  <c r="K131" i="2" s="1"/>
  <c r="E15" i="2"/>
  <c r="E18" i="2" s="1"/>
  <c r="F12" i="2" s="1"/>
  <c r="J20" i="2"/>
  <c r="K19" i="2"/>
  <c r="K252" i="2" l="1"/>
  <c r="K254" i="2" s="1"/>
  <c r="K257" i="2" s="1"/>
  <c r="L251" i="2" s="1"/>
  <c r="K237" i="2"/>
  <c r="K239" i="2" s="1"/>
  <c r="K242" i="2" s="1"/>
  <c r="L236" i="2" s="1"/>
  <c r="K222" i="2"/>
  <c r="K224" i="2" s="1"/>
  <c r="K227" i="2" s="1"/>
  <c r="L221" i="2" s="1"/>
  <c r="K207" i="2"/>
  <c r="K209" i="2" s="1"/>
  <c r="K212" i="2" s="1"/>
  <c r="L206" i="2" s="1"/>
  <c r="K192" i="2"/>
  <c r="K194" i="2" s="1"/>
  <c r="K197" i="2" s="1"/>
  <c r="L191" i="2" s="1"/>
  <c r="K177" i="2"/>
  <c r="K179" i="2" s="1"/>
  <c r="K182" i="2" s="1"/>
  <c r="L176" i="2" s="1"/>
  <c r="J162" i="2"/>
  <c r="J164" i="2" s="1"/>
  <c r="J167" i="2" s="1"/>
  <c r="K161" i="2" s="1"/>
  <c r="L147" i="2"/>
  <c r="L149" i="2" s="1"/>
  <c r="L152" i="2" s="1"/>
  <c r="M146" i="2" s="1"/>
  <c r="K132" i="2"/>
  <c r="K134" i="2" s="1"/>
  <c r="K137" i="2" s="1"/>
  <c r="L131" i="2" s="1"/>
  <c r="F13" i="2"/>
  <c r="F15" i="2" s="1"/>
  <c r="F18" i="2" s="1"/>
  <c r="G12" i="2" s="1"/>
  <c r="K20" i="2"/>
  <c r="L19" i="2"/>
  <c r="L252" i="2" l="1"/>
  <c r="L254" i="2" s="1"/>
  <c r="L257" i="2" s="1"/>
  <c r="M251" i="2" s="1"/>
  <c r="L237" i="2"/>
  <c r="L239" i="2" s="1"/>
  <c r="L242" i="2" s="1"/>
  <c r="M236" i="2" s="1"/>
  <c r="L224" i="2"/>
  <c r="L227" i="2" s="1"/>
  <c r="M221" i="2" s="1"/>
  <c r="L222" i="2"/>
  <c r="L207" i="2"/>
  <c r="L209" i="2" s="1"/>
  <c r="L212" i="2" s="1"/>
  <c r="M206" i="2" s="1"/>
  <c r="L192" i="2"/>
  <c r="L194" i="2" s="1"/>
  <c r="L197" i="2" s="1"/>
  <c r="M191" i="2" s="1"/>
  <c r="L177" i="2"/>
  <c r="L179" i="2" s="1"/>
  <c r="L182" i="2" s="1"/>
  <c r="M176" i="2" s="1"/>
  <c r="K162" i="2"/>
  <c r="K164" i="2" s="1"/>
  <c r="K167" i="2" s="1"/>
  <c r="L161" i="2" s="1"/>
  <c r="M147" i="2"/>
  <c r="M149" i="2" s="1"/>
  <c r="M152" i="2" s="1"/>
  <c r="N146" i="2" s="1"/>
  <c r="L132" i="2"/>
  <c r="L134" i="2" s="1"/>
  <c r="L137" i="2" s="1"/>
  <c r="M131" i="2" s="1"/>
  <c r="G13" i="2"/>
  <c r="G15" i="2" s="1"/>
  <c r="G18" i="2" s="1"/>
  <c r="H12" i="2" s="1"/>
  <c r="M19" i="2"/>
  <c r="L20" i="2"/>
  <c r="M252" i="2" l="1"/>
  <c r="M254" i="2"/>
  <c r="M257" i="2" s="1"/>
  <c r="N251" i="2" s="1"/>
  <c r="M237" i="2"/>
  <c r="M239" i="2"/>
  <c r="M242" i="2" s="1"/>
  <c r="N236" i="2" s="1"/>
  <c r="M222" i="2"/>
  <c r="M224" i="2" s="1"/>
  <c r="M227" i="2" s="1"/>
  <c r="N221" i="2" s="1"/>
  <c r="M207" i="2"/>
  <c r="M209" i="2"/>
  <c r="M212" i="2" s="1"/>
  <c r="N206" i="2" s="1"/>
  <c r="M192" i="2"/>
  <c r="M194" i="2" s="1"/>
  <c r="M197" i="2" s="1"/>
  <c r="N191" i="2" s="1"/>
  <c r="M177" i="2"/>
  <c r="M179" i="2"/>
  <c r="M182" i="2" s="1"/>
  <c r="N176" i="2" s="1"/>
  <c r="L162" i="2"/>
  <c r="L164" i="2" s="1"/>
  <c r="L167" i="2" s="1"/>
  <c r="M161" i="2" s="1"/>
  <c r="N147" i="2"/>
  <c r="O147" i="2" s="1"/>
  <c r="M132" i="2"/>
  <c r="M134" i="2" s="1"/>
  <c r="M137" i="2" s="1"/>
  <c r="N131" i="2" s="1"/>
  <c r="H13" i="2"/>
  <c r="H15" i="2" s="1"/>
  <c r="H18" i="2" s="1"/>
  <c r="I12" i="2" s="1"/>
  <c r="N19" i="2"/>
  <c r="M20" i="2"/>
  <c r="N252" i="2" l="1"/>
  <c r="O252" i="2" s="1"/>
  <c r="N237" i="2"/>
  <c r="O237" i="2" s="1"/>
  <c r="N222" i="2"/>
  <c r="O222" i="2" s="1"/>
  <c r="N207" i="2"/>
  <c r="O207" i="2" s="1"/>
  <c r="N192" i="2"/>
  <c r="O192" i="2" s="1"/>
  <c r="N194" i="2"/>
  <c r="N177" i="2"/>
  <c r="O177" i="2" s="1"/>
  <c r="M162" i="2"/>
  <c r="M164" i="2" s="1"/>
  <c r="M167" i="2" s="1"/>
  <c r="N161" i="2" s="1"/>
  <c r="N150" i="2"/>
  <c r="O150" i="2" s="1"/>
  <c r="N151" i="2"/>
  <c r="O151" i="2" s="1"/>
  <c r="N149" i="2"/>
  <c r="N152" i="2" s="1"/>
  <c r="O149" i="2" s="1"/>
  <c r="O152" i="2" s="1"/>
  <c r="C155" i="2" s="1"/>
  <c r="C157" i="2" s="1"/>
  <c r="N134" i="2"/>
  <c r="N132" i="2"/>
  <c r="O132" i="2" s="1"/>
  <c r="I13" i="2"/>
  <c r="I15" i="2" s="1"/>
  <c r="I18" i="2" s="1"/>
  <c r="J12" i="2" s="1"/>
  <c r="N20" i="2"/>
  <c r="O20" i="2" s="1"/>
  <c r="O19" i="2"/>
  <c r="N255" i="2" l="1"/>
  <c r="O255" i="2" s="1"/>
  <c r="N256" i="2"/>
  <c r="O256" i="2" s="1"/>
  <c r="N254" i="2"/>
  <c r="N240" i="2"/>
  <c r="O240" i="2" s="1"/>
  <c r="N241" i="2"/>
  <c r="O241" i="2" s="1"/>
  <c r="N239" i="2"/>
  <c r="N225" i="2"/>
  <c r="O225" i="2" s="1"/>
  <c r="N226" i="2"/>
  <c r="O226" i="2" s="1"/>
  <c r="N224" i="2"/>
  <c r="N210" i="2"/>
  <c r="O210" i="2" s="1"/>
  <c r="N211" i="2"/>
  <c r="O211" i="2" s="1"/>
  <c r="N209" i="2"/>
  <c r="N212" i="2" s="1"/>
  <c r="O209" i="2" s="1"/>
  <c r="O212" i="2" s="1"/>
  <c r="C215" i="2" s="1"/>
  <c r="C217" i="2" s="1"/>
  <c r="N195" i="2"/>
  <c r="O195" i="2" s="1"/>
  <c r="N196" i="2"/>
  <c r="O196" i="2" s="1"/>
  <c r="N180" i="2"/>
  <c r="O180" i="2" s="1"/>
  <c r="N181" i="2"/>
  <c r="O181" i="2" s="1"/>
  <c r="N179" i="2"/>
  <c r="N162" i="2"/>
  <c r="O162" i="2" s="1"/>
  <c r="C156" i="2"/>
  <c r="O156" i="2" s="1"/>
  <c r="O155" i="2"/>
  <c r="O157" i="2"/>
  <c r="N135" i="2"/>
  <c r="O135" i="2" s="1"/>
  <c r="N136" i="2"/>
  <c r="O136" i="2" s="1"/>
  <c r="C30" i="2"/>
  <c r="C31" i="2" s="1"/>
  <c r="J13" i="2"/>
  <c r="J15" i="2" s="1"/>
  <c r="J18" i="2" s="1"/>
  <c r="K12" i="2" s="1"/>
  <c r="N257" i="2" l="1"/>
  <c r="O254" i="2" s="1"/>
  <c r="O257" i="2" s="1"/>
  <c r="N227" i="2"/>
  <c r="O224" i="2" s="1"/>
  <c r="O227" i="2" s="1"/>
  <c r="C230" i="2" s="1"/>
  <c r="C232" i="2" s="1"/>
  <c r="N242" i="2"/>
  <c r="O239" i="2" s="1"/>
  <c r="O242" i="2" s="1"/>
  <c r="C245" i="2" s="1"/>
  <c r="C247" i="2" s="1"/>
  <c r="O232" i="2"/>
  <c r="C216" i="2"/>
  <c r="O216" i="2" s="1"/>
  <c r="O215" i="2"/>
  <c r="O217" i="2"/>
  <c r="N182" i="2"/>
  <c r="O179" i="2" s="1"/>
  <c r="O182" i="2" s="1"/>
  <c r="C185" i="2" s="1"/>
  <c r="C187" i="2" s="1"/>
  <c r="O187" i="2" s="1"/>
  <c r="N197" i="2"/>
  <c r="O194" i="2" s="1"/>
  <c r="O197" i="2" s="1"/>
  <c r="C200" i="2" s="1"/>
  <c r="C202" i="2" s="1"/>
  <c r="N165" i="2"/>
  <c r="O165" i="2" s="1"/>
  <c r="N166" i="2"/>
  <c r="O166" i="2" s="1"/>
  <c r="N164" i="2"/>
  <c r="N137" i="2"/>
  <c r="O134" i="2" s="1"/>
  <c r="O137" i="2" s="1"/>
  <c r="C140" i="2" s="1"/>
  <c r="C142" i="2" s="1"/>
  <c r="D30" i="2"/>
  <c r="D31" i="2" s="1"/>
  <c r="K13" i="2"/>
  <c r="K15" i="2" s="1"/>
  <c r="K18" i="2" s="1"/>
  <c r="L12" i="2" s="1"/>
  <c r="O185" i="2" l="1"/>
  <c r="O230" i="2"/>
  <c r="C186" i="2"/>
  <c r="O186" i="2" s="1"/>
  <c r="C231" i="2"/>
  <c r="O231" i="2" s="1"/>
  <c r="C246" i="2"/>
  <c r="O246" i="2" s="1"/>
  <c r="O247" i="2"/>
  <c r="O245" i="2"/>
  <c r="C201" i="2"/>
  <c r="O201" i="2" s="1"/>
  <c r="O200" i="2"/>
  <c r="O202" i="2"/>
  <c r="N167" i="2"/>
  <c r="O164" i="2" s="1"/>
  <c r="O167" i="2" s="1"/>
  <c r="C170" i="2" s="1"/>
  <c r="C172" i="2" s="1"/>
  <c r="E30" i="2"/>
  <c r="E31" i="2" s="1"/>
  <c r="C141" i="2"/>
  <c r="O140" i="2"/>
  <c r="O142" i="2"/>
  <c r="F30" i="2"/>
  <c r="L13" i="2"/>
  <c r="L15" i="2" s="1"/>
  <c r="L18" i="2" s="1"/>
  <c r="M12" i="2" s="1"/>
  <c r="C171" i="2" l="1"/>
  <c r="O171" i="2" s="1"/>
  <c r="O170" i="2"/>
  <c r="O172" i="2"/>
  <c r="O141" i="2"/>
  <c r="F31" i="2"/>
  <c r="G30" i="2"/>
  <c r="M13" i="2"/>
  <c r="M15" i="2" s="1"/>
  <c r="M18" i="2" s="1"/>
  <c r="N12" i="2" s="1"/>
  <c r="G31" i="2" l="1"/>
  <c r="H30" i="2"/>
  <c r="N13" i="2"/>
  <c r="N15" i="2" s="1"/>
  <c r="H31" i="2" l="1"/>
  <c r="I30" i="2"/>
  <c r="I31" i="2" l="1"/>
  <c r="J30" i="2"/>
  <c r="J31" i="2" l="1"/>
  <c r="K30" i="2"/>
  <c r="K31" i="2" l="1"/>
  <c r="L30" i="2"/>
  <c r="L31" i="2" l="1"/>
  <c r="M30" i="2"/>
  <c r="M31" i="2" l="1"/>
  <c r="N30" i="2"/>
  <c r="N31" i="2" l="1"/>
  <c r="O31" i="2" s="1"/>
  <c r="O30" i="2"/>
  <c r="C41" i="2" l="1"/>
  <c r="C42" i="2" s="1"/>
  <c r="D41" i="2" l="1"/>
  <c r="E41" i="2" s="1"/>
  <c r="D42" i="2" l="1"/>
  <c r="F41" i="2"/>
  <c r="E42" i="2"/>
  <c r="F42" i="2" l="1"/>
  <c r="G41" i="2"/>
  <c r="G42" i="2" l="1"/>
  <c r="H41" i="2"/>
  <c r="H42" i="2" l="1"/>
  <c r="I41" i="2"/>
  <c r="J41" i="2" l="1"/>
  <c r="I42" i="2"/>
  <c r="J42" i="2" l="1"/>
  <c r="K41" i="2"/>
  <c r="K42" i="2" l="1"/>
  <c r="L41" i="2"/>
  <c r="M41" i="2" l="1"/>
  <c r="L42" i="2"/>
  <c r="M42" i="2" l="1"/>
  <c r="N41" i="2"/>
  <c r="N42" i="2" l="1"/>
  <c r="O42" i="2" s="1"/>
  <c r="O41" i="2"/>
  <c r="C52" i="2" l="1"/>
  <c r="C53" i="2"/>
  <c r="D52" i="2"/>
  <c r="D53" i="2" l="1"/>
  <c r="E52" i="2"/>
  <c r="E53" i="2" l="1"/>
  <c r="F52" i="2"/>
  <c r="F53" i="2" l="1"/>
  <c r="G52" i="2"/>
  <c r="G53" i="2" l="1"/>
  <c r="H52" i="2"/>
  <c r="H53" i="2" l="1"/>
  <c r="I52" i="2"/>
  <c r="I53" i="2" l="1"/>
  <c r="J52" i="2"/>
  <c r="J53" i="2" l="1"/>
  <c r="K52" i="2"/>
  <c r="K53" i="2" l="1"/>
  <c r="L52" i="2"/>
  <c r="M52" i="2" l="1"/>
  <c r="L53" i="2"/>
  <c r="M53" i="2" l="1"/>
  <c r="N52" i="2"/>
  <c r="O52" i="2" l="1"/>
  <c r="N53" i="2"/>
  <c r="O53" i="2" s="1"/>
  <c r="C63" i="2" l="1"/>
  <c r="C64" i="2" l="1"/>
  <c r="D63" i="2"/>
  <c r="D64" i="2" l="1"/>
  <c r="E63" i="2"/>
  <c r="F63" i="2" l="1"/>
  <c r="E64" i="2"/>
  <c r="F64" i="2" l="1"/>
  <c r="G63" i="2"/>
  <c r="G64" i="2" l="1"/>
  <c r="H63" i="2"/>
  <c r="H64" i="2" l="1"/>
  <c r="I63" i="2"/>
  <c r="J63" i="2" l="1"/>
  <c r="I64" i="2"/>
  <c r="J64" i="2" l="1"/>
  <c r="K63" i="2"/>
  <c r="K64" i="2" l="1"/>
  <c r="L63" i="2"/>
  <c r="L64" i="2" l="1"/>
  <c r="M63" i="2"/>
  <c r="M64" i="2" l="1"/>
  <c r="N63" i="2"/>
  <c r="N64" i="2" l="1"/>
  <c r="O64" i="2" s="1"/>
  <c r="O63" i="2"/>
  <c r="C74" i="2" l="1"/>
  <c r="C75" i="2" s="1"/>
  <c r="D74" i="2" l="1"/>
  <c r="D75" i="2" s="1"/>
  <c r="E74" i="2" l="1"/>
  <c r="E75" i="2" s="1"/>
  <c r="F74" i="2" l="1"/>
  <c r="F75" i="2" s="1"/>
  <c r="G74" i="2" l="1"/>
  <c r="G75" i="2" s="1"/>
  <c r="H74" i="2" l="1"/>
  <c r="I74" i="2" s="1"/>
  <c r="H75" i="2"/>
  <c r="I75" i="2" l="1"/>
  <c r="J74" i="2"/>
  <c r="J75" i="2" l="1"/>
  <c r="K74" i="2"/>
  <c r="K75" i="2" l="1"/>
  <c r="L74" i="2"/>
  <c r="L75" i="2" l="1"/>
  <c r="M74" i="2"/>
  <c r="M75" i="2" l="1"/>
  <c r="N74" i="2"/>
  <c r="N75" i="2" l="1"/>
  <c r="O75" i="2" s="1"/>
  <c r="O74" i="2"/>
  <c r="C85" i="2" l="1"/>
  <c r="C86" i="2" s="1"/>
  <c r="D85" i="2" l="1"/>
  <c r="E85" i="2" s="1"/>
  <c r="D86" i="2" l="1"/>
  <c r="E86" i="2"/>
  <c r="F85" i="2"/>
  <c r="G85" i="2" l="1"/>
  <c r="F86" i="2"/>
  <c r="H85" i="2" l="1"/>
  <c r="G86" i="2"/>
  <c r="H86" i="2" l="1"/>
  <c r="I85" i="2"/>
  <c r="J85" i="2" l="1"/>
  <c r="I86" i="2"/>
  <c r="J86" i="2" l="1"/>
  <c r="K85" i="2"/>
  <c r="K86" i="2" l="1"/>
  <c r="L85" i="2"/>
  <c r="M85" i="2" l="1"/>
  <c r="L86" i="2"/>
  <c r="N85" i="2" l="1"/>
  <c r="M86" i="2"/>
  <c r="N86" i="2" l="1"/>
  <c r="O86" i="2" s="1"/>
  <c r="O85" i="2"/>
  <c r="C97" i="2" l="1"/>
  <c r="D97" i="2" s="1"/>
  <c r="C98" i="2" l="1"/>
  <c r="D98" i="2"/>
  <c r="E97" i="2"/>
  <c r="E98" i="2" l="1"/>
  <c r="F97" i="2"/>
  <c r="F98" i="2" l="1"/>
  <c r="G97" i="2"/>
  <c r="G98" i="2" l="1"/>
  <c r="H97" i="2"/>
  <c r="H98" i="2" l="1"/>
  <c r="I97" i="2"/>
  <c r="J97" i="2" l="1"/>
  <c r="I98" i="2"/>
  <c r="K97" i="2" l="1"/>
  <c r="J98" i="2"/>
  <c r="K98" i="2" l="1"/>
  <c r="L97" i="2"/>
  <c r="M97" i="2" l="1"/>
  <c r="L98" i="2"/>
  <c r="M98" i="2" l="1"/>
  <c r="N97" i="2"/>
  <c r="N98" i="2" l="1"/>
  <c r="O98" i="2" s="1"/>
  <c r="O97" i="2"/>
  <c r="O13" i="2" l="1"/>
  <c r="N17" i="2" s="1"/>
  <c r="O17" i="2" l="1"/>
  <c r="N16" i="2"/>
  <c r="N18" i="2" s="1"/>
  <c r="O15" i="2" s="1"/>
  <c r="O18" i="2" s="1"/>
  <c r="C23" i="2" s="1"/>
  <c r="C24" i="2" l="1"/>
  <c r="C26" i="2" s="1"/>
  <c r="C29" i="2" s="1"/>
  <c r="D23" i="2" s="1"/>
  <c r="O16" i="2"/>
  <c r="D24" i="2" l="1"/>
  <c r="D26" i="2" s="1"/>
  <c r="D29" i="2" s="1"/>
  <c r="E23" i="2" s="1"/>
  <c r="E24" i="2" s="1"/>
  <c r="E26" i="2" s="1"/>
  <c r="E29" i="2" s="1"/>
  <c r="F23" i="2" s="1"/>
  <c r="F24" i="2" l="1"/>
  <c r="F26" i="2" s="1"/>
  <c r="F29" i="2" s="1"/>
  <c r="G23" i="2" s="1"/>
  <c r="G24" i="2" s="1"/>
  <c r="G26" i="2" s="1"/>
  <c r="G29" i="2" s="1"/>
  <c r="H23" i="2" s="1"/>
  <c r="H24" i="2" s="1"/>
  <c r="H26" i="2" s="1"/>
  <c r="H29" i="2" s="1"/>
  <c r="I23" i="2" s="1"/>
  <c r="I24" i="2" s="1"/>
  <c r="I26" i="2" s="1"/>
  <c r="I29" i="2" s="1"/>
  <c r="J23" i="2" s="1"/>
  <c r="J24" i="2" l="1"/>
  <c r="J26" i="2" s="1"/>
  <c r="J29" i="2" s="1"/>
  <c r="K23" i="2" s="1"/>
  <c r="K24" i="2" l="1"/>
  <c r="K26" i="2" s="1"/>
  <c r="K29" i="2" s="1"/>
  <c r="L23" i="2" s="1"/>
  <c r="L24" i="2" s="1"/>
  <c r="L26" i="2" s="1"/>
  <c r="L29" i="2" s="1"/>
  <c r="M23" i="2" s="1"/>
  <c r="M24" i="2" s="1"/>
  <c r="M26" i="2" s="1"/>
  <c r="M29" i="2" s="1"/>
  <c r="N23" i="2" s="1"/>
  <c r="N24" i="2" l="1"/>
  <c r="O24" i="2" s="1"/>
  <c r="N28" i="2" s="1"/>
  <c r="N26" i="2" l="1"/>
  <c r="O28" i="2"/>
  <c r="N27" i="2"/>
  <c r="O27" i="2" s="1"/>
  <c r="N29" i="2" l="1"/>
  <c r="O26" i="2" s="1"/>
  <c r="O29" i="2" s="1"/>
  <c r="C34" i="2" s="1"/>
  <c r="C35" i="2" l="1"/>
  <c r="C37" i="2" s="1"/>
  <c r="C40" i="2" s="1"/>
  <c r="D34" i="2" s="1"/>
  <c r="D35" i="2" l="1"/>
  <c r="D37" i="2" s="1"/>
  <c r="D40" i="2" s="1"/>
  <c r="E34" i="2" s="1"/>
  <c r="E35" i="2" s="1"/>
  <c r="E37" i="2" s="1"/>
  <c r="E40" i="2" s="1"/>
  <c r="F34" i="2" s="1"/>
  <c r="F35" i="2" s="1"/>
  <c r="F37" i="2" s="1"/>
  <c r="F40" i="2" s="1"/>
  <c r="G34" i="2" s="1"/>
  <c r="G35" i="2" l="1"/>
  <c r="G37" i="2" s="1"/>
  <c r="G40" i="2" s="1"/>
  <c r="H34" i="2" s="1"/>
  <c r="H35" i="2" l="1"/>
  <c r="H37" i="2" s="1"/>
  <c r="H40" i="2" s="1"/>
  <c r="I34" i="2" s="1"/>
  <c r="I35" i="2" l="1"/>
  <c r="I37" i="2" s="1"/>
  <c r="I40" i="2" s="1"/>
  <c r="J34" i="2" s="1"/>
  <c r="J35" i="2" s="1"/>
  <c r="J37" i="2" s="1"/>
  <c r="J40" i="2" s="1"/>
  <c r="K34" i="2" s="1"/>
  <c r="K35" i="2" s="1"/>
  <c r="K37" i="2" s="1"/>
  <c r="K40" i="2" s="1"/>
  <c r="L34" i="2" s="1"/>
  <c r="L35" i="2" l="1"/>
  <c r="L37" i="2" s="1"/>
  <c r="L40" i="2" s="1"/>
  <c r="M34" i="2" s="1"/>
  <c r="M35" i="2" s="1"/>
  <c r="M37" i="2" s="1"/>
  <c r="M40" i="2" s="1"/>
  <c r="N34" i="2" s="1"/>
  <c r="N35" i="2" l="1"/>
  <c r="O35" i="2" s="1"/>
  <c r="N39" i="2" s="1"/>
  <c r="N37" i="2" l="1"/>
  <c r="O39" i="2"/>
  <c r="N38" i="2"/>
  <c r="O38" i="2" s="1"/>
  <c r="N40" i="2" l="1"/>
  <c r="O37" i="2" s="1"/>
  <c r="O40" i="2" s="1"/>
  <c r="C45" i="2" s="1"/>
  <c r="C46" i="2" l="1"/>
  <c r="C48" i="2" s="1"/>
  <c r="C51" i="2" s="1"/>
  <c r="D45" i="2" s="1"/>
  <c r="D46" i="2" l="1"/>
  <c r="D48" i="2" s="1"/>
  <c r="D51" i="2" s="1"/>
  <c r="E45" i="2" s="1"/>
  <c r="E46" i="2" l="1"/>
  <c r="E48" i="2" s="1"/>
  <c r="E51" i="2" s="1"/>
  <c r="F45" i="2" s="1"/>
  <c r="F46" i="2" s="1"/>
  <c r="F48" i="2" s="1"/>
  <c r="F51" i="2" s="1"/>
  <c r="G45" i="2" s="1"/>
  <c r="G46" i="2" l="1"/>
  <c r="G48" i="2" s="1"/>
  <c r="G51" i="2" s="1"/>
  <c r="H45" i="2" s="1"/>
  <c r="H46" i="2" l="1"/>
  <c r="H48" i="2" s="1"/>
  <c r="H51" i="2" s="1"/>
  <c r="I45" i="2" s="1"/>
  <c r="I46" i="2" l="1"/>
  <c r="I48" i="2" s="1"/>
  <c r="I51" i="2" s="1"/>
  <c r="J45" i="2" s="1"/>
  <c r="J46" i="2" s="1"/>
  <c r="J48" i="2" s="1"/>
  <c r="J51" i="2" s="1"/>
  <c r="K45" i="2" s="1"/>
  <c r="K46" i="2" l="1"/>
  <c r="K48" i="2" s="1"/>
  <c r="K51" i="2" s="1"/>
  <c r="L45" i="2" s="1"/>
  <c r="L46" i="2" l="1"/>
  <c r="L48" i="2" s="1"/>
  <c r="L51" i="2" s="1"/>
  <c r="M45" i="2" s="1"/>
  <c r="M46" i="2" s="1"/>
  <c r="M48" i="2" s="1"/>
  <c r="M51" i="2" s="1"/>
  <c r="N45" i="2" s="1"/>
  <c r="N46" i="2" l="1"/>
  <c r="O46" i="2" s="1"/>
  <c r="N50" i="2" s="1"/>
  <c r="N48" i="2" l="1"/>
  <c r="N49" i="2"/>
  <c r="O49" i="2" s="1"/>
  <c r="O50" i="2"/>
  <c r="N51" i="2" l="1"/>
  <c r="O48" i="2" s="1"/>
  <c r="O51" i="2" s="1"/>
  <c r="C56" i="2" s="1"/>
  <c r="C57" i="2" l="1"/>
  <c r="C59" i="2" s="1"/>
  <c r="C62" i="2" s="1"/>
  <c r="D56" i="2" s="1"/>
  <c r="D57" i="2" l="1"/>
  <c r="D59" i="2" s="1"/>
  <c r="D62" i="2" s="1"/>
  <c r="E56" i="2" s="1"/>
  <c r="E57" i="2" s="1"/>
  <c r="E59" i="2" s="1"/>
  <c r="E62" i="2" s="1"/>
  <c r="F56" i="2" s="1"/>
  <c r="F57" i="2" l="1"/>
  <c r="F59" i="2" s="1"/>
  <c r="F62" i="2" s="1"/>
  <c r="G56" i="2" s="1"/>
  <c r="G57" i="2" l="1"/>
  <c r="G59" i="2" s="1"/>
  <c r="G62" i="2" s="1"/>
  <c r="H56" i="2" s="1"/>
  <c r="H57" i="2" l="1"/>
  <c r="H59" i="2" s="1"/>
  <c r="H62" i="2" s="1"/>
  <c r="I56" i="2" s="1"/>
  <c r="I57" i="2" s="1"/>
  <c r="I59" i="2" s="1"/>
  <c r="I62" i="2" s="1"/>
  <c r="J56" i="2" s="1"/>
  <c r="J57" i="2" s="1"/>
  <c r="J59" i="2" s="1"/>
  <c r="J62" i="2" s="1"/>
  <c r="K56" i="2" s="1"/>
  <c r="K57" i="2" l="1"/>
  <c r="K59" i="2" s="1"/>
  <c r="K62" i="2" s="1"/>
  <c r="L56" i="2" s="1"/>
  <c r="L57" i="2" l="1"/>
  <c r="L59" i="2" s="1"/>
  <c r="L62" i="2" s="1"/>
  <c r="M56" i="2" s="1"/>
  <c r="M57" i="2" l="1"/>
  <c r="M59" i="2" s="1"/>
  <c r="M62" i="2" s="1"/>
  <c r="N56" i="2" s="1"/>
  <c r="N57" i="2" l="1"/>
  <c r="O57" i="2" s="1"/>
  <c r="N61" i="2" s="1"/>
  <c r="N59" i="2" l="1"/>
  <c r="N60" i="2"/>
  <c r="O60" i="2" s="1"/>
  <c r="O61" i="2"/>
  <c r="N62" i="2" l="1"/>
  <c r="O59" i="2" s="1"/>
  <c r="O62" i="2" s="1"/>
  <c r="C67" i="2" s="1"/>
  <c r="C68" i="2" s="1"/>
  <c r="C70" i="2" s="1"/>
  <c r="C73" i="2" s="1"/>
  <c r="D67" i="2" s="1"/>
  <c r="D68" i="2" l="1"/>
  <c r="D70" i="2" s="1"/>
  <c r="D73" i="2" s="1"/>
  <c r="E67" i="2" s="1"/>
  <c r="E68" i="2" s="1"/>
  <c r="E70" i="2" s="1"/>
  <c r="E73" i="2" s="1"/>
  <c r="F67" i="2" s="1"/>
  <c r="F68" i="2" s="1"/>
  <c r="F70" i="2" s="1"/>
  <c r="F73" i="2" s="1"/>
  <c r="G67" i="2" s="1"/>
  <c r="G68" i="2" l="1"/>
  <c r="G70" i="2" s="1"/>
  <c r="G73" i="2" s="1"/>
  <c r="H67" i="2" s="1"/>
  <c r="H68" i="2" s="1"/>
  <c r="H70" i="2" s="1"/>
  <c r="H73" i="2" s="1"/>
  <c r="I67" i="2" s="1"/>
  <c r="I68" i="2" s="1"/>
  <c r="I70" i="2" s="1"/>
  <c r="I73" i="2" s="1"/>
  <c r="J67" i="2" s="1"/>
  <c r="J68" i="2" s="1"/>
  <c r="J70" i="2" s="1"/>
  <c r="J73" i="2" s="1"/>
  <c r="K67" i="2" s="1"/>
  <c r="K68" i="2" s="1"/>
  <c r="K70" i="2" s="1"/>
  <c r="K73" i="2" s="1"/>
  <c r="L67" i="2" s="1"/>
  <c r="L68" i="2" s="1"/>
  <c r="L70" i="2" s="1"/>
  <c r="L73" i="2" s="1"/>
  <c r="M67" i="2" s="1"/>
  <c r="M68" i="2" s="1"/>
  <c r="M70" i="2" s="1"/>
  <c r="M73" i="2" s="1"/>
  <c r="N67" i="2" s="1"/>
  <c r="N68" i="2" l="1"/>
  <c r="O68" i="2" s="1"/>
  <c r="N72" i="2" s="1"/>
  <c r="N70" i="2" l="1"/>
  <c r="O72" i="2"/>
  <c r="N71" i="2"/>
  <c r="O71" i="2" s="1"/>
  <c r="N73" i="2" l="1"/>
  <c r="O70" i="2" s="1"/>
  <c r="O73" i="2" s="1"/>
  <c r="C78" i="2" s="1"/>
  <c r="C79" i="2" l="1"/>
  <c r="C81" i="2" s="1"/>
  <c r="C84" i="2" s="1"/>
  <c r="D78" i="2" s="1"/>
  <c r="D79" i="2" l="1"/>
  <c r="D81" i="2" s="1"/>
  <c r="D84" i="2" s="1"/>
  <c r="E78" i="2" s="1"/>
  <c r="E79" i="2" s="1"/>
  <c r="E81" i="2" s="1"/>
  <c r="E84" i="2" s="1"/>
  <c r="F78" i="2" s="1"/>
  <c r="F79" i="2" l="1"/>
  <c r="F81" i="2" s="1"/>
  <c r="F84" i="2" s="1"/>
  <c r="G78" i="2" s="1"/>
  <c r="G79" i="2" l="1"/>
  <c r="G81" i="2" s="1"/>
  <c r="G84" i="2" s="1"/>
  <c r="H78" i="2" s="1"/>
  <c r="H79" i="2" s="1"/>
  <c r="H81" i="2" s="1"/>
  <c r="H84" i="2" s="1"/>
  <c r="I78" i="2" s="1"/>
  <c r="I79" i="2" l="1"/>
  <c r="I81" i="2" s="1"/>
  <c r="I84" i="2" s="1"/>
  <c r="J78" i="2" s="1"/>
  <c r="J79" i="2" s="1"/>
  <c r="J81" i="2" s="1"/>
  <c r="J84" i="2" s="1"/>
  <c r="K78" i="2" s="1"/>
  <c r="K79" i="2" l="1"/>
  <c r="K81" i="2" s="1"/>
  <c r="K84" i="2" s="1"/>
  <c r="L78" i="2" s="1"/>
  <c r="L79" i="2" l="1"/>
  <c r="L81" i="2" s="1"/>
  <c r="L84" i="2" s="1"/>
  <c r="M78" i="2" s="1"/>
  <c r="M79" i="2" l="1"/>
  <c r="M81" i="2" s="1"/>
  <c r="M84" i="2" s="1"/>
  <c r="N78" i="2" s="1"/>
  <c r="N79" i="2" l="1"/>
  <c r="O79" i="2" s="1"/>
  <c r="N83" i="2" s="1"/>
  <c r="N81" i="2" l="1"/>
  <c r="O83" i="2"/>
  <c r="N82" i="2"/>
  <c r="O82" i="2" s="1"/>
  <c r="N84" i="2" l="1"/>
  <c r="O81" i="2" s="1"/>
  <c r="O84" i="2" s="1"/>
  <c r="C90" i="2" s="1"/>
  <c r="C91" i="2" l="1"/>
  <c r="C93" i="2" s="1"/>
  <c r="C96" i="2" s="1"/>
  <c r="D90" i="2" s="1"/>
  <c r="D91" i="2" s="1"/>
  <c r="D93" i="2" s="1"/>
  <c r="D96" i="2" s="1"/>
  <c r="E90" i="2" s="1"/>
  <c r="E91" i="2" s="1"/>
  <c r="E93" i="2" s="1"/>
  <c r="E96" i="2" s="1"/>
  <c r="F90" i="2" s="1"/>
  <c r="F91" i="2" s="1"/>
  <c r="F93" i="2" s="1"/>
  <c r="F96" i="2" s="1"/>
  <c r="G90" i="2" s="1"/>
  <c r="G91" i="2" l="1"/>
  <c r="G93" i="2" s="1"/>
  <c r="G96" i="2" s="1"/>
  <c r="H90" i="2" s="1"/>
  <c r="H91" i="2" l="1"/>
  <c r="H93" i="2" s="1"/>
  <c r="H96" i="2" s="1"/>
  <c r="I90" i="2" s="1"/>
  <c r="I91" i="2" s="1"/>
  <c r="I93" i="2" s="1"/>
  <c r="I96" i="2" s="1"/>
  <c r="J90" i="2" s="1"/>
  <c r="J91" i="2" s="1"/>
  <c r="J93" i="2" s="1"/>
  <c r="J96" i="2" s="1"/>
  <c r="K90" i="2" s="1"/>
  <c r="K91" i="2" s="1"/>
  <c r="K93" i="2" s="1"/>
  <c r="K96" i="2" s="1"/>
  <c r="L90" i="2" s="1"/>
  <c r="L91" i="2" l="1"/>
  <c r="L93" i="2" s="1"/>
  <c r="L96" i="2" s="1"/>
  <c r="M90" i="2" s="1"/>
  <c r="M91" i="2" l="1"/>
  <c r="M93" i="2" s="1"/>
  <c r="M96" i="2" s="1"/>
  <c r="N90" i="2" s="1"/>
  <c r="N91" i="2" l="1"/>
  <c r="O91" i="2" s="1"/>
  <c r="N95" i="2" s="1"/>
  <c r="N93" i="2" l="1"/>
  <c r="O95" i="2"/>
  <c r="N94" i="2"/>
  <c r="O94" i="2" s="1"/>
  <c r="N96" i="2" l="1"/>
  <c r="O93" i="2" s="1"/>
  <c r="O96" i="2" s="1"/>
  <c r="C108" i="2" l="1"/>
  <c r="C101" i="2"/>
  <c r="C102" i="2" s="1"/>
  <c r="C104" i="2" s="1"/>
  <c r="C107" i="2" s="1"/>
  <c r="D101" i="2" s="1"/>
  <c r="D102" i="2" s="1"/>
  <c r="D104" i="2" s="1"/>
  <c r="D107" i="2" s="1"/>
  <c r="E101" i="2" s="1"/>
  <c r="E102" i="2" s="1"/>
  <c r="E104" i="2" s="1"/>
  <c r="E107" i="2" s="1"/>
  <c r="F101" i="2" s="1"/>
  <c r="F102" i="2" s="1"/>
  <c r="F104" i="2" s="1"/>
  <c r="F107" i="2" s="1"/>
  <c r="G101" i="2" s="1"/>
  <c r="G102" i="2" s="1"/>
  <c r="C109" i="2" l="1"/>
  <c r="G104" i="2"/>
  <c r="G107" i="2" s="1"/>
  <c r="H101" i="2" s="1"/>
  <c r="H102" i="2" s="1"/>
  <c r="H104" i="2" s="1"/>
  <c r="H107" i="2" s="1"/>
  <c r="I101" i="2" s="1"/>
  <c r="I102" i="2" s="1"/>
  <c r="I104" i="2" s="1"/>
  <c r="I107" i="2" s="1"/>
  <c r="J101" i="2" s="1"/>
  <c r="J102" i="2" s="1"/>
  <c r="J104" i="2" l="1"/>
  <c r="J107" i="2" s="1"/>
  <c r="K101" i="2" s="1"/>
  <c r="K102" i="2" s="1"/>
  <c r="K104" i="2" l="1"/>
  <c r="K107" i="2" s="1"/>
  <c r="L101" i="2" s="1"/>
  <c r="L102" i="2" s="1"/>
  <c r="L104" i="2" s="1"/>
  <c r="L107" i="2" s="1"/>
  <c r="M101" i="2" s="1"/>
  <c r="M102" i="2" s="1"/>
  <c r="M104" i="2" s="1"/>
  <c r="M107" i="2" s="1"/>
  <c r="N101" i="2" s="1"/>
  <c r="N102" i="2" l="1"/>
  <c r="O102" i="2" s="1"/>
  <c r="N105" i="2" l="1"/>
  <c r="O105" i="2" s="1"/>
  <c r="N106" i="2"/>
  <c r="O106" i="2" s="1"/>
  <c r="N104" i="2"/>
  <c r="N107" i="2" l="1"/>
  <c r="O104" i="2" s="1"/>
  <c r="O107" i="2" s="1"/>
  <c r="C110" i="2" s="1"/>
  <c r="O110" i="2" l="1"/>
  <c r="C112" i="2"/>
  <c r="O112" i="2" s="1"/>
  <c r="C111" i="2"/>
  <c r="O111" i="2" s="1"/>
  <c r="C113" i="2" l="1"/>
  <c r="D108" i="2" s="1"/>
  <c r="C117" i="2" l="1"/>
  <c r="C119" i="2" s="1"/>
  <c r="C122" i="2" s="1"/>
  <c r="D116" i="2" s="1"/>
  <c r="D109" i="2"/>
  <c r="D113" i="2" s="1"/>
  <c r="E108" i="2" s="1"/>
  <c r="E109" i="2" s="1"/>
  <c r="E113" i="2" s="1"/>
  <c r="F108" i="2" s="1"/>
  <c r="F109" i="2" s="1"/>
  <c r="F113" i="2" s="1"/>
  <c r="G108" i="2" s="1"/>
  <c r="G109" i="2" s="1"/>
  <c r="G113" i="2" s="1"/>
  <c r="H108" i="2" s="1"/>
  <c r="H109" i="2" s="1"/>
  <c r="H113" i="2" s="1"/>
  <c r="I108" i="2" s="1"/>
  <c r="I109" i="2" s="1"/>
  <c r="I113" i="2" s="1"/>
  <c r="J108" i="2" s="1"/>
  <c r="J109" i="2" s="1"/>
  <c r="J113" i="2" s="1"/>
  <c r="K108" i="2" s="1"/>
  <c r="K109" i="2" s="1"/>
  <c r="K113" i="2" s="1"/>
  <c r="L108" i="2" s="1"/>
  <c r="L109" i="2" s="1"/>
  <c r="L113" i="2" s="1"/>
  <c r="M108" i="2" s="1"/>
  <c r="D117" i="2" l="1"/>
  <c r="D119" i="2" s="1"/>
  <c r="D122" i="2" s="1"/>
  <c r="E116" i="2" s="1"/>
  <c r="M109" i="2"/>
  <c r="M113" i="2" s="1"/>
  <c r="N108" i="2" s="1"/>
  <c r="E117" i="2" l="1"/>
  <c r="E119" i="2" s="1"/>
  <c r="E122" i="2" s="1"/>
  <c r="F116" i="2" s="1"/>
  <c r="F117" i="2" s="1"/>
  <c r="F119" i="2" s="1"/>
  <c r="F122" i="2" s="1"/>
  <c r="G116" i="2" s="1"/>
  <c r="G117" i="2" s="1"/>
  <c r="G119" i="2" s="1"/>
  <c r="G122" i="2" s="1"/>
  <c r="H116" i="2" s="1"/>
  <c r="H117" i="2" s="1"/>
  <c r="H119" i="2" s="1"/>
  <c r="H122" i="2" s="1"/>
  <c r="I116" i="2" s="1"/>
  <c r="N109" i="2"/>
  <c r="O109" i="2" s="1"/>
  <c r="I117" i="2" l="1"/>
  <c r="I119" i="2"/>
  <c r="I122" i="2" s="1"/>
  <c r="J116" i="2" s="1"/>
  <c r="N113" i="2"/>
  <c r="O113" i="2" s="1"/>
  <c r="C123" i="2" s="1"/>
  <c r="C124" i="2" s="1"/>
  <c r="J117" i="2" l="1"/>
  <c r="J119" i="2" s="1"/>
  <c r="J122" i="2" s="1"/>
  <c r="K116" i="2" s="1"/>
  <c r="K117" i="2" s="1"/>
  <c r="K119" i="2" s="1"/>
  <c r="K122" i="2" s="1"/>
  <c r="L116" i="2" s="1"/>
  <c r="L117" i="2" s="1"/>
  <c r="L119" i="2" s="1"/>
  <c r="L122" i="2" s="1"/>
  <c r="M116" i="2" s="1"/>
  <c r="M117" i="2" l="1"/>
  <c r="M119" i="2" s="1"/>
  <c r="M122" i="2" s="1"/>
  <c r="N116" i="2" s="1"/>
  <c r="N117" i="2" l="1"/>
  <c r="O117" i="2" s="1"/>
  <c r="N119" i="2"/>
  <c r="N120" i="2" l="1"/>
  <c r="O120" i="2" s="1"/>
  <c r="N121" i="2"/>
  <c r="O121" i="2" s="1"/>
  <c r="N122" i="2" l="1"/>
  <c r="O119" i="2" s="1"/>
  <c r="O122" i="2" s="1"/>
  <c r="C125" i="2" s="1"/>
  <c r="C127" i="2" s="1"/>
  <c r="C126" i="2" l="1"/>
  <c r="O126" i="2" s="1"/>
  <c r="O125" i="2"/>
  <c r="O127" i="2"/>
  <c r="C128" i="2" l="1"/>
  <c r="D123" i="2" s="1"/>
  <c r="D124" i="2" s="1"/>
  <c r="D128" i="2" s="1"/>
  <c r="E123" i="2" s="1"/>
  <c r="E124" i="2" s="1"/>
  <c r="E128" i="2" l="1"/>
  <c r="F123" i="2" s="1"/>
  <c r="F124" i="2" s="1"/>
  <c r="F128" i="2" l="1"/>
  <c r="G123" i="2" s="1"/>
  <c r="G124" i="2" s="1"/>
  <c r="G128" i="2" s="1"/>
  <c r="H123" i="2" s="1"/>
  <c r="H124" i="2" s="1"/>
  <c r="H128" i="2" s="1"/>
  <c r="I123" i="2" s="1"/>
  <c r="I124" i="2" s="1"/>
  <c r="I128" i="2" s="1"/>
  <c r="J123" i="2" s="1"/>
  <c r="J124" i="2" l="1"/>
  <c r="J128" i="2" s="1"/>
  <c r="K123" i="2" s="1"/>
  <c r="K124" i="2" s="1"/>
  <c r="K128" i="2" s="1"/>
  <c r="L123" i="2" s="1"/>
  <c r="L124" i="2" s="1"/>
  <c r="L128" i="2" s="1"/>
  <c r="M123" i="2" s="1"/>
  <c r="M124" i="2" l="1"/>
  <c r="M128" i="2" s="1"/>
  <c r="N123" i="2" s="1"/>
  <c r="N124" i="2" l="1"/>
  <c r="O124" i="2" s="1"/>
  <c r="N128" i="2" l="1"/>
  <c r="O128" i="2" s="1"/>
  <c r="C138" i="2" s="1"/>
  <c r="C139" i="2" l="1"/>
  <c r="C143" i="2" s="1"/>
  <c r="D138" i="2" s="1"/>
  <c r="D139" i="2" s="1"/>
  <c r="D143" i="2" s="1"/>
  <c r="E138" i="2" s="1"/>
  <c r="E139" i="2" l="1"/>
  <c r="E143" i="2" s="1"/>
  <c r="F138" i="2" s="1"/>
  <c r="F139" i="2" l="1"/>
  <c r="F143" i="2" s="1"/>
  <c r="G138" i="2" s="1"/>
  <c r="G139" i="2" s="1"/>
  <c r="G143" i="2" s="1"/>
  <c r="H138" i="2" s="1"/>
  <c r="H139" i="2" s="1"/>
  <c r="H143" i="2" s="1"/>
  <c r="I138" i="2" s="1"/>
  <c r="I139" i="2" s="1"/>
  <c r="I143" i="2" s="1"/>
  <c r="J138" i="2" s="1"/>
  <c r="J139" i="2" l="1"/>
  <c r="J143" i="2" s="1"/>
  <c r="K138" i="2" s="1"/>
  <c r="K139" i="2" s="1"/>
  <c r="K143" i="2" s="1"/>
  <c r="L138" i="2" s="1"/>
  <c r="L139" i="2" s="1"/>
  <c r="L143" i="2" s="1"/>
  <c r="M138" i="2" s="1"/>
  <c r="M139" i="2" s="1"/>
  <c r="M143" i="2" s="1"/>
  <c r="N138" i="2" s="1"/>
  <c r="N139" i="2" l="1"/>
  <c r="O139" i="2" s="1"/>
  <c r="N143" i="2" l="1"/>
  <c r="O143" i="2" s="1"/>
  <c r="C153" i="2" s="1"/>
  <c r="C154" i="2" s="1"/>
  <c r="C158" i="2" l="1"/>
  <c r="D153" i="2" s="1"/>
  <c r="D154" i="2" s="1"/>
  <c r="D158" i="2" s="1"/>
  <c r="E153" i="2" s="1"/>
  <c r="E154" i="2" s="1"/>
  <c r="E158" i="2" s="1"/>
  <c r="F153" i="2" s="1"/>
  <c r="F154" i="2" l="1"/>
  <c r="F158" i="2" s="1"/>
  <c r="G153" i="2" s="1"/>
  <c r="G154" i="2" s="1"/>
  <c r="G158" i="2" s="1"/>
  <c r="H153" i="2" s="1"/>
  <c r="H154" i="2" l="1"/>
  <c r="H158" i="2" s="1"/>
  <c r="I153" i="2" s="1"/>
  <c r="I154" i="2" s="1"/>
  <c r="I158" i="2" s="1"/>
  <c r="J153" i="2" s="1"/>
  <c r="J154" i="2" l="1"/>
  <c r="J158" i="2" s="1"/>
  <c r="K153" i="2" s="1"/>
  <c r="K154" i="2" s="1"/>
  <c r="K158" i="2" s="1"/>
  <c r="L153" i="2" s="1"/>
  <c r="L154" i="2" s="1"/>
  <c r="L158" i="2" s="1"/>
  <c r="M153" i="2" s="1"/>
  <c r="M154" i="2" s="1"/>
  <c r="M158" i="2" s="1"/>
  <c r="N153" i="2" s="1"/>
  <c r="N154" i="2" l="1"/>
  <c r="O154" i="2" s="1"/>
  <c r="N158" i="2" l="1"/>
  <c r="O158" i="2" s="1"/>
  <c r="C168" i="2" s="1"/>
  <c r="C169" i="2" l="1"/>
  <c r="C173" i="2" s="1"/>
  <c r="D168" i="2" s="1"/>
  <c r="D169" i="2" l="1"/>
  <c r="D173" i="2" s="1"/>
  <c r="E168" i="2" s="1"/>
  <c r="E169" i="2" l="1"/>
  <c r="E173" i="2" s="1"/>
  <c r="F168" i="2" s="1"/>
  <c r="F169" i="2" l="1"/>
  <c r="F173" i="2" s="1"/>
  <c r="G168" i="2" s="1"/>
  <c r="G169" i="2" l="1"/>
  <c r="G173" i="2" s="1"/>
  <c r="H168" i="2" s="1"/>
  <c r="H169" i="2" l="1"/>
  <c r="H173" i="2" s="1"/>
  <c r="I168" i="2" s="1"/>
  <c r="I169" i="2" s="1"/>
  <c r="I173" i="2" s="1"/>
  <c r="J168" i="2" s="1"/>
  <c r="J169" i="2" s="1"/>
  <c r="J173" i="2" s="1"/>
  <c r="K168" i="2" s="1"/>
  <c r="K169" i="2" s="1"/>
  <c r="K173" i="2" s="1"/>
  <c r="L168" i="2" s="1"/>
  <c r="L169" i="2" l="1"/>
  <c r="L173" i="2" s="1"/>
  <c r="M168" i="2" s="1"/>
  <c r="M169" i="2" l="1"/>
  <c r="M173" i="2" s="1"/>
  <c r="N168" i="2" s="1"/>
  <c r="N169" i="2" l="1"/>
  <c r="O169" i="2" s="1"/>
  <c r="N173" i="2" l="1"/>
  <c r="O173" i="2" s="1"/>
  <c r="C183" i="2" s="1"/>
  <c r="C184" i="2" s="1"/>
  <c r="C188" i="2" l="1"/>
  <c r="D183" i="2" s="1"/>
  <c r="D184" i="2" s="1"/>
  <c r="D188" i="2" s="1"/>
  <c r="E183" i="2" s="1"/>
  <c r="E184" i="2" l="1"/>
  <c r="E188" i="2" s="1"/>
  <c r="F183" i="2" s="1"/>
  <c r="F184" i="2" s="1"/>
  <c r="F188" i="2" s="1"/>
  <c r="G183" i="2" s="1"/>
  <c r="G184" i="2" s="1"/>
  <c r="G188" i="2" s="1"/>
  <c r="H183" i="2" s="1"/>
  <c r="H184" i="2" l="1"/>
  <c r="H188" i="2" s="1"/>
  <c r="I183" i="2" s="1"/>
  <c r="I184" i="2" s="1"/>
  <c r="I188" i="2" s="1"/>
  <c r="J183" i="2" s="1"/>
  <c r="J184" i="2" l="1"/>
  <c r="J188" i="2" s="1"/>
  <c r="K183" i="2" s="1"/>
  <c r="K184" i="2" s="1"/>
  <c r="K188" i="2" s="1"/>
  <c r="L183" i="2" s="1"/>
  <c r="L184" i="2" s="1"/>
  <c r="L188" i="2" s="1"/>
  <c r="M183" i="2" s="1"/>
  <c r="M184" i="2" s="1"/>
  <c r="M188" i="2" s="1"/>
  <c r="N183" i="2" s="1"/>
  <c r="N184" i="2" l="1"/>
  <c r="O184" i="2" s="1"/>
  <c r="N188" i="2" l="1"/>
  <c r="O188" i="2" s="1"/>
  <c r="C198" i="2" s="1"/>
  <c r="C199" i="2" l="1"/>
  <c r="C203" i="2" s="1"/>
  <c r="D198" i="2" s="1"/>
  <c r="D199" i="2" l="1"/>
  <c r="D203" i="2" s="1"/>
  <c r="E198" i="2" s="1"/>
  <c r="E199" i="2" l="1"/>
  <c r="E203" i="2" s="1"/>
  <c r="F198" i="2" s="1"/>
  <c r="F199" i="2" l="1"/>
  <c r="F203" i="2" s="1"/>
  <c r="G198" i="2" s="1"/>
  <c r="G199" i="2" s="1"/>
  <c r="G203" i="2" s="1"/>
  <c r="H198" i="2" s="1"/>
  <c r="H199" i="2" s="1"/>
  <c r="H203" i="2" s="1"/>
  <c r="I198" i="2" s="1"/>
  <c r="I199" i="2" s="1"/>
  <c r="I203" i="2" s="1"/>
  <c r="J198" i="2" s="1"/>
  <c r="J199" i="2" l="1"/>
  <c r="J203" i="2" s="1"/>
  <c r="K198" i="2" s="1"/>
  <c r="K199" i="2" s="1"/>
  <c r="K203" i="2" s="1"/>
  <c r="L198" i="2" s="1"/>
  <c r="L199" i="2" s="1"/>
  <c r="L203" i="2" s="1"/>
  <c r="M198" i="2" s="1"/>
  <c r="M199" i="2" l="1"/>
  <c r="M203" i="2" s="1"/>
  <c r="N198" i="2" s="1"/>
  <c r="N199" i="2" l="1"/>
  <c r="O199" i="2" s="1"/>
  <c r="N203" i="2" l="1"/>
  <c r="O203" i="2" s="1"/>
  <c r="C213" i="2" s="1"/>
  <c r="C214" i="2" l="1"/>
  <c r="C218" i="2" s="1"/>
  <c r="D213" i="2" s="1"/>
  <c r="D214" i="2" l="1"/>
  <c r="D218" i="2" s="1"/>
  <c r="E213" i="2" s="1"/>
  <c r="E214" i="2" l="1"/>
  <c r="E218" i="2" s="1"/>
  <c r="F213" i="2" s="1"/>
  <c r="F214" i="2" l="1"/>
  <c r="F218" i="2" s="1"/>
  <c r="G213" i="2" s="1"/>
  <c r="G214" i="2" s="1"/>
  <c r="G218" i="2" s="1"/>
  <c r="H213" i="2" s="1"/>
  <c r="H214" i="2" s="1"/>
  <c r="H218" i="2" s="1"/>
  <c r="I213" i="2" s="1"/>
  <c r="I214" i="2" l="1"/>
  <c r="I218" i="2" s="1"/>
  <c r="J213" i="2" s="1"/>
  <c r="J214" i="2" l="1"/>
  <c r="J218" i="2" s="1"/>
  <c r="K213" i="2" s="1"/>
  <c r="K214" i="2" s="1"/>
  <c r="K218" i="2" s="1"/>
  <c r="L213" i="2" s="1"/>
  <c r="L214" i="2" s="1"/>
  <c r="L218" i="2" s="1"/>
  <c r="M213" i="2" s="1"/>
  <c r="M214" i="2" l="1"/>
  <c r="M218" i="2" s="1"/>
  <c r="N213" i="2" s="1"/>
  <c r="N214" i="2" l="1"/>
  <c r="O214" i="2" s="1"/>
  <c r="N218" i="2" l="1"/>
  <c r="O218" i="2" s="1"/>
  <c r="C228" i="2" s="1"/>
  <c r="C229" i="2" l="1"/>
  <c r="C233" i="2" s="1"/>
  <c r="D228" i="2" s="1"/>
  <c r="D229" i="2" l="1"/>
  <c r="D233" i="2" s="1"/>
  <c r="E228" i="2" s="1"/>
  <c r="E229" i="2" s="1"/>
  <c r="E233" i="2" s="1"/>
  <c r="F228" i="2" s="1"/>
  <c r="F229" i="2" s="1"/>
  <c r="F233" i="2" s="1"/>
  <c r="G228" i="2" s="1"/>
  <c r="G229" i="2" s="1"/>
  <c r="G233" i="2" s="1"/>
  <c r="H228" i="2" s="1"/>
  <c r="H229" i="2" s="1"/>
  <c r="H233" i="2" s="1"/>
  <c r="I228" i="2" s="1"/>
  <c r="I229" i="2" s="1"/>
  <c r="I233" i="2" s="1"/>
  <c r="J228" i="2" s="1"/>
  <c r="J229" i="2" s="1"/>
  <c r="J233" i="2" s="1"/>
  <c r="K228" i="2" s="1"/>
  <c r="K229" i="2" s="1"/>
  <c r="K233" i="2" s="1"/>
  <c r="L228" i="2" s="1"/>
  <c r="L229" i="2" s="1"/>
  <c r="L233" i="2" s="1"/>
  <c r="M228" i="2" s="1"/>
  <c r="M229" i="2" s="1"/>
  <c r="M233" i="2" s="1"/>
  <c r="N228" i="2" s="1"/>
  <c r="N229" i="2" l="1"/>
  <c r="O229" i="2" s="1"/>
  <c r="N233" i="2" l="1"/>
  <c r="O233" i="2" s="1"/>
  <c r="C243" i="2" s="1"/>
  <c r="C244" i="2" s="1"/>
  <c r="C248" i="2" s="1"/>
  <c r="D243" i="2" s="1"/>
  <c r="D244" i="2" s="1"/>
  <c r="D248" i="2" s="1"/>
  <c r="E243" i="2" s="1"/>
  <c r="E244" i="2" s="1"/>
  <c r="E248" i="2" s="1"/>
  <c r="F243" i="2" s="1"/>
  <c r="F244" i="2" s="1"/>
  <c r="F248" i="2" s="1"/>
  <c r="G243" i="2" s="1"/>
  <c r="G244" i="2" s="1"/>
  <c r="G248" i="2" s="1"/>
  <c r="H243" i="2" s="1"/>
  <c r="H244" i="2" s="1"/>
  <c r="H248" i="2" s="1"/>
  <c r="I243" i="2" s="1"/>
  <c r="I244" i="2" l="1"/>
  <c r="I248" i="2" s="1"/>
  <c r="J243" i="2" s="1"/>
  <c r="J244" i="2" l="1"/>
  <c r="J248" i="2" s="1"/>
  <c r="K243" i="2" s="1"/>
  <c r="K244" i="2" l="1"/>
  <c r="K248" i="2" s="1"/>
  <c r="L243" i="2" s="1"/>
  <c r="L244" i="2" s="1"/>
  <c r="L248" i="2" s="1"/>
  <c r="M243" i="2" s="1"/>
  <c r="M244" i="2" s="1"/>
  <c r="M248" i="2" s="1"/>
  <c r="N243" i="2" s="1"/>
  <c r="N244" i="2" l="1"/>
  <c r="O244" i="2" s="1"/>
  <c r="N248" i="2" l="1"/>
  <c r="O248" i="2" s="1"/>
  <c r="C258" i="2" s="1"/>
  <c r="C259" i="2" s="1"/>
  <c r="C261" i="2" l="1"/>
  <c r="O262" i="2"/>
  <c r="O260" i="2"/>
  <c r="C263" i="2" l="1"/>
  <c r="D258" i="2" s="1"/>
  <c r="O261" i="2"/>
  <c r="D259" i="2" l="1"/>
  <c r="D263" i="2" s="1"/>
  <c r="E258" i="2" s="1"/>
  <c r="E259" i="2" l="1"/>
  <c r="E263" i="2" s="1"/>
  <c r="F258" i="2" s="1"/>
  <c r="F259" i="2" l="1"/>
  <c r="F263" i="2" s="1"/>
  <c r="G258" i="2" s="1"/>
  <c r="G259" i="2" l="1"/>
  <c r="G263" i="2" s="1"/>
  <c r="H258" i="2" s="1"/>
  <c r="H259" i="2" s="1"/>
  <c r="H263" i="2" s="1"/>
  <c r="I258" i="2" s="1"/>
  <c r="I259" i="2" s="1"/>
  <c r="I263" i="2" s="1"/>
  <c r="J258" i="2" s="1"/>
  <c r="J259" i="2" s="1"/>
  <c r="J263" i="2" s="1"/>
  <c r="K258" i="2" s="1"/>
  <c r="K259" i="2" s="1"/>
  <c r="K263" i="2" s="1"/>
  <c r="L258" i="2" s="1"/>
  <c r="L259" i="2" s="1"/>
  <c r="L263" i="2" s="1"/>
  <c r="M258" i="2" s="1"/>
  <c r="M259" i="2" s="1"/>
  <c r="M263" i="2" s="1"/>
  <c r="N258" i="2" s="1"/>
  <c r="N259" i="2" s="1"/>
  <c r="O259" i="2" s="1"/>
  <c r="N263" i="2" l="1"/>
  <c r="O263" i="2" s="1"/>
</calcChain>
</file>

<file path=xl/sharedStrings.xml><?xml version="1.0" encoding="utf-8"?>
<sst xmlns="http://schemas.openxmlformats.org/spreadsheetml/2006/main" count="328" uniqueCount="98">
  <si>
    <t>years of work</t>
  </si>
  <si>
    <t>Mortgage in MA is paid</t>
  </si>
  <si>
    <t>House in CA inherited</t>
  </si>
  <si>
    <t>no taxes in inheritance</t>
  </si>
  <si>
    <t>Annual spending</t>
  </si>
  <si>
    <t>inc property taxes in both houses</t>
  </si>
  <si>
    <t>Total savings</t>
  </si>
  <si>
    <t>btw IRA&amp;Savings account</t>
  </si>
  <si>
    <t>IRA interest rate</t>
  </si>
  <si>
    <t>Savings account</t>
  </si>
  <si>
    <t>Inflation</t>
  </si>
  <si>
    <t>not able to withdraw until 70 (in 8 years)</t>
  </si>
  <si>
    <t>IRA</t>
  </si>
  <si>
    <t>must withdraw minimum amount every year, which increases every year (how much?)</t>
  </si>
  <si>
    <t>withdrawn amount from IRA is subject to taxable income</t>
  </si>
  <si>
    <t>savings account is taxable only on the earnings</t>
  </si>
  <si>
    <t>earned amount is not taxed, as long as the earnings are kept in the IRA</t>
  </si>
  <si>
    <t>Once you withdraw, the amount is part of income, for which you have to pay taxes</t>
  </si>
  <si>
    <t>IRA - doubts about using it until really needed</t>
  </si>
  <si>
    <t>TAX BRACKETS</t>
  </si>
  <si>
    <t>At which point will they have to move to Cali to pay lesser tax?</t>
  </si>
  <si>
    <t>RMD - Google</t>
  </si>
  <si>
    <t>Inflatio for the next 36 years</t>
  </si>
  <si>
    <t>1) Worry about running out of money in the next 14 years? 17 years? 18 years?</t>
  </si>
  <si>
    <t>2) will the savings amount be enough for the next 8 years?</t>
  </si>
  <si>
    <t>3)If not - how many months and for how much to cut regular expenses to make it last 8 years?</t>
  </si>
  <si>
    <t>4) Should withdraw more that minimum required from the IRA?</t>
  </si>
  <si>
    <t>5)How much taxes will the gov have collected from the IRA?</t>
  </si>
  <si>
    <t>6)When to move to Cali?</t>
  </si>
  <si>
    <t>Assumptions</t>
  </si>
  <si>
    <t>2.98% per year</t>
  </si>
  <si>
    <r>
      <t xml:space="preserve">Current Federal Tax Rates </t>
    </r>
    <r>
      <rPr>
        <b/>
        <vertAlign val="superscript"/>
        <sz val="11"/>
        <color theme="1"/>
        <rFont val="Gill Sans MT"/>
        <family val="2"/>
      </rPr>
      <t>[1]</t>
    </r>
  </si>
  <si>
    <t>Bracket #</t>
  </si>
  <si>
    <t xml:space="preserve"> $ USD</t>
  </si>
  <si>
    <t>% on excess</t>
  </si>
  <si>
    <t>Over</t>
  </si>
  <si>
    <t>Up to</t>
  </si>
  <si>
    <t>Base Tax</t>
  </si>
  <si>
    <r>
      <t xml:space="preserve">Current California State Rates </t>
    </r>
    <r>
      <rPr>
        <b/>
        <vertAlign val="superscript"/>
        <sz val="11"/>
        <color theme="1"/>
        <rFont val="Gill Sans MT"/>
        <family val="2"/>
      </rPr>
      <t>[2]</t>
    </r>
  </si>
  <si>
    <t>$ USD</t>
  </si>
  <si>
    <r>
      <t xml:space="preserve">Current Massachussets Personal Income Tax </t>
    </r>
    <r>
      <rPr>
        <b/>
        <vertAlign val="superscript"/>
        <sz val="11"/>
        <color theme="1"/>
        <rFont val="Gill Sans MT"/>
        <family val="2"/>
      </rPr>
      <t>[3]</t>
    </r>
  </si>
  <si>
    <t>Savings</t>
  </si>
  <si>
    <t>Interest rate</t>
  </si>
  <si>
    <t>Total Yr 1</t>
  </si>
  <si>
    <t>First year amount</t>
  </si>
  <si>
    <t>Spending</t>
  </si>
  <si>
    <t>IRA Balance</t>
  </si>
  <si>
    <t>Tax Brackets</t>
  </si>
  <si>
    <t>#</t>
  </si>
  <si>
    <t>Base tax</t>
  </si>
  <si>
    <t>Enter the Profit here</t>
  </si>
  <si>
    <t>Excess</t>
  </si>
  <si>
    <t>Exces in USD</t>
  </si>
  <si>
    <t>Total Tax to be Paid</t>
  </si>
  <si>
    <t>Prof. Luis Escamilla</t>
  </si>
  <si>
    <t>Retiree Income Projection - Figures from the Tax Accountant</t>
  </si>
  <si>
    <t>Married Filing Jointly</t>
  </si>
  <si>
    <r>
      <rPr>
        <i/>
        <vertAlign val="superscript"/>
        <sz val="9"/>
        <color theme="1"/>
        <rFont val="Gill Sans MT"/>
        <family val="2"/>
      </rPr>
      <t xml:space="preserve">[1] </t>
    </r>
    <r>
      <rPr>
        <i/>
        <sz val="9"/>
        <color theme="1"/>
        <rFont val="Gill Sans MT"/>
        <family val="2"/>
      </rPr>
      <t>Source: Departement of Treasury (Feb 02, 2021). Tax Rate Schedules; Schedule Y-1 If your filling status is Married filling jointly or Qualifying Widow(er), U.S. IRS Federal Tax Rates, page 7; Retreived on Sep 9th 2021 available at: http://www.irs.gov/pub/irs-pdf/f1040es.pdf</t>
    </r>
  </si>
  <si>
    <r>
      <rPr>
        <i/>
        <vertAlign val="superscript"/>
        <sz val="9"/>
        <color theme="1"/>
        <rFont val="Gill Sans MT"/>
        <family val="2"/>
      </rPr>
      <t xml:space="preserve">[2] </t>
    </r>
    <r>
      <rPr>
        <i/>
        <sz val="9"/>
        <color theme="1"/>
        <rFont val="Gill Sans MT"/>
        <family val="2"/>
      </rPr>
      <t>Source: State of California Franchise Tax Board (2020). Schedule Y — Married/RDP Filing Jointly, or Qualifying Widow(er). Personal Tax Income Booklet. Retreived on Sep 9th 2021 available athttps://www.ftb.ca.gov/forms/2020/2020-California-Tax-Rate-Schedules.pdf</t>
    </r>
  </si>
  <si>
    <r>
      <rPr>
        <i/>
        <vertAlign val="superscript"/>
        <sz val="9"/>
        <color theme="1"/>
        <rFont val="Gill Sans MT"/>
        <family val="2"/>
      </rPr>
      <t xml:space="preserve">[3] </t>
    </r>
    <r>
      <rPr>
        <i/>
        <sz val="9"/>
        <color theme="1"/>
        <rFont val="Gill Sans MT"/>
        <family val="2"/>
      </rPr>
      <t>Source: Massachusetts Department of Revenue (March, 30 2021). Personal Income Tax for Residents. Retreived on Sep 9th 2021 available at https://www.mass.gov/guides/personal-income-tax-for-residents</t>
    </r>
  </si>
  <si>
    <r>
      <t>Projected Consumer Price Index a.k.a Inflation</t>
    </r>
    <r>
      <rPr>
        <b/>
        <vertAlign val="superscript"/>
        <sz val="11"/>
        <color theme="1"/>
        <rFont val="Gill Sans MT"/>
        <family val="2"/>
      </rPr>
      <t xml:space="preserve"> [4] [5]</t>
    </r>
  </si>
  <si>
    <t>Year</t>
  </si>
  <si>
    <t>Percentage Change</t>
  </si>
  <si>
    <t>[4] Congressional Budget Office (July 2021). An Update to the Budget and Economic Outlook: 2021 to 2031. Retreived on Sep 9th 2021, available at https://www.cbo.gov/publication/57339</t>
  </si>
  <si>
    <t>[4] Best guesstimate from Professor for Calendars Years 2032 to 2056</t>
  </si>
  <si>
    <t xml:space="preserve">Savings Interest </t>
  </si>
  <si>
    <t>Tax Federal</t>
  </si>
  <si>
    <t>B.T. Subtotal Balance</t>
  </si>
  <si>
    <t>Total Yr 2</t>
  </si>
  <si>
    <t xml:space="preserve">Savings Balance </t>
  </si>
  <si>
    <t>IRA Interest</t>
  </si>
  <si>
    <t>Total Yr 3</t>
  </si>
  <si>
    <t xml:space="preserve"> </t>
  </si>
  <si>
    <t>Total Yr 4</t>
  </si>
  <si>
    <t>Total Yr 5</t>
  </si>
  <si>
    <t>Total Yr 6</t>
  </si>
  <si>
    <t>Total Yr 7</t>
  </si>
  <si>
    <t>Total Yr 8</t>
  </si>
  <si>
    <t>Based on</t>
  </si>
  <si>
    <t>C</t>
  </si>
  <si>
    <t>Tax State</t>
  </si>
  <si>
    <t>A.T. Savings Balance</t>
  </si>
  <si>
    <t>Tax Federal IRA</t>
  </si>
  <si>
    <t>Tax State IRA</t>
  </si>
  <si>
    <t>Withdral IRA</t>
  </si>
  <si>
    <t>A.T. IRA Balance</t>
  </si>
  <si>
    <t>Total Yr 9</t>
  </si>
  <si>
    <t>Total Yr 10</t>
  </si>
  <si>
    <t>Total Yr 11</t>
  </si>
  <si>
    <t>Total Yr 12</t>
  </si>
  <si>
    <t>Total Yr 13</t>
  </si>
  <si>
    <t>Total Yr 14</t>
  </si>
  <si>
    <t>Total Yr 15</t>
  </si>
  <si>
    <t>Total Yr 16</t>
  </si>
  <si>
    <t>Total Yr 17</t>
  </si>
  <si>
    <t>Total Yr 18</t>
  </si>
  <si>
    <t>Total Yr 19</t>
  </si>
  <si>
    <t>Recommended yearly spending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</si>
</sst>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4" formatCode="_(&quot;$&quot;* #,##0.00_);_(&quot;$&quot;* \(#,##0.00\);_(&quot;$&quot;* &quot;-&quot;??_);_(@_)"/>
    <numFmt numFmtId="43" formatCode="_(* #,##0.00_);_(* \(#,##0.00\);_(* &quot;-&quot;??_);_(@_)"/>
    <numFmt numFmtId="164" formatCode="_(* #,##0_);_(* \(#,##0\);_(* &quot;-&quot;??_);_(@_)"/>
    <numFmt numFmtId="165" formatCode="0.0%"/>
    <numFmt numFmtId="166" formatCode="_(&quot;$&quot;* #,##0.0_);_(&quot;$&quot;* \(#,##0.0\);_(&quot;$&quot;* &quot;-&quot;??_);_(@_)"/>
    <numFmt numFmtId="167" formatCode="_(&quot;$&quot;* #,##0_);_(&quot;$&quot;* \(#,##0\);_(&quot;$&quot;* &quot;-&quot;??_);_(@_)"/>
  </numFmts>
  <fonts count="19" x14ac:knownFonts="1">
    <font>
      <sz val="11"/>
      <color theme="1"/>
      <name val="Calibri"/>
      <family val="2"/>
      <scheme val="minor"/>
    </font>
    <font>
      <sz val="11"/>
      <color theme="1"/>
      <name val="Calibri"/>
      <family val="2"/>
      <scheme val="minor"/>
    </font>
    <font>
      <b/>
      <sz val="11"/>
      <color theme="1"/>
      <name val="Calibri"/>
      <family val="2"/>
      <scheme val="minor"/>
    </font>
    <font>
      <b/>
      <sz val="11"/>
      <color theme="1"/>
      <name val="Gill Sans MT"/>
      <family val="2"/>
    </font>
    <font>
      <b/>
      <vertAlign val="superscript"/>
      <sz val="11"/>
      <color theme="1"/>
      <name val="Gill Sans MT"/>
      <family val="2"/>
    </font>
    <font>
      <i/>
      <sz val="9"/>
      <color theme="1"/>
      <name val="Gill Sans MT"/>
      <family val="2"/>
    </font>
    <font>
      <sz val="11"/>
      <color theme="1"/>
      <name val="Gill Sans MT"/>
      <family val="2"/>
    </font>
    <font>
      <sz val="10"/>
      <color theme="1"/>
      <name val="Calibri"/>
      <family val="2"/>
      <scheme val="minor"/>
    </font>
    <font>
      <b/>
      <sz val="10"/>
      <color theme="1"/>
      <name val="Calibri"/>
      <family val="2"/>
      <scheme val="minor"/>
    </font>
    <font>
      <sz val="9"/>
      <color theme="1"/>
      <name val="Gill Sans MT"/>
      <family val="2"/>
    </font>
    <font>
      <b/>
      <i/>
      <sz val="36"/>
      <color theme="1"/>
      <name val="Gill Sans MT"/>
      <family val="2"/>
    </font>
    <font>
      <b/>
      <i/>
      <sz val="28"/>
      <color theme="1"/>
      <name val="Gill Sans MT"/>
      <family val="2"/>
    </font>
    <font>
      <sz val="28"/>
      <color theme="1"/>
      <name val="Gill Sans MT"/>
      <family val="2"/>
    </font>
    <font>
      <b/>
      <u/>
      <sz val="11"/>
      <color theme="1"/>
      <name val="Gill Sans MT"/>
      <family val="2"/>
    </font>
    <font>
      <i/>
      <vertAlign val="superscript"/>
      <sz val="9"/>
      <color theme="1"/>
      <name val="Gill Sans MT"/>
      <family val="2"/>
    </font>
    <font>
      <b/>
      <sz val="11"/>
      <name val="Calibri"/>
      <family val="2"/>
      <scheme val="minor"/>
    </font>
    <font>
      <b/>
      <sz val="11"/>
      <color theme="0"/>
      <name val="Calibri"/>
      <family val="2"/>
      <scheme val="minor"/>
    </font>
    <font>
      <sz val="9"/>
      <color theme="4"/>
      <name val="Calibri"/>
      <family val="2"/>
      <scheme val="minor"/>
    </font>
    <font>
      <b/>
      <sz val="11"/>
      <color theme="0"/>
      <name val="Gill Sans MT"/>
      <family val="2"/>
    </font>
  </fonts>
  <fills count="11">
    <fill>
      <patternFill patternType="none"/>
    </fill>
    <fill>
      <patternFill patternType="gray125"/>
    </fill>
    <fill>
      <patternFill patternType="solid">
        <fgColor theme="7" tint="0.79998168889431442"/>
        <bgColor indexed="64"/>
      </patternFill>
    </fill>
    <fill>
      <patternFill patternType="solid">
        <fgColor theme="4" tint="0.59999389629810485"/>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0"/>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4"/>
        <bgColor indexed="64"/>
      </patternFill>
    </fill>
    <fill>
      <patternFill patternType="solid">
        <fgColor rgb="FF0070C0"/>
        <bgColor indexed="64"/>
      </patternFill>
    </fill>
  </fills>
  <borders count="35">
    <border>
      <left/>
      <right/>
      <top/>
      <bottom/>
      <diagonal/>
    </border>
    <border>
      <left/>
      <right/>
      <top/>
      <bottom style="thin">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right style="thin">
        <color auto="1"/>
      </right>
      <top/>
      <bottom style="thin">
        <color auto="1"/>
      </bottom>
      <diagonal/>
    </border>
    <border>
      <left style="thin">
        <color auto="1"/>
      </left>
      <right style="thin">
        <color auto="1"/>
      </right>
      <top/>
      <bottom/>
      <diagonal/>
    </border>
    <border>
      <left style="thin">
        <color auto="1"/>
      </left>
      <right/>
      <top/>
      <bottom/>
      <diagonal/>
    </border>
    <border>
      <left/>
      <right style="thin">
        <color auto="1"/>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indexed="64"/>
      </left>
      <right style="thin">
        <color indexed="64"/>
      </right>
      <top style="thin">
        <color indexed="64"/>
      </top>
      <bottom style="thin">
        <color indexed="64"/>
      </bottom>
      <diagonal/>
    </border>
    <border>
      <left style="thin">
        <color indexed="64"/>
      </left>
      <right style="thin">
        <color auto="1"/>
      </right>
      <top style="medium">
        <color indexed="64"/>
      </top>
      <bottom style="thin">
        <color auto="1"/>
      </bottom>
      <diagonal/>
    </border>
    <border>
      <left style="medium">
        <color indexed="64"/>
      </left>
      <right style="thin">
        <color auto="1"/>
      </right>
      <top style="medium">
        <color indexed="64"/>
      </top>
      <bottom/>
      <diagonal/>
    </border>
    <border>
      <left style="thin">
        <color indexed="64"/>
      </left>
      <right style="medium">
        <color indexed="64"/>
      </right>
      <top style="medium">
        <color indexed="64"/>
      </top>
      <bottom style="thin">
        <color indexed="64"/>
      </bottom>
      <diagonal/>
    </border>
    <border>
      <left style="medium">
        <color indexed="64"/>
      </left>
      <right style="thin">
        <color auto="1"/>
      </right>
      <top style="thin">
        <color auto="1"/>
      </top>
      <bottom/>
      <diagonal/>
    </border>
    <border>
      <left style="thin">
        <color auto="1"/>
      </left>
      <right style="medium">
        <color indexed="64"/>
      </right>
      <top style="thin">
        <color auto="1"/>
      </top>
      <bottom/>
      <diagonal/>
    </border>
    <border>
      <left style="medium">
        <color indexed="64"/>
      </left>
      <right style="thin">
        <color auto="1"/>
      </right>
      <top/>
      <bottom/>
      <diagonal/>
    </border>
    <border>
      <left style="thin">
        <color auto="1"/>
      </left>
      <right style="medium">
        <color indexed="64"/>
      </right>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auto="1"/>
      </right>
      <top/>
      <bottom style="medium">
        <color indexed="64"/>
      </bottom>
      <diagonal/>
    </border>
    <border>
      <left/>
      <right/>
      <top/>
      <bottom style="medium">
        <color indexed="64"/>
      </bottom>
      <diagonal/>
    </border>
    <border>
      <left style="thin">
        <color auto="1"/>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auto="1"/>
      </right>
      <top/>
      <bottom style="thin">
        <color auto="1"/>
      </bottom>
      <diagonal/>
    </border>
    <border>
      <left/>
      <right style="medium">
        <color indexed="64"/>
      </right>
      <top/>
      <bottom/>
      <diagonal/>
    </border>
    <border>
      <left/>
      <right style="medium">
        <color indexed="64"/>
      </right>
      <top/>
      <bottom style="medium">
        <color indexed="64"/>
      </bottom>
      <diagonal/>
    </border>
    <border>
      <left style="medium">
        <color indexed="64"/>
      </left>
      <right style="thin">
        <color indexed="64"/>
      </right>
      <top style="thin">
        <color auto="1"/>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s>
  <cellStyleXfs count="4">
    <xf numFmtId="0" fontId="0"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cellStyleXfs>
  <cellXfs count="146">
    <xf numFmtId="0" fontId="0" fillId="0" borderId="0" xfId="0"/>
    <xf numFmtId="9" fontId="0" fillId="0" borderId="0" xfId="0" applyNumberFormat="1"/>
    <xf numFmtId="0" fontId="6" fillId="0" borderId="7" xfId="0" applyFont="1" applyBorder="1" applyAlignment="1">
      <alignment horizontal="center"/>
    </xf>
    <xf numFmtId="0" fontId="6" fillId="0" borderId="1" xfId="0" applyFont="1" applyBorder="1" applyAlignment="1">
      <alignment horizontal="center"/>
    </xf>
    <xf numFmtId="0" fontId="6" fillId="0" borderId="8" xfId="0" applyFont="1" applyBorder="1" applyAlignment="1">
      <alignment horizontal="center"/>
    </xf>
    <xf numFmtId="0" fontId="5" fillId="0" borderId="9" xfId="0" applyFont="1" applyBorder="1"/>
    <xf numFmtId="164" fontId="6" fillId="0" borderId="10" xfId="1" applyNumberFormat="1" applyFont="1" applyBorder="1"/>
    <xf numFmtId="164" fontId="6" fillId="0" borderId="0" xfId="1" applyNumberFormat="1" applyFont="1" applyBorder="1"/>
    <xf numFmtId="43" fontId="6" fillId="0" borderId="11" xfId="1" applyFont="1" applyBorder="1"/>
    <xf numFmtId="9" fontId="6" fillId="0" borderId="2" xfId="0" applyNumberFormat="1" applyFont="1" applyBorder="1"/>
    <xf numFmtId="9" fontId="6" fillId="0" borderId="9" xfId="0" applyNumberFormat="1" applyFont="1" applyBorder="1"/>
    <xf numFmtId="0" fontId="5" fillId="0" borderId="6" xfId="0" applyFont="1" applyBorder="1"/>
    <xf numFmtId="164" fontId="6" fillId="0" borderId="7" xfId="1" applyNumberFormat="1" applyFont="1" applyBorder="1"/>
    <xf numFmtId="164" fontId="6" fillId="0" borderId="1" xfId="1" applyNumberFormat="1" applyFont="1" applyBorder="1"/>
    <xf numFmtId="43" fontId="6" fillId="0" borderId="8" xfId="1" applyFont="1" applyBorder="1"/>
    <xf numFmtId="165" fontId="6" fillId="0" borderId="6" xfId="0" applyNumberFormat="1" applyFont="1" applyBorder="1"/>
    <xf numFmtId="0" fontId="5" fillId="0" borderId="2" xfId="0" applyFont="1" applyBorder="1"/>
    <xf numFmtId="164" fontId="6" fillId="0" borderId="12" xfId="1" applyNumberFormat="1" applyFont="1" applyBorder="1"/>
    <xf numFmtId="164" fontId="6" fillId="0" borderId="13" xfId="1" applyNumberFormat="1" applyFont="1" applyBorder="1"/>
    <xf numFmtId="43" fontId="6" fillId="0" borderId="14" xfId="1" applyFont="1" applyBorder="1"/>
    <xf numFmtId="10" fontId="6" fillId="0" borderId="2" xfId="0" applyNumberFormat="1" applyFont="1" applyBorder="1"/>
    <xf numFmtId="10" fontId="6" fillId="0" borderId="9" xfId="0" applyNumberFormat="1" applyFont="1" applyBorder="1"/>
    <xf numFmtId="10" fontId="6" fillId="0" borderId="6" xfId="0" applyNumberFormat="1" applyFont="1" applyBorder="1"/>
    <xf numFmtId="0" fontId="3" fillId="0" borderId="1" xfId="0" applyFont="1" applyBorder="1"/>
    <xf numFmtId="0" fontId="6" fillId="0" borderId="1" xfId="0" applyFont="1" applyBorder="1"/>
    <xf numFmtId="44" fontId="0" fillId="0" borderId="0" xfId="2" applyFont="1"/>
    <xf numFmtId="166" fontId="0" fillId="0" borderId="0" xfId="2" applyNumberFormat="1" applyFont="1"/>
    <xf numFmtId="0" fontId="2" fillId="0" borderId="12" xfId="0" applyFont="1" applyBorder="1"/>
    <xf numFmtId="0" fontId="0" fillId="0" borderId="14" xfId="0" applyBorder="1"/>
    <xf numFmtId="167" fontId="0" fillId="2" borderId="11" xfId="2" applyNumberFormat="1" applyFont="1" applyFill="1" applyBorder="1"/>
    <xf numFmtId="9" fontId="0" fillId="2" borderId="11" xfId="0" applyNumberFormat="1" applyFill="1" applyBorder="1"/>
    <xf numFmtId="167" fontId="0" fillId="2" borderId="0" xfId="2" applyNumberFormat="1" applyFont="1" applyFill="1" applyBorder="1"/>
    <xf numFmtId="9" fontId="0" fillId="2" borderId="0" xfId="0" applyNumberFormat="1" applyFill="1"/>
    <xf numFmtId="0" fontId="0" fillId="0" borderId="13" xfId="0" applyBorder="1"/>
    <xf numFmtId="0" fontId="0" fillId="0" borderId="9" xfId="0" applyBorder="1" applyAlignment="1">
      <alignment horizontal="left" indent="1"/>
    </xf>
    <xf numFmtId="0" fontId="5" fillId="0" borderId="0" xfId="0" applyFont="1"/>
    <xf numFmtId="43" fontId="6" fillId="0" borderId="0" xfId="1" applyFont="1" applyBorder="1"/>
    <xf numFmtId="10" fontId="6" fillId="0" borderId="0" xfId="0" applyNumberFormat="1" applyFont="1"/>
    <xf numFmtId="167" fontId="0" fillId="0" borderId="0" xfId="0" applyNumberFormat="1"/>
    <xf numFmtId="0" fontId="0" fillId="0" borderId="0" xfId="0" applyAlignment="1">
      <alignment wrapText="1"/>
    </xf>
    <xf numFmtId="44" fontId="0" fillId="0" borderId="0" xfId="0" applyNumberFormat="1"/>
    <xf numFmtId="0" fontId="0" fillId="0" borderId="10" xfId="0" applyBorder="1" applyAlignment="1">
      <alignment horizontal="center"/>
    </xf>
    <xf numFmtId="0" fontId="0" fillId="0" borderId="0" xfId="0" applyAlignment="1">
      <alignment horizontal="center"/>
    </xf>
    <xf numFmtId="0" fontId="0" fillId="0" borderId="11" xfId="0" applyBorder="1" applyAlignment="1">
      <alignment horizontal="center"/>
    </xf>
    <xf numFmtId="0" fontId="7" fillId="0" borderId="0" xfId="0" applyFont="1" applyAlignment="1">
      <alignment horizontal="center" vertical="center" wrapText="1"/>
    </xf>
    <xf numFmtId="164" fontId="7" fillId="0" borderId="0" xfId="0" applyNumberFormat="1" applyFont="1" applyAlignment="1">
      <alignment horizontal="center" vertical="center" wrapText="1"/>
    </xf>
    <xf numFmtId="0" fontId="8" fillId="3" borderId="0" xfId="0" applyFont="1" applyFill="1" applyAlignment="1">
      <alignment horizontal="center" vertical="center" wrapText="1"/>
    </xf>
    <xf numFmtId="9" fontId="0" fillId="0" borderId="0" xfId="3" applyFont="1"/>
    <xf numFmtId="166" fontId="2" fillId="3" borderId="0" xfId="0" applyNumberFormat="1" applyFont="1" applyFill="1"/>
    <xf numFmtId="0" fontId="9" fillId="0" borderId="0" xfId="0" applyFont="1"/>
    <xf numFmtId="0" fontId="6" fillId="0" borderId="0" xfId="0" applyFont="1"/>
    <xf numFmtId="0" fontId="9" fillId="0" borderId="0" xfId="0" applyFont="1" applyAlignment="1">
      <alignment horizontal="right"/>
    </xf>
    <xf numFmtId="17" fontId="9" fillId="0" borderId="0" xfId="0" quotePrefix="1" applyNumberFormat="1" applyFont="1" applyAlignment="1">
      <alignment horizontal="right"/>
    </xf>
    <xf numFmtId="0" fontId="10" fillId="0" borderId="0" xfId="0" applyFont="1"/>
    <xf numFmtId="0" fontId="11" fillId="0" borderId="0" xfId="0" applyFont="1"/>
    <xf numFmtId="0" fontId="12" fillId="0" borderId="0" xfId="0" applyFont="1"/>
    <xf numFmtId="0" fontId="13" fillId="0" borderId="0" xfId="0" applyFont="1"/>
    <xf numFmtId="0" fontId="5" fillId="0" borderId="13" xfId="0" applyFont="1" applyBorder="1"/>
    <xf numFmtId="9" fontId="6" fillId="0" borderId="13" xfId="0" applyNumberFormat="1" applyFont="1" applyBorder="1"/>
    <xf numFmtId="9" fontId="6" fillId="0" borderId="0" xfId="0" applyNumberFormat="1" applyFont="1"/>
    <xf numFmtId="0" fontId="3" fillId="0" borderId="0" xfId="0" applyFont="1"/>
    <xf numFmtId="0" fontId="6" fillId="0" borderId="3" xfId="0" applyFont="1" applyBorder="1" applyAlignment="1">
      <alignment horizontal="center"/>
    </xf>
    <xf numFmtId="0" fontId="6" fillId="0" borderId="15" xfId="0" applyFont="1" applyBorder="1" applyAlignment="1">
      <alignment horizontal="center" wrapText="1"/>
    </xf>
    <xf numFmtId="0" fontId="6" fillId="4" borderId="10" xfId="0" applyFont="1" applyFill="1" applyBorder="1"/>
    <xf numFmtId="165" fontId="6" fillId="4" borderId="9" xfId="3" applyNumberFormat="1" applyFont="1" applyFill="1" applyBorder="1"/>
    <xf numFmtId="165" fontId="6" fillId="4" borderId="9" xfId="0" applyNumberFormat="1" applyFont="1" applyFill="1" applyBorder="1"/>
    <xf numFmtId="0" fontId="6" fillId="5" borderId="10" xfId="0" applyFont="1" applyFill="1" applyBorder="1"/>
    <xf numFmtId="165" fontId="6" fillId="5" borderId="9" xfId="3" applyNumberFormat="1" applyFont="1" applyFill="1" applyBorder="1"/>
    <xf numFmtId="0" fontId="6" fillId="5" borderId="7" xfId="0" applyFont="1" applyFill="1" applyBorder="1"/>
    <xf numFmtId="165" fontId="6" fillId="5" borderId="6" xfId="3" applyNumberFormat="1" applyFont="1" applyFill="1" applyBorder="1"/>
    <xf numFmtId="165" fontId="0" fillId="0" borderId="0" xfId="3" applyNumberFormat="1" applyFont="1" applyBorder="1"/>
    <xf numFmtId="167" fontId="0" fillId="0" borderId="0" xfId="2" applyNumberFormat="1" applyFont="1" applyBorder="1"/>
    <xf numFmtId="0" fontId="6" fillId="0" borderId="0" xfId="0" applyFont="1" applyAlignment="1">
      <alignment horizontal="center"/>
    </xf>
    <xf numFmtId="167" fontId="0" fillId="0" borderId="13" xfId="0" applyNumberFormat="1" applyBorder="1"/>
    <xf numFmtId="0" fontId="0" fillId="0" borderId="6" xfId="0" applyBorder="1" applyAlignment="1">
      <alignment horizontal="left" indent="1"/>
    </xf>
    <xf numFmtId="167" fontId="0" fillId="2" borderId="1" xfId="2" applyNumberFormat="1" applyFont="1" applyFill="1" applyBorder="1"/>
    <xf numFmtId="0" fontId="5" fillId="0" borderId="0" xfId="0" applyFont="1" applyAlignment="1">
      <alignment wrapText="1"/>
    </xf>
    <xf numFmtId="0" fontId="6" fillId="0" borderId="0" xfId="0" applyFont="1" applyAlignment="1">
      <alignment wrapText="1"/>
    </xf>
    <xf numFmtId="0" fontId="0" fillId="8" borderId="16" xfId="0" applyFill="1" applyBorder="1"/>
    <xf numFmtId="0" fontId="0" fillId="7" borderId="18" xfId="0" applyFill="1" applyBorder="1" applyAlignment="1">
      <alignment horizontal="center"/>
    </xf>
    <xf numFmtId="0" fontId="0" fillId="0" borderId="19" xfId="0" applyBorder="1"/>
    <xf numFmtId="44" fontId="0" fillId="0" borderId="20" xfId="0" applyNumberFormat="1" applyBorder="1"/>
    <xf numFmtId="0" fontId="0" fillId="0" borderId="21" xfId="0" applyBorder="1"/>
    <xf numFmtId="167" fontId="0" fillId="6" borderId="22" xfId="0" applyNumberFormat="1" applyFill="1" applyBorder="1"/>
    <xf numFmtId="167" fontId="2" fillId="6" borderId="23" xfId="0" applyNumberFormat="1" applyFont="1" applyFill="1" applyBorder="1"/>
    <xf numFmtId="0" fontId="0" fillId="0" borderId="21" xfId="0" applyBorder="1" applyAlignment="1">
      <alignment horizontal="left"/>
    </xf>
    <xf numFmtId="167" fontId="0" fillId="0" borderId="22" xfId="0" applyNumberFormat="1" applyBorder="1"/>
    <xf numFmtId="0" fontId="0" fillId="0" borderId="25" xfId="0" applyBorder="1"/>
    <xf numFmtId="167" fontId="0" fillId="0" borderId="26" xfId="0" applyNumberFormat="1" applyBorder="1"/>
    <xf numFmtId="167" fontId="0" fillId="0" borderId="27" xfId="0" applyNumberFormat="1" applyBorder="1"/>
    <xf numFmtId="167" fontId="0" fillId="0" borderId="20" xfId="0" applyNumberFormat="1" applyBorder="1"/>
    <xf numFmtId="0" fontId="0" fillId="0" borderId="19" xfId="0" applyBorder="1" applyAlignment="1">
      <alignment horizontal="right"/>
    </xf>
    <xf numFmtId="0" fontId="2" fillId="0" borderId="15" xfId="0" applyFont="1" applyBorder="1"/>
    <xf numFmtId="0" fontId="2" fillId="0" borderId="4" xfId="0" applyFont="1" applyBorder="1" applyAlignment="1">
      <alignment horizontal="center"/>
    </xf>
    <xf numFmtId="0" fontId="2" fillId="0" borderId="5" xfId="0" applyFont="1" applyBorder="1" applyAlignment="1">
      <alignment horizontal="center"/>
    </xf>
    <xf numFmtId="0" fontId="0" fillId="2" borderId="8" xfId="0" applyFill="1" applyBorder="1"/>
    <xf numFmtId="166" fontId="0" fillId="0" borderId="0" xfId="0" applyNumberFormat="1"/>
    <xf numFmtId="167" fontId="0" fillId="0" borderId="22" xfId="2" applyNumberFormat="1" applyFont="1" applyBorder="1"/>
    <xf numFmtId="167" fontId="0" fillId="0" borderId="4" xfId="2" applyNumberFormat="1" applyFont="1" applyBorder="1"/>
    <xf numFmtId="0" fontId="2" fillId="8" borderId="17" xfId="0" applyFont="1" applyFill="1" applyBorder="1"/>
    <xf numFmtId="0" fontId="2" fillId="8" borderId="28" xfId="0" applyFont="1" applyFill="1" applyBorder="1"/>
    <xf numFmtId="0" fontId="0" fillId="0" borderId="24" xfId="0" applyBorder="1" applyAlignment="1">
      <alignment horizontal="right"/>
    </xf>
    <xf numFmtId="167" fontId="0" fillId="7" borderId="18" xfId="0" applyNumberFormat="1" applyFill="1" applyBorder="1" applyAlignment="1">
      <alignment horizontal="center"/>
    </xf>
    <xf numFmtId="0" fontId="17" fillId="0" borderId="0" xfId="0" applyFont="1" applyAlignment="1">
      <alignment horizontal="right"/>
    </xf>
    <xf numFmtId="167" fontId="17" fillId="6" borderId="0" xfId="0" applyNumberFormat="1" applyFont="1" applyFill="1"/>
    <xf numFmtId="167" fontId="16" fillId="9" borderId="23" xfId="0" applyNumberFormat="1" applyFont="1" applyFill="1" applyBorder="1"/>
    <xf numFmtId="0" fontId="0" fillId="0" borderId="0" xfId="0" applyAlignment="1">
      <alignment horizontal="right"/>
    </xf>
    <xf numFmtId="167" fontId="15" fillId="6" borderId="23" xfId="0" applyNumberFormat="1" applyFont="1" applyFill="1" applyBorder="1"/>
    <xf numFmtId="0" fontId="0" fillId="0" borderId="25" xfId="0" applyBorder="1" applyAlignment="1">
      <alignment horizontal="right"/>
    </xf>
    <xf numFmtId="167" fontId="16" fillId="9" borderId="31" xfId="0" applyNumberFormat="1" applyFont="1" applyFill="1" applyBorder="1"/>
    <xf numFmtId="0" fontId="0" fillId="6" borderId="21" xfId="0" applyFill="1" applyBorder="1" applyAlignment="1">
      <alignment horizontal="right"/>
    </xf>
    <xf numFmtId="167" fontId="0" fillId="6" borderId="0" xfId="0" applyNumberFormat="1" applyFill="1"/>
    <xf numFmtId="167" fontId="16" fillId="6" borderId="0" xfId="0" applyNumberFormat="1" applyFont="1" applyFill="1"/>
    <xf numFmtId="0" fontId="0" fillId="6" borderId="0" xfId="0" applyFill="1"/>
    <xf numFmtId="167" fontId="16" fillId="6" borderId="30" xfId="0" applyNumberFormat="1" applyFont="1" applyFill="1" applyBorder="1"/>
    <xf numFmtId="0" fontId="0" fillId="0" borderId="32" xfId="0" applyBorder="1" applyAlignment="1">
      <alignment horizontal="right"/>
    </xf>
    <xf numFmtId="167" fontId="0" fillId="0" borderId="33" xfId="0" applyNumberFormat="1" applyBorder="1"/>
    <xf numFmtId="167" fontId="16" fillId="9" borderId="34" xfId="0" applyNumberFormat="1" applyFont="1" applyFill="1" applyBorder="1"/>
    <xf numFmtId="0" fontId="0" fillId="0" borderId="29" xfId="0" applyBorder="1"/>
    <xf numFmtId="0" fontId="0" fillId="6" borderId="0" xfId="0" applyFill="1" applyAlignment="1">
      <alignment horizontal="right"/>
    </xf>
    <xf numFmtId="167" fontId="16" fillId="9" borderId="27" xfId="0" applyNumberFormat="1" applyFont="1" applyFill="1" applyBorder="1"/>
    <xf numFmtId="9" fontId="6" fillId="0" borderId="3" xfId="0" applyNumberFormat="1" applyFont="1" applyBorder="1" applyAlignment="1">
      <alignment horizontal="center" wrapText="1"/>
    </xf>
    <xf numFmtId="9" fontId="6" fillId="0" borderId="4" xfId="0" applyNumberFormat="1" applyFont="1" applyBorder="1" applyAlignment="1">
      <alignment horizontal="center" wrapText="1"/>
    </xf>
    <xf numFmtId="9" fontId="6" fillId="0" borderId="5" xfId="0" applyNumberFormat="1" applyFont="1" applyBorder="1" applyAlignment="1">
      <alignment horizontal="center" wrapText="1"/>
    </xf>
    <xf numFmtId="0" fontId="3" fillId="0" borderId="1" xfId="0" applyFont="1" applyBorder="1" applyAlignment="1">
      <alignment horizontal="center"/>
    </xf>
    <xf numFmtId="0" fontId="5" fillId="0" borderId="2" xfId="0" applyFont="1" applyBorder="1" applyAlignment="1">
      <alignment horizontal="center" wrapText="1"/>
    </xf>
    <xf numFmtId="0" fontId="5" fillId="0" borderId="6" xfId="0" applyFont="1" applyBorder="1" applyAlignment="1">
      <alignment horizontal="center" wrapText="1"/>
    </xf>
    <xf numFmtId="0" fontId="3" fillId="0" borderId="3" xfId="0" applyFont="1" applyBorder="1" applyAlignment="1">
      <alignment horizontal="center"/>
    </xf>
    <xf numFmtId="0" fontId="3" fillId="0" borderId="4" xfId="0" applyFont="1" applyBorder="1" applyAlignment="1">
      <alignment horizontal="center"/>
    </xf>
    <xf numFmtId="0" fontId="3" fillId="0" borderId="5" xfId="0" applyFont="1" applyBorder="1" applyAlignment="1">
      <alignment horizontal="center"/>
    </xf>
    <xf numFmtId="0" fontId="6" fillId="0" borderId="2" xfId="0" applyFont="1" applyBorder="1" applyAlignment="1">
      <alignment horizontal="center" wrapText="1"/>
    </xf>
    <xf numFmtId="0" fontId="6" fillId="0" borderId="6" xfId="0" applyFont="1" applyBorder="1" applyAlignment="1">
      <alignment horizontal="center" wrapText="1"/>
    </xf>
    <xf numFmtId="0" fontId="0" fillId="0" borderId="7" xfId="0" applyBorder="1" applyAlignment="1">
      <alignment horizontal="center"/>
    </xf>
    <xf numFmtId="0" fontId="0" fillId="0" borderId="1" xfId="0" applyBorder="1" applyAlignment="1">
      <alignment horizontal="center"/>
    </xf>
    <xf numFmtId="0" fontId="0" fillId="0" borderId="8" xfId="0" applyBorder="1" applyAlignment="1">
      <alignment horizontal="center"/>
    </xf>
    <xf numFmtId="44" fontId="0" fillId="0" borderId="0" xfId="2" applyFont="1" applyBorder="1"/>
    <xf numFmtId="9" fontId="0" fillId="0" borderId="0" xfId="3" applyFont="1" applyBorder="1"/>
    <xf numFmtId="166" fontId="0" fillId="0" borderId="0" xfId="2" applyNumberFormat="1" applyFont="1" applyBorder="1"/>
    <xf numFmtId="166" fontId="2" fillId="3" borderId="0" xfId="0" applyNumberFormat="1" applyFont="1" applyFill="1" applyBorder="1"/>
    <xf numFmtId="0" fontId="0" fillId="0" borderId="0" xfId="0" applyBorder="1"/>
    <xf numFmtId="0" fontId="5" fillId="0" borderId="0" xfId="0" applyFont="1" applyBorder="1"/>
    <xf numFmtId="10" fontId="6" fillId="0" borderId="0" xfId="0" applyNumberFormat="1" applyFont="1" applyBorder="1"/>
    <xf numFmtId="0" fontId="0" fillId="0" borderId="3" xfId="0" applyBorder="1"/>
    <xf numFmtId="0" fontId="0" fillId="0" borderId="5" xfId="0" applyBorder="1"/>
    <xf numFmtId="0" fontId="18" fillId="10" borderId="0" xfId="0" applyFont="1" applyFill="1" applyAlignment="1">
      <alignment wrapText="1"/>
    </xf>
    <xf numFmtId="0" fontId="18" fillId="10" borderId="0" xfId="0" applyFont="1" applyFill="1"/>
  </cellXfs>
  <cellStyles count="4">
    <cellStyle name="Comma" xfId="1" builtinId="3"/>
    <cellStyle name="Currency" xfId="2" builtinId="4"/>
    <cellStyle name="Normal" xfId="0" builtinId="0"/>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195260</xdr:colOff>
      <xdr:row>4</xdr:row>
      <xdr:rowOff>95249</xdr:rowOff>
    </xdr:to>
    <xdr:pic>
      <xdr:nvPicPr>
        <xdr:cNvPr id="2" name="Picture 1">
          <a:extLst>
            <a:ext uri="{FF2B5EF4-FFF2-40B4-BE49-F238E27FC236}">
              <a16:creationId xmlns:a16="http://schemas.microsoft.com/office/drawing/2014/main" id="{1E131556-FA77-4175-9542-9CA7CB89E5C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554160" cy="78104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25400</xdr:colOff>
      <xdr:row>0</xdr:row>
      <xdr:rowOff>25400</xdr:rowOff>
    </xdr:from>
    <xdr:to>
      <xdr:col>10</xdr:col>
      <xdr:colOff>69850</xdr:colOff>
      <xdr:row>39</xdr:row>
      <xdr:rowOff>158750</xdr:rowOff>
    </xdr:to>
    <xdr:sp macro="" textlink="">
      <xdr:nvSpPr>
        <xdr:cNvPr id="2" name="TextBox 1">
          <a:extLst>
            <a:ext uri="{FF2B5EF4-FFF2-40B4-BE49-F238E27FC236}">
              <a16:creationId xmlns:a16="http://schemas.microsoft.com/office/drawing/2014/main" id="{08C3C6FA-635B-BE83-63E0-6701316A97C4}"/>
            </a:ext>
          </a:extLst>
        </xdr:cNvPr>
        <xdr:cNvSpPr txBox="1"/>
      </xdr:nvSpPr>
      <xdr:spPr>
        <a:xfrm>
          <a:off x="25400" y="25400"/>
          <a:ext cx="6140450" cy="7315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dk1"/>
              </a:solidFill>
              <a:effectLst/>
              <a:latin typeface="+mn-lt"/>
              <a:ea typeface="+mn-ea"/>
              <a:cs typeface="+mn-cs"/>
            </a:rPr>
            <a:t>Dear Mrs. Snow,</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I have done preliminary calculations in the attached Excel file, and would like to provide brief answers to your questions here below.</a:t>
          </a:r>
        </a:p>
        <a:p>
          <a:r>
            <a:rPr lang="en-US" sz="1100">
              <a:solidFill>
                <a:schemeClr val="dk1"/>
              </a:solidFill>
              <a:effectLst/>
              <a:latin typeface="+mn-lt"/>
              <a:ea typeface="+mn-ea"/>
              <a:cs typeface="+mn-cs"/>
            </a:rPr>
            <a:t>As you are 62 years old currently, based on the calculations, you don’t have to worry about running out of funds for 18 years with your current expenses of 81,500 USD per year and increasing inflation rates.</a:t>
          </a:r>
        </a:p>
        <a:p>
          <a:r>
            <a:rPr lang="en-US" sz="1100">
              <a:solidFill>
                <a:schemeClr val="dk1"/>
              </a:solidFill>
              <a:effectLst/>
              <a:latin typeface="+mn-lt"/>
              <a:ea typeface="+mn-ea"/>
              <a:cs typeface="+mn-cs"/>
            </a:rPr>
            <a:t>Based on the calculations, you will run out of funds on your savings account in 2029. By this time, you will have accumulated 743,612 USD on your IRA account with 8% interest fees. In the year 2029, you will need to start withdrawing money from your IRA account. This is the year that you turn 70 years old, which makes you eligible to withdraw and this is the year that you run out of funds on your savings account. Works out perfectly in this regard.</a:t>
          </a:r>
        </a:p>
        <a:p>
          <a:r>
            <a:rPr lang="en-US" sz="1100">
              <a:solidFill>
                <a:schemeClr val="dk1"/>
              </a:solidFill>
              <a:effectLst/>
              <a:latin typeface="+mn-lt"/>
              <a:ea typeface="+mn-ea"/>
              <a:cs typeface="+mn-cs"/>
            </a:rPr>
            <a:t>Your minimum required distribution is 27,130 USD per year for the IRA account. In your case, you will need to withdraw 107,307 in the first year (2029) to cover the deficit from the savings account from the previous year. As for the consecutive years, you can withdraw around 81,500 USD which is your regular yearly spending plus the inflation costs which are roughly about 2,000-3,000 USD more per year. Please refer to the Excel file for more precise figures.</a:t>
          </a:r>
        </a:p>
        <a:p>
          <a:r>
            <a:rPr lang="en-US" sz="1100">
              <a:solidFill>
                <a:schemeClr val="dk1"/>
              </a:solidFill>
              <a:effectLst/>
              <a:latin typeface="+mn-lt"/>
              <a:ea typeface="+mn-ea"/>
              <a:cs typeface="+mn-cs"/>
            </a:rPr>
            <a:t>As per the taxes, we have made a model for two states – California and Massachusetts as per the request. </a:t>
          </a:r>
        </a:p>
        <a:p>
          <a:r>
            <a:rPr lang="en-US" sz="1100">
              <a:solidFill>
                <a:schemeClr val="dk1"/>
              </a:solidFill>
              <a:effectLst/>
              <a:latin typeface="+mn-lt"/>
              <a:ea typeface="+mn-ea"/>
              <a:cs typeface="+mn-cs"/>
            </a:rPr>
            <a:t>California offers more flexibility on the tax brackets, and if you decide to stay in CA, your savings will last you until you are 80 years old, and if you choose to stay in Massachusetts, your savings will last you for 17 years, which is one year less. However, there is always an option to move to Massachusetts, when you will have a lesser amount in your account, which means that paying only 5% of state taxes will not make a big amount. Based on our calculations, you are good to spend 2025-2028 in MA, because your savings earnings won’t be high at that time and the state taxes will not reach 1000 USD. However, in 2029 once you start withdrawing the funds from your IRA account, your state tax will be high in both states – roughly 5,000 USD due to a big amount withdrawn – the annual spending for 2029 and some funds to cover the deficient amount from the savings account.</a:t>
          </a:r>
        </a:p>
        <a:p>
          <a:r>
            <a:rPr lang="en-US" sz="1100">
              <a:solidFill>
                <a:schemeClr val="dk1"/>
              </a:solidFill>
              <a:effectLst/>
              <a:latin typeface="+mn-lt"/>
              <a:ea typeface="+mn-ea"/>
              <a:cs typeface="+mn-cs"/>
            </a:rPr>
            <a:t>The government will have collected from IRA proceeds roughly 140,000 USD during the 10 years until it gets exhausted.</a:t>
          </a:r>
        </a:p>
        <a:p>
          <a:r>
            <a:rPr lang="en-US" sz="1100">
              <a:solidFill>
                <a:schemeClr val="dk1"/>
              </a:solidFill>
              <a:effectLst/>
              <a:latin typeface="+mn-lt"/>
              <a:ea typeface="+mn-ea"/>
              <a:cs typeface="+mn-cs"/>
            </a:rPr>
            <a:t>Starting in 2030, the difference in state tax between CA and MA will reach 2,000 – 1,500 USD, which means that it would save you some funds to return to California. </a:t>
          </a:r>
        </a:p>
        <a:p>
          <a:r>
            <a:rPr lang="en-US" sz="1100">
              <a:solidFill>
                <a:schemeClr val="dk1"/>
              </a:solidFill>
              <a:effectLst/>
              <a:latin typeface="+mn-lt"/>
              <a:ea typeface="+mn-ea"/>
              <a:cs typeface="+mn-cs"/>
            </a:rPr>
            <a:t>My final thought would be to recommend considering cutting your expenses to 79,000 USD per year. In this case scenario, you could stretch out your savings for 3 years, or have some money for big, unexpected expenses, hopefully, positives ones. But one never knows what kind of unexpected costs might occur, and we would recommend always having those in your account.</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Please let me get in touch soon to discuss this issue further, those are only the preliminary calculations to get an idea for you.</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With kindest regards,</a:t>
          </a:r>
        </a:p>
        <a:p>
          <a:r>
            <a:rPr lang="en-US" sz="1100">
              <a:solidFill>
                <a:schemeClr val="dk1"/>
              </a:solidFill>
              <a:effectLst/>
              <a:latin typeface="+mn-lt"/>
              <a:ea typeface="+mn-ea"/>
              <a:cs typeface="+mn-cs"/>
            </a:rPr>
            <a:t>Cholpon Temirbekova </a:t>
          </a:r>
        </a:p>
        <a:p>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896E3A-FA53-413E-805F-7BC19A80F0DD}">
  <dimension ref="B2:I25"/>
  <sheetViews>
    <sheetView topLeftCell="A6" workbookViewId="0">
      <selection activeCell="G16" sqref="G16"/>
    </sheetView>
  </sheetViews>
  <sheetFormatPr defaultRowHeight="14.5" x14ac:dyDescent="0.35"/>
  <cols>
    <col min="2" max="2" width="20.1796875" bestFit="1" customWidth="1"/>
    <col min="4" max="4" width="35" bestFit="1" customWidth="1"/>
    <col min="5" max="5" width="23.453125" customWidth="1"/>
    <col min="6" max="6" width="18.6328125" customWidth="1"/>
  </cols>
  <sheetData>
    <row r="2" spans="2:7" x14ac:dyDescent="0.35">
      <c r="B2" t="s">
        <v>0</v>
      </c>
      <c r="C2">
        <v>45</v>
      </c>
    </row>
    <row r="3" spans="2:7" x14ac:dyDescent="0.35">
      <c r="B3" t="s">
        <v>1</v>
      </c>
    </row>
    <row r="4" spans="2:7" x14ac:dyDescent="0.35">
      <c r="B4" t="s">
        <v>2</v>
      </c>
      <c r="D4" t="s">
        <v>3</v>
      </c>
    </row>
    <row r="6" spans="2:7" ht="87" x14ac:dyDescent="0.35">
      <c r="B6" t="s">
        <v>4</v>
      </c>
      <c r="C6">
        <v>81500</v>
      </c>
      <c r="D6" t="s">
        <v>5</v>
      </c>
      <c r="E6" s="39" t="s">
        <v>15</v>
      </c>
      <c r="G6" t="s">
        <v>12</v>
      </c>
    </row>
    <row r="7" spans="2:7" x14ac:dyDescent="0.35">
      <c r="B7" t="s">
        <v>6</v>
      </c>
      <c r="C7">
        <v>980000</v>
      </c>
      <c r="D7" t="s">
        <v>7</v>
      </c>
      <c r="E7">
        <v>580000</v>
      </c>
      <c r="G7" t="s">
        <v>13</v>
      </c>
    </row>
    <row r="8" spans="2:7" x14ac:dyDescent="0.35">
      <c r="G8" t="s">
        <v>14</v>
      </c>
    </row>
    <row r="9" spans="2:7" x14ac:dyDescent="0.35">
      <c r="B9" t="s">
        <v>8</v>
      </c>
      <c r="C9" s="1">
        <v>0.08</v>
      </c>
      <c r="D9" t="s">
        <v>11</v>
      </c>
      <c r="G9" t="s">
        <v>16</v>
      </c>
    </row>
    <row r="10" spans="2:7" x14ac:dyDescent="0.35">
      <c r="B10" t="s">
        <v>9</v>
      </c>
      <c r="C10" s="1">
        <v>0.06</v>
      </c>
      <c r="G10" t="s">
        <v>17</v>
      </c>
    </row>
    <row r="11" spans="2:7" x14ac:dyDescent="0.35">
      <c r="B11" t="s">
        <v>10</v>
      </c>
      <c r="G11" t="s">
        <v>18</v>
      </c>
    </row>
    <row r="13" spans="2:7" x14ac:dyDescent="0.35">
      <c r="G13" t="s">
        <v>19</v>
      </c>
    </row>
    <row r="14" spans="2:7" x14ac:dyDescent="0.35">
      <c r="G14" t="s">
        <v>20</v>
      </c>
    </row>
    <row r="16" spans="2:7" x14ac:dyDescent="0.35">
      <c r="G16" t="s">
        <v>21</v>
      </c>
    </row>
    <row r="18" spans="7:9" x14ac:dyDescent="0.35">
      <c r="G18" t="s">
        <v>22</v>
      </c>
      <c r="I18" t="s">
        <v>30</v>
      </c>
    </row>
    <row r="20" spans="7:9" x14ac:dyDescent="0.35">
      <c r="G20" t="s">
        <v>23</v>
      </c>
    </row>
    <row r="21" spans="7:9" x14ac:dyDescent="0.35">
      <c r="G21" t="s">
        <v>24</v>
      </c>
    </row>
    <row r="22" spans="7:9" x14ac:dyDescent="0.35">
      <c r="G22" t="s">
        <v>25</v>
      </c>
    </row>
    <row r="23" spans="7:9" x14ac:dyDescent="0.35">
      <c r="G23" t="s">
        <v>26</v>
      </c>
    </row>
    <row r="24" spans="7:9" x14ac:dyDescent="0.35">
      <c r="G24" t="s">
        <v>27</v>
      </c>
    </row>
    <row r="25" spans="7:9" x14ac:dyDescent="0.35">
      <c r="G25" t="s">
        <v>28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914BBE-AD48-4CAC-B26B-A7570E465DD3}">
  <dimension ref="A2:Q263"/>
  <sheetViews>
    <sheetView tabSelected="1" zoomScale="70" zoomScaleNormal="70" workbookViewId="0"/>
  </sheetViews>
  <sheetFormatPr defaultRowHeight="14.5" x14ac:dyDescent="0.35"/>
  <cols>
    <col min="1" max="1" width="20.54296875" bestFit="1" customWidth="1"/>
    <col min="2" max="2" width="18.453125" bestFit="1" customWidth="1"/>
    <col min="3" max="3" width="10.1796875" bestFit="1" customWidth="1"/>
    <col min="4" max="4" width="9.54296875" bestFit="1" customWidth="1"/>
    <col min="5" max="5" width="20" customWidth="1"/>
    <col min="6" max="14" width="9.54296875" bestFit="1" customWidth="1"/>
    <col min="15" max="15" width="9.90625" bestFit="1" customWidth="1"/>
    <col min="16" max="16" width="15.54296875" bestFit="1" customWidth="1"/>
    <col min="17" max="17" width="11" bestFit="1" customWidth="1"/>
  </cols>
  <sheetData>
    <row r="2" spans="1:17" x14ac:dyDescent="0.35">
      <c r="A2" s="142" t="s">
        <v>78</v>
      </c>
      <c r="B2" s="143" t="s">
        <v>79</v>
      </c>
    </row>
    <row r="4" spans="1:17" ht="16.5" x14ac:dyDescent="0.5">
      <c r="A4" s="92" t="s">
        <v>29</v>
      </c>
      <c r="B4" s="93" t="s">
        <v>41</v>
      </c>
      <c r="C4" s="94" t="s">
        <v>12</v>
      </c>
      <c r="E4" s="60"/>
      <c r="F4" s="60"/>
      <c r="G4" s="60"/>
      <c r="H4" s="60"/>
      <c r="I4" s="60"/>
      <c r="L4" s="60"/>
      <c r="M4" s="60"/>
      <c r="N4" s="60"/>
      <c r="O4" s="60"/>
      <c r="P4" s="60"/>
    </row>
    <row r="5" spans="1:17" ht="16.5" x14ac:dyDescent="0.5">
      <c r="A5" s="34" t="s">
        <v>44</v>
      </c>
      <c r="B5" s="31">
        <v>580000</v>
      </c>
      <c r="C5" s="29">
        <v>400000</v>
      </c>
      <c r="E5" s="76"/>
      <c r="F5" s="60"/>
      <c r="G5" s="60"/>
      <c r="H5" s="60"/>
      <c r="I5" s="77"/>
      <c r="L5" s="76"/>
      <c r="M5" s="60"/>
      <c r="N5" s="60"/>
      <c r="O5" s="60"/>
      <c r="P5" s="77"/>
    </row>
    <row r="6" spans="1:17" ht="33" x14ac:dyDescent="0.5">
      <c r="A6" s="34" t="s">
        <v>42</v>
      </c>
      <c r="B6" s="32">
        <v>0.06</v>
      </c>
      <c r="C6" s="30">
        <v>0.08</v>
      </c>
      <c r="E6" s="144" t="s">
        <v>97</v>
      </c>
      <c r="F6" s="145">
        <v>79000</v>
      </c>
      <c r="G6" s="72"/>
      <c r="H6" s="72"/>
      <c r="I6" s="77"/>
      <c r="L6" s="76"/>
      <c r="M6" s="72"/>
      <c r="N6" s="72"/>
      <c r="O6" s="72"/>
      <c r="P6" s="77"/>
    </row>
    <row r="7" spans="1:17" ht="16.5" x14ac:dyDescent="0.5">
      <c r="A7" s="74" t="s">
        <v>4</v>
      </c>
      <c r="B7" s="75">
        <v>81500</v>
      </c>
      <c r="C7" s="95"/>
      <c r="F7" s="7"/>
      <c r="G7" s="7"/>
      <c r="H7" s="36"/>
      <c r="I7" s="59"/>
      <c r="L7" s="35"/>
      <c r="M7" s="7"/>
      <c r="N7" s="7"/>
      <c r="O7" s="36"/>
      <c r="P7" s="37"/>
    </row>
    <row r="8" spans="1:17" ht="16.5" x14ac:dyDescent="0.5">
      <c r="E8" s="35"/>
      <c r="F8" s="7"/>
      <c r="G8" s="7"/>
      <c r="H8" s="36"/>
      <c r="I8" s="59"/>
      <c r="L8" s="35"/>
      <c r="M8" s="7"/>
      <c r="N8" s="7"/>
      <c r="O8" s="36"/>
      <c r="P8" s="37"/>
    </row>
    <row r="9" spans="1:17" ht="16.5" x14ac:dyDescent="0.5">
      <c r="L9" s="35"/>
      <c r="M9" s="7"/>
      <c r="N9" s="7"/>
      <c r="O9" s="36"/>
      <c r="P9" s="37"/>
    </row>
    <row r="10" spans="1:17" ht="15" thickBot="1" x14ac:dyDescent="0.4"/>
    <row r="11" spans="1:17" x14ac:dyDescent="0.35">
      <c r="B11" s="99">
        <v>2021</v>
      </c>
      <c r="C11" s="78">
        <v>1</v>
      </c>
      <c r="D11" s="78">
        <v>2</v>
      </c>
      <c r="E11" s="78">
        <v>3</v>
      </c>
      <c r="F11" s="78">
        <v>4</v>
      </c>
      <c r="G11" s="78">
        <v>5</v>
      </c>
      <c r="H11" s="78">
        <v>6</v>
      </c>
      <c r="I11" s="78">
        <v>7</v>
      </c>
      <c r="J11" s="78">
        <v>8</v>
      </c>
      <c r="K11" s="78">
        <v>9</v>
      </c>
      <c r="L11" s="78">
        <v>10</v>
      </c>
      <c r="M11" s="78">
        <v>11</v>
      </c>
      <c r="N11" s="78">
        <v>12</v>
      </c>
      <c r="O11" s="79" t="s">
        <v>43</v>
      </c>
    </row>
    <row r="12" spans="1:17" x14ac:dyDescent="0.35">
      <c r="A12" t="s">
        <v>72</v>
      </c>
      <c r="B12" s="80" t="s">
        <v>69</v>
      </c>
      <c r="C12" s="73">
        <f>B5</f>
        <v>580000</v>
      </c>
      <c r="D12" s="73">
        <f>C18</f>
        <v>575918.16666666663</v>
      </c>
      <c r="E12" s="73">
        <f>D18</f>
        <v>571815.92416666658</v>
      </c>
      <c r="F12" s="73">
        <f>E18</f>
        <v>567693.17045416648</v>
      </c>
      <c r="G12" s="73">
        <f t="shared" ref="G12:N12" si="0">F18</f>
        <v>563549.80297310394</v>
      </c>
      <c r="H12" s="73">
        <f t="shared" si="0"/>
        <v>559385.71865463606</v>
      </c>
      <c r="I12" s="73">
        <f t="shared" si="0"/>
        <v>555200.81391457585</v>
      </c>
      <c r="J12" s="73">
        <f t="shared" si="0"/>
        <v>550994.98465081537</v>
      </c>
      <c r="K12" s="73">
        <f t="shared" si="0"/>
        <v>546768.12624073611</v>
      </c>
      <c r="L12" s="73">
        <f t="shared" si="0"/>
        <v>542520.13353860646</v>
      </c>
      <c r="M12" s="73">
        <f t="shared" si="0"/>
        <v>538250.90087296616</v>
      </c>
      <c r="N12" s="73">
        <f t="shared" si="0"/>
        <v>533960.32204399758</v>
      </c>
      <c r="O12" s="81"/>
    </row>
    <row r="13" spans="1:17" x14ac:dyDescent="0.35">
      <c r="B13" s="82" t="s">
        <v>65</v>
      </c>
      <c r="C13" s="71">
        <f>(C12*$B$6)/12</f>
        <v>2900</v>
      </c>
      <c r="D13" s="71">
        <f>(D12*$B$6)/12</f>
        <v>2879.5908333333332</v>
      </c>
      <c r="E13" s="71">
        <f>(E12*$B$6)/12</f>
        <v>2859.0796208333327</v>
      </c>
      <c r="F13" s="71">
        <f>(F12*$B$6)/12</f>
        <v>2838.4658522708323</v>
      </c>
      <c r="G13" s="71">
        <f t="shared" ref="G13:N13" si="1">(G12*$B$6)/12</f>
        <v>2817.7490148655197</v>
      </c>
      <c r="H13" s="71">
        <f t="shared" si="1"/>
        <v>2796.92859327318</v>
      </c>
      <c r="I13" s="71">
        <f t="shared" si="1"/>
        <v>2776.004069572879</v>
      </c>
      <c r="J13" s="71">
        <f t="shared" si="1"/>
        <v>2754.9749232540767</v>
      </c>
      <c r="K13" s="71">
        <f t="shared" si="1"/>
        <v>2733.8406312036805</v>
      </c>
      <c r="L13" s="71">
        <f t="shared" si="1"/>
        <v>2712.6006676930324</v>
      </c>
      <c r="M13" s="71">
        <f t="shared" si="1"/>
        <v>2691.2545043648306</v>
      </c>
      <c r="N13" s="71">
        <f t="shared" si="1"/>
        <v>2669.8016102199877</v>
      </c>
      <c r="O13" s="83">
        <f>SUM(C13:N13)</f>
        <v>33430.290320884684</v>
      </c>
    </row>
    <row r="14" spans="1:17" x14ac:dyDescent="0.35">
      <c r="B14" s="82" t="s">
        <v>45</v>
      </c>
      <c r="C14" s="96">
        <f>($B$7+($B$7*'Tax Rates and Inflation'!C26))/12</f>
        <v>6981.833333333333</v>
      </c>
      <c r="D14" s="38">
        <f>C14</f>
        <v>6981.833333333333</v>
      </c>
      <c r="E14" s="38">
        <f>D14</f>
        <v>6981.833333333333</v>
      </c>
      <c r="F14" s="38">
        <f>E14</f>
        <v>6981.833333333333</v>
      </c>
      <c r="G14" s="38">
        <f t="shared" ref="G14:N14" si="2">F14</f>
        <v>6981.833333333333</v>
      </c>
      <c r="H14" s="38">
        <f t="shared" si="2"/>
        <v>6981.833333333333</v>
      </c>
      <c r="I14" s="38">
        <f t="shared" si="2"/>
        <v>6981.833333333333</v>
      </c>
      <c r="J14" s="38">
        <f t="shared" si="2"/>
        <v>6981.833333333333</v>
      </c>
      <c r="K14" s="38">
        <f t="shared" si="2"/>
        <v>6981.833333333333</v>
      </c>
      <c r="L14" s="38">
        <f t="shared" si="2"/>
        <v>6981.833333333333</v>
      </c>
      <c r="M14" s="38">
        <f t="shared" si="2"/>
        <v>6981.833333333333</v>
      </c>
      <c r="N14" s="38">
        <f t="shared" si="2"/>
        <v>6981.833333333333</v>
      </c>
      <c r="O14" s="86">
        <f>SUM(C14:N14)</f>
        <v>83782</v>
      </c>
    </row>
    <row r="15" spans="1:17" x14ac:dyDescent="0.35">
      <c r="B15" s="101" t="s">
        <v>67</v>
      </c>
      <c r="C15" s="98">
        <f>C12+C13-C14</f>
        <v>575918.16666666663</v>
      </c>
      <c r="D15" s="98">
        <f>D12+D13-D14</f>
        <v>571815.92416666658</v>
      </c>
      <c r="E15" s="98">
        <f>E12+E13-E14</f>
        <v>567693.17045416648</v>
      </c>
      <c r="F15" s="98">
        <f>F12+F13-F14</f>
        <v>563549.80297310394</v>
      </c>
      <c r="G15" s="98">
        <f t="shared" ref="G15:N15" si="3">G12+G13-G14</f>
        <v>559385.71865463606</v>
      </c>
      <c r="H15" s="98">
        <f t="shared" si="3"/>
        <v>555200.81391457585</v>
      </c>
      <c r="I15" s="98">
        <f t="shared" si="3"/>
        <v>550994.98465081537</v>
      </c>
      <c r="J15" s="98">
        <f t="shared" si="3"/>
        <v>546768.12624073611</v>
      </c>
      <c r="K15" s="98">
        <f t="shared" si="3"/>
        <v>542520.13353860646</v>
      </c>
      <c r="L15" s="98">
        <f t="shared" si="3"/>
        <v>538250.90087296616</v>
      </c>
      <c r="M15" s="98">
        <f t="shared" si="3"/>
        <v>533960.32204399758</v>
      </c>
      <c r="N15" s="98">
        <f t="shared" si="3"/>
        <v>529648.2903208842</v>
      </c>
      <c r="O15" s="84">
        <f>N18</f>
        <v>525544.68967596034</v>
      </c>
    </row>
    <row r="16" spans="1:17" x14ac:dyDescent="0.35">
      <c r="B16" s="85" t="s">
        <v>66</v>
      </c>
      <c r="C16" s="71">
        <v>0</v>
      </c>
      <c r="D16" s="71">
        <v>0</v>
      </c>
      <c r="E16" s="71"/>
      <c r="F16" s="71">
        <v>0</v>
      </c>
      <c r="G16" s="71">
        <v>0</v>
      </c>
      <c r="H16" s="71">
        <v>0</v>
      </c>
      <c r="I16" s="71">
        <v>0</v>
      </c>
      <c r="J16" s="71">
        <v>0</v>
      </c>
      <c r="K16" s="71">
        <v>0</v>
      </c>
      <c r="L16" s="71">
        <v>0</v>
      </c>
      <c r="M16" s="71">
        <v>0</v>
      </c>
      <c r="N16" s="71">
        <f>IF(O13&lt;'Tax calculations'!$D$4,O13*'Tax calculations'!$F$4,VLOOKUP(O13,'Tax calculations'!$C$5:$F$10,3,1)+(Calculations!O13-VLOOKUP(O13,'Tax calculations'!$C$5:$F$10,1,1))*VLOOKUP(O13,'Tax calculations'!$C$5:$F$10,4,1))</f>
        <v>3613.6348385061619</v>
      </c>
      <c r="O16" s="83">
        <f>SUM(C16:N16)</f>
        <v>3613.6348385061619</v>
      </c>
      <c r="P16" s="38"/>
      <c r="Q16" s="38"/>
    </row>
    <row r="17" spans="2:15" x14ac:dyDescent="0.35">
      <c r="B17" s="85" t="s">
        <v>80</v>
      </c>
      <c r="C17" s="71">
        <v>0</v>
      </c>
      <c r="D17" s="71">
        <v>0</v>
      </c>
      <c r="E17" s="71"/>
      <c r="F17" s="71">
        <v>0</v>
      </c>
      <c r="G17" s="71">
        <v>0</v>
      </c>
      <c r="H17" s="71">
        <v>0</v>
      </c>
      <c r="I17" s="71">
        <v>0</v>
      </c>
      <c r="J17" s="71">
        <v>0</v>
      </c>
      <c r="K17" s="71">
        <v>0</v>
      </c>
      <c r="L17" s="71">
        <v>0</v>
      </c>
      <c r="M17" s="71">
        <v>0</v>
      </c>
      <c r="N17" s="71">
        <f>IF(B2="C",IF(O13&gt;'Tax calculations'!$C$19,'Tax calculations'!$E$19+'Tax calculations'!$F$19*(Calculations!O13-'Tax calculations'!$C$19),IF(Calculations!O13&lt;'Tax calculations'!$D$18,'Tax calculations'!L13*'Tax calculations'!#REF!)),O13*5%)</f>
        <v>489.96580641769367</v>
      </c>
      <c r="O17" s="97">
        <f>SUM(C17:N17)</f>
        <v>489.96580641769367</v>
      </c>
    </row>
    <row r="18" spans="2:15" x14ac:dyDescent="0.35">
      <c r="B18" s="101" t="s">
        <v>81</v>
      </c>
      <c r="C18" s="98">
        <f>C15-C16-C17</f>
        <v>575918.16666666663</v>
      </c>
      <c r="D18" s="98">
        <f>D15-D16-D17</f>
        <v>571815.92416666658</v>
      </c>
      <c r="E18" s="98">
        <f>E15-E16-E17</f>
        <v>567693.17045416648</v>
      </c>
      <c r="F18" s="98">
        <f>F15-F16-F17</f>
        <v>563549.80297310394</v>
      </c>
      <c r="G18" s="98">
        <f t="shared" ref="G18:M18" si="4">G15-G16-G17</f>
        <v>559385.71865463606</v>
      </c>
      <c r="H18" s="98">
        <f t="shared" si="4"/>
        <v>555200.81391457585</v>
      </c>
      <c r="I18" s="98">
        <f t="shared" si="4"/>
        <v>550994.98465081537</v>
      </c>
      <c r="J18" s="98">
        <f t="shared" si="4"/>
        <v>546768.12624073611</v>
      </c>
      <c r="K18" s="98">
        <f t="shared" si="4"/>
        <v>542520.13353860646</v>
      </c>
      <c r="L18" s="98">
        <f t="shared" si="4"/>
        <v>538250.90087296616</v>
      </c>
      <c r="M18" s="98">
        <f t="shared" si="4"/>
        <v>533960.32204399758</v>
      </c>
      <c r="N18" s="98">
        <f>N15-N16-N17</f>
        <v>525544.68967596034</v>
      </c>
      <c r="O18" s="105">
        <f>O15</f>
        <v>525544.68967596034</v>
      </c>
    </row>
    <row r="19" spans="2:15" x14ac:dyDescent="0.35">
      <c r="B19" s="82" t="s">
        <v>46</v>
      </c>
      <c r="C19" s="38">
        <f>$C$5</f>
        <v>400000</v>
      </c>
      <c r="D19" s="38">
        <f>C19</f>
        <v>400000</v>
      </c>
      <c r="E19" s="38">
        <f t="shared" ref="E19:N19" si="5">D19</f>
        <v>400000</v>
      </c>
      <c r="F19" s="38">
        <f t="shared" si="5"/>
        <v>400000</v>
      </c>
      <c r="G19" s="38">
        <f t="shared" si="5"/>
        <v>400000</v>
      </c>
      <c r="H19" s="38">
        <f t="shared" si="5"/>
        <v>400000</v>
      </c>
      <c r="I19" s="38">
        <f t="shared" si="5"/>
        <v>400000</v>
      </c>
      <c r="J19" s="38">
        <f t="shared" si="5"/>
        <v>400000</v>
      </c>
      <c r="K19" s="38">
        <f t="shared" si="5"/>
        <v>400000</v>
      </c>
      <c r="L19" s="38">
        <f t="shared" si="5"/>
        <v>400000</v>
      </c>
      <c r="M19" s="38">
        <f t="shared" si="5"/>
        <v>400000</v>
      </c>
      <c r="N19" s="38">
        <f t="shared" si="5"/>
        <v>400000</v>
      </c>
      <c r="O19" s="86">
        <f>N19</f>
        <v>400000</v>
      </c>
    </row>
    <row r="20" spans="2:15" ht="15" thickBot="1" x14ac:dyDescent="0.4">
      <c r="B20" s="87" t="s">
        <v>70</v>
      </c>
      <c r="C20" s="88">
        <f>(C19*$C$6)/12</f>
        <v>2666.6666666666665</v>
      </c>
      <c r="D20" s="88">
        <f>(D19*$C$6)/12</f>
        <v>2666.6666666666665</v>
      </c>
      <c r="E20" s="88">
        <f t="shared" ref="E20:N20" si="6">(E19*$C$6)/12</f>
        <v>2666.6666666666665</v>
      </c>
      <c r="F20" s="88">
        <f t="shared" si="6"/>
        <v>2666.6666666666665</v>
      </c>
      <c r="G20" s="88">
        <f t="shared" si="6"/>
        <v>2666.6666666666665</v>
      </c>
      <c r="H20" s="88">
        <f t="shared" si="6"/>
        <v>2666.6666666666665</v>
      </c>
      <c r="I20" s="88">
        <f t="shared" si="6"/>
        <v>2666.6666666666665</v>
      </c>
      <c r="J20" s="88">
        <f t="shared" si="6"/>
        <v>2666.6666666666665</v>
      </c>
      <c r="K20" s="88">
        <f t="shared" si="6"/>
        <v>2666.6666666666665</v>
      </c>
      <c r="L20" s="88">
        <f t="shared" si="6"/>
        <v>2666.6666666666665</v>
      </c>
      <c r="M20" s="88">
        <f t="shared" si="6"/>
        <v>2666.6666666666665</v>
      </c>
      <c r="N20" s="88">
        <f t="shared" si="6"/>
        <v>2666.6666666666665</v>
      </c>
      <c r="O20" s="89">
        <f>SUM(C20:N20)</f>
        <v>32000.000000000004</v>
      </c>
    </row>
    <row r="21" spans="2:15" ht="15" thickBot="1" x14ac:dyDescent="0.4">
      <c r="C21" s="40"/>
      <c r="D21" s="40"/>
      <c r="E21" s="40"/>
      <c r="F21" s="40"/>
      <c r="G21" s="40"/>
      <c r="H21" s="40"/>
      <c r="I21" s="40"/>
      <c r="J21" s="40"/>
      <c r="K21" s="40"/>
      <c r="L21" s="40"/>
      <c r="M21" s="40"/>
      <c r="N21" s="40"/>
      <c r="O21" s="38"/>
    </row>
    <row r="22" spans="2:15" x14ac:dyDescent="0.35">
      <c r="B22" s="100">
        <v>2022</v>
      </c>
      <c r="C22" s="78">
        <v>1</v>
      </c>
      <c r="D22" s="78">
        <v>2</v>
      </c>
      <c r="E22" s="78">
        <v>3</v>
      </c>
      <c r="F22" s="78">
        <v>4</v>
      </c>
      <c r="G22" s="78">
        <v>5</v>
      </c>
      <c r="H22" s="78">
        <v>6</v>
      </c>
      <c r="I22" s="78">
        <v>7</v>
      </c>
      <c r="J22" s="78">
        <v>8</v>
      </c>
      <c r="K22" s="78">
        <v>9</v>
      </c>
      <c r="L22" s="78">
        <v>10</v>
      </c>
      <c r="M22" s="78">
        <v>11</v>
      </c>
      <c r="N22" s="78">
        <v>12</v>
      </c>
      <c r="O22" s="102" t="s">
        <v>68</v>
      </c>
    </row>
    <row r="23" spans="2:15" x14ac:dyDescent="0.35">
      <c r="B23" s="80" t="s">
        <v>69</v>
      </c>
      <c r="C23" s="73">
        <f>O18</f>
        <v>525544.68967596034</v>
      </c>
      <c r="D23" s="73">
        <f>C29</f>
        <v>521244.91312434012</v>
      </c>
      <c r="E23" s="73">
        <f>D29</f>
        <v>516923.63768996182</v>
      </c>
      <c r="F23" s="73">
        <f>E29</f>
        <v>512580.75587841164</v>
      </c>
      <c r="G23" s="73">
        <f t="shared" ref="G23:N23" si="7">F29</f>
        <v>508216.15965780371</v>
      </c>
      <c r="H23" s="73">
        <f t="shared" si="7"/>
        <v>503829.74045609275</v>
      </c>
      <c r="I23" s="73">
        <f t="shared" si="7"/>
        <v>499421.38915837323</v>
      </c>
      <c r="J23" s="73">
        <f t="shared" si="7"/>
        <v>494990.9961041651</v>
      </c>
      <c r="K23" s="73">
        <f t="shared" si="7"/>
        <v>490538.45108468592</v>
      </c>
      <c r="L23" s="73">
        <f t="shared" si="7"/>
        <v>486063.64334010932</v>
      </c>
      <c r="M23" s="73">
        <f t="shared" si="7"/>
        <v>481566.4615568099</v>
      </c>
      <c r="N23" s="73">
        <f t="shared" si="7"/>
        <v>477046.79386459396</v>
      </c>
      <c r="O23" s="81"/>
    </row>
    <row r="24" spans="2:15" x14ac:dyDescent="0.35">
      <c r="B24" s="82" t="s">
        <v>65</v>
      </c>
      <c r="C24" s="71">
        <f>(C23*$B$6)/12</f>
        <v>2627.7234483798015</v>
      </c>
      <c r="D24" s="71">
        <f>(D23*$B$6)/12</f>
        <v>2606.2245656217005</v>
      </c>
      <c r="E24" s="71">
        <f>(E23*$B$6)/12</f>
        <v>2584.6181884498087</v>
      </c>
      <c r="F24" s="71">
        <f>(F23*$B$6)/12</f>
        <v>2562.9037793920584</v>
      </c>
      <c r="G24" s="71">
        <f t="shared" ref="G24" si="8">(G23*$B$6)/12</f>
        <v>2541.0807982890187</v>
      </c>
      <c r="H24" s="71">
        <f t="shared" ref="H24" si="9">(H23*$B$6)/12</f>
        <v>2519.1487022804636</v>
      </c>
      <c r="I24" s="71">
        <f t="shared" ref="I24" si="10">(I23*$B$6)/12</f>
        <v>2497.1069457918661</v>
      </c>
      <c r="J24" s="71">
        <f t="shared" ref="J24" si="11">(J23*$B$6)/12</f>
        <v>2474.9549805208253</v>
      </c>
      <c r="K24" s="71">
        <f t="shared" ref="K24" si="12">(K23*$B$6)/12</f>
        <v>2452.6922554234293</v>
      </c>
      <c r="L24" s="71">
        <f t="shared" ref="L24" si="13">(L23*$B$6)/12</f>
        <v>2430.3182167005466</v>
      </c>
      <c r="M24" s="71">
        <f t="shared" ref="M24" si="14">(M23*$B$6)/12</f>
        <v>2407.8323077840491</v>
      </c>
      <c r="N24" s="71">
        <f t="shared" ref="N24" si="15">(N23*$B$6)/12</f>
        <v>2385.2339693229696</v>
      </c>
      <c r="O24" s="83">
        <f>SUM(C24:N24)</f>
        <v>30089.838157956539</v>
      </c>
    </row>
    <row r="25" spans="2:15" x14ac:dyDescent="0.35">
      <c r="B25" s="82" t="s">
        <v>45</v>
      </c>
      <c r="C25" s="96">
        <f>($B$7+($B$7*'Tax Rates and Inflation'!C27))/12</f>
        <v>6927.5</v>
      </c>
      <c r="D25" s="38">
        <f>C25</f>
        <v>6927.5</v>
      </c>
      <c r="E25" s="38">
        <f>D25</f>
        <v>6927.5</v>
      </c>
      <c r="F25" s="38">
        <f>E25</f>
        <v>6927.5</v>
      </c>
      <c r="G25" s="38">
        <f t="shared" ref="G25:N25" si="16">F25</f>
        <v>6927.5</v>
      </c>
      <c r="H25" s="38">
        <f t="shared" si="16"/>
        <v>6927.5</v>
      </c>
      <c r="I25" s="38">
        <f t="shared" si="16"/>
        <v>6927.5</v>
      </c>
      <c r="J25" s="38">
        <f t="shared" si="16"/>
        <v>6927.5</v>
      </c>
      <c r="K25" s="38">
        <f t="shared" si="16"/>
        <v>6927.5</v>
      </c>
      <c r="L25" s="38">
        <f t="shared" si="16"/>
        <v>6927.5</v>
      </c>
      <c r="M25" s="38">
        <f t="shared" si="16"/>
        <v>6927.5</v>
      </c>
      <c r="N25" s="38">
        <f t="shared" si="16"/>
        <v>6927.5</v>
      </c>
      <c r="O25" s="86">
        <f>SUM(C25:N25)</f>
        <v>83130</v>
      </c>
    </row>
    <row r="26" spans="2:15" x14ac:dyDescent="0.35">
      <c r="B26" s="101" t="s">
        <v>67</v>
      </c>
      <c r="C26" s="98">
        <f>C23+C24-C25</f>
        <v>521244.91312434012</v>
      </c>
      <c r="D26" s="98">
        <f>D23+D24-D25</f>
        <v>516923.63768996182</v>
      </c>
      <c r="E26" s="98">
        <f>E23+E24-E25</f>
        <v>512580.75587841164</v>
      </c>
      <c r="F26" s="98">
        <f>F23+F24-F25</f>
        <v>508216.15965780371</v>
      </c>
      <c r="G26" s="98">
        <f t="shared" ref="G26" si="17">G23+G24-G25</f>
        <v>503829.74045609275</v>
      </c>
      <c r="H26" s="98">
        <f t="shared" ref="H26" si="18">H23+H24-H25</f>
        <v>499421.38915837323</v>
      </c>
      <c r="I26" s="98">
        <f t="shared" ref="I26" si="19">I23+I24-I25</f>
        <v>494990.9961041651</v>
      </c>
      <c r="J26" s="98">
        <f t="shared" ref="J26" si="20">J23+J24-J25</f>
        <v>490538.45108468592</v>
      </c>
      <c r="K26" s="98">
        <f t="shared" ref="K26" si="21">K23+K24-K25</f>
        <v>486063.64334010932</v>
      </c>
      <c r="L26" s="98">
        <f t="shared" ref="L26" si="22">L23+L24-L25</f>
        <v>481566.4615568099</v>
      </c>
      <c r="M26" s="98">
        <f t="shared" ref="M26" si="23">M23+M24-M25</f>
        <v>477046.79386459396</v>
      </c>
      <c r="N26" s="98">
        <f t="shared" ref="N26" si="24">N23+N24-N25</f>
        <v>472504.52783391695</v>
      </c>
      <c r="O26" s="84">
        <f>N29</f>
        <v>468868.59049180301</v>
      </c>
    </row>
    <row r="27" spans="2:15" x14ac:dyDescent="0.35">
      <c r="B27" s="85" t="s">
        <v>66</v>
      </c>
      <c r="C27" s="71">
        <v>0</v>
      </c>
      <c r="D27" s="71">
        <v>0</v>
      </c>
      <c r="E27" s="71"/>
      <c r="F27" s="71">
        <v>0</v>
      </c>
      <c r="G27" s="71">
        <v>0</v>
      </c>
      <c r="H27" s="71">
        <v>0</v>
      </c>
      <c r="I27" s="71">
        <v>0</v>
      </c>
      <c r="J27" s="71">
        <v>0</v>
      </c>
      <c r="K27" s="71">
        <v>0</v>
      </c>
      <c r="L27" s="71">
        <v>0</v>
      </c>
      <c r="M27" s="71">
        <v>0</v>
      </c>
      <c r="N27" s="71">
        <f>IF(O24&lt;'Tax calculations'!$D$4,O24*'Tax calculations'!$F$4,VLOOKUP(O24,'Tax calculations'!$C$5:$F$10,3,1)+(Calculations!O24-VLOOKUP(O24,'Tax calculations'!$C$5:$F$10,1,1))*VLOOKUP(O24,'Tax calculations'!$C$5:$F$10,4,1))</f>
        <v>3212.7805789547847</v>
      </c>
      <c r="O27" s="83">
        <f>SUM(C27:N27)</f>
        <v>3212.7805789547847</v>
      </c>
    </row>
    <row r="28" spans="2:15" x14ac:dyDescent="0.35">
      <c r="B28" s="85" t="s">
        <v>80</v>
      </c>
      <c r="C28" s="71">
        <v>0</v>
      </c>
      <c r="D28" s="71">
        <v>0</v>
      </c>
      <c r="E28" s="71"/>
      <c r="F28" s="71">
        <v>0</v>
      </c>
      <c r="G28" s="71">
        <v>0</v>
      </c>
      <c r="H28" s="71">
        <v>0</v>
      </c>
      <c r="I28" s="71">
        <v>0</v>
      </c>
      <c r="J28" s="71">
        <v>0</v>
      </c>
      <c r="K28" s="71">
        <v>0</v>
      </c>
      <c r="L28" s="71">
        <v>0</v>
      </c>
      <c r="M28" s="71">
        <v>0</v>
      </c>
      <c r="N28" s="71">
        <f>IF(B2="C",IF(O24&gt;'Tax calculations'!$C$19,'Tax calculations'!$E$19+'Tax calculations'!$F$19*(Calculations!O24-'Tax calculations'!$C$19),IF(Calculations!O24&lt;'Tax calculations'!$D$18,'Tax calculations'!L24*'Tax calculations'!#REF!)),O24*5%)</f>
        <v>423.15676315913083</v>
      </c>
      <c r="O28" s="97">
        <f>SUM(C28:N28)</f>
        <v>423.15676315913083</v>
      </c>
    </row>
    <row r="29" spans="2:15" x14ac:dyDescent="0.35">
      <c r="B29" s="101" t="s">
        <v>81</v>
      </c>
      <c r="C29" s="98">
        <f>C26-C27-C28</f>
        <v>521244.91312434012</v>
      </c>
      <c r="D29" s="98">
        <f>D26-D27-D28</f>
        <v>516923.63768996182</v>
      </c>
      <c r="E29" s="98">
        <f>E26-E27-E28</f>
        <v>512580.75587841164</v>
      </c>
      <c r="F29" s="98">
        <f>F26-F27-F28</f>
        <v>508216.15965780371</v>
      </c>
      <c r="G29" s="98">
        <f t="shared" ref="G29" si="25">G26-G27-G28</f>
        <v>503829.74045609275</v>
      </c>
      <c r="H29" s="98">
        <f t="shared" ref="H29" si="26">H26-H27-H28</f>
        <v>499421.38915837323</v>
      </c>
      <c r="I29" s="98">
        <f t="shared" ref="I29" si="27">I26-I27-I28</f>
        <v>494990.9961041651</v>
      </c>
      <c r="J29" s="98">
        <f t="shared" ref="J29" si="28">J26-J27-J28</f>
        <v>490538.45108468592</v>
      </c>
      <c r="K29" s="98">
        <f t="shared" ref="K29" si="29">K26-K27-K28</f>
        <v>486063.64334010932</v>
      </c>
      <c r="L29" s="98">
        <f t="shared" ref="L29" si="30">L26-L27-L28</f>
        <v>481566.4615568099</v>
      </c>
      <c r="M29" s="98">
        <f t="shared" ref="M29" si="31">M26-M27-M28</f>
        <v>477046.79386459396</v>
      </c>
      <c r="N29" s="98">
        <f>N26-N27-N28</f>
        <v>468868.59049180301</v>
      </c>
      <c r="O29" s="105">
        <f>O26</f>
        <v>468868.59049180301</v>
      </c>
    </row>
    <row r="30" spans="2:15" x14ac:dyDescent="0.35">
      <c r="B30" s="82" t="s">
        <v>46</v>
      </c>
      <c r="C30" s="38">
        <f>O19+O20</f>
        <v>432000</v>
      </c>
      <c r="D30" s="38">
        <f>C30</f>
        <v>432000</v>
      </c>
      <c r="E30" s="38">
        <f t="shared" ref="E30:N30" si="32">D30</f>
        <v>432000</v>
      </c>
      <c r="F30" s="38">
        <f t="shared" si="32"/>
        <v>432000</v>
      </c>
      <c r="G30" s="38">
        <f t="shared" si="32"/>
        <v>432000</v>
      </c>
      <c r="H30" s="38">
        <f t="shared" si="32"/>
        <v>432000</v>
      </c>
      <c r="I30" s="38">
        <f t="shared" si="32"/>
        <v>432000</v>
      </c>
      <c r="J30" s="38">
        <f t="shared" si="32"/>
        <v>432000</v>
      </c>
      <c r="K30" s="38">
        <f t="shared" si="32"/>
        <v>432000</v>
      </c>
      <c r="L30" s="38">
        <f t="shared" si="32"/>
        <v>432000</v>
      </c>
      <c r="M30" s="38">
        <f t="shared" si="32"/>
        <v>432000</v>
      </c>
      <c r="N30" s="38">
        <f t="shared" si="32"/>
        <v>432000</v>
      </c>
      <c r="O30" s="86">
        <f>N30</f>
        <v>432000</v>
      </c>
    </row>
    <row r="31" spans="2:15" ht="15" thickBot="1" x14ac:dyDescent="0.4">
      <c r="B31" s="87" t="s">
        <v>70</v>
      </c>
      <c r="C31" s="88">
        <f>(C30*$C$6)/12</f>
        <v>2880</v>
      </c>
      <c r="D31" s="88">
        <f>(D30*$C$6)/12</f>
        <v>2880</v>
      </c>
      <c r="E31" s="88">
        <f t="shared" ref="E31" si="33">(E30*$C$6)/12</f>
        <v>2880</v>
      </c>
      <c r="F31" s="88">
        <f t="shared" ref="F31" si="34">(F30*$C$6)/12</f>
        <v>2880</v>
      </c>
      <c r="G31" s="88">
        <f t="shared" ref="G31" si="35">(G30*$C$6)/12</f>
        <v>2880</v>
      </c>
      <c r="H31" s="88">
        <f t="shared" ref="H31" si="36">(H30*$C$6)/12</f>
        <v>2880</v>
      </c>
      <c r="I31" s="88">
        <f t="shared" ref="I31" si="37">(I30*$C$6)/12</f>
        <v>2880</v>
      </c>
      <c r="J31" s="88">
        <f t="shared" ref="J31" si="38">(J30*$C$6)/12</f>
        <v>2880</v>
      </c>
      <c r="K31" s="88">
        <f t="shared" ref="K31" si="39">(K30*$C$6)/12</f>
        <v>2880</v>
      </c>
      <c r="L31" s="88">
        <f t="shared" ref="L31" si="40">(L30*$C$6)/12</f>
        <v>2880</v>
      </c>
      <c r="M31" s="88">
        <f t="shared" ref="M31" si="41">(M30*$C$6)/12</f>
        <v>2880</v>
      </c>
      <c r="N31" s="88">
        <f t="shared" ref="N31" si="42">(N30*$C$6)/12</f>
        <v>2880</v>
      </c>
      <c r="O31" s="89">
        <f>SUM(C31:N31)</f>
        <v>34560</v>
      </c>
    </row>
    <row r="32" spans="2:15" ht="15" thickBot="1" x14ac:dyDescent="0.4"/>
    <row r="33" spans="2:15" x14ac:dyDescent="0.35">
      <c r="B33" s="100">
        <v>2023</v>
      </c>
      <c r="C33" s="78">
        <v>1</v>
      </c>
      <c r="D33" s="78">
        <v>2</v>
      </c>
      <c r="E33" s="78">
        <v>3</v>
      </c>
      <c r="F33" s="78">
        <v>4</v>
      </c>
      <c r="G33" s="78">
        <v>5</v>
      </c>
      <c r="H33" s="78">
        <v>6</v>
      </c>
      <c r="I33" s="78">
        <v>7</v>
      </c>
      <c r="J33" s="78">
        <v>8</v>
      </c>
      <c r="K33" s="78">
        <v>9</v>
      </c>
      <c r="L33" s="78">
        <v>10</v>
      </c>
      <c r="M33" s="78">
        <v>11</v>
      </c>
      <c r="N33" s="78">
        <v>12</v>
      </c>
      <c r="O33" s="79" t="s">
        <v>71</v>
      </c>
    </row>
    <row r="34" spans="2:15" x14ac:dyDescent="0.35">
      <c r="B34" s="80" t="s">
        <v>69</v>
      </c>
      <c r="C34" s="73">
        <f>O29</f>
        <v>468868.59049180301</v>
      </c>
      <c r="D34" s="73">
        <f>C40</f>
        <v>464271.8501109287</v>
      </c>
      <c r="E34" s="73">
        <f>D40</f>
        <v>459652.12602815003</v>
      </c>
      <c r="F34" s="73">
        <f>E40</f>
        <v>455009.30332495744</v>
      </c>
      <c r="G34" s="73">
        <f t="shared" ref="G34:N34" si="43">F40</f>
        <v>450343.26650824893</v>
      </c>
      <c r="H34" s="73">
        <f t="shared" si="43"/>
        <v>445653.89950745687</v>
      </c>
      <c r="I34" s="73">
        <f t="shared" si="43"/>
        <v>440941.08567166084</v>
      </c>
      <c r="J34" s="73">
        <f t="shared" si="43"/>
        <v>436204.70776668581</v>
      </c>
      <c r="K34" s="73">
        <f t="shared" si="43"/>
        <v>431444.64797218592</v>
      </c>
      <c r="L34" s="73">
        <f t="shared" si="43"/>
        <v>426660.78787871351</v>
      </c>
      <c r="M34" s="73">
        <f t="shared" si="43"/>
        <v>421853.00848477375</v>
      </c>
      <c r="N34" s="73">
        <f t="shared" si="43"/>
        <v>417021.19019386428</v>
      </c>
      <c r="O34" s="81"/>
    </row>
    <row r="35" spans="2:15" x14ac:dyDescent="0.35">
      <c r="B35" s="82" t="s">
        <v>65</v>
      </c>
      <c r="C35" s="71">
        <f>(C34*$B$6)/12</f>
        <v>2344.3429524590151</v>
      </c>
      <c r="D35" s="71">
        <f>(D34*$B$6)/12</f>
        <v>2321.3592505546435</v>
      </c>
      <c r="E35" s="71">
        <f>(E34*$B$6)/12</f>
        <v>2298.26063014075</v>
      </c>
      <c r="F35" s="71">
        <f>(F34*$B$6)/12</f>
        <v>2275.0465166247873</v>
      </c>
      <c r="G35" s="71">
        <f t="shared" ref="G35" si="44">(G34*$B$6)/12</f>
        <v>2251.7163325412444</v>
      </c>
      <c r="H35" s="71">
        <f t="shared" ref="H35" si="45">(H34*$B$6)/12</f>
        <v>2228.2694975372842</v>
      </c>
      <c r="I35" s="71">
        <f t="shared" ref="I35" si="46">(I34*$B$6)/12</f>
        <v>2204.7054283583043</v>
      </c>
      <c r="J35" s="71">
        <f t="shared" ref="J35" si="47">(J34*$B$6)/12</f>
        <v>2181.023538833429</v>
      </c>
      <c r="K35" s="71">
        <f t="shared" ref="K35" si="48">(K34*$B$6)/12</f>
        <v>2157.2232398609294</v>
      </c>
      <c r="L35" s="71">
        <f t="shared" ref="L35" si="49">(L34*$B$6)/12</f>
        <v>2133.3039393935674</v>
      </c>
      <c r="M35" s="71">
        <f t="shared" ref="M35" si="50">(M34*$B$6)/12</f>
        <v>2109.2650424238686</v>
      </c>
      <c r="N35" s="71">
        <f t="shared" ref="N35" si="51">(N34*$B$6)/12</f>
        <v>2085.1059509693214</v>
      </c>
      <c r="O35" s="83">
        <f>SUM(C35:N35)</f>
        <v>26589.622319697144</v>
      </c>
    </row>
    <row r="36" spans="2:15" x14ac:dyDescent="0.35">
      <c r="B36" s="82" t="s">
        <v>45</v>
      </c>
      <c r="C36" s="96">
        <f>($B$7+($B$7*'Tax Rates and Inflation'!C28))/12</f>
        <v>6941.083333333333</v>
      </c>
      <c r="D36" s="38">
        <f>C36</f>
        <v>6941.083333333333</v>
      </c>
      <c r="E36" s="38">
        <f>D36</f>
        <v>6941.083333333333</v>
      </c>
      <c r="F36" s="38">
        <f>E36</f>
        <v>6941.083333333333</v>
      </c>
      <c r="G36" s="38">
        <f t="shared" ref="G36:N36" si="52">F36</f>
        <v>6941.083333333333</v>
      </c>
      <c r="H36" s="38">
        <f t="shared" si="52"/>
        <v>6941.083333333333</v>
      </c>
      <c r="I36" s="38">
        <f t="shared" si="52"/>
        <v>6941.083333333333</v>
      </c>
      <c r="J36" s="38">
        <f t="shared" si="52"/>
        <v>6941.083333333333</v>
      </c>
      <c r="K36" s="38">
        <f t="shared" si="52"/>
        <v>6941.083333333333</v>
      </c>
      <c r="L36" s="38">
        <f t="shared" si="52"/>
        <v>6941.083333333333</v>
      </c>
      <c r="M36" s="38">
        <f t="shared" si="52"/>
        <v>6941.083333333333</v>
      </c>
      <c r="N36" s="38">
        <f t="shared" si="52"/>
        <v>6941.083333333333</v>
      </c>
      <c r="O36" s="86">
        <f>SUM(C36:N36)</f>
        <v>83293</v>
      </c>
    </row>
    <row r="37" spans="2:15" x14ac:dyDescent="0.35">
      <c r="B37" s="101" t="s">
        <v>67</v>
      </c>
      <c r="C37" s="98">
        <f>C34+C35-C36</f>
        <v>464271.8501109287</v>
      </c>
      <c r="D37" s="98">
        <f>D34+D35-D36</f>
        <v>459652.12602815003</v>
      </c>
      <c r="E37" s="98">
        <f>E34+E35-E36</f>
        <v>455009.30332495744</v>
      </c>
      <c r="F37" s="98">
        <f>F34+F35-F36</f>
        <v>450343.26650824893</v>
      </c>
      <c r="G37" s="98">
        <f t="shared" ref="G37" si="53">G34+G35-G36</f>
        <v>445653.89950745687</v>
      </c>
      <c r="H37" s="98">
        <f t="shared" ref="H37" si="54">H34+H35-H36</f>
        <v>440941.08567166084</v>
      </c>
      <c r="I37" s="98">
        <f t="shared" ref="I37" si="55">I34+I35-I36</f>
        <v>436204.70776668581</v>
      </c>
      <c r="J37" s="98">
        <f t="shared" ref="J37" si="56">J34+J35-J36</f>
        <v>431444.64797218592</v>
      </c>
      <c r="K37" s="98">
        <f t="shared" ref="K37" si="57">K34+K35-K36</f>
        <v>426660.78787871351</v>
      </c>
      <c r="L37" s="98">
        <f t="shared" ref="L37" si="58">L34+L35-L36</f>
        <v>421853.00848477375</v>
      </c>
      <c r="M37" s="98">
        <f t="shared" ref="M37" si="59">M34+M35-M36</f>
        <v>417021.19019386428</v>
      </c>
      <c r="N37" s="98">
        <f t="shared" ref="N37" si="60">N34+N35-N36</f>
        <v>412165.2128115003</v>
      </c>
      <c r="O37" s="84">
        <f>N40</f>
        <v>409019.30568674265</v>
      </c>
    </row>
    <row r="38" spans="2:15" x14ac:dyDescent="0.35">
      <c r="B38" s="85" t="s">
        <v>66</v>
      </c>
      <c r="C38" s="71">
        <v>0</v>
      </c>
      <c r="D38" s="71">
        <v>0</v>
      </c>
      <c r="E38" s="71"/>
      <c r="F38" s="71">
        <v>0</v>
      </c>
      <c r="G38" s="71">
        <v>0</v>
      </c>
      <c r="H38" s="71">
        <v>0</v>
      </c>
      <c r="I38" s="71">
        <v>0</v>
      </c>
      <c r="J38" s="71">
        <v>0</v>
      </c>
      <c r="K38" s="71">
        <v>0</v>
      </c>
      <c r="L38" s="71">
        <v>0</v>
      </c>
      <c r="M38" s="71">
        <v>0</v>
      </c>
      <c r="N38" s="71">
        <f>IF(O35&lt;'Tax calculations'!$D$4,O35*'Tax calculations'!$F$4,VLOOKUP(O35,'Tax calculations'!$C$5:$F$10,3,1)+(Calculations!O35-VLOOKUP(O35,'Tax calculations'!$C$5:$F$10,1,1))*VLOOKUP(O35,'Tax calculations'!$C$5:$F$10,4,1))</f>
        <v>2792.7546783636571</v>
      </c>
      <c r="O38" s="83">
        <f>SUM(C38:N38)</f>
        <v>2792.7546783636571</v>
      </c>
    </row>
    <row r="39" spans="2:15" x14ac:dyDescent="0.35">
      <c r="B39" s="85" t="s">
        <v>80</v>
      </c>
      <c r="C39" s="71">
        <v>0</v>
      </c>
      <c r="D39" s="71">
        <v>0</v>
      </c>
      <c r="E39" s="71"/>
      <c r="F39" s="71">
        <v>0</v>
      </c>
      <c r="G39" s="71">
        <v>0</v>
      </c>
      <c r="H39" s="71">
        <v>0</v>
      </c>
      <c r="I39" s="71">
        <v>0</v>
      </c>
      <c r="J39" s="71">
        <v>0</v>
      </c>
      <c r="K39" s="71">
        <v>0</v>
      </c>
      <c r="L39" s="71">
        <v>0</v>
      </c>
      <c r="M39" s="71">
        <v>0</v>
      </c>
      <c r="N39" s="71">
        <f>IF(B2="C",IF(O35&gt;'Tax calculations'!$C$19,'Tax calculations'!$E$19+'Tax calculations'!$F$19*(Calculations!O35-'Tax calculations'!$C$19),IF(Calculations!O35&lt;'Tax calculations'!$D$18,'Tax calculations'!L35*'Tax calculations'!#REF!)),O35*5%)</f>
        <v>353.15244639394291</v>
      </c>
      <c r="O39" s="97">
        <f>SUM(C39:N39)</f>
        <v>353.15244639394291</v>
      </c>
    </row>
    <row r="40" spans="2:15" x14ac:dyDescent="0.35">
      <c r="B40" s="101" t="s">
        <v>81</v>
      </c>
      <c r="C40" s="98">
        <f>C37-C38-C39</f>
        <v>464271.8501109287</v>
      </c>
      <c r="D40" s="98">
        <f>D37-D38-D39</f>
        <v>459652.12602815003</v>
      </c>
      <c r="E40" s="98">
        <f>E37-E38-E39</f>
        <v>455009.30332495744</v>
      </c>
      <c r="F40" s="98">
        <f>F37-F38-F39</f>
        <v>450343.26650824893</v>
      </c>
      <c r="G40" s="98">
        <f t="shared" ref="G40" si="61">G37-G38-G39</f>
        <v>445653.89950745687</v>
      </c>
      <c r="H40" s="98">
        <f t="shared" ref="H40" si="62">H37-H38-H39</f>
        <v>440941.08567166084</v>
      </c>
      <c r="I40" s="98">
        <f t="shared" ref="I40" si="63">I37-I38-I39</f>
        <v>436204.70776668581</v>
      </c>
      <c r="J40" s="98">
        <f t="shared" ref="J40" si="64">J37-J38-J39</f>
        <v>431444.64797218592</v>
      </c>
      <c r="K40" s="98">
        <f t="shared" ref="K40" si="65">K37-K38-K39</f>
        <v>426660.78787871351</v>
      </c>
      <c r="L40" s="98">
        <f t="shared" ref="L40" si="66">L37-L38-L39</f>
        <v>421853.00848477375</v>
      </c>
      <c r="M40" s="98">
        <f t="shared" ref="M40" si="67">M37-M38-M39</f>
        <v>417021.19019386428</v>
      </c>
      <c r="N40" s="98">
        <f>N37-N38-N39</f>
        <v>409019.30568674265</v>
      </c>
      <c r="O40" s="105">
        <f>O37</f>
        <v>409019.30568674265</v>
      </c>
    </row>
    <row r="41" spans="2:15" x14ac:dyDescent="0.35">
      <c r="B41" s="82" t="s">
        <v>46</v>
      </c>
      <c r="C41" s="38">
        <f>O30+O31</f>
        <v>466560</v>
      </c>
      <c r="D41" s="38">
        <f>C41</f>
        <v>466560</v>
      </c>
      <c r="E41" s="38">
        <f t="shared" ref="E41:N41" si="68">D41</f>
        <v>466560</v>
      </c>
      <c r="F41" s="38">
        <f t="shared" si="68"/>
        <v>466560</v>
      </c>
      <c r="G41" s="38">
        <f t="shared" si="68"/>
        <v>466560</v>
      </c>
      <c r="H41" s="38">
        <f t="shared" si="68"/>
        <v>466560</v>
      </c>
      <c r="I41" s="38">
        <f t="shared" si="68"/>
        <v>466560</v>
      </c>
      <c r="J41" s="38">
        <f t="shared" si="68"/>
        <v>466560</v>
      </c>
      <c r="K41" s="38">
        <f t="shared" si="68"/>
        <v>466560</v>
      </c>
      <c r="L41" s="38">
        <f t="shared" si="68"/>
        <v>466560</v>
      </c>
      <c r="M41" s="38">
        <f t="shared" si="68"/>
        <v>466560</v>
      </c>
      <c r="N41" s="38">
        <f t="shared" si="68"/>
        <v>466560</v>
      </c>
      <c r="O41" s="86">
        <f>N41</f>
        <v>466560</v>
      </c>
    </row>
    <row r="42" spans="2:15" ht="15" thickBot="1" x14ac:dyDescent="0.4">
      <c r="B42" s="87" t="s">
        <v>70</v>
      </c>
      <c r="C42" s="88">
        <f>(C41*$C$6)/12</f>
        <v>3110.4</v>
      </c>
      <c r="D42" s="88">
        <f>(D41*$C$6)/12</f>
        <v>3110.4</v>
      </c>
      <c r="E42" s="88">
        <f t="shared" ref="E42" si="69">(E41*$C$6)/12</f>
        <v>3110.4</v>
      </c>
      <c r="F42" s="88">
        <f t="shared" ref="F42" si="70">(F41*$C$6)/12</f>
        <v>3110.4</v>
      </c>
      <c r="G42" s="88">
        <f t="shared" ref="G42" si="71">(G41*$C$6)/12</f>
        <v>3110.4</v>
      </c>
      <c r="H42" s="88">
        <f t="shared" ref="H42" si="72">(H41*$C$6)/12</f>
        <v>3110.4</v>
      </c>
      <c r="I42" s="88">
        <f t="shared" ref="I42" si="73">(I41*$C$6)/12</f>
        <v>3110.4</v>
      </c>
      <c r="J42" s="88">
        <f t="shared" ref="J42" si="74">(J41*$C$6)/12</f>
        <v>3110.4</v>
      </c>
      <c r="K42" s="88">
        <f t="shared" ref="K42" si="75">(K41*$C$6)/12</f>
        <v>3110.4</v>
      </c>
      <c r="L42" s="88">
        <f t="shared" ref="L42" si="76">(L41*$C$6)/12</f>
        <v>3110.4</v>
      </c>
      <c r="M42" s="88">
        <f t="shared" ref="M42" si="77">(M41*$C$6)/12</f>
        <v>3110.4</v>
      </c>
      <c r="N42" s="88">
        <f t="shared" ref="N42" si="78">(N41*$C$6)/12</f>
        <v>3110.4</v>
      </c>
      <c r="O42" s="89">
        <f>SUM(C42:N42)</f>
        <v>37324.80000000001</v>
      </c>
    </row>
    <row r="43" spans="2:15" ht="15" thickBot="1" x14ac:dyDescent="0.4"/>
    <row r="44" spans="2:15" x14ac:dyDescent="0.35">
      <c r="B44" s="100">
        <v>2024</v>
      </c>
      <c r="C44" s="78">
        <v>1</v>
      </c>
      <c r="D44" s="78">
        <v>2</v>
      </c>
      <c r="E44" s="78">
        <v>3</v>
      </c>
      <c r="F44" s="78">
        <v>4</v>
      </c>
      <c r="G44" s="78">
        <v>5</v>
      </c>
      <c r="H44" s="78">
        <v>6</v>
      </c>
      <c r="I44" s="78">
        <v>7</v>
      </c>
      <c r="J44" s="78">
        <v>8</v>
      </c>
      <c r="K44" s="78">
        <v>9</v>
      </c>
      <c r="L44" s="78">
        <v>10</v>
      </c>
      <c r="M44" s="78">
        <v>11</v>
      </c>
      <c r="N44" s="78">
        <v>12</v>
      </c>
      <c r="O44" s="79" t="s">
        <v>73</v>
      </c>
    </row>
    <row r="45" spans="2:15" x14ac:dyDescent="0.35">
      <c r="B45" s="80" t="s">
        <v>69</v>
      </c>
      <c r="C45" s="73">
        <f>O40</f>
        <v>409019.30568674265</v>
      </c>
      <c r="D45" s="73">
        <f>C51</f>
        <v>404123.31888184306</v>
      </c>
      <c r="E45" s="73">
        <f>D51</f>
        <v>399202.85214291897</v>
      </c>
      <c r="F45" s="73">
        <f>E51</f>
        <v>394257.78307030024</v>
      </c>
      <c r="G45" s="73">
        <f t="shared" ref="G45:N45" si="79">F51</f>
        <v>389287.98865231843</v>
      </c>
      <c r="H45" s="73">
        <f t="shared" si="79"/>
        <v>384293.34526224673</v>
      </c>
      <c r="I45" s="73">
        <f t="shared" si="79"/>
        <v>379273.72865522467</v>
      </c>
      <c r="J45" s="73">
        <f t="shared" si="79"/>
        <v>374229.01396516745</v>
      </c>
      <c r="K45" s="73">
        <f t="shared" si="79"/>
        <v>369159.07570165995</v>
      </c>
      <c r="L45" s="73">
        <f t="shared" si="79"/>
        <v>364063.78774683492</v>
      </c>
      <c r="M45" s="73">
        <f t="shared" si="79"/>
        <v>358943.02335223579</v>
      </c>
      <c r="N45" s="73">
        <f t="shared" si="79"/>
        <v>353796.65513566363</v>
      </c>
      <c r="O45" s="81"/>
    </row>
    <row r="46" spans="2:15" x14ac:dyDescent="0.35">
      <c r="B46" s="82" t="s">
        <v>65</v>
      </c>
      <c r="C46" s="71">
        <f>(C45*$B$6)/12</f>
        <v>2045.0965284337133</v>
      </c>
      <c r="D46" s="71">
        <f>(D45*$B$6)/12</f>
        <v>2020.6165944092154</v>
      </c>
      <c r="E46" s="71">
        <f>(E45*$B$6)/12</f>
        <v>1996.0142607145947</v>
      </c>
      <c r="F46" s="71">
        <f>(F45*$B$6)/12</f>
        <v>1971.2889153515009</v>
      </c>
      <c r="G46" s="71">
        <f t="shared" ref="G46" si="80">(G45*$B$6)/12</f>
        <v>1946.4399432615919</v>
      </c>
      <c r="H46" s="71">
        <f t="shared" ref="H46" si="81">(H45*$B$6)/12</f>
        <v>1921.4667263112335</v>
      </c>
      <c r="I46" s="71">
        <f t="shared" ref="I46" si="82">(I45*$B$6)/12</f>
        <v>1896.3686432761233</v>
      </c>
      <c r="J46" s="71">
        <f t="shared" ref="J46" si="83">(J45*$B$6)/12</f>
        <v>1871.145069825837</v>
      </c>
      <c r="K46" s="71">
        <f t="shared" ref="K46" si="84">(K45*$B$6)/12</f>
        <v>1845.7953785082998</v>
      </c>
      <c r="L46" s="71">
        <f t="shared" ref="L46" si="85">(L45*$B$6)/12</f>
        <v>1820.3189387341745</v>
      </c>
      <c r="M46" s="71">
        <f t="shared" ref="M46" si="86">(M45*$B$6)/12</f>
        <v>1794.7151167611789</v>
      </c>
      <c r="N46" s="71">
        <f t="shared" ref="N46" si="87">(N45*$B$6)/12</f>
        <v>1768.983275678318</v>
      </c>
      <c r="O46" s="83">
        <f>SUM(C46:N46)</f>
        <v>22898.249391265781</v>
      </c>
    </row>
    <row r="47" spans="2:15" x14ac:dyDescent="0.35">
      <c r="B47" s="82" t="s">
        <v>45</v>
      </c>
      <c r="C47" s="96">
        <f>($B$7+($B$7*'Tax Rates and Inflation'!C29))/12</f>
        <v>6941.083333333333</v>
      </c>
      <c r="D47" s="38">
        <f>C47</f>
        <v>6941.083333333333</v>
      </c>
      <c r="E47" s="38">
        <f>D47</f>
        <v>6941.083333333333</v>
      </c>
      <c r="F47" s="38">
        <f>E47</f>
        <v>6941.083333333333</v>
      </c>
      <c r="G47" s="38">
        <f t="shared" ref="G47:N47" si="88">F47</f>
        <v>6941.083333333333</v>
      </c>
      <c r="H47" s="38">
        <f t="shared" si="88"/>
        <v>6941.083333333333</v>
      </c>
      <c r="I47" s="38">
        <f t="shared" si="88"/>
        <v>6941.083333333333</v>
      </c>
      <c r="J47" s="38">
        <f t="shared" si="88"/>
        <v>6941.083333333333</v>
      </c>
      <c r="K47" s="38">
        <f t="shared" si="88"/>
        <v>6941.083333333333</v>
      </c>
      <c r="L47" s="38">
        <f t="shared" si="88"/>
        <v>6941.083333333333</v>
      </c>
      <c r="M47" s="38">
        <f t="shared" si="88"/>
        <v>6941.083333333333</v>
      </c>
      <c r="N47" s="38">
        <f t="shared" si="88"/>
        <v>6941.083333333333</v>
      </c>
      <c r="O47" s="86">
        <f>SUM(C47:N47)</f>
        <v>83293</v>
      </c>
    </row>
    <row r="48" spans="2:15" x14ac:dyDescent="0.35">
      <c r="B48" s="101" t="s">
        <v>67</v>
      </c>
      <c r="C48" s="98">
        <f>C45+C46-C47</f>
        <v>404123.31888184306</v>
      </c>
      <c r="D48" s="98">
        <f>D45+D46-D47</f>
        <v>399202.85214291897</v>
      </c>
      <c r="E48" s="98">
        <f>E45+E46-E47</f>
        <v>394257.78307030024</v>
      </c>
      <c r="F48" s="98">
        <f>F45+F46-F47</f>
        <v>389287.98865231843</v>
      </c>
      <c r="G48" s="98">
        <f t="shared" ref="G48" si="89">G45+G46-G47</f>
        <v>384293.34526224673</v>
      </c>
      <c r="H48" s="98">
        <f t="shared" ref="H48" si="90">H45+H46-H47</f>
        <v>379273.72865522467</v>
      </c>
      <c r="I48" s="98">
        <f t="shared" ref="I48" si="91">I45+I46-I47</f>
        <v>374229.01396516745</v>
      </c>
      <c r="J48" s="98">
        <f t="shared" ref="J48" si="92">J45+J46-J47</f>
        <v>369159.07570165995</v>
      </c>
      <c r="K48" s="98">
        <f t="shared" ref="K48" si="93">K45+K46-K47</f>
        <v>364063.78774683492</v>
      </c>
      <c r="L48" s="98">
        <f t="shared" ref="L48" si="94">L45+L46-L47</f>
        <v>358943.02335223579</v>
      </c>
      <c r="M48" s="98">
        <f t="shared" ref="M48" si="95">M45+M46-M47</f>
        <v>353796.65513566363</v>
      </c>
      <c r="N48" s="98">
        <f t="shared" ref="N48" si="96">N45+N46-N47</f>
        <v>348624.55507800862</v>
      </c>
      <c r="O48" s="84">
        <f>N51</f>
        <v>345995.44016323145</v>
      </c>
    </row>
    <row r="49" spans="2:15" x14ac:dyDescent="0.35">
      <c r="B49" s="85" t="s">
        <v>66</v>
      </c>
      <c r="C49" s="71">
        <v>0</v>
      </c>
      <c r="D49" s="71">
        <v>0</v>
      </c>
      <c r="E49" s="71"/>
      <c r="F49" s="71">
        <v>0</v>
      </c>
      <c r="G49" s="71">
        <v>0</v>
      </c>
      <c r="H49" s="71">
        <v>0</v>
      </c>
      <c r="I49" s="71">
        <v>0</v>
      </c>
      <c r="J49" s="71">
        <v>0</v>
      </c>
      <c r="K49" s="71">
        <v>0</v>
      </c>
      <c r="L49" s="71">
        <v>0</v>
      </c>
      <c r="M49" s="71">
        <v>0</v>
      </c>
      <c r="N49" s="71">
        <f>IF(O46&lt;'Tax calculations'!$D$4,O46*'Tax calculations'!$F$4,VLOOKUP(O46,'Tax calculations'!$C$5:$F$10,3,1)+(Calculations!O46-VLOOKUP(O46,'Tax calculations'!$C$5:$F$10,1,1))*VLOOKUP(O46,'Tax calculations'!$C$5:$F$10,4,1))</f>
        <v>2349.7899269518939</v>
      </c>
      <c r="O49" s="83">
        <f>SUM(C49:N49)</f>
        <v>2349.7899269518939</v>
      </c>
    </row>
    <row r="50" spans="2:15" x14ac:dyDescent="0.35">
      <c r="B50" s="85" t="s">
        <v>80</v>
      </c>
      <c r="C50" s="71">
        <v>0</v>
      </c>
      <c r="D50" s="71">
        <v>0</v>
      </c>
      <c r="E50" s="71"/>
      <c r="F50" s="71">
        <v>0</v>
      </c>
      <c r="G50" s="71">
        <v>0</v>
      </c>
      <c r="H50" s="71">
        <v>0</v>
      </c>
      <c r="I50" s="71">
        <v>0</v>
      </c>
      <c r="J50" s="71">
        <v>0</v>
      </c>
      <c r="K50" s="71">
        <v>0</v>
      </c>
      <c r="L50" s="71">
        <v>0</v>
      </c>
      <c r="M50" s="71">
        <v>0</v>
      </c>
      <c r="N50" s="71">
        <f>IF(B2="C",IF(O46&gt;'Tax calculations'!$C$19,'Tax calculations'!$E$19+'Tax calculations'!$F$19*(Calculations!O46-'Tax calculations'!$C$19),IF(Calculations!O46&lt;'Tax calculations'!$D$18,'Tax calculations'!L46*'Tax calculations'!#REF!)),O46*5%)</f>
        <v>279.32498782531565</v>
      </c>
      <c r="O50" s="97">
        <f>SUM(C50:N50)</f>
        <v>279.32498782531565</v>
      </c>
    </row>
    <row r="51" spans="2:15" x14ac:dyDescent="0.35">
      <c r="B51" s="101" t="s">
        <v>81</v>
      </c>
      <c r="C51" s="98">
        <f>C48-C49-C50</f>
        <v>404123.31888184306</v>
      </c>
      <c r="D51" s="98">
        <f>D48-D49-D50</f>
        <v>399202.85214291897</v>
      </c>
      <c r="E51" s="98">
        <f>E48-E49-E50</f>
        <v>394257.78307030024</v>
      </c>
      <c r="F51" s="98">
        <f>F48-F49-F50</f>
        <v>389287.98865231843</v>
      </c>
      <c r="G51" s="98">
        <f t="shared" ref="G51" si="97">G48-G49-G50</f>
        <v>384293.34526224673</v>
      </c>
      <c r="H51" s="98">
        <f t="shared" ref="H51" si="98">H48-H49-H50</f>
        <v>379273.72865522467</v>
      </c>
      <c r="I51" s="98">
        <f t="shared" ref="I51" si="99">I48-I49-I50</f>
        <v>374229.01396516745</v>
      </c>
      <c r="J51" s="98">
        <f t="shared" ref="J51" si="100">J48-J49-J50</f>
        <v>369159.07570165995</v>
      </c>
      <c r="K51" s="98">
        <f t="shared" ref="K51" si="101">K48-K49-K50</f>
        <v>364063.78774683492</v>
      </c>
      <c r="L51" s="98">
        <f t="shared" ref="L51" si="102">L48-L49-L50</f>
        <v>358943.02335223579</v>
      </c>
      <c r="M51" s="98">
        <f t="shared" ref="M51" si="103">M48-M49-M50</f>
        <v>353796.65513566363</v>
      </c>
      <c r="N51" s="98">
        <f>N48-N49-N50</f>
        <v>345995.44016323145</v>
      </c>
      <c r="O51" s="105">
        <f>O48</f>
        <v>345995.44016323145</v>
      </c>
    </row>
    <row r="52" spans="2:15" x14ac:dyDescent="0.35">
      <c r="B52" s="82" t="s">
        <v>46</v>
      </c>
      <c r="C52" s="38">
        <f>O41+O42</f>
        <v>503884.79999999999</v>
      </c>
      <c r="D52" s="38">
        <f>C52</f>
        <v>503884.79999999999</v>
      </c>
      <c r="E52" s="38">
        <f t="shared" ref="E52:N52" si="104">D52</f>
        <v>503884.79999999999</v>
      </c>
      <c r="F52" s="38">
        <f t="shared" si="104"/>
        <v>503884.79999999999</v>
      </c>
      <c r="G52" s="38">
        <f t="shared" si="104"/>
        <v>503884.79999999999</v>
      </c>
      <c r="H52" s="38">
        <f t="shared" si="104"/>
        <v>503884.79999999999</v>
      </c>
      <c r="I52" s="38">
        <f t="shared" si="104"/>
        <v>503884.79999999999</v>
      </c>
      <c r="J52" s="38">
        <f t="shared" si="104"/>
        <v>503884.79999999999</v>
      </c>
      <c r="K52" s="38">
        <f t="shared" si="104"/>
        <v>503884.79999999999</v>
      </c>
      <c r="L52" s="38">
        <f t="shared" si="104"/>
        <v>503884.79999999999</v>
      </c>
      <c r="M52" s="38">
        <f t="shared" si="104"/>
        <v>503884.79999999999</v>
      </c>
      <c r="N52" s="38">
        <f t="shared" si="104"/>
        <v>503884.79999999999</v>
      </c>
      <c r="O52" s="86">
        <f>N52</f>
        <v>503884.79999999999</v>
      </c>
    </row>
    <row r="53" spans="2:15" ht="15" thickBot="1" x14ac:dyDescent="0.4">
      <c r="B53" s="87" t="s">
        <v>70</v>
      </c>
      <c r="C53" s="88">
        <f>(C52*$C$6)/12</f>
        <v>3359.232</v>
      </c>
      <c r="D53" s="88">
        <f>(D52*$C$6)/12</f>
        <v>3359.232</v>
      </c>
      <c r="E53" s="88">
        <f t="shared" ref="E53" si="105">(E52*$C$6)/12</f>
        <v>3359.232</v>
      </c>
      <c r="F53" s="88">
        <f t="shared" ref="F53" si="106">(F52*$C$6)/12</f>
        <v>3359.232</v>
      </c>
      <c r="G53" s="88">
        <f t="shared" ref="G53" si="107">(G52*$C$6)/12</f>
        <v>3359.232</v>
      </c>
      <c r="H53" s="88">
        <f t="shared" ref="H53" si="108">(H52*$C$6)/12</f>
        <v>3359.232</v>
      </c>
      <c r="I53" s="88">
        <f t="shared" ref="I53" si="109">(I52*$C$6)/12</f>
        <v>3359.232</v>
      </c>
      <c r="J53" s="88">
        <f t="shared" ref="J53" si="110">(J52*$C$6)/12</f>
        <v>3359.232</v>
      </c>
      <c r="K53" s="88">
        <f t="shared" ref="K53" si="111">(K52*$C$6)/12</f>
        <v>3359.232</v>
      </c>
      <c r="L53" s="88">
        <f t="shared" ref="L53" si="112">(L52*$C$6)/12</f>
        <v>3359.232</v>
      </c>
      <c r="M53" s="88">
        <f t="shared" ref="M53" si="113">(M52*$C$6)/12</f>
        <v>3359.232</v>
      </c>
      <c r="N53" s="88">
        <f t="shared" ref="N53" si="114">(N52*$C$6)/12</f>
        <v>3359.232</v>
      </c>
      <c r="O53" s="89">
        <f>SUM(C53:N53)</f>
        <v>40310.784</v>
      </c>
    </row>
    <row r="54" spans="2:15" ht="15" thickBot="1" x14ac:dyDescent="0.4"/>
    <row r="55" spans="2:15" x14ac:dyDescent="0.35">
      <c r="B55" s="100">
        <v>2025</v>
      </c>
      <c r="C55" s="78">
        <v>1</v>
      </c>
      <c r="D55" s="78">
        <v>2</v>
      </c>
      <c r="E55" s="78">
        <v>3</v>
      </c>
      <c r="F55" s="78">
        <v>4</v>
      </c>
      <c r="G55" s="78">
        <v>5</v>
      </c>
      <c r="H55" s="78">
        <v>6</v>
      </c>
      <c r="I55" s="78">
        <v>7</v>
      </c>
      <c r="J55" s="78">
        <v>8</v>
      </c>
      <c r="K55" s="78">
        <v>9</v>
      </c>
      <c r="L55" s="78">
        <v>10</v>
      </c>
      <c r="M55" s="78">
        <v>11</v>
      </c>
      <c r="N55" s="78">
        <v>12</v>
      </c>
      <c r="O55" s="79" t="s">
        <v>74</v>
      </c>
    </row>
    <row r="56" spans="2:15" x14ac:dyDescent="0.35">
      <c r="B56" s="80" t="s">
        <v>69</v>
      </c>
      <c r="C56" s="73">
        <f>O51</f>
        <v>345995.44016323145</v>
      </c>
      <c r="D56" s="73">
        <f>C62</f>
        <v>340784.33403071429</v>
      </c>
      <c r="E56" s="73">
        <f>D62</f>
        <v>335547.17236753454</v>
      </c>
      <c r="F56" s="73">
        <f>E62</f>
        <v>330283.82489603892</v>
      </c>
      <c r="G56" s="73">
        <f t="shared" ref="G56:N56" si="115">F62</f>
        <v>324994.16068718582</v>
      </c>
      <c r="H56" s="73">
        <f t="shared" si="115"/>
        <v>319678.04815728846</v>
      </c>
      <c r="I56" s="73">
        <f t="shared" si="115"/>
        <v>314335.35506474157</v>
      </c>
      <c r="J56" s="73">
        <f t="shared" si="115"/>
        <v>308965.94850673195</v>
      </c>
      <c r="K56" s="73">
        <f t="shared" si="115"/>
        <v>303569.69491593231</v>
      </c>
      <c r="L56" s="73">
        <f t="shared" si="115"/>
        <v>298146.46005717869</v>
      </c>
      <c r="M56" s="73">
        <f t="shared" si="115"/>
        <v>292696.10902413126</v>
      </c>
      <c r="N56" s="73">
        <f t="shared" si="115"/>
        <v>287218.50623591861</v>
      </c>
      <c r="O56" s="81"/>
    </row>
    <row r="57" spans="2:15" x14ac:dyDescent="0.35">
      <c r="B57" s="82" t="s">
        <v>65</v>
      </c>
      <c r="C57" s="71">
        <f>(C56*$B$6)/12</f>
        <v>1729.9772008161572</v>
      </c>
      <c r="D57" s="71">
        <f>(D56*$B$6)/12</f>
        <v>1703.9216701535715</v>
      </c>
      <c r="E57" s="71">
        <f>(E56*$B$6)/12</f>
        <v>1677.7358618376727</v>
      </c>
      <c r="F57" s="71">
        <f>(F56*$B$6)/12</f>
        <v>1651.4191244801943</v>
      </c>
      <c r="G57" s="71">
        <f t="shared" ref="G57" si="116">(G56*$B$6)/12</f>
        <v>1624.9708034359292</v>
      </c>
      <c r="H57" s="71">
        <f t="shared" ref="H57" si="117">(H56*$B$6)/12</f>
        <v>1598.3902407864423</v>
      </c>
      <c r="I57" s="71">
        <f t="shared" ref="I57" si="118">(I56*$B$6)/12</f>
        <v>1571.6767753237079</v>
      </c>
      <c r="J57" s="71">
        <f t="shared" ref="J57" si="119">(J56*$B$6)/12</f>
        <v>1544.8297425336596</v>
      </c>
      <c r="K57" s="71">
        <f t="shared" ref="K57" si="120">(K56*$B$6)/12</f>
        <v>1517.8484745796616</v>
      </c>
      <c r="L57" s="71">
        <f t="shared" ref="L57" si="121">(L56*$B$6)/12</f>
        <v>1490.7323002858932</v>
      </c>
      <c r="M57" s="71">
        <f t="shared" ref="M57" si="122">(M56*$B$6)/12</f>
        <v>1463.4805451206564</v>
      </c>
      <c r="N57" s="71">
        <f t="shared" ref="N57" si="123">(N56*$B$6)/12</f>
        <v>1436.0925311795929</v>
      </c>
      <c r="O57" s="83">
        <f>SUM(C57:N57)</f>
        <v>19011.07527053314</v>
      </c>
    </row>
    <row r="58" spans="2:15" x14ac:dyDescent="0.35">
      <c r="B58" s="82" t="s">
        <v>45</v>
      </c>
      <c r="C58" s="96">
        <f>($B$7+($B$7*'Tax Rates and Inflation'!C30))/12</f>
        <v>6941.083333333333</v>
      </c>
      <c r="D58" s="38">
        <f>C58</f>
        <v>6941.083333333333</v>
      </c>
      <c r="E58" s="38">
        <f>D58</f>
        <v>6941.083333333333</v>
      </c>
      <c r="F58" s="38">
        <f>E58</f>
        <v>6941.083333333333</v>
      </c>
      <c r="G58" s="38">
        <f t="shared" ref="G58:N58" si="124">F58</f>
        <v>6941.083333333333</v>
      </c>
      <c r="H58" s="38">
        <f t="shared" si="124"/>
        <v>6941.083333333333</v>
      </c>
      <c r="I58" s="38">
        <f t="shared" si="124"/>
        <v>6941.083333333333</v>
      </c>
      <c r="J58" s="38">
        <f t="shared" si="124"/>
        <v>6941.083333333333</v>
      </c>
      <c r="K58" s="38">
        <f t="shared" si="124"/>
        <v>6941.083333333333</v>
      </c>
      <c r="L58" s="38">
        <f t="shared" si="124"/>
        <v>6941.083333333333</v>
      </c>
      <c r="M58" s="38">
        <f t="shared" si="124"/>
        <v>6941.083333333333</v>
      </c>
      <c r="N58" s="38">
        <f t="shared" si="124"/>
        <v>6941.083333333333</v>
      </c>
      <c r="O58" s="86">
        <f>SUM(C58:N58)</f>
        <v>83293</v>
      </c>
    </row>
    <row r="59" spans="2:15" x14ac:dyDescent="0.35">
      <c r="B59" s="101" t="s">
        <v>67</v>
      </c>
      <c r="C59" s="98">
        <f>C56+C57-C58</f>
        <v>340784.33403071429</v>
      </c>
      <c r="D59" s="98">
        <f>D56+D57-D58</f>
        <v>335547.17236753454</v>
      </c>
      <c r="E59" s="98">
        <f>E56+E57-E58</f>
        <v>330283.82489603892</v>
      </c>
      <c r="F59" s="98">
        <f>F56+F57-F58</f>
        <v>324994.16068718582</v>
      </c>
      <c r="G59" s="98">
        <f t="shared" ref="G59" si="125">G56+G57-G58</f>
        <v>319678.04815728846</v>
      </c>
      <c r="H59" s="98">
        <f t="shared" ref="H59" si="126">H56+H57-H58</f>
        <v>314335.35506474157</v>
      </c>
      <c r="I59" s="98">
        <f t="shared" ref="I59" si="127">I56+I57-I58</f>
        <v>308965.94850673195</v>
      </c>
      <c r="J59" s="98">
        <f t="shared" ref="J59" si="128">J56+J57-J58</f>
        <v>303569.69491593231</v>
      </c>
      <c r="K59" s="98">
        <f t="shared" ref="K59" si="129">K56+K57-K58</f>
        <v>298146.46005717869</v>
      </c>
      <c r="L59" s="98">
        <f t="shared" ref="L59" si="130">L56+L57-L58</f>
        <v>292696.10902413126</v>
      </c>
      <c r="M59" s="98">
        <f t="shared" ref="M59" si="131">M56+M57-M58</f>
        <v>287218.50623591861</v>
      </c>
      <c r="N59" s="98">
        <f t="shared" ref="N59" si="132">N56+N57-N58</f>
        <v>281713.5154337649</v>
      </c>
      <c r="O59" s="84">
        <f>N62</f>
        <v>279610.8264013009</v>
      </c>
    </row>
    <row r="60" spans="2:15" x14ac:dyDescent="0.35">
      <c r="B60" s="85" t="s">
        <v>66</v>
      </c>
      <c r="C60" s="71">
        <v>0</v>
      </c>
      <c r="D60" s="71">
        <v>0</v>
      </c>
      <c r="E60" s="71"/>
      <c r="F60" s="71">
        <v>0</v>
      </c>
      <c r="G60" s="71">
        <v>0</v>
      </c>
      <c r="H60" s="71">
        <v>0</v>
      </c>
      <c r="I60" s="71">
        <v>0</v>
      </c>
      <c r="J60" s="71">
        <v>0</v>
      </c>
      <c r="K60" s="71">
        <v>0</v>
      </c>
      <c r="L60" s="71">
        <v>0</v>
      </c>
      <c r="M60" s="71">
        <v>0</v>
      </c>
      <c r="N60" s="71">
        <f>IF(O57&lt;'Tax calculations'!$D$4,O57*'Tax calculations'!$F$4,VLOOKUP(O57,'Tax calculations'!$C$5:$F$10,3,1)+(Calculations!O57-VLOOKUP(O57,'Tax calculations'!$C$5:$F$10,1,1))*VLOOKUP(O57,'Tax calculations'!$C$5:$F$10,4,1))</f>
        <v>1901.107527053314</v>
      </c>
      <c r="O60" s="83">
        <f>SUM(C60:N60)</f>
        <v>1901.107527053314</v>
      </c>
    </row>
    <row r="61" spans="2:15" x14ac:dyDescent="0.35">
      <c r="B61" s="85" t="s">
        <v>80</v>
      </c>
      <c r="C61" s="71">
        <v>0</v>
      </c>
      <c r="D61" s="71">
        <v>0</v>
      </c>
      <c r="E61" s="71"/>
      <c r="F61" s="71">
        <v>0</v>
      </c>
      <c r="G61" s="71">
        <v>0</v>
      </c>
      <c r="H61" s="71">
        <v>0</v>
      </c>
      <c r="I61" s="71">
        <v>0</v>
      </c>
      <c r="J61" s="71">
        <v>0</v>
      </c>
      <c r="K61" s="71">
        <v>0</v>
      </c>
      <c r="L61" s="71">
        <v>0</v>
      </c>
      <c r="M61" s="71">
        <v>0</v>
      </c>
      <c r="N61" s="71">
        <f>IF(B2="C",IF(O57&gt;'Tax calculations'!$C$19,'Tax calculations'!$E$19+'Tax calculations'!$F$19*(Calculations!O57-'Tax calculations'!$C$19),IF(Calculations!O57&lt;'Tax calculations'!$D$18,'Tax calculations'!L57*'Tax calculations'!#REF!)),O57*5%)</f>
        <v>201.5815054106628</v>
      </c>
      <c r="O61" s="97">
        <f>SUM(C61:N61)</f>
        <v>201.5815054106628</v>
      </c>
    </row>
    <row r="62" spans="2:15" x14ac:dyDescent="0.35">
      <c r="B62" s="101" t="s">
        <v>81</v>
      </c>
      <c r="C62" s="98">
        <f>C59-C60-C61</f>
        <v>340784.33403071429</v>
      </c>
      <c r="D62" s="98">
        <f>D59-D60-D61</f>
        <v>335547.17236753454</v>
      </c>
      <c r="E62" s="98">
        <f>E59-E60-E61</f>
        <v>330283.82489603892</v>
      </c>
      <c r="F62" s="98">
        <f>F59-F60-F61</f>
        <v>324994.16068718582</v>
      </c>
      <c r="G62" s="98">
        <f t="shared" ref="G62" si="133">G59-G60-G61</f>
        <v>319678.04815728846</v>
      </c>
      <c r="H62" s="98">
        <f t="shared" ref="H62" si="134">H59-H60-H61</f>
        <v>314335.35506474157</v>
      </c>
      <c r="I62" s="98">
        <f t="shared" ref="I62" si="135">I59-I60-I61</f>
        <v>308965.94850673195</v>
      </c>
      <c r="J62" s="98">
        <f t="shared" ref="J62" si="136">J59-J60-J61</f>
        <v>303569.69491593231</v>
      </c>
      <c r="K62" s="98">
        <f t="shared" ref="K62" si="137">K59-K60-K61</f>
        <v>298146.46005717869</v>
      </c>
      <c r="L62" s="98">
        <f t="shared" ref="L62" si="138">L59-L60-L61</f>
        <v>292696.10902413126</v>
      </c>
      <c r="M62" s="98">
        <f t="shared" ref="M62" si="139">M59-M60-M61</f>
        <v>287218.50623591861</v>
      </c>
      <c r="N62" s="98">
        <f>N59-N60-N61</f>
        <v>279610.8264013009</v>
      </c>
      <c r="O62" s="105">
        <f>O59</f>
        <v>279610.8264013009</v>
      </c>
    </row>
    <row r="63" spans="2:15" x14ac:dyDescent="0.35">
      <c r="B63" s="82" t="s">
        <v>46</v>
      </c>
      <c r="C63" s="38">
        <f>O52+O53</f>
        <v>544195.58400000003</v>
      </c>
      <c r="D63" s="38">
        <f>C63</f>
        <v>544195.58400000003</v>
      </c>
      <c r="E63" s="38">
        <f t="shared" ref="E63:N63" si="140">D63</f>
        <v>544195.58400000003</v>
      </c>
      <c r="F63" s="38">
        <f t="shared" si="140"/>
        <v>544195.58400000003</v>
      </c>
      <c r="G63" s="38">
        <f t="shared" si="140"/>
        <v>544195.58400000003</v>
      </c>
      <c r="H63" s="38">
        <f t="shared" si="140"/>
        <v>544195.58400000003</v>
      </c>
      <c r="I63" s="38">
        <f t="shared" si="140"/>
        <v>544195.58400000003</v>
      </c>
      <c r="J63" s="38">
        <f t="shared" si="140"/>
        <v>544195.58400000003</v>
      </c>
      <c r="K63" s="38">
        <f t="shared" si="140"/>
        <v>544195.58400000003</v>
      </c>
      <c r="L63" s="38">
        <f t="shared" si="140"/>
        <v>544195.58400000003</v>
      </c>
      <c r="M63" s="38">
        <f t="shared" si="140"/>
        <v>544195.58400000003</v>
      </c>
      <c r="N63" s="38">
        <f t="shared" si="140"/>
        <v>544195.58400000003</v>
      </c>
      <c r="O63" s="86">
        <f>N63</f>
        <v>544195.58400000003</v>
      </c>
    </row>
    <row r="64" spans="2:15" ht="15" thickBot="1" x14ac:dyDescent="0.4">
      <c r="B64" s="87" t="s">
        <v>70</v>
      </c>
      <c r="C64" s="88">
        <f>(C63*$C$6)/12</f>
        <v>3627.9705600000002</v>
      </c>
      <c r="D64" s="88">
        <f>(D63*$C$6)/12</f>
        <v>3627.9705600000002</v>
      </c>
      <c r="E64" s="88">
        <f t="shared" ref="E64" si="141">(E63*$C$6)/12</f>
        <v>3627.9705600000002</v>
      </c>
      <c r="F64" s="88">
        <f t="shared" ref="F64" si="142">(F63*$C$6)/12</f>
        <v>3627.9705600000002</v>
      </c>
      <c r="G64" s="88">
        <f t="shared" ref="G64" si="143">(G63*$C$6)/12</f>
        <v>3627.9705600000002</v>
      </c>
      <c r="H64" s="88">
        <f t="shared" ref="H64" si="144">(H63*$C$6)/12</f>
        <v>3627.9705600000002</v>
      </c>
      <c r="I64" s="88">
        <f t="shared" ref="I64" si="145">(I63*$C$6)/12</f>
        <v>3627.9705600000002</v>
      </c>
      <c r="J64" s="88">
        <f t="shared" ref="J64" si="146">(J63*$C$6)/12</f>
        <v>3627.9705600000002</v>
      </c>
      <c r="K64" s="88">
        <f t="shared" ref="K64" si="147">(K63*$C$6)/12</f>
        <v>3627.9705600000002</v>
      </c>
      <c r="L64" s="88">
        <f t="shared" ref="L64" si="148">(L63*$C$6)/12</f>
        <v>3627.9705600000002</v>
      </c>
      <c r="M64" s="88">
        <f t="shared" ref="M64" si="149">(M63*$C$6)/12</f>
        <v>3627.9705600000002</v>
      </c>
      <c r="N64" s="88">
        <f t="shared" ref="N64" si="150">(N63*$C$6)/12</f>
        <v>3627.9705600000002</v>
      </c>
      <c r="O64" s="89">
        <f>SUM(C64:N64)</f>
        <v>43535.646720000012</v>
      </c>
    </row>
    <row r="65" spans="2:15" ht="15" thickBot="1" x14ac:dyDescent="0.4"/>
    <row r="66" spans="2:15" x14ac:dyDescent="0.35">
      <c r="B66" s="100">
        <v>2026</v>
      </c>
      <c r="C66" s="78">
        <v>1</v>
      </c>
      <c r="D66" s="78">
        <v>2</v>
      </c>
      <c r="E66" s="78">
        <v>3</v>
      </c>
      <c r="F66" s="78">
        <v>4</v>
      </c>
      <c r="G66" s="78">
        <v>5</v>
      </c>
      <c r="H66" s="78">
        <v>6</v>
      </c>
      <c r="I66" s="78">
        <v>7</v>
      </c>
      <c r="J66" s="78">
        <v>8</v>
      </c>
      <c r="K66" s="78">
        <v>9</v>
      </c>
      <c r="L66" s="78">
        <v>10</v>
      </c>
      <c r="M66" s="78">
        <v>11</v>
      </c>
      <c r="N66" s="78">
        <v>12</v>
      </c>
      <c r="O66" s="79" t="s">
        <v>75</v>
      </c>
    </row>
    <row r="67" spans="2:15" x14ac:dyDescent="0.35">
      <c r="B67" s="80" t="s">
        <v>69</v>
      </c>
      <c r="C67" s="73">
        <f>O62</f>
        <v>279610.8264013009</v>
      </c>
      <c r="D67" s="73">
        <f>C73</f>
        <v>274074.5888666407</v>
      </c>
      <c r="E67" s="73">
        <f>D73</f>
        <v>268510.67014430719</v>
      </c>
      <c r="F67" s="73">
        <f>E73</f>
        <v>262918.93182836205</v>
      </c>
      <c r="G67" s="73">
        <f t="shared" ref="G67:N67" si="151">F73</f>
        <v>257299.23482083718</v>
      </c>
      <c r="H67" s="73">
        <f t="shared" si="151"/>
        <v>251651.43932827472</v>
      </c>
      <c r="I67" s="73">
        <f t="shared" si="151"/>
        <v>245975.40485824944</v>
      </c>
      <c r="J67" s="73">
        <f t="shared" si="151"/>
        <v>240270.99021587404</v>
      </c>
      <c r="K67" s="73">
        <f t="shared" si="151"/>
        <v>234538.05350028677</v>
      </c>
      <c r="L67" s="73">
        <f t="shared" si="151"/>
        <v>228776.45210112154</v>
      </c>
      <c r="M67" s="73">
        <f t="shared" si="151"/>
        <v>222986.04269496049</v>
      </c>
      <c r="N67" s="73">
        <f t="shared" si="151"/>
        <v>217166.68124176865</v>
      </c>
      <c r="O67" s="81"/>
    </row>
    <row r="68" spans="2:15" x14ac:dyDescent="0.35">
      <c r="B68" s="82" t="s">
        <v>65</v>
      </c>
      <c r="C68" s="71">
        <f>(C67*$B$6)/12</f>
        <v>1398.0541320065047</v>
      </c>
      <c r="D68" s="71">
        <f>(D67*$B$6)/12</f>
        <v>1370.3729443332033</v>
      </c>
      <c r="E68" s="71">
        <f>(E67*$B$6)/12</f>
        <v>1342.5533507215359</v>
      </c>
      <c r="F68" s="71">
        <f>(F67*$B$6)/12</f>
        <v>1314.5946591418103</v>
      </c>
      <c r="G68" s="71">
        <f t="shared" ref="G68" si="152">(G67*$B$6)/12</f>
        <v>1286.4961741041859</v>
      </c>
      <c r="H68" s="71">
        <f t="shared" ref="H68" si="153">(H67*$B$6)/12</f>
        <v>1258.2571966413736</v>
      </c>
      <c r="I68" s="71">
        <f t="shared" ref="I68" si="154">(I67*$B$6)/12</f>
        <v>1229.8770242912472</v>
      </c>
      <c r="J68" s="71">
        <f t="shared" ref="J68" si="155">(J67*$B$6)/12</f>
        <v>1201.3549510793703</v>
      </c>
      <c r="K68" s="71">
        <f t="shared" ref="K68" si="156">(K67*$B$6)/12</f>
        <v>1172.6902675014337</v>
      </c>
      <c r="L68" s="71">
        <f t="shared" ref="L68" si="157">(L67*$B$6)/12</f>
        <v>1143.8822605056077</v>
      </c>
      <c r="M68" s="71">
        <f t="shared" ref="M68" si="158">(M67*$B$6)/12</f>
        <v>1114.9302134748025</v>
      </c>
      <c r="N68" s="71">
        <f t="shared" ref="N68" si="159">(N67*$B$6)/12</f>
        <v>1085.8334062088431</v>
      </c>
      <c r="O68" s="83">
        <f>SUM(C68:N68)</f>
        <v>14918.896580009921</v>
      </c>
    </row>
    <row r="69" spans="2:15" x14ac:dyDescent="0.35">
      <c r="B69" s="82" t="s">
        <v>45</v>
      </c>
      <c r="C69" s="96">
        <f>($B$7+($B$7*'Tax Rates and Inflation'!C31))/12</f>
        <v>6934.291666666667</v>
      </c>
      <c r="D69" s="38">
        <f>C69</f>
        <v>6934.291666666667</v>
      </c>
      <c r="E69" s="38">
        <f>D69</f>
        <v>6934.291666666667</v>
      </c>
      <c r="F69" s="38">
        <f>E69</f>
        <v>6934.291666666667</v>
      </c>
      <c r="G69" s="38">
        <f t="shared" ref="G69:N69" si="160">F69</f>
        <v>6934.291666666667</v>
      </c>
      <c r="H69" s="38">
        <f t="shared" si="160"/>
        <v>6934.291666666667</v>
      </c>
      <c r="I69" s="38">
        <f t="shared" si="160"/>
        <v>6934.291666666667</v>
      </c>
      <c r="J69" s="38">
        <f t="shared" si="160"/>
        <v>6934.291666666667</v>
      </c>
      <c r="K69" s="38">
        <f t="shared" si="160"/>
        <v>6934.291666666667</v>
      </c>
      <c r="L69" s="38">
        <f t="shared" si="160"/>
        <v>6934.291666666667</v>
      </c>
      <c r="M69" s="38">
        <f t="shared" si="160"/>
        <v>6934.291666666667</v>
      </c>
      <c r="N69" s="38">
        <f t="shared" si="160"/>
        <v>6934.291666666667</v>
      </c>
      <c r="O69" s="86">
        <f>SUM(C69:N69)</f>
        <v>83211.5</v>
      </c>
    </row>
    <row r="70" spans="2:15" x14ac:dyDescent="0.35">
      <c r="B70" s="101" t="s">
        <v>67</v>
      </c>
      <c r="C70" s="98">
        <f>C67+C68-C69</f>
        <v>274074.5888666407</v>
      </c>
      <c r="D70" s="98">
        <f>D67+D68-D69</f>
        <v>268510.67014430719</v>
      </c>
      <c r="E70" s="98">
        <f>E67+E68-E69</f>
        <v>262918.93182836205</v>
      </c>
      <c r="F70" s="98">
        <f>F67+F68-F69</f>
        <v>257299.23482083718</v>
      </c>
      <c r="G70" s="98">
        <f t="shared" ref="G70" si="161">G67+G68-G69</f>
        <v>251651.43932827472</v>
      </c>
      <c r="H70" s="98">
        <f t="shared" ref="H70" si="162">H67+H68-H69</f>
        <v>245975.40485824944</v>
      </c>
      <c r="I70" s="98">
        <f t="shared" ref="I70" si="163">I67+I68-I69</f>
        <v>240270.99021587404</v>
      </c>
      <c r="J70" s="98">
        <f t="shared" ref="J70" si="164">J67+J68-J69</f>
        <v>234538.05350028677</v>
      </c>
      <c r="K70" s="98">
        <f t="shared" ref="K70" si="165">K67+K68-K69</f>
        <v>228776.45210112154</v>
      </c>
      <c r="L70" s="98">
        <f t="shared" ref="L70" si="166">L67+L68-L69</f>
        <v>222986.04269496049</v>
      </c>
      <c r="M70" s="98">
        <f t="shared" ref="M70" si="167">M67+M68-M69</f>
        <v>217166.68124176865</v>
      </c>
      <c r="N70" s="98">
        <f t="shared" ref="N70" si="168">N67+N68-N69</f>
        <v>211318.22298131083</v>
      </c>
      <c r="O70" s="84">
        <f>N73</f>
        <v>209677.14435750974</v>
      </c>
    </row>
    <row r="71" spans="2:15" x14ac:dyDescent="0.35">
      <c r="B71" s="85" t="s">
        <v>66</v>
      </c>
      <c r="C71" s="71">
        <v>0</v>
      </c>
      <c r="D71" s="71">
        <v>0</v>
      </c>
      <c r="E71" s="71"/>
      <c r="F71" s="71">
        <v>0</v>
      </c>
      <c r="G71" s="71">
        <v>0</v>
      </c>
      <c r="H71" s="71">
        <v>0</v>
      </c>
      <c r="I71" s="71">
        <v>0</v>
      </c>
      <c r="J71" s="71">
        <v>0</v>
      </c>
      <c r="K71" s="71">
        <v>0</v>
      </c>
      <c r="L71" s="71">
        <v>0</v>
      </c>
      <c r="M71" s="71">
        <v>0</v>
      </c>
      <c r="N71" s="71">
        <f>IF(O68&lt;'Tax calculations'!$D$4,O68*'Tax calculations'!$F$4,VLOOKUP(O68,'Tax calculations'!$C$5:$F$10,3,1)+(Calculations!O68-VLOOKUP(O68,'Tax calculations'!$C$5:$F$10,1,1))*VLOOKUP(O68,'Tax calculations'!$C$5:$F$10,4,1))</f>
        <v>1491.8896580009923</v>
      </c>
      <c r="O71" s="83">
        <f>SUM(C71:N71)</f>
        <v>1491.8896580009923</v>
      </c>
    </row>
    <row r="72" spans="2:15" x14ac:dyDescent="0.35">
      <c r="B72" s="85" t="s">
        <v>80</v>
      </c>
      <c r="C72" s="71">
        <v>0</v>
      </c>
      <c r="D72" s="71">
        <v>0</v>
      </c>
      <c r="E72" s="71"/>
      <c r="F72" s="71">
        <v>0</v>
      </c>
      <c r="G72" s="71">
        <v>0</v>
      </c>
      <c r="H72" s="71">
        <v>0</v>
      </c>
      <c r="I72" s="71">
        <v>0</v>
      </c>
      <c r="J72" s="71">
        <v>0</v>
      </c>
      <c r="K72" s="71">
        <v>0</v>
      </c>
      <c r="L72" s="71">
        <v>0</v>
      </c>
      <c r="M72" s="71">
        <v>0</v>
      </c>
      <c r="N72" s="71">
        <f>IF(B2="C",IF(O68&gt;'Tax calculations'!$C$19,'Tax calculations'!$E$19+'Tax calculations'!$F$19*(Calculations!O68-'Tax calculations'!$C$19),Calculations!O68*'Tax calculations'!$F$18),O68*5%)</f>
        <v>149.18896580009923</v>
      </c>
      <c r="O72" s="97">
        <f>SUM(C72:N72)</f>
        <v>149.18896580009923</v>
      </c>
    </row>
    <row r="73" spans="2:15" x14ac:dyDescent="0.35">
      <c r="B73" s="101" t="s">
        <v>81</v>
      </c>
      <c r="C73" s="98">
        <f>C70-C71-C72</f>
        <v>274074.5888666407</v>
      </c>
      <c r="D73" s="98">
        <f>D70-D71-D72</f>
        <v>268510.67014430719</v>
      </c>
      <c r="E73" s="98">
        <f>E70-E71-E72</f>
        <v>262918.93182836205</v>
      </c>
      <c r="F73" s="98">
        <f>F70-F71-F72</f>
        <v>257299.23482083718</v>
      </c>
      <c r="G73" s="98">
        <f t="shared" ref="G73" si="169">G70-G71-G72</f>
        <v>251651.43932827472</v>
      </c>
      <c r="H73" s="98">
        <f t="shared" ref="H73" si="170">H70-H71-H72</f>
        <v>245975.40485824944</v>
      </c>
      <c r="I73" s="98">
        <f t="shared" ref="I73" si="171">I70-I71-I72</f>
        <v>240270.99021587404</v>
      </c>
      <c r="J73" s="98">
        <f t="shared" ref="J73" si="172">J70-J71-J72</f>
        <v>234538.05350028677</v>
      </c>
      <c r="K73" s="98">
        <f t="shared" ref="K73" si="173">K70-K71-K72</f>
        <v>228776.45210112154</v>
      </c>
      <c r="L73" s="98">
        <f t="shared" ref="L73" si="174">L70-L71-L72</f>
        <v>222986.04269496049</v>
      </c>
      <c r="M73" s="98">
        <f t="shared" ref="M73" si="175">M70-M71-M72</f>
        <v>217166.68124176865</v>
      </c>
      <c r="N73" s="98">
        <f>N70-N71-N72</f>
        <v>209677.14435750974</v>
      </c>
      <c r="O73" s="105">
        <f>O70</f>
        <v>209677.14435750974</v>
      </c>
    </row>
    <row r="74" spans="2:15" x14ac:dyDescent="0.35">
      <c r="B74" s="82" t="s">
        <v>46</v>
      </c>
      <c r="C74" s="38">
        <f>O63+O64</f>
        <v>587731.23071999999</v>
      </c>
      <c r="D74" s="38">
        <f>C74</f>
        <v>587731.23071999999</v>
      </c>
      <c r="E74" s="38">
        <f t="shared" ref="E74:N74" si="176">D74</f>
        <v>587731.23071999999</v>
      </c>
      <c r="F74" s="38">
        <f t="shared" si="176"/>
        <v>587731.23071999999</v>
      </c>
      <c r="G74" s="38">
        <f t="shared" si="176"/>
        <v>587731.23071999999</v>
      </c>
      <c r="H74" s="38">
        <f t="shared" si="176"/>
        <v>587731.23071999999</v>
      </c>
      <c r="I74" s="38">
        <f t="shared" si="176"/>
        <v>587731.23071999999</v>
      </c>
      <c r="J74" s="38">
        <f t="shared" si="176"/>
        <v>587731.23071999999</v>
      </c>
      <c r="K74" s="38">
        <f t="shared" si="176"/>
        <v>587731.23071999999</v>
      </c>
      <c r="L74" s="38">
        <f t="shared" si="176"/>
        <v>587731.23071999999</v>
      </c>
      <c r="M74" s="38">
        <f t="shared" si="176"/>
        <v>587731.23071999999</v>
      </c>
      <c r="N74" s="38">
        <f t="shared" si="176"/>
        <v>587731.23071999999</v>
      </c>
      <c r="O74" s="86">
        <f>N74</f>
        <v>587731.23071999999</v>
      </c>
    </row>
    <row r="75" spans="2:15" ht="15" thickBot="1" x14ac:dyDescent="0.4">
      <c r="B75" s="87" t="s">
        <v>70</v>
      </c>
      <c r="C75" s="88">
        <f>(C74*$C$6)/12</f>
        <v>3918.2082047999997</v>
      </c>
      <c r="D75" s="88">
        <f>(D74*$C$6)/12</f>
        <v>3918.2082047999997</v>
      </c>
      <c r="E75" s="88">
        <f t="shared" ref="E75" si="177">(E74*$C$6)/12</f>
        <v>3918.2082047999997</v>
      </c>
      <c r="F75" s="88">
        <f t="shared" ref="F75" si="178">(F74*$C$6)/12</f>
        <v>3918.2082047999997</v>
      </c>
      <c r="G75" s="88">
        <f t="shared" ref="G75" si="179">(G74*$C$6)/12</f>
        <v>3918.2082047999997</v>
      </c>
      <c r="H75" s="88">
        <f t="shared" ref="H75" si="180">(H74*$C$6)/12</f>
        <v>3918.2082047999997</v>
      </c>
      <c r="I75" s="88">
        <f t="shared" ref="I75" si="181">(I74*$C$6)/12</f>
        <v>3918.2082047999997</v>
      </c>
      <c r="J75" s="88">
        <f t="shared" ref="J75" si="182">(J74*$C$6)/12</f>
        <v>3918.2082047999997</v>
      </c>
      <c r="K75" s="88">
        <f t="shared" ref="K75" si="183">(K74*$C$6)/12</f>
        <v>3918.2082047999997</v>
      </c>
      <c r="L75" s="88">
        <f t="shared" ref="L75" si="184">(L74*$C$6)/12</f>
        <v>3918.2082047999997</v>
      </c>
      <c r="M75" s="88">
        <f t="shared" ref="M75" si="185">(M74*$C$6)/12</f>
        <v>3918.2082047999997</v>
      </c>
      <c r="N75" s="88">
        <f t="shared" ref="N75" si="186">(N74*$C$6)/12</f>
        <v>3918.2082047999997</v>
      </c>
      <c r="O75" s="89">
        <f>SUM(C75:N75)</f>
        <v>47018.498457600006</v>
      </c>
    </row>
    <row r="76" spans="2:15" ht="15" thickBot="1" x14ac:dyDescent="0.4"/>
    <row r="77" spans="2:15" x14ac:dyDescent="0.35">
      <c r="B77" s="100">
        <v>2027</v>
      </c>
      <c r="C77" s="78">
        <v>1</v>
      </c>
      <c r="D77" s="78">
        <v>2</v>
      </c>
      <c r="E77" s="78">
        <v>3</v>
      </c>
      <c r="F77" s="78">
        <v>4</v>
      </c>
      <c r="G77" s="78">
        <v>5</v>
      </c>
      <c r="H77" s="78">
        <v>6</v>
      </c>
      <c r="I77" s="78">
        <v>7</v>
      </c>
      <c r="J77" s="78">
        <v>8</v>
      </c>
      <c r="K77" s="78">
        <v>9</v>
      </c>
      <c r="L77" s="78">
        <v>10</v>
      </c>
      <c r="M77" s="78">
        <v>11</v>
      </c>
      <c r="N77" s="78">
        <v>12</v>
      </c>
      <c r="O77" s="79" t="s">
        <v>76</v>
      </c>
    </row>
    <row r="78" spans="2:15" x14ac:dyDescent="0.35">
      <c r="B78" s="80" t="s">
        <v>69</v>
      </c>
      <c r="C78" s="73">
        <f>O73</f>
        <v>209677.14435750974</v>
      </c>
      <c r="D78" s="73">
        <f>C84</f>
        <v>203791.23841263063</v>
      </c>
      <c r="E78" s="73">
        <f>D84</f>
        <v>197875.90293802714</v>
      </c>
      <c r="F78" s="73">
        <f>E84</f>
        <v>191930.99078605062</v>
      </c>
      <c r="G78" s="73">
        <f t="shared" ref="G78:N78" si="187">F84</f>
        <v>185956.35407331423</v>
      </c>
      <c r="H78" s="73">
        <f t="shared" si="187"/>
        <v>179951.84417701414</v>
      </c>
      <c r="I78" s="73">
        <f t="shared" si="187"/>
        <v>173917.31173123256</v>
      </c>
      <c r="J78" s="73">
        <f t="shared" si="187"/>
        <v>167852.60662322206</v>
      </c>
      <c r="K78" s="73">
        <f t="shared" si="187"/>
        <v>161757.57798967152</v>
      </c>
      <c r="L78" s="73">
        <f t="shared" si="187"/>
        <v>155632.07421295322</v>
      </c>
      <c r="M78" s="73">
        <f t="shared" si="187"/>
        <v>149475.94291735132</v>
      </c>
      <c r="N78" s="73">
        <f t="shared" si="187"/>
        <v>143289.03096527141</v>
      </c>
      <c r="O78" s="81"/>
    </row>
    <row r="79" spans="2:15" x14ac:dyDescent="0.35">
      <c r="B79" s="82" t="s">
        <v>65</v>
      </c>
      <c r="C79" s="71">
        <f>(C78*$B$6)/12</f>
        <v>1048.3857217875486</v>
      </c>
      <c r="D79" s="71">
        <f>(D78*$B$6)/12</f>
        <v>1018.9561920631531</v>
      </c>
      <c r="E79" s="71">
        <f>(E78*$B$6)/12</f>
        <v>989.37951469013569</v>
      </c>
      <c r="F79" s="71">
        <f>(F78*$B$6)/12</f>
        <v>959.6549539302531</v>
      </c>
      <c r="G79" s="71">
        <f t="shared" ref="G79" si="188">(G78*$B$6)/12</f>
        <v>929.7817703665711</v>
      </c>
      <c r="H79" s="71">
        <f t="shared" ref="H79" si="189">(H78*$B$6)/12</f>
        <v>899.75922088507059</v>
      </c>
      <c r="I79" s="71">
        <f t="shared" ref="I79" si="190">(I78*$B$6)/12</f>
        <v>869.58655865616277</v>
      </c>
      <c r="J79" s="71">
        <f t="shared" ref="J79" si="191">(J78*$B$6)/12</f>
        <v>839.26303311611025</v>
      </c>
      <c r="K79" s="71">
        <f t="shared" ref="K79" si="192">(K78*$B$6)/12</f>
        <v>808.78788994835759</v>
      </c>
      <c r="L79" s="71">
        <f t="shared" ref="L79" si="193">(L78*$B$6)/12</f>
        <v>778.16037106476608</v>
      </c>
      <c r="M79" s="71">
        <f t="shared" ref="M79" si="194">(M78*$B$6)/12</f>
        <v>747.37971458675656</v>
      </c>
      <c r="N79" s="71">
        <f t="shared" ref="N79" si="195">(N78*$B$6)/12</f>
        <v>716.445154826357</v>
      </c>
      <c r="O79" s="83">
        <f>SUM(C79:N79)</f>
        <v>10605.540095921242</v>
      </c>
    </row>
    <row r="80" spans="2:15" x14ac:dyDescent="0.35">
      <c r="B80" s="82" t="s">
        <v>45</v>
      </c>
      <c r="C80" s="96">
        <f>($B$7+($B$7*'Tax Rates and Inflation'!C32))/12</f>
        <v>6934.291666666667</v>
      </c>
      <c r="D80" s="38">
        <f>C80</f>
        <v>6934.291666666667</v>
      </c>
      <c r="E80" s="38">
        <f>D80</f>
        <v>6934.291666666667</v>
      </c>
      <c r="F80" s="38">
        <f>E80</f>
        <v>6934.291666666667</v>
      </c>
      <c r="G80" s="38">
        <f t="shared" ref="G80:N80" si="196">F80</f>
        <v>6934.291666666667</v>
      </c>
      <c r="H80" s="38">
        <f t="shared" si="196"/>
        <v>6934.291666666667</v>
      </c>
      <c r="I80" s="38">
        <f t="shared" si="196"/>
        <v>6934.291666666667</v>
      </c>
      <c r="J80" s="38">
        <f t="shared" si="196"/>
        <v>6934.291666666667</v>
      </c>
      <c r="K80" s="38">
        <f t="shared" si="196"/>
        <v>6934.291666666667</v>
      </c>
      <c r="L80" s="38">
        <f t="shared" si="196"/>
        <v>6934.291666666667</v>
      </c>
      <c r="M80" s="38">
        <f t="shared" si="196"/>
        <v>6934.291666666667</v>
      </c>
      <c r="N80" s="38">
        <f t="shared" si="196"/>
        <v>6934.291666666667</v>
      </c>
      <c r="O80" s="86">
        <f>SUM(C80:N80)</f>
        <v>83211.5</v>
      </c>
    </row>
    <row r="81" spans="2:15" x14ac:dyDescent="0.35">
      <c r="B81" s="101" t="s">
        <v>67</v>
      </c>
      <c r="C81" s="98">
        <f>C78+C79-C80</f>
        <v>203791.23841263063</v>
      </c>
      <c r="D81" s="98">
        <f>D78+D79-D80</f>
        <v>197875.90293802714</v>
      </c>
      <c r="E81" s="98">
        <f>E78+E79-E80</f>
        <v>191930.99078605062</v>
      </c>
      <c r="F81" s="98">
        <f>F78+F79-F80</f>
        <v>185956.35407331423</v>
      </c>
      <c r="G81" s="98">
        <f t="shared" ref="G81" si="197">G78+G79-G80</f>
        <v>179951.84417701414</v>
      </c>
      <c r="H81" s="98">
        <f t="shared" ref="H81" si="198">H78+H79-H80</f>
        <v>173917.31173123256</v>
      </c>
      <c r="I81" s="98">
        <f t="shared" ref="I81" si="199">I78+I79-I80</f>
        <v>167852.60662322206</v>
      </c>
      <c r="J81" s="98">
        <f t="shared" ref="J81" si="200">J78+J79-J80</f>
        <v>161757.57798967152</v>
      </c>
      <c r="K81" s="98">
        <f t="shared" ref="K81" si="201">K78+K79-K80</f>
        <v>155632.07421295322</v>
      </c>
      <c r="L81" s="98">
        <f t="shared" ref="L81" si="202">L78+L79-L80</f>
        <v>149475.94291735132</v>
      </c>
      <c r="M81" s="98">
        <f t="shared" ref="M81" si="203">M78+M79-M80</f>
        <v>143289.03096527141</v>
      </c>
      <c r="N81" s="98">
        <f t="shared" ref="N81" si="204">N78+N79-N80</f>
        <v>137071.18445343111</v>
      </c>
      <c r="O81" s="84">
        <f>N84</f>
        <v>135904.57504287976</v>
      </c>
    </row>
    <row r="82" spans="2:15" x14ac:dyDescent="0.35">
      <c r="B82" s="85" t="s">
        <v>66</v>
      </c>
      <c r="C82" s="71">
        <v>0</v>
      </c>
      <c r="D82" s="71">
        <v>0</v>
      </c>
      <c r="E82" s="71"/>
      <c r="F82" s="71">
        <v>0</v>
      </c>
      <c r="G82" s="71">
        <v>0</v>
      </c>
      <c r="H82" s="71">
        <v>0</v>
      </c>
      <c r="I82" s="71">
        <v>0</v>
      </c>
      <c r="J82" s="71">
        <v>0</v>
      </c>
      <c r="K82" s="71">
        <v>0</v>
      </c>
      <c r="L82" s="71">
        <v>0</v>
      </c>
      <c r="M82" s="71">
        <v>0</v>
      </c>
      <c r="N82" s="71">
        <f>IF(O79&lt;'Tax calculations'!$D$4,O79*'Tax calculations'!$F$4,VLOOKUP(O79,'Tax calculations'!$C$5:$F$10,3,1)+(Calculations!O79-VLOOKUP(O79,'Tax calculations'!$C$5:$F$10,1,1))*VLOOKUP(O79,'Tax calculations'!$C$5:$F$10,4,1))</f>
        <v>1060.5540095921242</v>
      </c>
      <c r="O82" s="83">
        <f>SUM(C82:N82)</f>
        <v>1060.5540095921242</v>
      </c>
    </row>
    <row r="83" spans="2:15" x14ac:dyDescent="0.35">
      <c r="B83" s="85" t="s">
        <v>80</v>
      </c>
      <c r="C83" s="71">
        <v>0</v>
      </c>
      <c r="D83" s="71">
        <v>0</v>
      </c>
      <c r="E83" s="71"/>
      <c r="F83" s="71">
        <v>0</v>
      </c>
      <c r="G83" s="71">
        <v>0</v>
      </c>
      <c r="H83" s="71">
        <v>0</v>
      </c>
      <c r="I83" s="71">
        <v>0</v>
      </c>
      <c r="J83" s="71">
        <v>0</v>
      </c>
      <c r="K83" s="71">
        <v>0</v>
      </c>
      <c r="L83" s="71">
        <v>0</v>
      </c>
      <c r="M83" s="71">
        <v>0</v>
      </c>
      <c r="N83" s="71">
        <f>IF(B2="C",IF(O79&gt;'Tax calculations'!$C$19,'Tax calculations'!$E$19+'Tax calculations'!$F$19*(Calculations!O79-'Tax calculations'!$C$19),Calculations!O79*'Tax calculations'!$F$18),O79*5%)</f>
        <v>106.05540095921242</v>
      </c>
      <c r="O83" s="97">
        <f>SUM(C83:N83)</f>
        <v>106.05540095921242</v>
      </c>
    </row>
    <row r="84" spans="2:15" x14ac:dyDescent="0.35">
      <c r="B84" s="101" t="s">
        <v>81</v>
      </c>
      <c r="C84" s="98">
        <f>C81-C82-C83</f>
        <v>203791.23841263063</v>
      </c>
      <c r="D84" s="98">
        <f>D81-D82-D83</f>
        <v>197875.90293802714</v>
      </c>
      <c r="E84" s="98">
        <f>E81-E82-E83</f>
        <v>191930.99078605062</v>
      </c>
      <c r="F84" s="98">
        <f>F81-F82-F83</f>
        <v>185956.35407331423</v>
      </c>
      <c r="G84" s="98">
        <f t="shared" ref="G84" si="205">G81-G82-G83</f>
        <v>179951.84417701414</v>
      </c>
      <c r="H84" s="98">
        <f t="shared" ref="H84" si="206">H81-H82-H83</f>
        <v>173917.31173123256</v>
      </c>
      <c r="I84" s="98">
        <f t="shared" ref="I84" si="207">I81-I82-I83</f>
        <v>167852.60662322206</v>
      </c>
      <c r="J84" s="98">
        <f t="shared" ref="J84" si="208">J81-J82-J83</f>
        <v>161757.57798967152</v>
      </c>
      <c r="K84" s="98">
        <f t="shared" ref="K84" si="209">K81-K82-K83</f>
        <v>155632.07421295322</v>
      </c>
      <c r="L84" s="98">
        <f t="shared" ref="L84" si="210">L81-L82-L83</f>
        <v>149475.94291735132</v>
      </c>
      <c r="M84" s="98">
        <f t="shared" ref="M84" si="211">M81-M82-M83</f>
        <v>143289.03096527141</v>
      </c>
      <c r="N84" s="98">
        <f>N81-N82-N83</f>
        <v>135904.57504287976</v>
      </c>
      <c r="O84" s="105">
        <f>O81</f>
        <v>135904.57504287976</v>
      </c>
    </row>
    <row r="85" spans="2:15" x14ac:dyDescent="0.35">
      <c r="B85" s="82" t="s">
        <v>46</v>
      </c>
      <c r="C85" s="38">
        <f>O74+O75</f>
        <v>634749.72917760001</v>
      </c>
      <c r="D85" s="38">
        <f>C85</f>
        <v>634749.72917760001</v>
      </c>
      <c r="E85" s="38">
        <f t="shared" ref="E85:N85" si="212">D85</f>
        <v>634749.72917760001</v>
      </c>
      <c r="F85" s="38">
        <f t="shared" si="212"/>
        <v>634749.72917760001</v>
      </c>
      <c r="G85" s="38">
        <f t="shared" si="212"/>
        <v>634749.72917760001</v>
      </c>
      <c r="H85" s="38">
        <f t="shared" si="212"/>
        <v>634749.72917760001</v>
      </c>
      <c r="I85" s="38">
        <f t="shared" si="212"/>
        <v>634749.72917760001</v>
      </c>
      <c r="J85" s="38">
        <f t="shared" si="212"/>
        <v>634749.72917760001</v>
      </c>
      <c r="K85" s="38">
        <f t="shared" si="212"/>
        <v>634749.72917760001</v>
      </c>
      <c r="L85" s="38">
        <f t="shared" si="212"/>
        <v>634749.72917760001</v>
      </c>
      <c r="M85" s="38">
        <f t="shared" si="212"/>
        <v>634749.72917760001</v>
      </c>
      <c r="N85" s="38">
        <f t="shared" si="212"/>
        <v>634749.72917760001</v>
      </c>
      <c r="O85" s="86">
        <f>N85</f>
        <v>634749.72917760001</v>
      </c>
    </row>
    <row r="86" spans="2:15" ht="15" thickBot="1" x14ac:dyDescent="0.4">
      <c r="B86" s="87" t="s">
        <v>70</v>
      </c>
      <c r="C86" s="88">
        <f>(C85*$C$6)/12</f>
        <v>4231.6648611840001</v>
      </c>
      <c r="D86" s="88">
        <f>(D85*$C$6)/12</f>
        <v>4231.6648611840001</v>
      </c>
      <c r="E86" s="88">
        <f t="shared" ref="E86" si="213">(E85*$C$6)/12</f>
        <v>4231.6648611840001</v>
      </c>
      <c r="F86" s="88">
        <f t="shared" ref="F86" si="214">(F85*$C$6)/12</f>
        <v>4231.6648611840001</v>
      </c>
      <c r="G86" s="88">
        <f t="shared" ref="G86" si="215">(G85*$C$6)/12</f>
        <v>4231.6648611840001</v>
      </c>
      <c r="H86" s="88">
        <f t="shared" ref="H86" si="216">(H85*$C$6)/12</f>
        <v>4231.6648611840001</v>
      </c>
      <c r="I86" s="88">
        <f t="shared" ref="I86" si="217">(I85*$C$6)/12</f>
        <v>4231.6648611840001</v>
      </c>
      <c r="J86" s="88">
        <f t="shared" ref="J86" si="218">(J85*$C$6)/12</f>
        <v>4231.6648611840001</v>
      </c>
      <c r="K86" s="88">
        <f t="shared" ref="K86" si="219">(K85*$C$6)/12</f>
        <v>4231.6648611840001</v>
      </c>
      <c r="L86" s="88">
        <f t="shared" ref="L86" si="220">(L85*$C$6)/12</f>
        <v>4231.6648611840001</v>
      </c>
      <c r="M86" s="88">
        <f t="shared" ref="M86" si="221">(M85*$C$6)/12</f>
        <v>4231.6648611840001</v>
      </c>
      <c r="N86" s="88">
        <f t="shared" ref="N86" si="222">(N85*$C$6)/12</f>
        <v>4231.6648611840001</v>
      </c>
      <c r="O86" s="89">
        <f>SUM(C86:N86)</f>
        <v>50779.978334207997</v>
      </c>
    </row>
    <row r="87" spans="2:15" x14ac:dyDescent="0.35">
      <c r="B87" s="103"/>
      <c r="C87" s="70"/>
      <c r="D87" s="70"/>
      <c r="E87" s="70"/>
      <c r="F87" s="70"/>
      <c r="G87" s="70"/>
      <c r="H87" s="70"/>
      <c r="I87" s="70"/>
      <c r="J87" s="70"/>
      <c r="K87" s="70"/>
      <c r="L87" s="70"/>
      <c r="M87" s="70"/>
      <c r="N87" s="70"/>
      <c r="O87" s="104"/>
    </row>
    <row r="88" spans="2:15" ht="15" thickBot="1" x14ac:dyDescent="0.4"/>
    <row r="89" spans="2:15" x14ac:dyDescent="0.35">
      <c r="B89" s="100">
        <v>2028</v>
      </c>
      <c r="C89" s="78">
        <v>1</v>
      </c>
      <c r="D89" s="78">
        <v>2</v>
      </c>
      <c r="E89" s="78">
        <v>3</v>
      </c>
      <c r="F89" s="78">
        <v>4</v>
      </c>
      <c r="G89" s="78">
        <v>5</v>
      </c>
      <c r="H89" s="78">
        <v>6</v>
      </c>
      <c r="I89" s="78">
        <v>7</v>
      </c>
      <c r="J89" s="78">
        <v>8</v>
      </c>
      <c r="K89" s="78">
        <v>9</v>
      </c>
      <c r="L89" s="78">
        <v>10</v>
      </c>
      <c r="M89" s="78">
        <v>11</v>
      </c>
      <c r="N89" s="78">
        <v>12</v>
      </c>
      <c r="O89" s="79" t="s">
        <v>77</v>
      </c>
    </row>
    <row r="90" spans="2:15" x14ac:dyDescent="0.35">
      <c r="B90" s="80" t="s">
        <v>69</v>
      </c>
      <c r="C90" s="73">
        <f>O84</f>
        <v>135904.57504287976</v>
      </c>
      <c r="D90" s="73">
        <f>C96</f>
        <v>129649.80625142749</v>
      </c>
      <c r="E90" s="73">
        <f>D96</f>
        <v>123363.76361601795</v>
      </c>
      <c r="F90" s="73">
        <f>E96</f>
        <v>117046.29076743138</v>
      </c>
      <c r="G90" s="73">
        <f t="shared" ref="G90:N90" si="223">F96</f>
        <v>110697.23055460186</v>
      </c>
      <c r="H90" s="73">
        <f t="shared" si="223"/>
        <v>104316.4250407082</v>
      </c>
      <c r="I90" s="73">
        <f t="shared" si="223"/>
        <v>97903.715499245067</v>
      </c>
      <c r="J90" s="73">
        <f t="shared" si="223"/>
        <v>91458.942410074626</v>
      </c>
      <c r="K90" s="73">
        <f t="shared" si="223"/>
        <v>84981.945455458321</v>
      </c>
      <c r="L90" s="73">
        <f t="shared" si="223"/>
        <v>78472.563516068942</v>
      </c>
      <c r="M90" s="73">
        <f t="shared" si="223"/>
        <v>71930.634666982616</v>
      </c>
      <c r="N90" s="73">
        <f t="shared" si="223"/>
        <v>65355.996173650863</v>
      </c>
      <c r="O90" s="81"/>
    </row>
    <row r="91" spans="2:15" x14ac:dyDescent="0.35">
      <c r="B91" s="82" t="s">
        <v>65</v>
      </c>
      <c r="C91" s="71">
        <f>(C90*$B$6)/12</f>
        <v>679.52287521439882</v>
      </c>
      <c r="D91" s="71">
        <f>(D90*$B$6)/12</f>
        <v>648.24903125713752</v>
      </c>
      <c r="E91" s="71">
        <f>(E90*$B$6)/12</f>
        <v>616.81881808008973</v>
      </c>
      <c r="F91" s="71">
        <f>(F90*$B$6)/12</f>
        <v>585.23145383715689</v>
      </c>
      <c r="G91" s="71">
        <f t="shared" ref="G91" si="224">(G90*$B$6)/12</f>
        <v>553.48615277300928</v>
      </c>
      <c r="H91" s="71">
        <f t="shared" ref="H91" si="225">(H90*$B$6)/12</f>
        <v>521.58212520354095</v>
      </c>
      <c r="I91" s="71">
        <f t="shared" ref="I91" si="226">(I90*$B$6)/12</f>
        <v>489.5185774962253</v>
      </c>
      <c r="J91" s="71">
        <f t="shared" ref="J91" si="227">(J90*$B$6)/12</f>
        <v>457.29471205037311</v>
      </c>
      <c r="K91" s="71">
        <f t="shared" ref="K91" si="228">(K90*$B$6)/12</f>
        <v>424.90972727729155</v>
      </c>
      <c r="L91" s="71">
        <f t="shared" ref="L91" si="229">(L90*$B$6)/12</f>
        <v>392.36281758034471</v>
      </c>
      <c r="M91" s="71">
        <f t="shared" ref="M91" si="230">(M90*$B$6)/12</f>
        <v>359.65317333491311</v>
      </c>
      <c r="N91" s="71">
        <f t="shared" ref="N91" si="231">(N90*$B$6)/12</f>
        <v>326.77998086825431</v>
      </c>
      <c r="O91" s="83">
        <f>SUM(C91:N91)</f>
        <v>6055.4094449727345</v>
      </c>
    </row>
    <row r="92" spans="2:15" x14ac:dyDescent="0.35">
      <c r="B92" s="82" t="s">
        <v>45</v>
      </c>
      <c r="C92" s="96">
        <f>($B$7+($B$7*'Tax Rates and Inflation'!C33))/12</f>
        <v>6934.291666666667</v>
      </c>
      <c r="D92" s="38">
        <f>C92</f>
        <v>6934.291666666667</v>
      </c>
      <c r="E92" s="38">
        <f>D92</f>
        <v>6934.291666666667</v>
      </c>
      <c r="F92" s="38">
        <f>E92</f>
        <v>6934.291666666667</v>
      </c>
      <c r="G92" s="38">
        <f t="shared" ref="G92:N92" si="232">F92</f>
        <v>6934.291666666667</v>
      </c>
      <c r="H92" s="38">
        <f t="shared" si="232"/>
        <v>6934.291666666667</v>
      </c>
      <c r="I92" s="38">
        <f t="shared" si="232"/>
        <v>6934.291666666667</v>
      </c>
      <c r="J92" s="38">
        <f t="shared" si="232"/>
        <v>6934.291666666667</v>
      </c>
      <c r="K92" s="38">
        <f t="shared" si="232"/>
        <v>6934.291666666667</v>
      </c>
      <c r="L92" s="38">
        <f t="shared" si="232"/>
        <v>6934.291666666667</v>
      </c>
      <c r="M92" s="38">
        <f t="shared" si="232"/>
        <v>6934.291666666667</v>
      </c>
      <c r="N92" s="38">
        <f t="shared" si="232"/>
        <v>6934.291666666667</v>
      </c>
      <c r="O92" s="86">
        <f>SUM(C92:N92)</f>
        <v>83211.5</v>
      </c>
    </row>
    <row r="93" spans="2:15" x14ac:dyDescent="0.35">
      <c r="B93" s="101" t="s">
        <v>67</v>
      </c>
      <c r="C93" s="98">
        <f>C90+C91-C92</f>
        <v>129649.80625142749</v>
      </c>
      <c r="D93" s="98">
        <f>D90+D91-D92</f>
        <v>123363.76361601795</v>
      </c>
      <c r="E93" s="98">
        <f>E90+E91-E92</f>
        <v>117046.29076743138</v>
      </c>
      <c r="F93" s="98">
        <f>F90+F91-F92</f>
        <v>110697.23055460186</v>
      </c>
      <c r="G93" s="98">
        <f t="shared" ref="G93" si="233">G90+G91-G92</f>
        <v>104316.4250407082</v>
      </c>
      <c r="H93" s="98">
        <f t="shared" ref="H93" si="234">H90+H91-H92</f>
        <v>97903.715499245067</v>
      </c>
      <c r="I93" s="98">
        <f t="shared" ref="I93" si="235">I90+I91-I92</f>
        <v>91458.942410074626</v>
      </c>
      <c r="J93" s="98">
        <f t="shared" ref="J93" si="236">J90+J91-J92</f>
        <v>84981.945455458321</v>
      </c>
      <c r="K93" s="98">
        <f t="shared" ref="K93" si="237">K90+K91-K92</f>
        <v>78472.563516068942</v>
      </c>
      <c r="L93" s="98">
        <f t="shared" ref="L93" si="238">L90+L91-L92</f>
        <v>71930.634666982616</v>
      </c>
      <c r="M93" s="98">
        <f t="shared" ref="M93" si="239">M90+M91-M92</f>
        <v>65355.996173650863</v>
      </c>
      <c r="N93" s="98">
        <f t="shared" ref="N93" si="240">N90+N91-N92</f>
        <v>58748.484487852453</v>
      </c>
      <c r="O93" s="84">
        <f>N96</f>
        <v>58082.389448905451</v>
      </c>
    </row>
    <row r="94" spans="2:15" x14ac:dyDescent="0.35">
      <c r="B94" s="85" t="s">
        <v>66</v>
      </c>
      <c r="C94" s="71">
        <v>0</v>
      </c>
      <c r="D94" s="71">
        <v>0</v>
      </c>
      <c r="E94" s="71"/>
      <c r="F94" s="71">
        <v>0</v>
      </c>
      <c r="G94" s="71">
        <v>0</v>
      </c>
      <c r="H94" s="71">
        <v>0</v>
      </c>
      <c r="I94" s="71">
        <v>0</v>
      </c>
      <c r="J94" s="71">
        <v>0</v>
      </c>
      <c r="K94" s="71">
        <v>0</v>
      </c>
      <c r="L94" s="71">
        <v>0</v>
      </c>
      <c r="M94" s="71">
        <v>0</v>
      </c>
      <c r="N94" s="71">
        <f>IF(O91&lt;'Tax calculations'!$D$4,O91*'Tax calculations'!$F$4,VLOOKUP(O91,'Tax calculations'!$C$5:$F$10,3,1)+(Calculations!O91-VLOOKUP(O91,'Tax calculations'!$C$5:$F$10,1,1))*VLOOKUP(O91,'Tax calculations'!$C$5:$F$10,4,1))</f>
        <v>605.54094449727347</v>
      </c>
      <c r="O94" s="83">
        <f>SUM(C94:N94)</f>
        <v>605.54094449727347</v>
      </c>
    </row>
    <row r="95" spans="2:15" x14ac:dyDescent="0.35">
      <c r="B95" s="85" t="s">
        <v>80</v>
      </c>
      <c r="C95" s="71">
        <v>0</v>
      </c>
      <c r="D95" s="71">
        <v>0</v>
      </c>
      <c r="E95" s="71"/>
      <c r="F95" s="71">
        <v>0</v>
      </c>
      <c r="G95" s="71">
        <v>0</v>
      </c>
      <c r="H95" s="71">
        <v>0</v>
      </c>
      <c r="I95" s="71">
        <v>0</v>
      </c>
      <c r="J95" s="71">
        <v>0</v>
      </c>
      <c r="K95" s="71">
        <v>0</v>
      </c>
      <c r="L95" s="71">
        <v>0</v>
      </c>
      <c r="M95" s="71">
        <v>0</v>
      </c>
      <c r="N95" s="71">
        <f>IF(B2="C",IF(O91&gt;'Tax calculations'!$C$19,'Tax calculations'!$E$19+'Tax calculations'!$F$19*(Calculations!O91-'Tax calculations'!$C$19),Calculations!O91*'Tax calculations'!$F$18),O91*5%)</f>
        <v>60.554094449727344</v>
      </c>
      <c r="O95" s="97">
        <f>SUM(C95:N95)</f>
        <v>60.554094449727344</v>
      </c>
    </row>
    <row r="96" spans="2:15" x14ac:dyDescent="0.35">
      <c r="B96" s="101" t="s">
        <v>81</v>
      </c>
      <c r="C96" s="98">
        <f>C93-C94-C95</f>
        <v>129649.80625142749</v>
      </c>
      <c r="D96" s="98">
        <f>D93-D94-D95</f>
        <v>123363.76361601795</v>
      </c>
      <c r="E96" s="98">
        <f>E93-E94-E95</f>
        <v>117046.29076743138</v>
      </c>
      <c r="F96" s="98">
        <f>F93-F94-F95</f>
        <v>110697.23055460186</v>
      </c>
      <c r="G96" s="98">
        <f t="shared" ref="G96" si="241">G93-G94-G95</f>
        <v>104316.4250407082</v>
      </c>
      <c r="H96" s="98">
        <f t="shared" ref="H96" si="242">H93-H94-H95</f>
        <v>97903.715499245067</v>
      </c>
      <c r="I96" s="98">
        <f t="shared" ref="I96" si="243">I93-I94-I95</f>
        <v>91458.942410074626</v>
      </c>
      <c r="J96" s="98">
        <f t="shared" ref="J96" si="244">J93-J94-J95</f>
        <v>84981.945455458321</v>
      </c>
      <c r="K96" s="98">
        <f t="shared" ref="K96" si="245">K93-K94-K95</f>
        <v>78472.563516068942</v>
      </c>
      <c r="L96" s="98">
        <f t="shared" ref="L96" si="246">L93-L94-L95</f>
        <v>71930.634666982616</v>
      </c>
      <c r="M96" s="98">
        <f t="shared" ref="M96" si="247">M93-M94-M95</f>
        <v>65355.996173650863</v>
      </c>
      <c r="N96" s="98">
        <f>N93-N94-N95</f>
        <v>58082.389448905451</v>
      </c>
      <c r="O96" s="105">
        <f>O93</f>
        <v>58082.389448905451</v>
      </c>
    </row>
    <row r="97" spans="2:15" x14ac:dyDescent="0.35">
      <c r="B97" s="82" t="s">
        <v>46</v>
      </c>
      <c r="C97" s="38">
        <f>O85+O86</f>
        <v>685529.70751180802</v>
      </c>
      <c r="D97" s="38">
        <f>C97</f>
        <v>685529.70751180802</v>
      </c>
      <c r="E97" s="38">
        <f t="shared" ref="E97:N97" si="248">D97</f>
        <v>685529.70751180802</v>
      </c>
      <c r="F97" s="38">
        <f t="shared" si="248"/>
        <v>685529.70751180802</v>
      </c>
      <c r="G97" s="38">
        <f t="shared" si="248"/>
        <v>685529.70751180802</v>
      </c>
      <c r="H97" s="38">
        <f t="shared" si="248"/>
        <v>685529.70751180802</v>
      </c>
      <c r="I97" s="38">
        <f t="shared" si="248"/>
        <v>685529.70751180802</v>
      </c>
      <c r="J97" s="38">
        <f t="shared" si="248"/>
        <v>685529.70751180802</v>
      </c>
      <c r="K97" s="38">
        <f t="shared" si="248"/>
        <v>685529.70751180802</v>
      </c>
      <c r="L97" s="38">
        <f t="shared" si="248"/>
        <v>685529.70751180802</v>
      </c>
      <c r="M97" s="38">
        <f t="shared" si="248"/>
        <v>685529.70751180802</v>
      </c>
      <c r="N97" s="38">
        <f t="shared" si="248"/>
        <v>685529.70751180802</v>
      </c>
      <c r="O97" s="86">
        <f>N97</f>
        <v>685529.70751180802</v>
      </c>
    </row>
    <row r="98" spans="2:15" ht="15" thickBot="1" x14ac:dyDescent="0.4">
      <c r="B98" s="87" t="s">
        <v>70</v>
      </c>
      <c r="C98" s="88">
        <f>(C97*$C$6)/12</f>
        <v>4570.1980500787204</v>
      </c>
      <c r="D98" s="88">
        <f>(D97*$C$6)/12</f>
        <v>4570.1980500787204</v>
      </c>
      <c r="E98" s="88">
        <f t="shared" ref="E98" si="249">(E97*$C$6)/12</f>
        <v>4570.1980500787204</v>
      </c>
      <c r="F98" s="88">
        <f t="shared" ref="F98" si="250">(F97*$C$6)/12</f>
        <v>4570.1980500787204</v>
      </c>
      <c r="G98" s="88">
        <f t="shared" ref="G98" si="251">(G97*$C$6)/12</f>
        <v>4570.1980500787204</v>
      </c>
      <c r="H98" s="88">
        <f t="shared" ref="H98" si="252">(H97*$C$6)/12</f>
        <v>4570.1980500787204</v>
      </c>
      <c r="I98" s="88">
        <f t="shared" ref="I98" si="253">(I97*$C$6)/12</f>
        <v>4570.1980500787204</v>
      </c>
      <c r="J98" s="88">
        <f t="shared" ref="J98" si="254">(J97*$C$6)/12</f>
        <v>4570.1980500787204</v>
      </c>
      <c r="K98" s="88">
        <f t="shared" ref="K98" si="255">(K97*$C$6)/12</f>
        <v>4570.1980500787204</v>
      </c>
      <c r="L98" s="88">
        <f t="shared" ref="L98" si="256">(L97*$C$6)/12</f>
        <v>4570.1980500787204</v>
      </c>
      <c r="M98" s="88">
        <f t="shared" ref="M98" si="257">(M97*$C$6)/12</f>
        <v>4570.1980500787204</v>
      </c>
      <c r="N98" s="88">
        <f t="shared" ref="N98" si="258">(N97*$C$6)/12</f>
        <v>4570.1980500787204</v>
      </c>
      <c r="O98" s="89">
        <f>SUM(C98:N98)</f>
        <v>54842.376600944634</v>
      </c>
    </row>
    <row r="99" spans="2:15" ht="15" thickBot="1" x14ac:dyDescent="0.4"/>
    <row r="100" spans="2:15" x14ac:dyDescent="0.35">
      <c r="B100" s="100">
        <v>2029</v>
      </c>
      <c r="C100" s="78">
        <v>1</v>
      </c>
      <c r="D100" s="78">
        <v>2</v>
      </c>
      <c r="E100" s="78">
        <v>3</v>
      </c>
      <c r="F100" s="78">
        <v>4</v>
      </c>
      <c r="G100" s="78">
        <v>5</v>
      </c>
      <c r="H100" s="78">
        <v>6</v>
      </c>
      <c r="I100" s="78">
        <v>7</v>
      </c>
      <c r="J100" s="78">
        <v>8</v>
      </c>
      <c r="K100" s="78">
        <v>9</v>
      </c>
      <c r="L100" s="78">
        <v>10</v>
      </c>
      <c r="M100" s="78">
        <v>11</v>
      </c>
      <c r="N100" s="78">
        <v>12</v>
      </c>
      <c r="O100" s="79" t="s">
        <v>86</v>
      </c>
    </row>
    <row r="101" spans="2:15" x14ac:dyDescent="0.35">
      <c r="B101" s="80" t="s">
        <v>69</v>
      </c>
      <c r="C101" s="73">
        <f>O96</f>
        <v>58082.389448905451</v>
      </c>
      <c r="D101" s="73">
        <f>C107</f>
        <v>51431.718062816646</v>
      </c>
      <c r="E101" s="73">
        <f>D107</f>
        <v>44747.793319797391</v>
      </c>
      <c r="F101" s="73">
        <f>E107</f>
        <v>38030.448953063045</v>
      </c>
      <c r="G101" s="73">
        <f t="shared" ref="G101:N101" si="259">F107</f>
        <v>31279.517864495032</v>
      </c>
      <c r="H101" s="73">
        <f t="shared" si="259"/>
        <v>24494.832120484174</v>
      </c>
      <c r="I101" s="73">
        <f t="shared" si="259"/>
        <v>17676.222947753264</v>
      </c>
      <c r="J101" s="73">
        <f t="shared" si="259"/>
        <v>10823.520729158699</v>
      </c>
      <c r="K101" s="73">
        <f t="shared" si="259"/>
        <v>3936.5549994711591</v>
      </c>
      <c r="L101" s="73">
        <f t="shared" si="259"/>
        <v>-2984.845558864818</v>
      </c>
      <c r="M101" s="73">
        <f t="shared" si="259"/>
        <v>-9940.8531199924746</v>
      </c>
      <c r="N101" s="73">
        <f t="shared" si="259"/>
        <v>-16931.64071892577</v>
      </c>
      <c r="O101" s="81"/>
    </row>
    <row r="102" spans="2:15" x14ac:dyDescent="0.35">
      <c r="B102" s="82" t="s">
        <v>65</v>
      </c>
      <c r="C102" s="71">
        <f>(C101*$B$6)/12</f>
        <v>290.41194724452725</v>
      </c>
      <c r="D102" s="71">
        <f>(D101*$B$6)/12</f>
        <v>257.15859031408326</v>
      </c>
      <c r="E102" s="71">
        <f>(E101*$B$6)/12</f>
        <v>223.73896659898696</v>
      </c>
      <c r="F102" s="71">
        <f>(F101*$B$6)/12</f>
        <v>190.15224476531523</v>
      </c>
      <c r="G102" s="71">
        <f t="shared" ref="G102" si="260">(G101*$B$6)/12</f>
        <v>156.39758932247517</v>
      </c>
      <c r="H102" s="71">
        <f t="shared" ref="H102" si="261">(H101*$B$6)/12</f>
        <v>122.47416060242087</v>
      </c>
      <c r="I102" s="71">
        <f t="shared" ref="I102" si="262">(I101*$B$6)/12</f>
        <v>88.381114738766314</v>
      </c>
      <c r="J102" s="71">
        <f t="shared" ref="J102" si="263">(J101*$B$6)/12</f>
        <v>54.117603645793501</v>
      </c>
      <c r="K102" s="71">
        <f t="shared" ref="K102" si="264">(K101*$B$6)/12</f>
        <v>19.682774997355796</v>
      </c>
      <c r="L102" s="71">
        <f t="shared" ref="L102" si="265">(L101*$B$6)/12</f>
        <v>-14.924227794324089</v>
      </c>
      <c r="M102" s="71">
        <f t="shared" ref="M102" si="266">(M101*$B$6)/12</f>
        <v>-49.704265599962376</v>
      </c>
      <c r="N102" s="71">
        <f t="shared" ref="N102" si="267">(N101*$B$6)/12</f>
        <v>-84.658203594628844</v>
      </c>
      <c r="O102" s="83">
        <f>SUM(C102:N102)</f>
        <v>1253.2282952408091</v>
      </c>
    </row>
    <row r="103" spans="2:15" x14ac:dyDescent="0.35">
      <c r="B103" s="82" t="s">
        <v>45</v>
      </c>
      <c r="C103" s="96">
        <f>($B$7+($B$7*'Tax Rates and Inflation'!C44))/12</f>
        <v>6941.083333333333</v>
      </c>
      <c r="D103" s="38">
        <f>C103</f>
        <v>6941.083333333333</v>
      </c>
      <c r="E103" s="38">
        <f>D103</f>
        <v>6941.083333333333</v>
      </c>
      <c r="F103" s="38">
        <f>E103</f>
        <v>6941.083333333333</v>
      </c>
      <c r="G103" s="38">
        <f t="shared" ref="G103:N103" si="268">F103</f>
        <v>6941.083333333333</v>
      </c>
      <c r="H103" s="38">
        <f t="shared" si="268"/>
        <v>6941.083333333333</v>
      </c>
      <c r="I103" s="38">
        <f t="shared" si="268"/>
        <v>6941.083333333333</v>
      </c>
      <c r="J103" s="38">
        <f t="shared" si="268"/>
        <v>6941.083333333333</v>
      </c>
      <c r="K103" s="38">
        <f t="shared" si="268"/>
        <v>6941.083333333333</v>
      </c>
      <c r="L103" s="38">
        <f t="shared" si="268"/>
        <v>6941.083333333333</v>
      </c>
      <c r="M103" s="38">
        <f t="shared" si="268"/>
        <v>6941.083333333333</v>
      </c>
      <c r="N103" s="38">
        <f t="shared" si="268"/>
        <v>6941.083333333333</v>
      </c>
      <c r="O103" s="90">
        <f>SUM(C103:N103)</f>
        <v>83293</v>
      </c>
    </row>
    <row r="104" spans="2:15" x14ac:dyDescent="0.35">
      <c r="B104" s="101" t="s">
        <v>67</v>
      </c>
      <c r="C104" s="98">
        <f>C101+C102-C103</f>
        <v>51431.718062816646</v>
      </c>
      <c r="D104" s="98">
        <f>D101+D102-D103</f>
        <v>44747.793319797391</v>
      </c>
      <c r="E104" s="98">
        <f>E101+E102-E103</f>
        <v>38030.448953063045</v>
      </c>
      <c r="F104" s="98">
        <f>F101+F102-F103</f>
        <v>31279.517864495032</v>
      </c>
      <c r="G104" s="98">
        <f t="shared" ref="G104" si="269">G101+G102-G103</f>
        <v>24494.832120484174</v>
      </c>
      <c r="H104" s="98">
        <f t="shared" ref="H104" si="270">H101+H102-H103</f>
        <v>17676.222947753264</v>
      </c>
      <c r="I104" s="98">
        <f t="shared" ref="I104" si="271">I101+I102-I103</f>
        <v>10823.520729158699</v>
      </c>
      <c r="J104" s="98">
        <f t="shared" ref="J104" si="272">J101+J102-J103</f>
        <v>3936.5549994711591</v>
      </c>
      <c r="K104" s="98">
        <f t="shared" ref="K104" si="273">K101+K102-K103</f>
        <v>-2984.845558864818</v>
      </c>
      <c r="L104" s="98">
        <f t="shared" ref="L104" si="274">L101+L102-L103</f>
        <v>-9940.8531199924746</v>
      </c>
      <c r="M104" s="98">
        <f t="shared" ref="M104" si="275">M101+M102-M103</f>
        <v>-16931.64071892577</v>
      </c>
      <c r="N104" s="98">
        <f t="shared" ref="N104" si="276">N101+N102-N103</f>
        <v>-23957.382255853732</v>
      </c>
      <c r="O104" s="84">
        <f>N107</f>
        <v>-24095.237368330221</v>
      </c>
    </row>
    <row r="105" spans="2:15" x14ac:dyDescent="0.35">
      <c r="B105" s="85" t="s">
        <v>66</v>
      </c>
      <c r="C105" s="71">
        <v>0</v>
      </c>
      <c r="D105" s="71">
        <v>0</v>
      </c>
      <c r="E105" s="71"/>
      <c r="F105" s="71">
        <v>0</v>
      </c>
      <c r="G105" s="71">
        <v>0</v>
      </c>
      <c r="H105" s="71">
        <v>0</v>
      </c>
      <c r="I105" s="71">
        <v>0</v>
      </c>
      <c r="J105" s="71">
        <v>0</v>
      </c>
      <c r="K105" s="71">
        <v>0</v>
      </c>
      <c r="L105" s="71">
        <v>0</v>
      </c>
      <c r="M105" s="71">
        <v>0</v>
      </c>
      <c r="N105" s="71">
        <f>IF(O102&lt;'Tax calculations'!$D$4,O102*'Tax calculations'!$F$4,VLOOKUP(O102,'Tax calculations'!$C$5:$F$10,3,1)+(Calculations!O102-VLOOKUP(O102,'Tax calculations'!$C$5:$F$10,1,1))*VLOOKUP(O102,'Tax calculations'!$C$5:$F$10,4,1))</f>
        <v>125.32282952408092</v>
      </c>
      <c r="O105" s="83">
        <f>SUM(C105:N105)</f>
        <v>125.32282952408092</v>
      </c>
    </row>
    <row r="106" spans="2:15" x14ac:dyDescent="0.35">
      <c r="B106" s="85" t="s">
        <v>80</v>
      </c>
      <c r="C106" s="71">
        <v>0</v>
      </c>
      <c r="D106" s="71">
        <v>0</v>
      </c>
      <c r="E106" s="71"/>
      <c r="F106" s="71">
        <v>0</v>
      </c>
      <c r="G106" s="71">
        <v>0</v>
      </c>
      <c r="H106" s="71">
        <v>0</v>
      </c>
      <c r="I106" s="71">
        <v>0</v>
      </c>
      <c r="J106" s="71">
        <v>0</v>
      </c>
      <c r="K106" s="71">
        <v>0</v>
      </c>
      <c r="L106" s="71">
        <v>0</v>
      </c>
      <c r="M106" s="71">
        <v>0</v>
      </c>
      <c r="N106" s="71">
        <f>IF(B2="C",IF(O102&gt;'Tax calculations'!$C$19,'Tax calculations'!$E$19+'Tax calculations'!$F$19*(Calculations!O102-'Tax calculations'!$C$19),Calculations!O102*'Tax calculations'!$F$18),O102*5%)</f>
        <v>12.532282952408091</v>
      </c>
      <c r="O106" s="97">
        <f>SUM(C106:N106)</f>
        <v>12.532282952408091</v>
      </c>
    </row>
    <row r="107" spans="2:15" x14ac:dyDescent="0.35">
      <c r="B107" s="101" t="s">
        <v>81</v>
      </c>
      <c r="C107" s="98">
        <f>C104-C105-C106</f>
        <v>51431.718062816646</v>
      </c>
      <c r="D107" s="98">
        <f>D104-D105-D106</f>
        <v>44747.793319797391</v>
      </c>
      <c r="E107" s="98">
        <f>E104-E105-E106</f>
        <v>38030.448953063045</v>
      </c>
      <c r="F107" s="98">
        <f>F104-F105-F106</f>
        <v>31279.517864495032</v>
      </c>
      <c r="G107" s="98">
        <f t="shared" ref="G107" si="277">G104-G105-G106</f>
        <v>24494.832120484174</v>
      </c>
      <c r="H107" s="98">
        <f t="shared" ref="H107" si="278">H104-H105-H106</f>
        <v>17676.222947753264</v>
      </c>
      <c r="I107" s="98">
        <f t="shared" ref="I107" si="279">I104-I105-I106</f>
        <v>10823.520729158699</v>
      </c>
      <c r="J107" s="98">
        <f t="shared" ref="J107" si="280">J104-J105-J106</f>
        <v>3936.5549994711591</v>
      </c>
      <c r="K107" s="98">
        <f t="shared" ref="K107" si="281">K104-K105-K106</f>
        <v>-2984.845558864818</v>
      </c>
      <c r="L107" s="98">
        <f t="shared" ref="L107" si="282">L104-L105-L106</f>
        <v>-9940.8531199924746</v>
      </c>
      <c r="M107" s="98">
        <f t="shared" ref="M107" si="283">M104-M105-M106</f>
        <v>-16931.64071892577</v>
      </c>
      <c r="N107" s="98">
        <f>N104-N105-N106</f>
        <v>-24095.237368330221</v>
      </c>
      <c r="O107" s="107">
        <f>O104</f>
        <v>-24095.237368330221</v>
      </c>
    </row>
    <row r="108" spans="2:15" x14ac:dyDescent="0.35">
      <c r="B108" s="82" t="s">
        <v>46</v>
      </c>
      <c r="C108" s="38">
        <f>O96+O97</f>
        <v>743612.0969607135</v>
      </c>
      <c r="D108" s="38">
        <f>C113</f>
        <v>621791.9923616224</v>
      </c>
      <c r="E108" s="38">
        <f>D113</f>
        <v>625937.27231069992</v>
      </c>
      <c r="F108" s="38">
        <f t="shared" ref="F108:N108" si="284">E113</f>
        <v>630110.18745943788</v>
      </c>
      <c r="G108" s="38">
        <f t="shared" si="284"/>
        <v>634310.92204250081</v>
      </c>
      <c r="H108" s="38">
        <f t="shared" si="284"/>
        <v>638539.66152278415</v>
      </c>
      <c r="I108" s="38">
        <f t="shared" si="284"/>
        <v>642796.59259960277</v>
      </c>
      <c r="J108" s="38">
        <f t="shared" si="284"/>
        <v>647081.90321693348</v>
      </c>
      <c r="K108" s="38">
        <f t="shared" si="284"/>
        <v>651395.78257171309</v>
      </c>
      <c r="L108" s="38">
        <f t="shared" si="284"/>
        <v>655738.42112219112</v>
      </c>
      <c r="M108" s="38">
        <f t="shared" si="284"/>
        <v>660110.01059633901</v>
      </c>
      <c r="N108" s="38">
        <f t="shared" si="284"/>
        <v>664510.74400031462</v>
      </c>
      <c r="O108" s="86"/>
    </row>
    <row r="109" spans="2:15" x14ac:dyDescent="0.35">
      <c r="B109" s="82" t="s">
        <v>70</v>
      </c>
      <c r="C109" s="38">
        <f>(C108*$C$6)/12</f>
        <v>4957.4139797380903</v>
      </c>
      <c r="D109" s="38">
        <f>(D108*$C$6)/12</f>
        <v>4145.2799490774823</v>
      </c>
      <c r="E109" s="38">
        <f t="shared" ref="E109" si="285">(E108*$C$6)/12</f>
        <v>4172.9151487379995</v>
      </c>
      <c r="F109" s="38">
        <f t="shared" ref="F109" si="286">(F108*$C$6)/12</f>
        <v>4200.7345830629192</v>
      </c>
      <c r="G109" s="38">
        <f t="shared" ref="G109" si="287">(G108*$C$6)/12</f>
        <v>4228.7394802833387</v>
      </c>
      <c r="H109" s="38">
        <f t="shared" ref="H109" si="288">(H108*$C$6)/12</f>
        <v>4256.9310768185615</v>
      </c>
      <c r="I109" s="38">
        <f t="shared" ref="I109" si="289">(I108*$C$6)/12</f>
        <v>4285.3106173306851</v>
      </c>
      <c r="J109" s="38">
        <f t="shared" ref="J109" si="290">(J108*$C$6)/12</f>
        <v>4313.8793547795567</v>
      </c>
      <c r="K109" s="38">
        <f t="shared" ref="K109" si="291">(K108*$C$6)/12</f>
        <v>4342.6385504780874</v>
      </c>
      <c r="L109" s="38">
        <f t="shared" ref="L109" si="292">(L108*$C$6)/12</f>
        <v>4371.5894741479415</v>
      </c>
      <c r="M109" s="38">
        <f t="shared" ref="M109" si="293">(M108*$C$6)/12</f>
        <v>4400.7334039755933</v>
      </c>
      <c r="N109" s="38">
        <f t="shared" ref="N109" si="294">(N108*$C$6)/12</f>
        <v>4430.0716266687641</v>
      </c>
      <c r="O109" s="86">
        <f>SUM(C109:N109)</f>
        <v>52106.237245099022</v>
      </c>
    </row>
    <row r="110" spans="2:15" x14ac:dyDescent="0.35">
      <c r="B110" s="82" t="s">
        <v>84</v>
      </c>
      <c r="C110" s="38">
        <f>$B$7+($B$7*'Tax Rates and Inflation'!C33)+(-O107)</f>
        <v>107306.73736833021</v>
      </c>
      <c r="D110" s="38">
        <v>0</v>
      </c>
      <c r="E110" s="38">
        <v>0</v>
      </c>
      <c r="F110" s="38">
        <v>0</v>
      </c>
      <c r="G110" s="38">
        <v>0</v>
      </c>
      <c r="H110" s="38">
        <v>0</v>
      </c>
      <c r="I110" s="38">
        <v>0</v>
      </c>
      <c r="J110" s="38">
        <v>0</v>
      </c>
      <c r="K110" s="38">
        <v>0</v>
      </c>
      <c r="L110" s="38">
        <v>0</v>
      </c>
      <c r="M110" s="38">
        <v>0</v>
      </c>
      <c r="N110" s="38">
        <v>0</v>
      </c>
      <c r="O110" s="86">
        <f>SUM(C110:N110)</f>
        <v>107306.73736833021</v>
      </c>
    </row>
    <row r="111" spans="2:15" x14ac:dyDescent="0.35">
      <c r="B111" s="82" t="s">
        <v>82</v>
      </c>
      <c r="C111" s="38">
        <f>IF(C110&lt;'Tax calculations'!$D$4,C110*'Tax calculations'!$F$4,VLOOKUP(C110,'Tax calculations'!$C$5:$F$10,3,1)+(Calculations!C110-VLOOKUP(C110,'Tax calculations'!$C$5:$F$10,1,1))*VLOOKUP(C110,'Tax calculations'!$C$5:$F$10,4,1))</f>
        <v>15104.482221032647</v>
      </c>
      <c r="D111" s="38">
        <v>0</v>
      </c>
      <c r="E111" s="38">
        <v>0</v>
      </c>
      <c r="F111" s="38">
        <v>0</v>
      </c>
      <c r="G111" s="38">
        <v>0</v>
      </c>
      <c r="H111" s="38">
        <v>0</v>
      </c>
      <c r="I111" s="38">
        <v>0</v>
      </c>
      <c r="J111" s="38">
        <v>0</v>
      </c>
      <c r="K111" s="38">
        <v>0</v>
      </c>
      <c r="L111" s="38">
        <v>0</v>
      </c>
      <c r="M111" s="38">
        <v>0</v>
      </c>
      <c r="N111" s="38">
        <v>0</v>
      </c>
      <c r="O111" s="86">
        <f>SUM(C111:N111)</f>
        <v>15104.482221032647</v>
      </c>
    </row>
    <row r="112" spans="2:15" x14ac:dyDescent="0.35">
      <c r="B112" s="82" t="s">
        <v>83</v>
      </c>
      <c r="C112" s="38">
        <f>IF(Calculations!C110&lt;'Tax calculations'!$D$18,C110*'Tax calculations'!$F$18,VLOOKUP(C110,'Tax calculations'!$C$19:$F$26,3,1)+(Calculations!C110-VLOOKUP(Calculations!C110,'Tax calculations'!$C$19:$F$26,1,1))*VLOOKUP(Calculations!C110,'Tax calculations'!$C$19:$F$26,4,1))</f>
        <v>4366.298989466417</v>
      </c>
      <c r="D112" s="38">
        <v>0</v>
      </c>
      <c r="E112" s="38">
        <v>0</v>
      </c>
      <c r="F112" s="38">
        <v>0</v>
      </c>
      <c r="G112" s="38">
        <v>0</v>
      </c>
      <c r="H112" s="38">
        <v>0</v>
      </c>
      <c r="I112" s="38">
        <v>0</v>
      </c>
      <c r="J112" s="38">
        <v>0</v>
      </c>
      <c r="K112" s="38">
        <v>0</v>
      </c>
      <c r="L112" s="38">
        <v>0</v>
      </c>
      <c r="M112" s="38">
        <v>0</v>
      </c>
      <c r="N112" s="38">
        <v>0</v>
      </c>
      <c r="O112" s="86">
        <f>SUM(C112:N112)</f>
        <v>4366.298989466417</v>
      </c>
    </row>
    <row r="113" spans="2:15" ht="15" thickBot="1" x14ac:dyDescent="0.4">
      <c r="B113" s="108" t="s">
        <v>85</v>
      </c>
      <c r="C113" s="88">
        <f>C108+C109-C110-C111-C112</f>
        <v>621791.9923616224</v>
      </c>
      <c r="D113" s="88">
        <f t="shared" ref="D113:N113" si="295">D108+D109-D110-D111-D112</f>
        <v>625937.27231069992</v>
      </c>
      <c r="E113" s="88">
        <f t="shared" si="295"/>
        <v>630110.18745943788</v>
      </c>
      <c r="F113" s="88">
        <f t="shared" si="295"/>
        <v>634310.92204250081</v>
      </c>
      <c r="G113" s="88">
        <f t="shared" si="295"/>
        <v>638539.66152278415</v>
      </c>
      <c r="H113" s="88">
        <f t="shared" si="295"/>
        <v>642796.59259960277</v>
      </c>
      <c r="I113" s="88">
        <f t="shared" si="295"/>
        <v>647081.90321693348</v>
      </c>
      <c r="J113" s="88">
        <f t="shared" si="295"/>
        <v>651395.78257171309</v>
      </c>
      <c r="K113" s="88">
        <f t="shared" si="295"/>
        <v>655738.42112219112</v>
      </c>
      <c r="L113" s="88">
        <f t="shared" si="295"/>
        <v>660110.01059633901</v>
      </c>
      <c r="M113" s="88">
        <f t="shared" si="295"/>
        <v>664510.74400031462</v>
      </c>
      <c r="N113" s="88">
        <f t="shared" si="295"/>
        <v>668940.81562698341</v>
      </c>
      <c r="O113" s="120">
        <f>N113</f>
        <v>668940.81562698341</v>
      </c>
    </row>
    <row r="114" spans="2:15" ht="15" thickBot="1" x14ac:dyDescent="0.4">
      <c r="B114" s="106"/>
    </row>
    <row r="115" spans="2:15" x14ac:dyDescent="0.35">
      <c r="B115" s="100">
        <v>2030</v>
      </c>
      <c r="C115" s="78">
        <v>1</v>
      </c>
      <c r="D115" s="78">
        <v>2</v>
      </c>
      <c r="E115" s="78">
        <v>3</v>
      </c>
      <c r="F115" s="78">
        <v>4</v>
      </c>
      <c r="G115" s="78">
        <v>5</v>
      </c>
      <c r="H115" s="78">
        <v>6</v>
      </c>
      <c r="I115" s="78">
        <v>7</v>
      </c>
      <c r="J115" s="78">
        <v>8</v>
      </c>
      <c r="K115" s="78">
        <v>9</v>
      </c>
      <c r="L115" s="78">
        <v>10</v>
      </c>
      <c r="M115" s="78">
        <v>11</v>
      </c>
      <c r="N115" s="78">
        <v>12</v>
      </c>
      <c r="O115" s="79" t="s">
        <v>87</v>
      </c>
    </row>
    <row r="116" spans="2:15" x14ac:dyDescent="0.35">
      <c r="B116" s="80" t="s">
        <v>69</v>
      </c>
      <c r="C116" s="73">
        <v>0</v>
      </c>
      <c r="D116" s="73">
        <f>C122</f>
        <v>0</v>
      </c>
      <c r="E116" s="73">
        <f>D122</f>
        <v>0</v>
      </c>
      <c r="F116" s="73">
        <f>E122</f>
        <v>0</v>
      </c>
      <c r="G116" s="73">
        <f t="shared" ref="G116:N116" si="296">F122</f>
        <v>0</v>
      </c>
      <c r="H116" s="73">
        <f t="shared" si="296"/>
        <v>0</v>
      </c>
      <c r="I116" s="73">
        <f t="shared" si="296"/>
        <v>0</v>
      </c>
      <c r="J116" s="73">
        <f t="shared" si="296"/>
        <v>0</v>
      </c>
      <c r="K116" s="73">
        <f t="shared" si="296"/>
        <v>0</v>
      </c>
      <c r="L116" s="73">
        <f t="shared" si="296"/>
        <v>0</v>
      </c>
      <c r="M116" s="73">
        <f t="shared" si="296"/>
        <v>0</v>
      </c>
      <c r="N116" s="73">
        <f t="shared" si="296"/>
        <v>0</v>
      </c>
      <c r="O116" s="81"/>
    </row>
    <row r="117" spans="2:15" x14ac:dyDescent="0.35">
      <c r="B117" s="82" t="s">
        <v>65</v>
      </c>
      <c r="C117" s="71">
        <f>(C116*$B$6)/12</f>
        <v>0</v>
      </c>
      <c r="D117" s="71">
        <f>(D116*$B$6)/12</f>
        <v>0</v>
      </c>
      <c r="E117" s="71">
        <f>(E116*$B$6)/12</f>
        <v>0</v>
      </c>
      <c r="F117" s="71">
        <f>(F116*$B$6)/12</f>
        <v>0</v>
      </c>
      <c r="G117" s="71">
        <f t="shared" ref="G117" si="297">(G116*$B$6)/12</f>
        <v>0</v>
      </c>
      <c r="H117" s="71">
        <f t="shared" ref="H117" si="298">(H116*$B$6)/12</f>
        <v>0</v>
      </c>
      <c r="I117" s="71">
        <f t="shared" ref="I117" si="299">(I116*$B$6)/12</f>
        <v>0</v>
      </c>
      <c r="J117" s="71">
        <f t="shared" ref="J117" si="300">(J116*$B$6)/12</f>
        <v>0</v>
      </c>
      <c r="K117" s="71">
        <f t="shared" ref="K117" si="301">(K116*$B$6)/12</f>
        <v>0</v>
      </c>
      <c r="L117" s="71">
        <f t="shared" ref="L117" si="302">(L116*$B$6)/12</f>
        <v>0</v>
      </c>
      <c r="M117" s="71">
        <f t="shared" ref="M117" si="303">(M116*$B$6)/12</f>
        <v>0</v>
      </c>
      <c r="N117" s="71">
        <f t="shared" ref="N117" si="304">(N116*$B$6)/12</f>
        <v>0</v>
      </c>
      <c r="O117" s="83">
        <f>SUM(C117:N117)</f>
        <v>0</v>
      </c>
    </row>
    <row r="118" spans="2:15" x14ac:dyDescent="0.35">
      <c r="B118" s="82" t="s">
        <v>45</v>
      </c>
      <c r="C118" s="96">
        <v>0</v>
      </c>
      <c r="D118" s="38">
        <f>C118</f>
        <v>0</v>
      </c>
      <c r="E118" s="38">
        <f>D118</f>
        <v>0</v>
      </c>
      <c r="F118" s="38">
        <f>E118</f>
        <v>0</v>
      </c>
      <c r="G118" s="38">
        <f t="shared" ref="G118:N118" si="305">F118</f>
        <v>0</v>
      </c>
      <c r="H118" s="38">
        <f t="shared" si="305"/>
        <v>0</v>
      </c>
      <c r="I118" s="38">
        <f t="shared" si="305"/>
        <v>0</v>
      </c>
      <c r="J118" s="38">
        <f t="shared" si="305"/>
        <v>0</v>
      </c>
      <c r="K118" s="38">
        <f t="shared" si="305"/>
        <v>0</v>
      </c>
      <c r="L118" s="38">
        <f t="shared" si="305"/>
        <v>0</v>
      </c>
      <c r="M118" s="38">
        <f t="shared" si="305"/>
        <v>0</v>
      </c>
      <c r="N118" s="38">
        <f t="shared" si="305"/>
        <v>0</v>
      </c>
      <c r="O118" s="86">
        <f>SUM(C118:N118)</f>
        <v>0</v>
      </c>
    </row>
    <row r="119" spans="2:15" x14ac:dyDescent="0.35">
      <c r="B119" s="101" t="s">
        <v>67</v>
      </c>
      <c r="C119" s="98">
        <f>C116+C117-C118</f>
        <v>0</v>
      </c>
      <c r="D119" s="98">
        <f>D116+D117-D118</f>
        <v>0</v>
      </c>
      <c r="E119" s="98">
        <f>E116+E117-E118</f>
        <v>0</v>
      </c>
      <c r="F119" s="98">
        <f>F116+F117-F118</f>
        <v>0</v>
      </c>
      <c r="G119" s="98">
        <f t="shared" ref="G119" si="306">G116+G117-G118</f>
        <v>0</v>
      </c>
      <c r="H119" s="98">
        <f t="shared" ref="H119" si="307">H116+H117-H118</f>
        <v>0</v>
      </c>
      <c r="I119" s="98">
        <f t="shared" ref="I119" si="308">I116+I117-I118</f>
        <v>0</v>
      </c>
      <c r="J119" s="98">
        <f t="shared" ref="J119" si="309">J116+J117-J118</f>
        <v>0</v>
      </c>
      <c r="K119" s="98">
        <f t="shared" ref="K119" si="310">K116+K117-K118</f>
        <v>0</v>
      </c>
      <c r="L119" s="98">
        <f t="shared" ref="L119" si="311">L116+L117-L118</f>
        <v>0</v>
      </c>
      <c r="M119" s="98">
        <f t="shared" ref="M119" si="312">M116+M117-M118</f>
        <v>0</v>
      </c>
      <c r="N119" s="98">
        <f t="shared" ref="N119" si="313">N116+N117-N118</f>
        <v>0</v>
      </c>
      <c r="O119" s="84">
        <f>N122</f>
        <v>0</v>
      </c>
    </row>
    <row r="120" spans="2:15" x14ac:dyDescent="0.35">
      <c r="B120" s="85" t="s">
        <v>66</v>
      </c>
      <c r="C120" s="71">
        <v>0</v>
      </c>
      <c r="D120" s="71">
        <v>0</v>
      </c>
      <c r="E120" s="71"/>
      <c r="F120" s="71">
        <v>0</v>
      </c>
      <c r="G120" s="71">
        <v>0</v>
      </c>
      <c r="H120" s="71">
        <v>0</v>
      </c>
      <c r="I120" s="71">
        <v>0</v>
      </c>
      <c r="J120" s="71">
        <v>0</v>
      </c>
      <c r="K120" s="71">
        <v>0</v>
      </c>
      <c r="L120" s="71">
        <v>0</v>
      </c>
      <c r="M120" s="71">
        <v>0</v>
      </c>
      <c r="N120" s="71">
        <f>IF(O117&lt;'Tax calculations'!$D$4,O117*'Tax calculations'!$F$4,VLOOKUP(O117,'Tax calculations'!$C$5:$F$10,3,1)+(Calculations!O117-VLOOKUP(O117,'Tax calculations'!$C$5:$F$10,1,1))*VLOOKUP(O117,'Tax calculations'!$C$5:$F$10,4,1))</f>
        <v>0</v>
      </c>
      <c r="O120" s="83">
        <f>SUM(C120:N120)</f>
        <v>0</v>
      </c>
    </row>
    <row r="121" spans="2:15" x14ac:dyDescent="0.35">
      <c r="B121" s="85" t="s">
        <v>80</v>
      </c>
      <c r="C121" s="71">
        <v>0</v>
      </c>
      <c r="D121" s="71">
        <v>0</v>
      </c>
      <c r="E121" s="71"/>
      <c r="F121" s="71">
        <v>0</v>
      </c>
      <c r="G121" s="71">
        <v>0</v>
      </c>
      <c r="H121" s="71">
        <v>0</v>
      </c>
      <c r="I121" s="71">
        <v>0</v>
      </c>
      <c r="J121" s="71">
        <v>0</v>
      </c>
      <c r="K121" s="71">
        <v>0</v>
      </c>
      <c r="L121" s="71">
        <v>0</v>
      </c>
      <c r="M121" s="71">
        <v>0</v>
      </c>
      <c r="N121" s="71">
        <f>IF(O117&gt;'Tax calculations'!$C$19,'Tax calculations'!$E$19+'Tax calculations'!$F$19*(Calculations!O117-'Tax calculations'!$C$19),Calculations!O117*'Tax calculations'!$F$18)</f>
        <v>0</v>
      </c>
      <c r="O121" s="97">
        <f>SUM(C121:N121)</f>
        <v>0</v>
      </c>
    </row>
    <row r="122" spans="2:15" x14ac:dyDescent="0.35">
      <c r="B122" s="101" t="s">
        <v>81</v>
      </c>
      <c r="C122" s="98">
        <f>C119-C120-C121</f>
        <v>0</v>
      </c>
      <c r="D122" s="98">
        <f>D119-D120-D121</f>
        <v>0</v>
      </c>
      <c r="E122" s="98">
        <f>E119-E120-E121</f>
        <v>0</v>
      </c>
      <c r="F122" s="98">
        <f>F119-F120-F121</f>
        <v>0</v>
      </c>
      <c r="G122" s="98">
        <f t="shared" ref="G122" si="314">G119-G120-G121</f>
        <v>0</v>
      </c>
      <c r="H122" s="98">
        <f t="shared" ref="H122" si="315">H119-H120-H121</f>
        <v>0</v>
      </c>
      <c r="I122" s="98">
        <f t="shared" ref="I122" si="316">I119-I120-I121</f>
        <v>0</v>
      </c>
      <c r="J122" s="98">
        <f t="shared" ref="J122" si="317">J119-J120-J121</f>
        <v>0</v>
      </c>
      <c r="K122" s="98">
        <f t="shared" ref="K122" si="318">K119-K120-K121</f>
        <v>0</v>
      </c>
      <c r="L122" s="98">
        <f t="shared" ref="L122" si="319">L119-L120-L121</f>
        <v>0</v>
      </c>
      <c r="M122" s="98">
        <f t="shared" ref="M122" si="320">M119-M120-M121</f>
        <v>0</v>
      </c>
      <c r="N122" s="98">
        <f>N119-N120-N121</f>
        <v>0</v>
      </c>
      <c r="O122" s="107">
        <f>O119</f>
        <v>0</v>
      </c>
    </row>
    <row r="123" spans="2:15" x14ac:dyDescent="0.35">
      <c r="B123" s="80" t="s">
        <v>46</v>
      </c>
      <c r="C123" s="38">
        <f>O113</f>
        <v>668940.81562698341</v>
      </c>
      <c r="D123" s="38">
        <f>C128</f>
        <v>577755.18106449663</v>
      </c>
      <c r="E123" s="38">
        <f>D128</f>
        <v>581606.88227159332</v>
      </c>
      <c r="F123" s="38">
        <f t="shared" ref="F123:N123" si="321">E128</f>
        <v>585484.26148673729</v>
      </c>
      <c r="G123" s="38">
        <f t="shared" si="321"/>
        <v>589387.48989664891</v>
      </c>
      <c r="H123" s="38">
        <f t="shared" si="321"/>
        <v>593316.73982929322</v>
      </c>
      <c r="I123" s="38">
        <f t="shared" si="321"/>
        <v>597272.18476148846</v>
      </c>
      <c r="J123" s="38">
        <f t="shared" si="321"/>
        <v>601253.99932656507</v>
      </c>
      <c r="K123" s="38">
        <f t="shared" si="321"/>
        <v>605262.3593220755</v>
      </c>
      <c r="L123" s="38">
        <f t="shared" si="321"/>
        <v>609297.44171755598</v>
      </c>
      <c r="M123" s="38">
        <f t="shared" si="321"/>
        <v>613359.42466233973</v>
      </c>
      <c r="N123" s="38">
        <f t="shared" si="321"/>
        <v>617448.487493422</v>
      </c>
      <c r="O123" s="86"/>
    </row>
    <row r="124" spans="2:15" x14ac:dyDescent="0.35">
      <c r="B124" s="82" t="s">
        <v>70</v>
      </c>
      <c r="C124" s="38">
        <f>(C123*$C$6)/12</f>
        <v>4459.6054375132226</v>
      </c>
      <c r="D124" s="38">
        <f>(D123*$C$6)/12</f>
        <v>3851.7012070966443</v>
      </c>
      <c r="E124" s="38">
        <f t="shared" ref="E124" si="322">(E123*$C$6)/12</f>
        <v>3877.3792151439557</v>
      </c>
      <c r="F124" s="38">
        <f t="shared" ref="F124" si="323">(F123*$C$6)/12</f>
        <v>3903.2284099115823</v>
      </c>
      <c r="G124" s="38">
        <f t="shared" ref="G124" si="324">(G123*$C$6)/12</f>
        <v>3929.2499326443262</v>
      </c>
      <c r="H124" s="38">
        <f t="shared" ref="H124" si="325">(H123*$C$6)/12</f>
        <v>3955.4449321952884</v>
      </c>
      <c r="I124" s="38">
        <f t="shared" ref="I124" si="326">(I123*$C$6)/12</f>
        <v>3981.8145650765896</v>
      </c>
      <c r="J124" s="38">
        <f t="shared" ref="J124" si="327">(J123*$C$6)/12</f>
        <v>4008.3599955104341</v>
      </c>
      <c r="K124" s="38">
        <f t="shared" ref="K124" si="328">(K123*$C$6)/12</f>
        <v>4035.0823954805037</v>
      </c>
      <c r="L124" s="38">
        <f t="shared" ref="L124" si="329">(L123*$C$6)/12</f>
        <v>4061.9829447837069</v>
      </c>
      <c r="M124" s="38">
        <f t="shared" ref="M124" si="330">(M123*$C$6)/12</f>
        <v>4089.0628310822649</v>
      </c>
      <c r="N124" s="38">
        <f t="shared" ref="N124" si="331">(N123*$C$6)/12</f>
        <v>4116.3232499561464</v>
      </c>
      <c r="O124" s="86">
        <f>SUM(C124:N124)</f>
        <v>48269.235116394666</v>
      </c>
    </row>
    <row r="125" spans="2:15" x14ac:dyDescent="0.35">
      <c r="B125" s="82" t="s">
        <v>84</v>
      </c>
      <c r="C125" s="38">
        <f>$B$7+($B$7*'Tax Rates and Inflation'!C34)+(-O122)</f>
        <v>83211.5</v>
      </c>
      <c r="D125" s="38">
        <v>0</v>
      </c>
      <c r="E125" s="38">
        <v>0</v>
      </c>
      <c r="F125" s="38">
        <v>0</v>
      </c>
      <c r="G125" s="38">
        <v>0</v>
      </c>
      <c r="H125" s="38">
        <v>0</v>
      </c>
      <c r="I125" s="38">
        <v>0</v>
      </c>
      <c r="J125" s="38">
        <v>0</v>
      </c>
      <c r="K125" s="38">
        <v>0</v>
      </c>
      <c r="L125" s="38">
        <v>0</v>
      </c>
      <c r="M125" s="38">
        <v>0</v>
      </c>
      <c r="N125" s="38">
        <v>0</v>
      </c>
      <c r="O125" s="86">
        <f>SUM(C125:N125)</f>
        <v>83211.5</v>
      </c>
    </row>
    <row r="126" spans="2:15" x14ac:dyDescent="0.35">
      <c r="B126" s="82" t="s">
        <v>82</v>
      </c>
      <c r="C126" s="38">
        <f>IF(C125&lt;'Tax calculations'!$D$4,C125*'Tax calculations'!$F$4,VLOOKUP(C125,'Tax calculations'!$C$5:$F$10,3,1)+(Calculations!C125-VLOOKUP(C125,'Tax calculations'!$C$5:$F$10,1,1))*VLOOKUP(C125,'Tax calculations'!$C$5:$F$10,4,1))</f>
        <v>9803.5300000000007</v>
      </c>
      <c r="D126" s="38">
        <v>0</v>
      </c>
      <c r="E126" s="38">
        <v>0</v>
      </c>
      <c r="F126" s="38">
        <v>0</v>
      </c>
      <c r="G126" s="38">
        <v>0</v>
      </c>
      <c r="H126" s="38">
        <v>0</v>
      </c>
      <c r="I126" s="38">
        <v>0</v>
      </c>
      <c r="J126" s="38">
        <v>0</v>
      </c>
      <c r="K126" s="38">
        <v>0</v>
      </c>
      <c r="L126" s="38">
        <v>0</v>
      </c>
      <c r="M126" s="38">
        <v>0</v>
      </c>
      <c r="N126" s="38">
        <v>0</v>
      </c>
      <c r="O126" s="86">
        <f>SUM(C126:N126)</f>
        <v>9803.5300000000007</v>
      </c>
    </row>
    <row r="127" spans="2:15" ht="15" thickBot="1" x14ac:dyDescent="0.4">
      <c r="B127" s="87" t="s">
        <v>83</v>
      </c>
      <c r="C127" s="88">
        <f>IF(B2="C",IF(Calculations!C125&lt;'Tax calculations'!$D$18,C125*'Tax calculations'!$F$18,VLOOKUP(C125,'Tax calculations'!$C$19:$F$26,3,1)+(Calculations!C125-VLOOKUP(Calculations!C125,'Tax calculations'!$C$19:$F$26,1,1))*VLOOKUP(Calculations!C125,'Tax calculations'!$C$19:$F$26,4,1)),C125*5%)</f>
        <v>2630.21</v>
      </c>
      <c r="D127" s="88">
        <v>0</v>
      </c>
      <c r="E127" s="88">
        <v>0</v>
      </c>
      <c r="F127" s="88">
        <v>0</v>
      </c>
      <c r="G127" s="88">
        <v>0</v>
      </c>
      <c r="H127" s="88">
        <v>0</v>
      </c>
      <c r="I127" s="88">
        <v>0</v>
      </c>
      <c r="J127" s="88">
        <v>0</v>
      </c>
      <c r="K127" s="88">
        <v>0</v>
      </c>
      <c r="L127" s="88">
        <v>0</v>
      </c>
      <c r="M127" s="88">
        <v>0</v>
      </c>
      <c r="N127" s="88">
        <v>0</v>
      </c>
      <c r="O127" s="89">
        <f>SUM(C127:N127)</f>
        <v>2630.21</v>
      </c>
    </row>
    <row r="128" spans="2:15" ht="15" thickBot="1" x14ac:dyDescent="0.4">
      <c r="B128" s="108" t="s">
        <v>85</v>
      </c>
      <c r="C128" s="88">
        <f>C123+C124-C125-C126-C127</f>
        <v>577755.18106449663</v>
      </c>
      <c r="D128" s="88">
        <f t="shared" ref="D128" si="332">D123+D124-D125-D126-D127</f>
        <v>581606.88227159332</v>
      </c>
      <c r="E128" s="88">
        <f t="shared" ref="E128" si="333">E123+E124-E125-E126-E127</f>
        <v>585484.26148673729</v>
      </c>
      <c r="F128" s="88">
        <f t="shared" ref="F128" si="334">F123+F124-F125-F126-F127</f>
        <v>589387.48989664891</v>
      </c>
      <c r="G128" s="88">
        <f t="shared" ref="G128" si="335">G123+G124-G125-G126-G127</f>
        <v>593316.73982929322</v>
      </c>
      <c r="H128" s="88">
        <f t="shared" ref="H128" si="336">H123+H124-H125-H126-H127</f>
        <v>597272.18476148846</v>
      </c>
      <c r="I128" s="88">
        <f t="shared" ref="I128" si="337">I123+I124-I125-I126-I127</f>
        <v>601253.99932656507</v>
      </c>
      <c r="J128" s="88">
        <f t="shared" ref="J128" si="338">J123+J124-J125-J126-J127</f>
        <v>605262.3593220755</v>
      </c>
      <c r="K128" s="88">
        <f t="shared" ref="K128" si="339">K123+K124-K125-K126-K127</f>
        <v>609297.44171755598</v>
      </c>
      <c r="L128" s="88">
        <f t="shared" ref="L128" si="340">L123+L124-L125-L126-L127</f>
        <v>613359.42466233973</v>
      </c>
      <c r="M128" s="88">
        <f t="shared" ref="M128" si="341">M123+M124-M125-M126-M127</f>
        <v>617448.487493422</v>
      </c>
      <c r="N128" s="88">
        <f t="shared" ref="N128" si="342">N123+N124-N125-N126-N127</f>
        <v>621564.81074337813</v>
      </c>
      <c r="O128" s="109">
        <f>N128</f>
        <v>621564.81074337813</v>
      </c>
    </row>
    <row r="129" spans="2:15" ht="15" thickBot="1" x14ac:dyDescent="0.4">
      <c r="B129" s="110"/>
      <c r="C129" s="111"/>
      <c r="D129" s="111"/>
      <c r="E129" s="111"/>
      <c r="F129" s="111"/>
      <c r="G129" s="111"/>
      <c r="H129" s="111"/>
      <c r="I129" s="111"/>
      <c r="J129" s="111"/>
      <c r="K129" s="111"/>
      <c r="L129" s="111"/>
      <c r="M129" s="111"/>
      <c r="N129" s="111"/>
      <c r="O129" s="112"/>
    </row>
    <row r="130" spans="2:15" x14ac:dyDescent="0.35">
      <c r="B130" s="100">
        <v>2031</v>
      </c>
      <c r="C130" s="78">
        <v>1</v>
      </c>
      <c r="D130" s="78">
        <v>2</v>
      </c>
      <c r="E130" s="78">
        <v>3</v>
      </c>
      <c r="F130" s="78">
        <v>4</v>
      </c>
      <c r="G130" s="78">
        <v>5</v>
      </c>
      <c r="H130" s="78">
        <v>6</v>
      </c>
      <c r="I130" s="78">
        <v>7</v>
      </c>
      <c r="J130" s="78">
        <v>8</v>
      </c>
      <c r="K130" s="78">
        <v>9</v>
      </c>
      <c r="L130" s="78">
        <v>10</v>
      </c>
      <c r="M130" s="78">
        <v>11</v>
      </c>
      <c r="N130" s="78">
        <v>12</v>
      </c>
      <c r="O130" s="79" t="s">
        <v>88</v>
      </c>
    </row>
    <row r="131" spans="2:15" x14ac:dyDescent="0.35">
      <c r="B131" s="80" t="s">
        <v>69</v>
      </c>
      <c r="C131" s="73">
        <v>0</v>
      </c>
      <c r="D131" s="73">
        <f>C137</f>
        <v>0</v>
      </c>
      <c r="E131" s="73">
        <f>D137</f>
        <v>0</v>
      </c>
      <c r="F131" s="73">
        <f>E137</f>
        <v>0</v>
      </c>
      <c r="G131" s="73">
        <f t="shared" ref="G131:N131" si="343">F137</f>
        <v>0</v>
      </c>
      <c r="H131" s="73">
        <f t="shared" si="343"/>
        <v>0</v>
      </c>
      <c r="I131" s="73">
        <f t="shared" si="343"/>
        <v>0</v>
      </c>
      <c r="J131" s="73">
        <f t="shared" si="343"/>
        <v>0</v>
      </c>
      <c r="K131" s="73">
        <f t="shared" si="343"/>
        <v>0</v>
      </c>
      <c r="L131" s="73">
        <f t="shared" si="343"/>
        <v>0</v>
      </c>
      <c r="M131" s="73">
        <f t="shared" si="343"/>
        <v>0</v>
      </c>
      <c r="N131" s="73">
        <f t="shared" si="343"/>
        <v>0</v>
      </c>
      <c r="O131" s="81">
        <v>0</v>
      </c>
    </row>
    <row r="132" spans="2:15" x14ac:dyDescent="0.35">
      <c r="B132" s="82" t="s">
        <v>65</v>
      </c>
      <c r="C132" s="71">
        <f>(C131*$B$6)/12</f>
        <v>0</v>
      </c>
      <c r="D132" s="71">
        <f>(D131*$B$6)/12</f>
        <v>0</v>
      </c>
      <c r="E132" s="71">
        <f>(E131*$B$6)/12</f>
        <v>0</v>
      </c>
      <c r="F132" s="71">
        <f>(F131*$B$6)/12</f>
        <v>0</v>
      </c>
      <c r="G132" s="71">
        <f t="shared" ref="G132" si="344">(G131*$B$6)/12</f>
        <v>0</v>
      </c>
      <c r="H132" s="71">
        <f t="shared" ref="H132" si="345">(H131*$B$6)/12</f>
        <v>0</v>
      </c>
      <c r="I132" s="71">
        <f t="shared" ref="I132" si="346">(I131*$B$6)/12</f>
        <v>0</v>
      </c>
      <c r="J132" s="71">
        <f t="shared" ref="J132" si="347">(J131*$B$6)/12</f>
        <v>0</v>
      </c>
      <c r="K132" s="71">
        <f t="shared" ref="K132" si="348">(K131*$B$6)/12</f>
        <v>0</v>
      </c>
      <c r="L132" s="71">
        <f t="shared" ref="L132" si="349">(L131*$B$6)/12</f>
        <v>0</v>
      </c>
      <c r="M132" s="71">
        <f t="shared" ref="M132" si="350">(M131*$B$6)/12</f>
        <v>0</v>
      </c>
      <c r="N132" s="71">
        <f t="shared" ref="N132" si="351">(N131*$B$6)/12</f>
        <v>0</v>
      </c>
      <c r="O132" s="83">
        <f>SUM(C132:N132)</f>
        <v>0</v>
      </c>
    </row>
    <row r="133" spans="2:15" x14ac:dyDescent="0.35">
      <c r="B133" s="82" t="s">
        <v>45</v>
      </c>
      <c r="C133" s="96">
        <v>0</v>
      </c>
      <c r="D133" s="38">
        <f>C133</f>
        <v>0</v>
      </c>
      <c r="E133" s="38">
        <f>D133</f>
        <v>0</v>
      </c>
      <c r="F133" s="38">
        <f>E133</f>
        <v>0</v>
      </c>
      <c r="G133" s="38">
        <f t="shared" ref="G133:N133" si="352">F133</f>
        <v>0</v>
      </c>
      <c r="H133" s="38">
        <f t="shared" si="352"/>
        <v>0</v>
      </c>
      <c r="I133" s="38">
        <f t="shared" si="352"/>
        <v>0</v>
      </c>
      <c r="J133" s="38">
        <f t="shared" si="352"/>
        <v>0</v>
      </c>
      <c r="K133" s="38">
        <f t="shared" si="352"/>
        <v>0</v>
      </c>
      <c r="L133" s="38">
        <f t="shared" si="352"/>
        <v>0</v>
      </c>
      <c r="M133" s="38">
        <f t="shared" si="352"/>
        <v>0</v>
      </c>
      <c r="N133" s="38">
        <f t="shared" si="352"/>
        <v>0</v>
      </c>
      <c r="O133" s="86">
        <f>SUM(C133:N133)</f>
        <v>0</v>
      </c>
    </row>
    <row r="134" spans="2:15" x14ac:dyDescent="0.35">
      <c r="B134" s="101" t="s">
        <v>67</v>
      </c>
      <c r="C134" s="98">
        <f>C131+C132-C133</f>
        <v>0</v>
      </c>
      <c r="D134" s="98">
        <f>D131+D132-D133</f>
        <v>0</v>
      </c>
      <c r="E134" s="98">
        <f>E131+E132-E133</f>
        <v>0</v>
      </c>
      <c r="F134" s="98">
        <f>F131+F132-F133</f>
        <v>0</v>
      </c>
      <c r="G134" s="98">
        <f t="shared" ref="G134" si="353">G131+G132-G133</f>
        <v>0</v>
      </c>
      <c r="H134" s="98">
        <f t="shared" ref="H134" si="354">H131+H132-H133</f>
        <v>0</v>
      </c>
      <c r="I134" s="98">
        <f t="shared" ref="I134" si="355">I131+I132-I133</f>
        <v>0</v>
      </c>
      <c r="J134" s="98">
        <f t="shared" ref="J134" si="356">J131+J132-J133</f>
        <v>0</v>
      </c>
      <c r="K134" s="98">
        <f t="shared" ref="K134" si="357">K131+K132-K133</f>
        <v>0</v>
      </c>
      <c r="L134" s="98">
        <f t="shared" ref="L134" si="358">L131+L132-L133</f>
        <v>0</v>
      </c>
      <c r="M134" s="98">
        <f t="shared" ref="M134" si="359">M131+M132-M133</f>
        <v>0</v>
      </c>
      <c r="N134" s="98">
        <f t="shared" ref="N134" si="360">N131+N132-N133</f>
        <v>0</v>
      </c>
      <c r="O134" s="84">
        <f>N137</f>
        <v>0</v>
      </c>
    </row>
    <row r="135" spans="2:15" x14ac:dyDescent="0.35">
      <c r="B135" s="85" t="s">
        <v>66</v>
      </c>
      <c r="C135" s="71">
        <v>0</v>
      </c>
      <c r="D135" s="71">
        <v>0</v>
      </c>
      <c r="E135" s="71"/>
      <c r="F135" s="71">
        <v>0</v>
      </c>
      <c r="G135" s="71">
        <v>0</v>
      </c>
      <c r="H135" s="71">
        <v>0</v>
      </c>
      <c r="I135" s="71">
        <v>0</v>
      </c>
      <c r="J135" s="71">
        <v>0</v>
      </c>
      <c r="K135" s="71">
        <v>0</v>
      </c>
      <c r="L135" s="71">
        <v>0</v>
      </c>
      <c r="M135" s="71">
        <v>0</v>
      </c>
      <c r="N135" s="71">
        <f>IF(O132&lt;'Tax calculations'!$D$4,O132*'Tax calculations'!$F$4,VLOOKUP(O132,'Tax calculations'!$C$5:$F$10,3,1)+(Calculations!O132-VLOOKUP(O132,'Tax calculations'!$C$5:$F$10,1,1))*VLOOKUP(O132,'Tax calculations'!$C$5:$F$10,4,1))</f>
        <v>0</v>
      </c>
      <c r="O135" s="83">
        <f>SUM(C135:N135)</f>
        <v>0</v>
      </c>
    </row>
    <row r="136" spans="2:15" x14ac:dyDescent="0.35">
      <c r="B136" s="85" t="s">
        <v>80</v>
      </c>
      <c r="C136" s="71">
        <v>0</v>
      </c>
      <c r="D136" s="71">
        <v>0</v>
      </c>
      <c r="E136" s="71"/>
      <c r="F136" s="71">
        <v>0</v>
      </c>
      <c r="G136" s="71">
        <v>0</v>
      </c>
      <c r="H136" s="71">
        <v>0</v>
      </c>
      <c r="I136" s="71">
        <v>0</v>
      </c>
      <c r="J136" s="71">
        <v>0</v>
      </c>
      <c r="K136" s="71">
        <v>0</v>
      </c>
      <c r="L136" s="71">
        <v>0</v>
      </c>
      <c r="M136" s="71">
        <v>0</v>
      </c>
      <c r="N136" s="71">
        <f>IF(O132&gt;'Tax calculations'!$C$19,'Tax calculations'!$E$19+'Tax calculations'!$F$19*(Calculations!O132-'Tax calculations'!$C$19),Calculations!O132*'Tax calculations'!$F$18)</f>
        <v>0</v>
      </c>
      <c r="O136" s="97">
        <f>SUM(C136:N136)</f>
        <v>0</v>
      </c>
    </row>
    <row r="137" spans="2:15" x14ac:dyDescent="0.35">
      <c r="B137" s="101" t="s">
        <v>81</v>
      </c>
      <c r="C137" s="98">
        <f>C134-C135-C136</f>
        <v>0</v>
      </c>
      <c r="D137" s="98">
        <f>D134-D135-D136</f>
        <v>0</v>
      </c>
      <c r="E137" s="98">
        <f>E134-E135-E136</f>
        <v>0</v>
      </c>
      <c r="F137" s="98">
        <f>F134-F135-F136</f>
        <v>0</v>
      </c>
      <c r="G137" s="98">
        <f t="shared" ref="G137" si="361">G134-G135-G136</f>
        <v>0</v>
      </c>
      <c r="H137" s="98">
        <f t="shared" ref="H137" si="362">H134-H135-H136</f>
        <v>0</v>
      </c>
      <c r="I137" s="98">
        <f t="shared" ref="I137" si="363">I134-I135-I136</f>
        <v>0</v>
      </c>
      <c r="J137" s="98">
        <f t="shared" ref="J137" si="364">J134-J135-J136</f>
        <v>0</v>
      </c>
      <c r="K137" s="98">
        <f t="shared" ref="K137" si="365">K134-K135-K136</f>
        <v>0</v>
      </c>
      <c r="L137" s="98">
        <f t="shared" ref="L137" si="366">L134-L135-L136</f>
        <v>0</v>
      </c>
      <c r="M137" s="98">
        <f t="shared" ref="M137" si="367">M134-M135-M136</f>
        <v>0</v>
      </c>
      <c r="N137" s="98">
        <f>N134-N135-N136</f>
        <v>0</v>
      </c>
      <c r="O137" s="107">
        <f>O134</f>
        <v>0</v>
      </c>
    </row>
    <row r="138" spans="2:15" x14ac:dyDescent="0.35">
      <c r="B138" s="80" t="s">
        <v>46</v>
      </c>
      <c r="C138" s="38">
        <f>O128</f>
        <v>621564.81074337813</v>
      </c>
      <c r="D138" s="38">
        <f>C143</f>
        <v>530063.33614833397</v>
      </c>
      <c r="E138" s="38">
        <f>D143</f>
        <v>533597.09172265616</v>
      </c>
      <c r="F138" s="38">
        <f t="shared" ref="F138:N138" si="368">E143</f>
        <v>537154.40566747391</v>
      </c>
      <c r="G138" s="38">
        <f t="shared" si="368"/>
        <v>540735.43503859045</v>
      </c>
      <c r="H138" s="38">
        <f t="shared" si="368"/>
        <v>544340.33793884772</v>
      </c>
      <c r="I138" s="38">
        <f t="shared" si="368"/>
        <v>547969.27352510672</v>
      </c>
      <c r="J138" s="38">
        <f t="shared" si="368"/>
        <v>551622.40201527404</v>
      </c>
      <c r="K138" s="38">
        <f t="shared" si="368"/>
        <v>555299.88469537592</v>
      </c>
      <c r="L138" s="38">
        <f t="shared" si="368"/>
        <v>559001.88392667845</v>
      </c>
      <c r="M138" s="38">
        <f t="shared" si="368"/>
        <v>562728.56315285631</v>
      </c>
      <c r="N138" s="38">
        <f t="shared" si="368"/>
        <v>566480.08690720866</v>
      </c>
      <c r="O138" s="86"/>
    </row>
    <row r="139" spans="2:15" x14ac:dyDescent="0.35">
      <c r="B139" s="82" t="s">
        <v>70</v>
      </c>
      <c r="C139" s="38">
        <f>(C138*$C$6)/12</f>
        <v>4143.7654049558541</v>
      </c>
      <c r="D139" s="38">
        <f>(D138*$C$6)/12</f>
        <v>3533.7555743222269</v>
      </c>
      <c r="E139" s="38">
        <f t="shared" ref="E139" si="369">(E138*$C$6)/12</f>
        <v>3557.313944817708</v>
      </c>
      <c r="F139" s="38">
        <f t="shared" ref="F139" si="370">(F138*$C$6)/12</f>
        <v>3581.0293711164927</v>
      </c>
      <c r="G139" s="38">
        <f t="shared" ref="G139" si="371">(G138*$C$6)/12</f>
        <v>3604.9029002572697</v>
      </c>
      <c r="H139" s="38">
        <f t="shared" ref="H139" si="372">(H138*$C$6)/12</f>
        <v>3628.935586258985</v>
      </c>
      <c r="I139" s="38">
        <f t="shared" ref="I139" si="373">(I138*$C$6)/12</f>
        <v>3653.1284901673785</v>
      </c>
      <c r="J139" s="38">
        <f t="shared" ref="J139" si="374">(J138*$C$6)/12</f>
        <v>3677.4826801018266</v>
      </c>
      <c r="K139" s="38">
        <f t="shared" ref="K139" si="375">(K138*$C$6)/12</f>
        <v>3701.9992313025064</v>
      </c>
      <c r="L139" s="38">
        <f t="shared" ref="L139" si="376">(L138*$C$6)/12</f>
        <v>3726.679226177856</v>
      </c>
      <c r="M139" s="38">
        <f t="shared" ref="M139" si="377">(M138*$C$6)/12</f>
        <v>3751.5237543523758</v>
      </c>
      <c r="N139" s="38">
        <f t="shared" ref="N139" si="378">(N138*$C$6)/12</f>
        <v>3776.5339127147249</v>
      </c>
      <c r="O139" s="86">
        <f>SUM(C139:N139)</f>
        <v>44337.050076545202</v>
      </c>
    </row>
    <row r="140" spans="2:15" x14ac:dyDescent="0.35">
      <c r="B140" s="82" t="s">
        <v>84</v>
      </c>
      <c r="C140" s="38">
        <f>$B$7+($B$7*'Tax Rates and Inflation'!C35)+(-O137)</f>
        <v>83211.5</v>
      </c>
      <c r="D140" s="38">
        <v>0</v>
      </c>
      <c r="E140" s="38">
        <v>0</v>
      </c>
      <c r="F140" s="38">
        <v>0</v>
      </c>
      <c r="G140" s="38">
        <v>0</v>
      </c>
      <c r="H140" s="38">
        <v>0</v>
      </c>
      <c r="I140" s="38">
        <v>0</v>
      </c>
      <c r="J140" s="38">
        <v>0</v>
      </c>
      <c r="K140" s="38">
        <v>0</v>
      </c>
      <c r="L140" s="38">
        <v>0</v>
      </c>
      <c r="M140" s="38">
        <v>0</v>
      </c>
      <c r="N140" s="38">
        <v>0</v>
      </c>
      <c r="O140" s="86">
        <f>SUM(C140:N140)</f>
        <v>83211.5</v>
      </c>
    </row>
    <row r="141" spans="2:15" x14ac:dyDescent="0.35">
      <c r="B141" s="82" t="s">
        <v>82</v>
      </c>
      <c r="C141" s="38">
        <f>IF(C140&lt;'Tax calculations'!$D$4,C140*'Tax calculations'!$F$4,VLOOKUP(C140,'Tax calculations'!$C$5:$F$10,3,1)+(Calculations!C140-VLOOKUP(C140,'Tax calculations'!$C$5:$F$10,1,1))*VLOOKUP(C140,'Tax calculations'!$C$5:$F$10,4,1))</f>
        <v>9803.5300000000007</v>
      </c>
      <c r="D141" s="38">
        <v>0</v>
      </c>
      <c r="E141" s="38">
        <v>0</v>
      </c>
      <c r="F141" s="38">
        <v>0</v>
      </c>
      <c r="G141" s="38">
        <v>0</v>
      </c>
      <c r="H141" s="38">
        <v>0</v>
      </c>
      <c r="I141" s="38">
        <v>0</v>
      </c>
      <c r="J141" s="38">
        <v>0</v>
      </c>
      <c r="K141" s="38">
        <v>0</v>
      </c>
      <c r="L141" s="38">
        <v>0</v>
      </c>
      <c r="M141" s="38">
        <v>0</v>
      </c>
      <c r="N141" s="38">
        <v>0</v>
      </c>
      <c r="O141" s="86">
        <f>SUM(C141:N141)</f>
        <v>9803.5300000000007</v>
      </c>
    </row>
    <row r="142" spans="2:15" ht="15" thickBot="1" x14ac:dyDescent="0.4">
      <c r="B142" s="87" t="s">
        <v>83</v>
      </c>
      <c r="C142" s="88">
        <f>IF(B2="C",IF(Calculations!C140&lt;'Tax calculations'!$D$18,C140*'Tax calculations'!$F$18,VLOOKUP(C140,'Tax calculations'!$C$19:$F$26,3,1)+(Calculations!C140-VLOOKUP(Calculations!C140,'Tax calculations'!$C$19:$F$26,1,1))*VLOOKUP(Calculations!C140,'Tax calculations'!$C$19:$F$26,4,1)),C140*5%)</f>
        <v>2630.21</v>
      </c>
      <c r="D142" s="88">
        <v>0</v>
      </c>
      <c r="E142" s="88">
        <v>0</v>
      </c>
      <c r="F142" s="88">
        <v>0</v>
      </c>
      <c r="G142" s="88">
        <v>0</v>
      </c>
      <c r="H142" s="88">
        <v>0</v>
      </c>
      <c r="I142" s="88">
        <v>0</v>
      </c>
      <c r="J142" s="88">
        <v>0</v>
      </c>
      <c r="K142" s="88">
        <v>0</v>
      </c>
      <c r="L142" s="88">
        <v>0</v>
      </c>
      <c r="M142" s="88">
        <v>0</v>
      </c>
      <c r="N142" s="88">
        <v>0</v>
      </c>
      <c r="O142" s="89">
        <f>SUM(C142:N142)</f>
        <v>2630.21</v>
      </c>
    </row>
    <row r="143" spans="2:15" ht="15" thickBot="1" x14ac:dyDescent="0.4">
      <c r="B143" s="108" t="s">
        <v>85</v>
      </c>
      <c r="C143" s="88">
        <f>C138+C139-C140-C141-C142</f>
        <v>530063.33614833397</v>
      </c>
      <c r="D143" s="88">
        <f t="shared" ref="D143" si="379">D138+D139-D140-D141-D142</f>
        <v>533597.09172265616</v>
      </c>
      <c r="E143" s="88">
        <f t="shared" ref="E143" si="380">E138+E139-E140-E141-E142</f>
        <v>537154.40566747391</v>
      </c>
      <c r="F143" s="88">
        <f t="shared" ref="F143" si="381">F138+F139-F140-F141-F142</f>
        <v>540735.43503859045</v>
      </c>
      <c r="G143" s="88">
        <f t="shared" ref="G143" si="382">G138+G139-G140-G141-G142</f>
        <v>544340.33793884772</v>
      </c>
      <c r="H143" s="88">
        <f t="shared" ref="H143" si="383">H138+H139-H140-H141-H142</f>
        <v>547969.27352510672</v>
      </c>
      <c r="I143" s="88">
        <f t="shared" ref="I143" si="384">I138+I139-I140-I141-I142</f>
        <v>551622.40201527404</v>
      </c>
      <c r="J143" s="88">
        <f t="shared" ref="J143" si="385">J138+J139-J140-J141-J142</f>
        <v>555299.88469537592</v>
      </c>
      <c r="K143" s="88">
        <f t="shared" ref="K143" si="386">K138+K139-K140-K141-K142</f>
        <v>559001.88392667845</v>
      </c>
      <c r="L143" s="88">
        <f t="shared" ref="L143" si="387">L138+L139-L140-L141-L142</f>
        <v>562728.56315285631</v>
      </c>
      <c r="M143" s="88">
        <f t="shared" ref="M143" si="388">M138+M139-M140-M141-M142</f>
        <v>566480.08690720866</v>
      </c>
      <c r="N143" s="88">
        <f t="shared" ref="N143" si="389">N138+N139-N140-N141-N142</f>
        <v>570256.62081992335</v>
      </c>
      <c r="O143" s="109">
        <f>N143</f>
        <v>570256.62081992335</v>
      </c>
    </row>
    <row r="144" spans="2:15" ht="15" thickBot="1" x14ac:dyDescent="0.4"/>
    <row r="145" spans="1:16" x14ac:dyDescent="0.35">
      <c r="B145" s="100">
        <v>2032</v>
      </c>
      <c r="C145" s="78">
        <v>1</v>
      </c>
      <c r="D145" s="78">
        <v>2</v>
      </c>
      <c r="E145" s="78">
        <v>3</v>
      </c>
      <c r="F145" s="78">
        <v>4</v>
      </c>
      <c r="G145" s="78">
        <v>5</v>
      </c>
      <c r="H145" s="78">
        <v>6</v>
      </c>
      <c r="I145" s="78">
        <v>7</v>
      </c>
      <c r="J145" s="78">
        <v>8</v>
      </c>
      <c r="K145" s="78">
        <v>9</v>
      </c>
      <c r="L145" s="78">
        <v>10</v>
      </c>
      <c r="M145" s="78">
        <v>11</v>
      </c>
      <c r="N145" s="78">
        <v>12</v>
      </c>
      <c r="O145" s="79" t="s">
        <v>89</v>
      </c>
    </row>
    <row r="146" spans="1:16" x14ac:dyDescent="0.35">
      <c r="B146" s="80" t="s">
        <v>69</v>
      </c>
      <c r="C146" s="73">
        <v>0</v>
      </c>
      <c r="D146" s="73">
        <f>C152</f>
        <v>0</v>
      </c>
      <c r="E146" s="73">
        <f>D152</f>
        <v>0</v>
      </c>
      <c r="F146" s="73">
        <f>E152</f>
        <v>0</v>
      </c>
      <c r="G146" s="73">
        <f t="shared" ref="G146:N146" si="390">F152</f>
        <v>0</v>
      </c>
      <c r="H146" s="73">
        <f t="shared" si="390"/>
        <v>0</v>
      </c>
      <c r="I146" s="73">
        <f t="shared" si="390"/>
        <v>0</v>
      </c>
      <c r="J146" s="73">
        <f t="shared" si="390"/>
        <v>0</v>
      </c>
      <c r="K146" s="73">
        <f t="shared" si="390"/>
        <v>0</v>
      </c>
      <c r="L146" s="73">
        <f t="shared" si="390"/>
        <v>0</v>
      </c>
      <c r="M146" s="73">
        <f t="shared" si="390"/>
        <v>0</v>
      </c>
      <c r="N146" s="73">
        <f t="shared" si="390"/>
        <v>0</v>
      </c>
      <c r="O146" s="81"/>
    </row>
    <row r="147" spans="1:16" x14ac:dyDescent="0.35">
      <c r="B147" s="82" t="s">
        <v>65</v>
      </c>
      <c r="C147" s="71">
        <f>(C146*$B$6)/12</f>
        <v>0</v>
      </c>
      <c r="D147" s="71">
        <f>(D146*$B$6)/12</f>
        <v>0</v>
      </c>
      <c r="E147" s="71">
        <f>(E146*$B$6)/12</f>
        <v>0</v>
      </c>
      <c r="F147" s="71">
        <f>(F146*$B$6)/12</f>
        <v>0</v>
      </c>
      <c r="G147" s="71">
        <f t="shared" ref="G147" si="391">(G146*$B$6)/12</f>
        <v>0</v>
      </c>
      <c r="H147" s="71">
        <f t="shared" ref="H147" si="392">(H146*$B$6)/12</f>
        <v>0</v>
      </c>
      <c r="I147" s="71">
        <f t="shared" ref="I147" si="393">(I146*$B$6)/12</f>
        <v>0</v>
      </c>
      <c r="J147" s="71">
        <f t="shared" ref="J147" si="394">(J146*$B$6)/12</f>
        <v>0</v>
      </c>
      <c r="K147" s="71">
        <f t="shared" ref="K147" si="395">(K146*$B$6)/12</f>
        <v>0</v>
      </c>
      <c r="L147" s="71">
        <f t="shared" ref="L147" si="396">(L146*$B$6)/12</f>
        <v>0</v>
      </c>
      <c r="M147" s="71">
        <f t="shared" ref="M147" si="397">(M146*$B$6)/12</f>
        <v>0</v>
      </c>
      <c r="N147" s="71">
        <f t="shared" ref="N147" si="398">(N146*$B$6)/12</f>
        <v>0</v>
      </c>
      <c r="O147" s="83">
        <f>SUM(C147:N147)</f>
        <v>0</v>
      </c>
    </row>
    <row r="148" spans="1:16" x14ac:dyDescent="0.35">
      <c r="B148" s="82" t="s">
        <v>45</v>
      </c>
      <c r="C148" s="96">
        <v>0</v>
      </c>
      <c r="D148" s="38">
        <f>C148</f>
        <v>0</v>
      </c>
      <c r="E148" s="38">
        <f>D148</f>
        <v>0</v>
      </c>
      <c r="F148" s="38">
        <f>E148</f>
        <v>0</v>
      </c>
      <c r="G148" s="38">
        <f t="shared" ref="G148:N148" si="399">F148</f>
        <v>0</v>
      </c>
      <c r="H148" s="38">
        <f t="shared" si="399"/>
        <v>0</v>
      </c>
      <c r="I148" s="38">
        <f t="shared" si="399"/>
        <v>0</v>
      </c>
      <c r="J148" s="38">
        <f t="shared" si="399"/>
        <v>0</v>
      </c>
      <c r="K148" s="38">
        <f t="shared" si="399"/>
        <v>0</v>
      </c>
      <c r="L148" s="38">
        <f t="shared" si="399"/>
        <v>0</v>
      </c>
      <c r="M148" s="38">
        <f t="shared" si="399"/>
        <v>0</v>
      </c>
      <c r="N148" s="38">
        <f t="shared" si="399"/>
        <v>0</v>
      </c>
      <c r="O148" s="86">
        <f>SUM(C148:N148)</f>
        <v>0</v>
      </c>
    </row>
    <row r="149" spans="1:16" x14ac:dyDescent="0.35">
      <c r="B149" s="101" t="s">
        <v>67</v>
      </c>
      <c r="C149" s="98">
        <f>C146+C147-C148</f>
        <v>0</v>
      </c>
      <c r="D149" s="98">
        <f>D146+D147-D148</f>
        <v>0</v>
      </c>
      <c r="E149" s="98">
        <f>E146+E147-E148</f>
        <v>0</v>
      </c>
      <c r="F149" s="98">
        <f>F146+F147-F148</f>
        <v>0</v>
      </c>
      <c r="G149" s="98">
        <f t="shared" ref="G149" si="400">G146+G147-G148</f>
        <v>0</v>
      </c>
      <c r="H149" s="98">
        <f t="shared" ref="H149" si="401">H146+H147-H148</f>
        <v>0</v>
      </c>
      <c r="I149" s="98">
        <f t="shared" ref="I149" si="402">I146+I147-I148</f>
        <v>0</v>
      </c>
      <c r="J149" s="98">
        <f t="shared" ref="J149" si="403">J146+J147-J148</f>
        <v>0</v>
      </c>
      <c r="K149" s="98">
        <f t="shared" ref="K149" si="404">K146+K147-K148</f>
        <v>0</v>
      </c>
      <c r="L149" s="98">
        <f t="shared" ref="L149" si="405">L146+L147-L148</f>
        <v>0</v>
      </c>
      <c r="M149" s="98">
        <f t="shared" ref="M149" si="406">M146+M147-M148</f>
        <v>0</v>
      </c>
      <c r="N149" s="98">
        <f t="shared" ref="N149" si="407">N146+N147-N148</f>
        <v>0</v>
      </c>
      <c r="O149" s="84">
        <f>N152</f>
        <v>0</v>
      </c>
    </row>
    <row r="150" spans="1:16" x14ac:dyDescent="0.35">
      <c r="B150" s="85" t="s">
        <v>66</v>
      </c>
      <c r="C150" s="71">
        <v>0</v>
      </c>
      <c r="D150" s="71">
        <v>0</v>
      </c>
      <c r="E150" s="71"/>
      <c r="F150" s="71">
        <v>0</v>
      </c>
      <c r="G150" s="71">
        <v>0</v>
      </c>
      <c r="H150" s="71">
        <v>0</v>
      </c>
      <c r="I150" s="71">
        <v>0</v>
      </c>
      <c r="J150" s="71">
        <v>0</v>
      </c>
      <c r="K150" s="71">
        <v>0</v>
      </c>
      <c r="L150" s="71">
        <v>0</v>
      </c>
      <c r="M150" s="71">
        <v>0</v>
      </c>
      <c r="N150" s="71">
        <f>IF(O147&lt;'Tax calculations'!$D$4,O147*'Tax calculations'!$F$4,VLOOKUP(O147,'Tax calculations'!$C$5:$F$10,3,1)+(Calculations!O147-VLOOKUP(O147,'Tax calculations'!$C$5:$F$10,1,1))*VLOOKUP(O147,'Tax calculations'!$C$5:$F$10,4,1))</f>
        <v>0</v>
      </c>
      <c r="O150" s="83">
        <f>SUM(C150:N150)</f>
        <v>0</v>
      </c>
    </row>
    <row r="151" spans="1:16" x14ac:dyDescent="0.35">
      <c r="B151" s="85" t="s">
        <v>80</v>
      </c>
      <c r="C151" s="71">
        <v>0</v>
      </c>
      <c r="D151" s="71">
        <v>0</v>
      </c>
      <c r="E151" s="71"/>
      <c r="F151" s="71">
        <v>0</v>
      </c>
      <c r="G151" s="71">
        <v>0</v>
      </c>
      <c r="H151" s="71">
        <v>0</v>
      </c>
      <c r="I151" s="71">
        <v>0</v>
      </c>
      <c r="J151" s="71">
        <v>0</v>
      </c>
      <c r="K151" s="71">
        <v>0</v>
      </c>
      <c r="L151" s="71">
        <v>0</v>
      </c>
      <c r="M151" s="71">
        <v>0</v>
      </c>
      <c r="N151" s="71">
        <f>IF(O147&gt;'Tax calculations'!$C$19,'Tax calculations'!$E$19+'Tax calculations'!$F$19*(Calculations!O147-'Tax calculations'!$C$19),Calculations!O147*'Tax calculations'!$F$18)</f>
        <v>0</v>
      </c>
      <c r="O151" s="97">
        <f>SUM(C151:N151)</f>
        <v>0</v>
      </c>
    </row>
    <row r="152" spans="1:16" x14ac:dyDescent="0.35">
      <c r="B152" s="101" t="s">
        <v>81</v>
      </c>
      <c r="C152" s="98">
        <f>C149-C150-C151</f>
        <v>0</v>
      </c>
      <c r="D152" s="98">
        <f>D149-D150-D151</f>
        <v>0</v>
      </c>
      <c r="E152" s="98">
        <f>E149-E150-E151</f>
        <v>0</v>
      </c>
      <c r="F152" s="98">
        <f>F149-F150-F151</f>
        <v>0</v>
      </c>
      <c r="G152" s="98">
        <f t="shared" ref="G152" si="408">G149-G150-G151</f>
        <v>0</v>
      </c>
      <c r="H152" s="98">
        <f t="shared" ref="H152" si="409">H149-H150-H151</f>
        <v>0</v>
      </c>
      <c r="I152" s="98">
        <f t="shared" ref="I152" si="410">I149-I150-I151</f>
        <v>0</v>
      </c>
      <c r="J152" s="98">
        <f t="shared" ref="J152" si="411">J149-J150-J151</f>
        <v>0</v>
      </c>
      <c r="K152" s="98">
        <f t="shared" ref="K152" si="412">K149-K150-K151</f>
        <v>0</v>
      </c>
      <c r="L152" s="98">
        <f t="shared" ref="L152" si="413">L149-L150-L151</f>
        <v>0</v>
      </c>
      <c r="M152" s="98">
        <f t="shared" ref="M152" si="414">M149-M150-M151</f>
        <v>0</v>
      </c>
      <c r="N152" s="98">
        <f>N149-N150-N151</f>
        <v>0</v>
      </c>
      <c r="O152" s="107">
        <f>O149</f>
        <v>0</v>
      </c>
    </row>
    <row r="153" spans="1:16" x14ac:dyDescent="0.35">
      <c r="B153" s="80" t="s">
        <v>46</v>
      </c>
      <c r="C153" s="38">
        <f>O143</f>
        <v>570256.62081992335</v>
      </c>
      <c r="D153" s="38">
        <f>C158</f>
        <v>478413.09162538947</v>
      </c>
      <c r="E153" s="38">
        <f>D158</f>
        <v>481602.51223622542</v>
      </c>
      <c r="F153" s="38">
        <f t="shared" ref="F153:N153" si="415">E158</f>
        <v>484813.1956511336</v>
      </c>
      <c r="G153" s="38">
        <f t="shared" si="415"/>
        <v>488045.28362214117</v>
      </c>
      <c r="H153" s="38">
        <f t="shared" si="415"/>
        <v>491298.91884628875</v>
      </c>
      <c r="I153" s="38">
        <f t="shared" si="415"/>
        <v>494574.24497193069</v>
      </c>
      <c r="J153" s="38">
        <f t="shared" si="415"/>
        <v>497871.40660507692</v>
      </c>
      <c r="K153" s="38">
        <f t="shared" si="415"/>
        <v>501190.54931577743</v>
      </c>
      <c r="L153" s="38">
        <f t="shared" si="415"/>
        <v>504531.81964454928</v>
      </c>
      <c r="M153" s="38">
        <f t="shared" si="415"/>
        <v>507895.36510884628</v>
      </c>
      <c r="N153" s="38">
        <f t="shared" si="415"/>
        <v>511281.33420957194</v>
      </c>
      <c r="O153" s="86"/>
    </row>
    <row r="154" spans="1:16" x14ac:dyDescent="0.35">
      <c r="B154" s="82" t="s">
        <v>70</v>
      </c>
      <c r="C154" s="38">
        <f>(C153*$C$6)/12</f>
        <v>3801.7108054661553</v>
      </c>
      <c r="D154" s="38">
        <f>(D153*$C$6)/12</f>
        <v>3189.4206108359299</v>
      </c>
      <c r="E154" s="38">
        <f t="shared" ref="E154" si="416">(E153*$C$6)/12</f>
        <v>3210.6834149081697</v>
      </c>
      <c r="F154" s="38">
        <f t="shared" ref="F154" si="417">(F153*$C$6)/12</f>
        <v>3232.0879710075574</v>
      </c>
      <c r="G154" s="38">
        <f t="shared" ref="G154" si="418">(G153*$C$6)/12</f>
        <v>3253.6352241476075</v>
      </c>
      <c r="H154" s="38">
        <f t="shared" ref="H154" si="419">(H153*$C$6)/12</f>
        <v>3275.326125641925</v>
      </c>
      <c r="I154" s="38">
        <f t="shared" ref="I154" si="420">(I153*$C$6)/12</f>
        <v>3297.1616331462046</v>
      </c>
      <c r="J154" s="38">
        <f t="shared" ref="J154" si="421">(J153*$C$6)/12</f>
        <v>3319.1427107005129</v>
      </c>
      <c r="K154" s="38">
        <f t="shared" ref="K154" si="422">(K153*$C$6)/12</f>
        <v>3341.27032877185</v>
      </c>
      <c r="L154" s="38">
        <f t="shared" ref="L154" si="423">(L153*$C$6)/12</f>
        <v>3363.5454642969949</v>
      </c>
      <c r="M154" s="38">
        <f t="shared" ref="M154" si="424">(M153*$C$6)/12</f>
        <v>3385.969100725642</v>
      </c>
      <c r="N154" s="38">
        <f t="shared" ref="N154" si="425">(N153*$C$6)/12</f>
        <v>3408.5422280638127</v>
      </c>
      <c r="O154" s="86">
        <f>SUM(C154:N154)</f>
        <v>40078.495617712368</v>
      </c>
    </row>
    <row r="155" spans="1:16" x14ac:dyDescent="0.35">
      <c r="B155" s="82" t="s">
        <v>84</v>
      </c>
      <c r="C155" s="38">
        <f>$B$7+($B$7*'Tax Rates and Inflation'!C36)+(-O152)</f>
        <v>83211.5</v>
      </c>
      <c r="D155" s="38">
        <v>0</v>
      </c>
      <c r="E155" s="38">
        <v>0</v>
      </c>
      <c r="F155" s="38">
        <v>0</v>
      </c>
      <c r="G155" s="38">
        <v>0</v>
      </c>
      <c r="H155" s="38">
        <v>0</v>
      </c>
      <c r="I155" s="38">
        <v>0</v>
      </c>
      <c r="J155" s="38">
        <v>0</v>
      </c>
      <c r="K155" s="38">
        <v>0</v>
      </c>
      <c r="L155" s="38">
        <v>0</v>
      </c>
      <c r="M155" s="38">
        <v>0</v>
      </c>
      <c r="N155" s="38">
        <v>0</v>
      </c>
      <c r="O155" s="86">
        <f>SUM(C155:N155)</f>
        <v>83211.5</v>
      </c>
    </row>
    <row r="156" spans="1:16" x14ac:dyDescent="0.35">
      <c r="B156" s="82" t="s">
        <v>82</v>
      </c>
      <c r="C156" s="38">
        <f>IF(C155&lt;'Tax calculations'!$D$4,C155*'Tax calculations'!$F$4,VLOOKUP(C155,'Tax calculations'!$C$5:$F$10,3,1)+(Calculations!C155-VLOOKUP(C155,'Tax calculations'!$C$5:$F$10,1,1))*VLOOKUP(C155,'Tax calculations'!$C$5:$F$10,4,1))</f>
        <v>9803.5300000000007</v>
      </c>
      <c r="D156" s="38">
        <v>0</v>
      </c>
      <c r="E156" s="38">
        <v>0</v>
      </c>
      <c r="F156" s="38">
        <v>0</v>
      </c>
      <c r="G156" s="38">
        <v>0</v>
      </c>
      <c r="H156" s="38">
        <v>0</v>
      </c>
      <c r="I156" s="38">
        <v>0</v>
      </c>
      <c r="J156" s="38">
        <v>0</v>
      </c>
      <c r="K156" s="38">
        <v>0</v>
      </c>
      <c r="L156" s="38">
        <v>0</v>
      </c>
      <c r="M156" s="38">
        <v>0</v>
      </c>
      <c r="N156" s="38">
        <v>0</v>
      </c>
      <c r="O156" s="86">
        <f>SUM(C156:N156)</f>
        <v>9803.5300000000007</v>
      </c>
    </row>
    <row r="157" spans="1:16" x14ac:dyDescent="0.35">
      <c r="B157" s="118" t="s">
        <v>83</v>
      </c>
      <c r="C157" s="38">
        <f>IF(B2="C",IF(Calculations!C155&lt;'Tax calculations'!$D$18,C155*'Tax calculations'!$F$18,VLOOKUP(C155,'Tax calculations'!$C$19:$F$26,3,1)+(Calculations!C155-VLOOKUP(Calculations!C155,'Tax calculations'!$C$19:$F$26,1,1))*VLOOKUP(Calculations!C155,'Tax calculations'!$C$19:$F$26,4,1)),C155*5%)</f>
        <v>2630.21</v>
      </c>
      <c r="D157" s="38">
        <v>0</v>
      </c>
      <c r="E157" s="38">
        <v>0</v>
      </c>
      <c r="F157" s="38">
        <v>0</v>
      </c>
      <c r="G157" s="38">
        <v>0</v>
      </c>
      <c r="H157" s="38">
        <v>0</v>
      </c>
      <c r="I157" s="38">
        <v>0</v>
      </c>
      <c r="J157" s="38">
        <v>0</v>
      </c>
      <c r="K157" s="38">
        <v>0</v>
      </c>
      <c r="L157" s="38">
        <v>0</v>
      </c>
      <c r="M157" s="38">
        <v>0</v>
      </c>
      <c r="N157" s="38">
        <v>0</v>
      </c>
      <c r="O157" s="86">
        <f>SUM(C157:N157)</f>
        <v>2630.21</v>
      </c>
    </row>
    <row r="158" spans="1:16" ht="15" thickBot="1" x14ac:dyDescent="0.4">
      <c r="B158" s="115" t="s">
        <v>85</v>
      </c>
      <c r="C158" s="116">
        <f>C153+C154-C155-C156-C157</f>
        <v>478413.09162538947</v>
      </c>
      <c r="D158" s="116">
        <f t="shared" ref="D158" si="426">D153+D154-D155-D156-D157</f>
        <v>481602.51223622542</v>
      </c>
      <c r="E158" s="116">
        <f t="shared" ref="E158" si="427">E153+E154-E155-E156-E157</f>
        <v>484813.1956511336</v>
      </c>
      <c r="F158" s="116">
        <f t="shared" ref="F158" si="428">F153+F154-F155-F156-F157</f>
        <v>488045.28362214117</v>
      </c>
      <c r="G158" s="116">
        <f t="shared" ref="G158" si="429">G153+G154-G155-G156-G157</f>
        <v>491298.91884628875</v>
      </c>
      <c r="H158" s="116">
        <f t="shared" ref="H158" si="430">H153+H154-H155-H156-H157</f>
        <v>494574.24497193069</v>
      </c>
      <c r="I158" s="116">
        <f t="shared" ref="I158" si="431">I153+I154-I155-I156-I157</f>
        <v>497871.40660507692</v>
      </c>
      <c r="J158" s="116">
        <f t="shared" ref="J158" si="432">J153+J154-J155-J156-J157</f>
        <v>501190.54931577743</v>
      </c>
      <c r="K158" s="116">
        <f t="shared" ref="K158" si="433">K153+K154-K155-K156-K157</f>
        <v>504531.81964454928</v>
      </c>
      <c r="L158" s="116">
        <f t="shared" ref="L158" si="434">L153+L154-L155-L156-L157</f>
        <v>507895.36510884628</v>
      </c>
      <c r="M158" s="116">
        <f t="shared" ref="M158" si="435">M153+M154-M155-M156-M157</f>
        <v>511281.33420957194</v>
      </c>
      <c r="N158" s="116">
        <f t="shared" ref="N158" si="436">N153+N154-N155-N156-N157</f>
        <v>514689.87643763574</v>
      </c>
      <c r="O158" s="117">
        <f>N158</f>
        <v>514689.87643763574</v>
      </c>
    </row>
    <row r="159" spans="1:16" ht="15" thickBot="1" x14ac:dyDescent="0.4">
      <c r="A159" s="113"/>
      <c r="B159" s="110"/>
      <c r="C159" s="111"/>
      <c r="D159" s="111"/>
      <c r="E159" s="111"/>
      <c r="F159" s="111"/>
      <c r="G159" s="111"/>
      <c r="H159" s="111"/>
      <c r="I159" s="111"/>
      <c r="J159" s="111"/>
      <c r="K159" s="111"/>
      <c r="L159" s="111"/>
      <c r="M159" s="111"/>
      <c r="N159" s="111"/>
      <c r="O159" s="114"/>
      <c r="P159" s="113"/>
    </row>
    <row r="160" spans="1:16" x14ac:dyDescent="0.35">
      <c r="B160" s="100">
        <v>2033</v>
      </c>
      <c r="C160" s="78">
        <v>1</v>
      </c>
      <c r="D160" s="78">
        <v>2</v>
      </c>
      <c r="E160" s="78">
        <v>3</v>
      </c>
      <c r="F160" s="78">
        <v>4</v>
      </c>
      <c r="G160" s="78">
        <v>5</v>
      </c>
      <c r="H160" s="78">
        <v>6</v>
      </c>
      <c r="I160" s="78">
        <v>7</v>
      </c>
      <c r="J160" s="78">
        <v>8</v>
      </c>
      <c r="K160" s="78">
        <v>9</v>
      </c>
      <c r="L160" s="78">
        <v>10</v>
      </c>
      <c r="M160" s="78">
        <v>11</v>
      </c>
      <c r="N160" s="78">
        <v>12</v>
      </c>
      <c r="O160" s="79" t="s">
        <v>90</v>
      </c>
    </row>
    <row r="161" spans="2:15" x14ac:dyDescent="0.35">
      <c r="B161" s="80" t="s">
        <v>69</v>
      </c>
      <c r="C161" s="73">
        <v>0</v>
      </c>
      <c r="D161" s="73">
        <f>C167</f>
        <v>0</v>
      </c>
      <c r="E161" s="73">
        <f>D167</f>
        <v>0</v>
      </c>
      <c r="F161" s="73">
        <f>E167</f>
        <v>0</v>
      </c>
      <c r="G161" s="73">
        <f t="shared" ref="G161:N161" si="437">F167</f>
        <v>0</v>
      </c>
      <c r="H161" s="73">
        <f t="shared" si="437"/>
        <v>0</v>
      </c>
      <c r="I161" s="73">
        <f t="shared" si="437"/>
        <v>0</v>
      </c>
      <c r="J161" s="73">
        <f t="shared" si="437"/>
        <v>0</v>
      </c>
      <c r="K161" s="73">
        <f t="shared" si="437"/>
        <v>0</v>
      </c>
      <c r="L161" s="73">
        <f t="shared" si="437"/>
        <v>0</v>
      </c>
      <c r="M161" s="73">
        <f t="shared" si="437"/>
        <v>0</v>
      </c>
      <c r="N161" s="73">
        <f t="shared" si="437"/>
        <v>0</v>
      </c>
      <c r="O161" s="81"/>
    </row>
    <row r="162" spans="2:15" x14ac:dyDescent="0.35">
      <c r="B162" s="82" t="s">
        <v>65</v>
      </c>
      <c r="C162" s="71">
        <f>(C161*$B$6)/12</f>
        <v>0</v>
      </c>
      <c r="D162" s="71">
        <f>(D161*$B$6)/12</f>
        <v>0</v>
      </c>
      <c r="E162" s="71">
        <f>(E161*$B$6)/12</f>
        <v>0</v>
      </c>
      <c r="F162" s="71">
        <f>(F161*$B$6)/12</f>
        <v>0</v>
      </c>
      <c r="G162" s="71">
        <f t="shared" ref="G162" si="438">(G161*$B$6)/12</f>
        <v>0</v>
      </c>
      <c r="H162" s="71">
        <f t="shared" ref="H162" si="439">(H161*$B$6)/12</f>
        <v>0</v>
      </c>
      <c r="I162" s="71">
        <f t="shared" ref="I162" si="440">(I161*$B$6)/12</f>
        <v>0</v>
      </c>
      <c r="J162" s="71">
        <f t="shared" ref="J162" si="441">(J161*$B$6)/12</f>
        <v>0</v>
      </c>
      <c r="K162" s="71">
        <f t="shared" ref="K162" si="442">(K161*$B$6)/12</f>
        <v>0</v>
      </c>
      <c r="L162" s="71">
        <f t="shared" ref="L162" si="443">(L161*$B$6)/12</f>
        <v>0</v>
      </c>
      <c r="M162" s="71">
        <f t="shared" ref="M162" si="444">(M161*$B$6)/12</f>
        <v>0</v>
      </c>
      <c r="N162" s="71">
        <f t="shared" ref="N162" si="445">(N161*$B$6)/12</f>
        <v>0</v>
      </c>
      <c r="O162" s="83">
        <f>SUM(C162:N162)</f>
        <v>0</v>
      </c>
    </row>
    <row r="163" spans="2:15" x14ac:dyDescent="0.35">
      <c r="B163" s="82" t="s">
        <v>45</v>
      </c>
      <c r="C163" s="96">
        <v>0</v>
      </c>
      <c r="D163" s="38">
        <f>C163</f>
        <v>0</v>
      </c>
      <c r="E163" s="38">
        <f>D163</f>
        <v>0</v>
      </c>
      <c r="F163" s="38">
        <f>E163</f>
        <v>0</v>
      </c>
      <c r="G163" s="38">
        <f t="shared" ref="G163:N163" si="446">F163</f>
        <v>0</v>
      </c>
      <c r="H163" s="38">
        <f t="shared" si="446"/>
        <v>0</v>
      </c>
      <c r="I163" s="38">
        <f t="shared" si="446"/>
        <v>0</v>
      </c>
      <c r="J163" s="38">
        <f t="shared" si="446"/>
        <v>0</v>
      </c>
      <c r="K163" s="38">
        <f t="shared" si="446"/>
        <v>0</v>
      </c>
      <c r="L163" s="38">
        <f t="shared" si="446"/>
        <v>0</v>
      </c>
      <c r="M163" s="38">
        <f t="shared" si="446"/>
        <v>0</v>
      </c>
      <c r="N163" s="38">
        <f t="shared" si="446"/>
        <v>0</v>
      </c>
      <c r="O163" s="86">
        <f>SUM(C163:N163)</f>
        <v>0</v>
      </c>
    </row>
    <row r="164" spans="2:15" x14ac:dyDescent="0.35">
      <c r="B164" s="101" t="s">
        <v>67</v>
      </c>
      <c r="C164" s="98">
        <f>C161+C162-C163</f>
        <v>0</v>
      </c>
      <c r="D164" s="98">
        <f>D161+D162-D163</f>
        <v>0</v>
      </c>
      <c r="E164" s="98">
        <f>E161+E162-E163</f>
        <v>0</v>
      </c>
      <c r="F164" s="98">
        <f>F161+F162-F163</f>
        <v>0</v>
      </c>
      <c r="G164" s="98">
        <f t="shared" ref="G164" si="447">G161+G162-G163</f>
        <v>0</v>
      </c>
      <c r="H164" s="98">
        <f t="shared" ref="H164" si="448">H161+H162-H163</f>
        <v>0</v>
      </c>
      <c r="I164" s="98">
        <f t="shared" ref="I164" si="449">I161+I162-I163</f>
        <v>0</v>
      </c>
      <c r="J164" s="98">
        <f t="shared" ref="J164" si="450">J161+J162-J163</f>
        <v>0</v>
      </c>
      <c r="K164" s="98">
        <f t="shared" ref="K164" si="451">K161+K162-K163</f>
        <v>0</v>
      </c>
      <c r="L164" s="98">
        <f t="shared" ref="L164" si="452">L161+L162-L163</f>
        <v>0</v>
      </c>
      <c r="M164" s="98">
        <f t="shared" ref="M164" si="453">M161+M162-M163</f>
        <v>0</v>
      </c>
      <c r="N164" s="98">
        <f t="shared" ref="N164" si="454">N161+N162-N163</f>
        <v>0</v>
      </c>
      <c r="O164" s="84">
        <f>N167</f>
        <v>0</v>
      </c>
    </row>
    <row r="165" spans="2:15" x14ac:dyDescent="0.35">
      <c r="B165" s="85" t="s">
        <v>66</v>
      </c>
      <c r="C165" s="71">
        <v>0</v>
      </c>
      <c r="D165" s="71">
        <v>0</v>
      </c>
      <c r="E165" s="71"/>
      <c r="F165" s="71">
        <v>0</v>
      </c>
      <c r="G165" s="71">
        <v>0</v>
      </c>
      <c r="H165" s="71">
        <v>0</v>
      </c>
      <c r="I165" s="71">
        <v>0</v>
      </c>
      <c r="J165" s="71">
        <v>0</v>
      </c>
      <c r="K165" s="71">
        <v>0</v>
      </c>
      <c r="L165" s="71">
        <v>0</v>
      </c>
      <c r="M165" s="71">
        <v>0</v>
      </c>
      <c r="N165" s="71">
        <f>IF(O162&lt;'Tax calculations'!$D$4,O162*'Tax calculations'!$F$4,VLOOKUP(O162,'Tax calculations'!$C$5:$F$10,3,1)+(Calculations!O162-VLOOKUP(O162,'Tax calculations'!$C$5:$F$10,1,1))*VLOOKUP(O162,'Tax calculations'!$C$5:$F$10,4,1))</f>
        <v>0</v>
      </c>
      <c r="O165" s="83">
        <f>SUM(C165:N165)</f>
        <v>0</v>
      </c>
    </row>
    <row r="166" spans="2:15" x14ac:dyDescent="0.35">
      <c r="B166" s="85" t="s">
        <v>80</v>
      </c>
      <c r="C166" s="71">
        <v>0</v>
      </c>
      <c r="D166" s="71">
        <v>0</v>
      </c>
      <c r="E166" s="71"/>
      <c r="F166" s="71">
        <v>0</v>
      </c>
      <c r="G166" s="71">
        <v>0</v>
      </c>
      <c r="H166" s="71">
        <v>0</v>
      </c>
      <c r="I166" s="71">
        <v>0</v>
      </c>
      <c r="J166" s="71">
        <v>0</v>
      </c>
      <c r="K166" s="71">
        <v>0</v>
      </c>
      <c r="L166" s="71">
        <v>0</v>
      </c>
      <c r="M166" s="71">
        <v>0</v>
      </c>
      <c r="N166" s="71">
        <f>IF(O162&gt;'Tax calculations'!$C$19,'Tax calculations'!$E$19+'Tax calculations'!$F$19*(Calculations!O162-'Tax calculations'!$C$19),Calculations!O162*'Tax calculations'!$F$18)</f>
        <v>0</v>
      </c>
      <c r="O166" s="97">
        <f>SUM(C166:N166)</f>
        <v>0</v>
      </c>
    </row>
    <row r="167" spans="2:15" x14ac:dyDescent="0.35">
      <c r="B167" s="101" t="s">
        <v>81</v>
      </c>
      <c r="C167" s="98">
        <f>C164-C165-C166</f>
        <v>0</v>
      </c>
      <c r="D167" s="98">
        <f>D164-D165-D166</f>
        <v>0</v>
      </c>
      <c r="E167" s="98">
        <f>E164-E165-E166</f>
        <v>0</v>
      </c>
      <c r="F167" s="98">
        <f>F164-F165-F166</f>
        <v>0</v>
      </c>
      <c r="G167" s="98">
        <f t="shared" ref="G167" si="455">G164-G165-G166</f>
        <v>0</v>
      </c>
      <c r="H167" s="98">
        <f t="shared" ref="H167" si="456">H164-H165-H166</f>
        <v>0</v>
      </c>
      <c r="I167" s="98">
        <f t="shared" ref="I167" si="457">I164-I165-I166</f>
        <v>0</v>
      </c>
      <c r="J167" s="98">
        <f t="shared" ref="J167" si="458">J164-J165-J166</f>
        <v>0</v>
      </c>
      <c r="K167" s="98">
        <f t="shared" ref="K167" si="459">K164-K165-K166</f>
        <v>0</v>
      </c>
      <c r="L167" s="98">
        <f t="shared" ref="L167" si="460">L164-L165-L166</f>
        <v>0</v>
      </c>
      <c r="M167" s="98">
        <f t="shared" ref="M167" si="461">M164-M165-M166</f>
        <v>0</v>
      </c>
      <c r="N167" s="98">
        <f>N164-N165-N166</f>
        <v>0</v>
      </c>
      <c r="O167" s="107">
        <f>O164</f>
        <v>0</v>
      </c>
    </row>
    <row r="168" spans="2:15" x14ac:dyDescent="0.35">
      <c r="B168" s="80" t="s">
        <v>46</v>
      </c>
      <c r="C168" s="38">
        <f>O158</f>
        <v>514689.87643763574</v>
      </c>
      <c r="D168" s="38">
        <f>C173</f>
        <v>422371.5822805533</v>
      </c>
      <c r="E168" s="38">
        <f>D173</f>
        <v>425187.3928290903</v>
      </c>
      <c r="F168" s="38">
        <f t="shared" ref="F168:N168" si="462">E173</f>
        <v>428021.97544795088</v>
      </c>
      <c r="G168" s="38">
        <f t="shared" si="462"/>
        <v>430875.45528427057</v>
      </c>
      <c r="H168" s="38">
        <f t="shared" si="462"/>
        <v>433747.95831949904</v>
      </c>
      <c r="I168" s="38">
        <f t="shared" si="462"/>
        <v>436639.61137496238</v>
      </c>
      <c r="J168" s="38">
        <f t="shared" si="462"/>
        <v>439550.54211746214</v>
      </c>
      <c r="K168" s="38">
        <f t="shared" si="462"/>
        <v>442480.87906491192</v>
      </c>
      <c r="L168" s="38">
        <f t="shared" si="462"/>
        <v>445430.75159201131</v>
      </c>
      <c r="M168" s="38">
        <f t="shared" si="462"/>
        <v>448400.28993595805</v>
      </c>
      <c r="N168" s="38">
        <f t="shared" si="462"/>
        <v>451389.62520219776</v>
      </c>
      <c r="O168" s="86"/>
    </row>
    <row r="169" spans="2:15" x14ac:dyDescent="0.35">
      <c r="B169" s="82" t="s">
        <v>70</v>
      </c>
      <c r="C169" s="38">
        <f>(C168*$C$6)/12</f>
        <v>3431.2658429175717</v>
      </c>
      <c r="D169" s="38">
        <f>(D168*$C$6)/12</f>
        <v>2815.810548537022</v>
      </c>
      <c r="E169" s="38">
        <f t="shared" ref="E169" si="463">(E168*$C$6)/12</f>
        <v>2834.582618860602</v>
      </c>
      <c r="F169" s="38">
        <f t="shared" ref="F169" si="464">(F168*$C$6)/12</f>
        <v>2853.4798363196728</v>
      </c>
      <c r="G169" s="38">
        <f t="shared" ref="G169" si="465">(G168*$C$6)/12</f>
        <v>2872.5030352284703</v>
      </c>
      <c r="H169" s="38">
        <f t="shared" ref="H169" si="466">(H168*$C$6)/12</f>
        <v>2891.6530554633268</v>
      </c>
      <c r="I169" s="38">
        <f t="shared" ref="I169" si="467">(I168*$C$6)/12</f>
        <v>2910.9307424997492</v>
      </c>
      <c r="J169" s="38">
        <f t="shared" ref="J169" si="468">(J168*$C$6)/12</f>
        <v>2930.3369474497481</v>
      </c>
      <c r="K169" s="38">
        <f t="shared" ref="K169" si="469">(K168*$C$6)/12</f>
        <v>2949.8725270994128</v>
      </c>
      <c r="L169" s="38">
        <f t="shared" ref="L169" si="470">(L168*$C$6)/12</f>
        <v>2969.5383439467423</v>
      </c>
      <c r="M169" s="38">
        <f t="shared" ref="M169" si="471">(M168*$C$6)/12</f>
        <v>2989.3352662397206</v>
      </c>
      <c r="N169" s="38">
        <f t="shared" ref="N169" si="472">(N168*$C$6)/12</f>
        <v>3009.2641680146517</v>
      </c>
      <c r="O169" s="86">
        <f>SUM(C169:N169)</f>
        <v>35458.572932576688</v>
      </c>
    </row>
    <row r="170" spans="2:15" x14ac:dyDescent="0.35">
      <c r="B170" s="82" t="s">
        <v>84</v>
      </c>
      <c r="C170" s="38">
        <f>$B$7+($B$7*'Tax Rates and Inflation'!C37)+(-O167)</f>
        <v>83293</v>
      </c>
      <c r="D170" s="38">
        <v>0</v>
      </c>
      <c r="E170" s="38">
        <v>0</v>
      </c>
      <c r="F170" s="38">
        <v>0</v>
      </c>
      <c r="G170" s="38">
        <v>0</v>
      </c>
      <c r="H170" s="38">
        <v>0</v>
      </c>
      <c r="I170" s="38">
        <v>0</v>
      </c>
      <c r="J170" s="38">
        <v>0</v>
      </c>
      <c r="K170" s="38">
        <v>0</v>
      </c>
      <c r="L170" s="38">
        <v>0</v>
      </c>
      <c r="M170" s="38">
        <v>0</v>
      </c>
      <c r="N170" s="38">
        <v>0</v>
      </c>
      <c r="O170" s="86">
        <f>SUM(C170:N170)</f>
        <v>83293</v>
      </c>
    </row>
    <row r="171" spans="2:15" x14ac:dyDescent="0.35">
      <c r="B171" s="82" t="s">
        <v>82</v>
      </c>
      <c r="C171" s="38">
        <f>IF(C170&lt;'Tax calculations'!$D$4,C170*'Tax calculations'!$F$4,VLOOKUP(C170,'Tax calculations'!$C$5:$F$10,3,1)+(Calculations!C170-VLOOKUP(C170,'Tax calculations'!$C$5:$F$10,1,1))*VLOOKUP(C170,'Tax calculations'!$C$5:$F$10,4,1))</f>
        <v>9821.4599999999991</v>
      </c>
      <c r="D171" s="38">
        <v>0</v>
      </c>
      <c r="E171" s="38">
        <v>0</v>
      </c>
      <c r="F171" s="38">
        <v>0</v>
      </c>
      <c r="G171" s="38">
        <v>0</v>
      </c>
      <c r="H171" s="38">
        <v>0</v>
      </c>
      <c r="I171" s="38">
        <v>0</v>
      </c>
      <c r="J171" s="38">
        <v>0</v>
      </c>
      <c r="K171" s="38">
        <v>0</v>
      </c>
      <c r="L171" s="38">
        <v>0</v>
      </c>
      <c r="M171" s="38">
        <v>0</v>
      </c>
      <c r="N171" s="38">
        <v>0</v>
      </c>
      <c r="O171" s="86">
        <f>SUM(C171:N171)</f>
        <v>9821.4599999999991</v>
      </c>
    </row>
    <row r="172" spans="2:15" x14ac:dyDescent="0.35">
      <c r="B172" s="118" t="s">
        <v>83</v>
      </c>
      <c r="C172" s="38">
        <f>IF(B2="C",IF(Calculations!C170&lt;'Tax calculations'!$D$18,C170*'Tax calculations'!$F$18,VLOOKUP(C170,'Tax calculations'!$C$19:$F$26,3,1)+(Calculations!C170-VLOOKUP(Calculations!C170,'Tax calculations'!$C$19:$F$26,1,1))*VLOOKUP(Calculations!C170,'Tax calculations'!$C$19:$F$26,4,1)),C170*5%)</f>
        <v>2635.1</v>
      </c>
      <c r="D172" s="38">
        <v>0</v>
      </c>
      <c r="E172" s="38">
        <v>0</v>
      </c>
      <c r="F172" s="38">
        <v>0</v>
      </c>
      <c r="G172" s="38">
        <v>0</v>
      </c>
      <c r="H172" s="38">
        <v>0</v>
      </c>
      <c r="I172" s="38">
        <v>0</v>
      </c>
      <c r="J172" s="38">
        <v>0</v>
      </c>
      <c r="K172" s="38">
        <v>0</v>
      </c>
      <c r="L172" s="38">
        <v>0</v>
      </c>
      <c r="M172" s="38">
        <v>0</v>
      </c>
      <c r="N172" s="38">
        <v>0</v>
      </c>
      <c r="O172" s="86">
        <f>SUM(C172:N172)</f>
        <v>2635.1</v>
      </c>
    </row>
    <row r="173" spans="2:15" ht="15" thickBot="1" x14ac:dyDescent="0.4">
      <c r="B173" s="115" t="s">
        <v>85</v>
      </c>
      <c r="C173" s="116">
        <f>C168+C169-C170-C171-C172</f>
        <v>422371.5822805533</v>
      </c>
      <c r="D173" s="116">
        <f t="shared" ref="D173" si="473">D168+D169-D170-D171-D172</f>
        <v>425187.3928290903</v>
      </c>
      <c r="E173" s="116">
        <f t="shared" ref="E173" si="474">E168+E169-E170-E171-E172</f>
        <v>428021.97544795088</v>
      </c>
      <c r="F173" s="116">
        <f t="shared" ref="F173" si="475">F168+F169-F170-F171-F172</f>
        <v>430875.45528427057</v>
      </c>
      <c r="G173" s="116">
        <f t="shared" ref="G173" si="476">G168+G169-G170-G171-G172</f>
        <v>433747.95831949904</v>
      </c>
      <c r="H173" s="116">
        <f t="shared" ref="H173" si="477">H168+H169-H170-H171-H172</f>
        <v>436639.61137496238</v>
      </c>
      <c r="I173" s="116">
        <f t="shared" ref="I173" si="478">I168+I169-I170-I171-I172</f>
        <v>439550.54211746214</v>
      </c>
      <c r="J173" s="116">
        <f t="shared" ref="J173" si="479">J168+J169-J170-J171-J172</f>
        <v>442480.87906491192</v>
      </c>
      <c r="K173" s="116">
        <f t="shared" ref="K173" si="480">K168+K169-K170-K171-K172</f>
        <v>445430.75159201131</v>
      </c>
      <c r="L173" s="116">
        <f t="shared" ref="L173" si="481">L168+L169-L170-L171-L172</f>
        <v>448400.28993595805</v>
      </c>
      <c r="M173" s="116">
        <f t="shared" ref="M173" si="482">M168+M169-M170-M171-M172</f>
        <v>451389.62520219776</v>
      </c>
      <c r="N173" s="116">
        <f t="shared" ref="N173" si="483">N168+N169-N170-N171-N172</f>
        <v>454398.88937021239</v>
      </c>
      <c r="O173" s="117">
        <f>N173</f>
        <v>454398.88937021239</v>
      </c>
    </row>
    <row r="174" spans="2:15" ht="15" thickBot="1" x14ac:dyDescent="0.4"/>
    <row r="175" spans="2:15" x14ac:dyDescent="0.35">
      <c r="B175" s="100">
        <v>2034</v>
      </c>
      <c r="C175" s="78">
        <v>1</v>
      </c>
      <c r="D175" s="78">
        <v>2</v>
      </c>
      <c r="E175" s="78">
        <v>3</v>
      </c>
      <c r="F175" s="78">
        <v>4</v>
      </c>
      <c r="G175" s="78">
        <v>5</v>
      </c>
      <c r="H175" s="78">
        <v>6</v>
      </c>
      <c r="I175" s="78">
        <v>7</v>
      </c>
      <c r="J175" s="78">
        <v>8</v>
      </c>
      <c r="K175" s="78">
        <v>9</v>
      </c>
      <c r="L175" s="78">
        <v>10</v>
      </c>
      <c r="M175" s="78">
        <v>11</v>
      </c>
      <c r="N175" s="78">
        <v>12</v>
      </c>
      <c r="O175" s="79" t="s">
        <v>91</v>
      </c>
    </row>
    <row r="176" spans="2:15" x14ac:dyDescent="0.35">
      <c r="B176" s="80" t="s">
        <v>69</v>
      </c>
      <c r="C176" s="73">
        <v>0</v>
      </c>
      <c r="D176" s="73">
        <f>C182</f>
        <v>0</v>
      </c>
      <c r="E176" s="73">
        <f>D182</f>
        <v>0</v>
      </c>
      <c r="F176" s="73">
        <f>E182</f>
        <v>0</v>
      </c>
      <c r="G176" s="73">
        <f t="shared" ref="G176:N176" si="484">F182</f>
        <v>0</v>
      </c>
      <c r="H176" s="73">
        <f t="shared" si="484"/>
        <v>0</v>
      </c>
      <c r="I176" s="73">
        <f t="shared" si="484"/>
        <v>0</v>
      </c>
      <c r="J176" s="73">
        <f t="shared" si="484"/>
        <v>0</v>
      </c>
      <c r="K176" s="73">
        <f t="shared" si="484"/>
        <v>0</v>
      </c>
      <c r="L176" s="73">
        <f t="shared" si="484"/>
        <v>0</v>
      </c>
      <c r="M176" s="73">
        <f t="shared" si="484"/>
        <v>0</v>
      </c>
      <c r="N176" s="73">
        <f t="shared" si="484"/>
        <v>0</v>
      </c>
      <c r="O176" s="81"/>
    </row>
    <row r="177" spans="2:15" x14ac:dyDescent="0.35">
      <c r="B177" s="82" t="s">
        <v>65</v>
      </c>
      <c r="C177" s="71">
        <f>(C176*$B$6)/12</f>
        <v>0</v>
      </c>
      <c r="D177" s="71">
        <f>(D176*$B$6)/12</f>
        <v>0</v>
      </c>
      <c r="E177" s="71">
        <f>(E176*$B$6)/12</f>
        <v>0</v>
      </c>
      <c r="F177" s="71">
        <f>(F176*$B$6)/12</f>
        <v>0</v>
      </c>
      <c r="G177" s="71">
        <f t="shared" ref="G177" si="485">(G176*$B$6)/12</f>
        <v>0</v>
      </c>
      <c r="H177" s="71">
        <f t="shared" ref="H177" si="486">(H176*$B$6)/12</f>
        <v>0</v>
      </c>
      <c r="I177" s="71">
        <f t="shared" ref="I177" si="487">(I176*$B$6)/12</f>
        <v>0</v>
      </c>
      <c r="J177" s="71">
        <f t="shared" ref="J177" si="488">(J176*$B$6)/12</f>
        <v>0</v>
      </c>
      <c r="K177" s="71">
        <f t="shared" ref="K177" si="489">(K176*$B$6)/12</f>
        <v>0</v>
      </c>
      <c r="L177" s="71">
        <f t="shared" ref="L177" si="490">(L176*$B$6)/12</f>
        <v>0</v>
      </c>
      <c r="M177" s="71">
        <f t="shared" ref="M177" si="491">(M176*$B$6)/12</f>
        <v>0</v>
      </c>
      <c r="N177" s="71">
        <f t="shared" ref="N177" si="492">(N176*$B$6)/12</f>
        <v>0</v>
      </c>
      <c r="O177" s="83">
        <f>SUM(C177:N177)</f>
        <v>0</v>
      </c>
    </row>
    <row r="178" spans="2:15" x14ac:dyDescent="0.35">
      <c r="B178" s="82" t="s">
        <v>45</v>
      </c>
      <c r="C178" s="96">
        <v>0</v>
      </c>
      <c r="D178" s="38">
        <f>C178</f>
        <v>0</v>
      </c>
      <c r="E178" s="38">
        <f>D178</f>
        <v>0</v>
      </c>
      <c r="F178" s="38">
        <f>E178</f>
        <v>0</v>
      </c>
      <c r="G178" s="38">
        <f t="shared" ref="G178:N178" si="493">F178</f>
        <v>0</v>
      </c>
      <c r="H178" s="38">
        <f t="shared" si="493"/>
        <v>0</v>
      </c>
      <c r="I178" s="38">
        <f t="shared" si="493"/>
        <v>0</v>
      </c>
      <c r="J178" s="38">
        <f t="shared" si="493"/>
        <v>0</v>
      </c>
      <c r="K178" s="38">
        <f t="shared" si="493"/>
        <v>0</v>
      </c>
      <c r="L178" s="38">
        <f t="shared" si="493"/>
        <v>0</v>
      </c>
      <c r="M178" s="38">
        <f t="shared" si="493"/>
        <v>0</v>
      </c>
      <c r="N178" s="38">
        <f t="shared" si="493"/>
        <v>0</v>
      </c>
      <c r="O178" s="86">
        <f>SUM(C178:N178)</f>
        <v>0</v>
      </c>
    </row>
    <row r="179" spans="2:15" x14ac:dyDescent="0.35">
      <c r="B179" s="101" t="s">
        <v>67</v>
      </c>
      <c r="C179" s="98">
        <f>C176+C177-C178</f>
        <v>0</v>
      </c>
      <c r="D179" s="98">
        <f>D176+D177-D178</f>
        <v>0</v>
      </c>
      <c r="E179" s="98">
        <f>E176+E177-E178</f>
        <v>0</v>
      </c>
      <c r="F179" s="98">
        <f>F176+F177-F178</f>
        <v>0</v>
      </c>
      <c r="G179" s="98">
        <f t="shared" ref="G179" si="494">G176+G177-G178</f>
        <v>0</v>
      </c>
      <c r="H179" s="98">
        <f t="shared" ref="H179" si="495">H176+H177-H178</f>
        <v>0</v>
      </c>
      <c r="I179" s="98">
        <f t="shared" ref="I179" si="496">I176+I177-I178</f>
        <v>0</v>
      </c>
      <c r="J179" s="98">
        <f t="shared" ref="J179" si="497">J176+J177-J178</f>
        <v>0</v>
      </c>
      <c r="K179" s="98">
        <f t="shared" ref="K179" si="498">K176+K177-K178</f>
        <v>0</v>
      </c>
      <c r="L179" s="98">
        <f t="shared" ref="L179" si="499">L176+L177-L178</f>
        <v>0</v>
      </c>
      <c r="M179" s="98">
        <f t="shared" ref="M179" si="500">M176+M177-M178</f>
        <v>0</v>
      </c>
      <c r="N179" s="98">
        <f t="shared" ref="N179" si="501">N176+N177-N178</f>
        <v>0</v>
      </c>
      <c r="O179" s="84">
        <f>N182</f>
        <v>0</v>
      </c>
    </row>
    <row r="180" spans="2:15" x14ac:dyDescent="0.35">
      <c r="B180" s="85" t="s">
        <v>66</v>
      </c>
      <c r="C180" s="71">
        <v>0</v>
      </c>
      <c r="D180" s="71">
        <v>0</v>
      </c>
      <c r="E180" s="71"/>
      <c r="F180" s="71">
        <v>0</v>
      </c>
      <c r="G180" s="71">
        <v>0</v>
      </c>
      <c r="H180" s="71">
        <v>0</v>
      </c>
      <c r="I180" s="71">
        <v>0</v>
      </c>
      <c r="J180" s="71">
        <v>0</v>
      </c>
      <c r="K180" s="71">
        <v>0</v>
      </c>
      <c r="L180" s="71">
        <v>0</v>
      </c>
      <c r="M180" s="71">
        <v>0</v>
      </c>
      <c r="N180" s="71">
        <f>IF(O177&lt;'Tax calculations'!$D$4,O177*'Tax calculations'!$F$4,VLOOKUP(O177,'Tax calculations'!$C$5:$F$10,3,1)+(Calculations!O177-VLOOKUP(O177,'Tax calculations'!$C$5:$F$10,1,1))*VLOOKUP(O177,'Tax calculations'!$C$5:$F$10,4,1))</f>
        <v>0</v>
      </c>
      <c r="O180" s="83">
        <f>SUM(C180:N180)</f>
        <v>0</v>
      </c>
    </row>
    <row r="181" spans="2:15" x14ac:dyDescent="0.35">
      <c r="B181" s="85" t="s">
        <v>80</v>
      </c>
      <c r="C181" s="71">
        <v>0</v>
      </c>
      <c r="D181" s="71">
        <v>0</v>
      </c>
      <c r="E181" s="71"/>
      <c r="F181" s="71">
        <v>0</v>
      </c>
      <c r="G181" s="71">
        <v>0</v>
      </c>
      <c r="H181" s="71">
        <v>0</v>
      </c>
      <c r="I181" s="71">
        <v>0</v>
      </c>
      <c r="J181" s="71">
        <v>0</v>
      </c>
      <c r="K181" s="71">
        <v>0</v>
      </c>
      <c r="L181" s="71">
        <v>0</v>
      </c>
      <c r="M181" s="71">
        <v>0</v>
      </c>
      <c r="N181" s="71">
        <f>IF(O177&gt;'Tax calculations'!$C$19,'Tax calculations'!$E$19+'Tax calculations'!$F$19*(Calculations!O177-'Tax calculations'!$C$19),Calculations!O177*'Tax calculations'!$F$18)</f>
        <v>0</v>
      </c>
      <c r="O181" s="97">
        <f>SUM(C181:N181)</f>
        <v>0</v>
      </c>
    </row>
    <row r="182" spans="2:15" x14ac:dyDescent="0.35">
      <c r="B182" s="101" t="s">
        <v>81</v>
      </c>
      <c r="C182" s="98">
        <f>C179-C180-C181</f>
        <v>0</v>
      </c>
      <c r="D182" s="98">
        <f>D179-D180-D181</f>
        <v>0</v>
      </c>
      <c r="E182" s="98">
        <f>E179-E180-E181</f>
        <v>0</v>
      </c>
      <c r="F182" s="98">
        <f>F179-F180-F181</f>
        <v>0</v>
      </c>
      <c r="G182" s="98">
        <f t="shared" ref="G182" si="502">G179-G180-G181</f>
        <v>0</v>
      </c>
      <c r="H182" s="98">
        <f t="shared" ref="H182" si="503">H179-H180-H181</f>
        <v>0</v>
      </c>
      <c r="I182" s="98">
        <f t="shared" ref="I182" si="504">I179-I180-I181</f>
        <v>0</v>
      </c>
      <c r="J182" s="98">
        <f t="shared" ref="J182" si="505">J179-J180-J181</f>
        <v>0</v>
      </c>
      <c r="K182" s="98">
        <f t="shared" ref="K182" si="506">K179-K180-K181</f>
        <v>0</v>
      </c>
      <c r="L182" s="98">
        <f t="shared" ref="L182" si="507">L179-L180-L181</f>
        <v>0</v>
      </c>
      <c r="M182" s="98">
        <f t="shared" ref="M182" si="508">M179-M180-M181</f>
        <v>0</v>
      </c>
      <c r="N182" s="98">
        <f>N179-N180-N181</f>
        <v>0</v>
      </c>
      <c r="O182" s="107">
        <f>O179</f>
        <v>0</v>
      </c>
    </row>
    <row r="183" spans="2:15" x14ac:dyDescent="0.35">
      <c r="B183" s="80" t="s">
        <v>46</v>
      </c>
      <c r="C183" s="38">
        <f>O173</f>
        <v>454398.88937021239</v>
      </c>
      <c r="D183" s="38">
        <f>C188</f>
        <v>361678.65529934713</v>
      </c>
      <c r="E183" s="38">
        <f>D188</f>
        <v>364089.84633467608</v>
      </c>
      <c r="F183" s="38">
        <f t="shared" ref="F183:N183" si="509">E188</f>
        <v>366517.11197690724</v>
      </c>
      <c r="G183" s="38">
        <f t="shared" si="509"/>
        <v>368960.55939008662</v>
      </c>
      <c r="H183" s="38">
        <f t="shared" si="509"/>
        <v>371420.29645268718</v>
      </c>
      <c r="I183" s="38">
        <f t="shared" si="509"/>
        <v>373896.43176237174</v>
      </c>
      <c r="J183" s="38">
        <f t="shared" si="509"/>
        <v>376389.07464078756</v>
      </c>
      <c r="K183" s="38">
        <f t="shared" si="509"/>
        <v>378898.33513839281</v>
      </c>
      <c r="L183" s="38">
        <f t="shared" si="509"/>
        <v>381424.32403931546</v>
      </c>
      <c r="M183" s="38">
        <f t="shared" si="509"/>
        <v>383967.1528662442</v>
      </c>
      <c r="N183" s="38">
        <f t="shared" si="509"/>
        <v>386526.93388535251</v>
      </c>
      <c r="O183" s="86"/>
    </row>
    <row r="184" spans="2:15" x14ac:dyDescent="0.35">
      <c r="B184" s="82" t="s">
        <v>70</v>
      </c>
      <c r="C184" s="38">
        <f>(C183*$C$6)/12</f>
        <v>3029.3259291347495</v>
      </c>
      <c r="D184" s="38">
        <f>(D183*$C$6)/12</f>
        <v>2411.1910353289809</v>
      </c>
      <c r="E184" s="38">
        <f t="shared" ref="E184" si="510">(E183*$C$6)/12</f>
        <v>2427.2656422311738</v>
      </c>
      <c r="F184" s="38">
        <f t="shared" ref="F184" si="511">(F183*$C$6)/12</f>
        <v>2443.4474131793818</v>
      </c>
      <c r="G184" s="38">
        <f t="shared" ref="G184" si="512">(G183*$C$6)/12</f>
        <v>2459.7370626005772</v>
      </c>
      <c r="H184" s="38">
        <f t="shared" ref="H184" si="513">(H183*$C$6)/12</f>
        <v>2476.135309684581</v>
      </c>
      <c r="I184" s="38">
        <f t="shared" ref="I184" si="514">(I183*$C$6)/12</f>
        <v>2492.6428784158115</v>
      </c>
      <c r="J184" s="38">
        <f t="shared" ref="J184" si="515">(J183*$C$6)/12</f>
        <v>2509.2604976052503</v>
      </c>
      <c r="K184" s="38">
        <f t="shared" ref="K184" si="516">(K183*$C$6)/12</f>
        <v>2525.9889009226185</v>
      </c>
      <c r="L184" s="38">
        <f t="shared" ref="L184" si="517">(L183*$C$6)/12</f>
        <v>2542.82882692877</v>
      </c>
      <c r="M184" s="38">
        <f t="shared" ref="M184" si="518">(M183*$C$6)/12</f>
        <v>2559.7810191082949</v>
      </c>
      <c r="N184" s="38">
        <f t="shared" ref="N184" si="519">(N183*$C$6)/12</f>
        <v>2576.8462259023504</v>
      </c>
      <c r="O184" s="86">
        <f>SUM(C184:N184)</f>
        <v>30454.450741042536</v>
      </c>
    </row>
    <row r="185" spans="2:15" x14ac:dyDescent="0.35">
      <c r="B185" s="82" t="s">
        <v>84</v>
      </c>
      <c r="C185" s="38">
        <f>$B$7+($B$7*'Tax Rates and Inflation'!C38)+(-O182)</f>
        <v>83293</v>
      </c>
      <c r="D185" s="38">
        <v>0</v>
      </c>
      <c r="E185" s="38">
        <v>0</v>
      </c>
      <c r="F185" s="38">
        <v>0</v>
      </c>
      <c r="G185" s="38">
        <v>0</v>
      </c>
      <c r="H185" s="38">
        <v>0</v>
      </c>
      <c r="I185" s="38">
        <v>0</v>
      </c>
      <c r="J185" s="38">
        <v>0</v>
      </c>
      <c r="K185" s="38">
        <v>0</v>
      </c>
      <c r="L185" s="38">
        <v>0</v>
      </c>
      <c r="M185" s="38">
        <v>0</v>
      </c>
      <c r="N185" s="38">
        <v>0</v>
      </c>
      <c r="O185" s="86">
        <f>SUM(C185:N185)</f>
        <v>83293</v>
      </c>
    </row>
    <row r="186" spans="2:15" x14ac:dyDescent="0.35">
      <c r="B186" s="82" t="s">
        <v>82</v>
      </c>
      <c r="C186" s="38">
        <f>IF(C185&lt;'Tax calculations'!$D$4,C185*'Tax calculations'!$F$4,VLOOKUP(C185,'Tax calculations'!$C$5:$F$10,3,1)+(Calculations!C185-VLOOKUP(C185,'Tax calculations'!$C$5:$F$10,1,1))*VLOOKUP(C185,'Tax calculations'!$C$5:$F$10,4,1))</f>
        <v>9821.4599999999991</v>
      </c>
      <c r="D186" s="38">
        <v>0</v>
      </c>
      <c r="E186" s="38">
        <v>0</v>
      </c>
      <c r="F186" s="38">
        <v>0</v>
      </c>
      <c r="G186" s="38">
        <v>0</v>
      </c>
      <c r="H186" s="38">
        <v>0</v>
      </c>
      <c r="I186" s="38">
        <v>0</v>
      </c>
      <c r="J186" s="38">
        <v>0</v>
      </c>
      <c r="K186" s="38">
        <v>0</v>
      </c>
      <c r="L186" s="38">
        <v>0</v>
      </c>
      <c r="M186" s="38">
        <v>0</v>
      </c>
      <c r="N186" s="38">
        <v>0</v>
      </c>
      <c r="O186" s="86">
        <f>SUM(C186:N186)</f>
        <v>9821.4599999999991</v>
      </c>
    </row>
    <row r="187" spans="2:15" x14ac:dyDescent="0.35">
      <c r="B187" s="118" t="s">
        <v>83</v>
      </c>
      <c r="C187" s="38">
        <f>IF(B2="C",IF(Calculations!C185&lt;'Tax calculations'!$D$18,C185*'Tax calculations'!$F$18,VLOOKUP(C185,'Tax calculations'!$C$19:$F$26,3,1)+(Calculations!C185-VLOOKUP(Calculations!C185,'Tax calculations'!$C$19:$F$26,1,1))*VLOOKUP(Calculations!C185,'Tax calculations'!$C$19:$F$26,4,1)),C185*5%)</f>
        <v>2635.1</v>
      </c>
      <c r="D187" s="38">
        <v>0</v>
      </c>
      <c r="E187" s="38">
        <v>0</v>
      </c>
      <c r="F187" s="38">
        <v>0</v>
      </c>
      <c r="G187" s="38">
        <v>0</v>
      </c>
      <c r="H187" s="38">
        <v>0</v>
      </c>
      <c r="I187" s="38">
        <v>0</v>
      </c>
      <c r="J187" s="38">
        <v>0</v>
      </c>
      <c r="K187" s="38">
        <v>0</v>
      </c>
      <c r="L187" s="38">
        <v>0</v>
      </c>
      <c r="M187" s="38">
        <v>0</v>
      </c>
      <c r="N187" s="38">
        <v>0</v>
      </c>
      <c r="O187" s="86">
        <f>SUM(C187:N187)</f>
        <v>2635.1</v>
      </c>
    </row>
    <row r="188" spans="2:15" ht="15" thickBot="1" x14ac:dyDescent="0.4">
      <c r="B188" s="115" t="s">
        <v>85</v>
      </c>
      <c r="C188" s="116">
        <f>C183+C184-C185-C186-C187</f>
        <v>361678.65529934713</v>
      </c>
      <c r="D188" s="116">
        <f t="shared" ref="D188" si="520">D183+D184-D185-D186-D187</f>
        <v>364089.84633467608</v>
      </c>
      <c r="E188" s="116">
        <f t="shared" ref="E188" si="521">E183+E184-E185-E186-E187</f>
        <v>366517.11197690724</v>
      </c>
      <c r="F188" s="116">
        <f t="shared" ref="F188" si="522">F183+F184-F185-F186-F187</f>
        <v>368960.55939008662</v>
      </c>
      <c r="G188" s="116">
        <f t="shared" ref="G188" si="523">G183+G184-G185-G186-G187</f>
        <v>371420.29645268718</v>
      </c>
      <c r="H188" s="116">
        <f t="shared" ref="H188" si="524">H183+H184-H185-H186-H187</f>
        <v>373896.43176237174</v>
      </c>
      <c r="I188" s="116">
        <f t="shared" ref="I188" si="525">I183+I184-I185-I186-I187</f>
        <v>376389.07464078756</v>
      </c>
      <c r="J188" s="116">
        <f t="shared" ref="J188" si="526">J183+J184-J185-J186-J187</f>
        <v>378898.33513839281</v>
      </c>
      <c r="K188" s="116">
        <f t="shared" ref="K188" si="527">K183+K184-K185-K186-K187</f>
        <v>381424.32403931546</v>
      </c>
      <c r="L188" s="116">
        <f t="shared" ref="L188" si="528">L183+L184-L185-L186-L187</f>
        <v>383967.1528662442</v>
      </c>
      <c r="M188" s="116">
        <f t="shared" ref="M188" si="529">M183+M184-M185-M186-M187</f>
        <v>386526.93388535251</v>
      </c>
      <c r="N188" s="116">
        <f t="shared" ref="N188" si="530">N183+N184-N185-N186-N187</f>
        <v>389103.78011125483</v>
      </c>
      <c r="O188" s="117">
        <f>N188</f>
        <v>389103.78011125483</v>
      </c>
    </row>
    <row r="189" spans="2:15" ht="15" thickBot="1" x14ac:dyDescent="0.4"/>
    <row r="190" spans="2:15" x14ac:dyDescent="0.35">
      <c r="B190" s="100">
        <v>2035</v>
      </c>
      <c r="C190" s="78">
        <v>1</v>
      </c>
      <c r="D190" s="78">
        <v>2</v>
      </c>
      <c r="E190" s="78">
        <v>3</v>
      </c>
      <c r="F190" s="78">
        <v>4</v>
      </c>
      <c r="G190" s="78">
        <v>5</v>
      </c>
      <c r="H190" s="78">
        <v>6</v>
      </c>
      <c r="I190" s="78">
        <v>7</v>
      </c>
      <c r="J190" s="78">
        <v>8</v>
      </c>
      <c r="K190" s="78">
        <v>9</v>
      </c>
      <c r="L190" s="78">
        <v>10</v>
      </c>
      <c r="M190" s="78">
        <v>11</v>
      </c>
      <c r="N190" s="78">
        <v>12</v>
      </c>
      <c r="O190" s="79" t="s">
        <v>92</v>
      </c>
    </row>
    <row r="191" spans="2:15" x14ac:dyDescent="0.35">
      <c r="B191" s="80" t="s">
        <v>69</v>
      </c>
      <c r="C191" s="73">
        <v>0</v>
      </c>
      <c r="D191" s="73">
        <f>C197</f>
        <v>0</v>
      </c>
      <c r="E191" s="73">
        <f>D197</f>
        <v>0</v>
      </c>
      <c r="F191" s="73">
        <f>E197</f>
        <v>0</v>
      </c>
      <c r="G191" s="73">
        <f t="shared" ref="G191:N191" si="531">F197</f>
        <v>0</v>
      </c>
      <c r="H191" s="73">
        <f t="shared" si="531"/>
        <v>0</v>
      </c>
      <c r="I191" s="73">
        <f t="shared" si="531"/>
        <v>0</v>
      </c>
      <c r="J191" s="73">
        <f t="shared" si="531"/>
        <v>0</v>
      </c>
      <c r="K191" s="73">
        <f t="shared" si="531"/>
        <v>0</v>
      </c>
      <c r="L191" s="73">
        <f t="shared" si="531"/>
        <v>0</v>
      </c>
      <c r="M191" s="73">
        <f t="shared" si="531"/>
        <v>0</v>
      </c>
      <c r="N191" s="73">
        <f t="shared" si="531"/>
        <v>0</v>
      </c>
      <c r="O191" s="81"/>
    </row>
    <row r="192" spans="2:15" x14ac:dyDescent="0.35">
      <c r="B192" s="82" t="s">
        <v>65</v>
      </c>
      <c r="C192" s="71">
        <f>(C191*$B$6)/12</f>
        <v>0</v>
      </c>
      <c r="D192" s="71">
        <f>(D191*$B$6)/12</f>
        <v>0</v>
      </c>
      <c r="E192" s="71">
        <f>(E191*$B$6)/12</f>
        <v>0</v>
      </c>
      <c r="F192" s="71">
        <f>(F191*$B$6)/12</f>
        <v>0</v>
      </c>
      <c r="G192" s="71">
        <f t="shared" ref="G192" si="532">(G191*$B$6)/12</f>
        <v>0</v>
      </c>
      <c r="H192" s="71">
        <f t="shared" ref="H192" si="533">(H191*$B$6)/12</f>
        <v>0</v>
      </c>
      <c r="I192" s="71">
        <f t="shared" ref="I192" si="534">(I191*$B$6)/12</f>
        <v>0</v>
      </c>
      <c r="J192" s="71">
        <f t="shared" ref="J192" si="535">(J191*$B$6)/12</f>
        <v>0</v>
      </c>
      <c r="K192" s="71">
        <f t="shared" ref="K192" si="536">(K191*$B$6)/12</f>
        <v>0</v>
      </c>
      <c r="L192" s="71">
        <f t="shared" ref="L192" si="537">(L191*$B$6)/12</f>
        <v>0</v>
      </c>
      <c r="M192" s="71">
        <f t="shared" ref="M192" si="538">(M191*$B$6)/12</f>
        <v>0</v>
      </c>
      <c r="N192" s="71">
        <f t="shared" ref="N192" si="539">(N191*$B$6)/12</f>
        <v>0</v>
      </c>
      <c r="O192" s="83">
        <f>SUM(C192:N192)</f>
        <v>0</v>
      </c>
    </row>
    <row r="193" spans="1:16" x14ac:dyDescent="0.35">
      <c r="B193" s="82" t="s">
        <v>45</v>
      </c>
      <c r="C193" s="96">
        <v>0</v>
      </c>
      <c r="D193" s="38">
        <f>C193</f>
        <v>0</v>
      </c>
      <c r="E193" s="38">
        <f>D193</f>
        <v>0</v>
      </c>
      <c r="F193" s="38">
        <f>E193</f>
        <v>0</v>
      </c>
      <c r="G193" s="38">
        <f t="shared" ref="G193:N193" si="540">F193</f>
        <v>0</v>
      </c>
      <c r="H193" s="38">
        <f t="shared" si="540"/>
        <v>0</v>
      </c>
      <c r="I193" s="38">
        <f t="shared" si="540"/>
        <v>0</v>
      </c>
      <c r="J193" s="38">
        <f t="shared" si="540"/>
        <v>0</v>
      </c>
      <c r="K193" s="38">
        <f t="shared" si="540"/>
        <v>0</v>
      </c>
      <c r="L193" s="38">
        <f t="shared" si="540"/>
        <v>0</v>
      </c>
      <c r="M193" s="38">
        <f t="shared" si="540"/>
        <v>0</v>
      </c>
      <c r="N193" s="38">
        <f t="shared" si="540"/>
        <v>0</v>
      </c>
      <c r="O193" s="86">
        <f>SUM(C193:N193)</f>
        <v>0</v>
      </c>
    </row>
    <row r="194" spans="1:16" x14ac:dyDescent="0.35">
      <c r="B194" s="101" t="s">
        <v>67</v>
      </c>
      <c r="C194" s="98">
        <f>C191+C192-C193</f>
        <v>0</v>
      </c>
      <c r="D194" s="98">
        <f>D191+D192-D193</f>
        <v>0</v>
      </c>
      <c r="E194" s="98">
        <f>E191+E192-E193</f>
        <v>0</v>
      </c>
      <c r="F194" s="98">
        <f>F191+F192-F193</f>
        <v>0</v>
      </c>
      <c r="G194" s="98">
        <f t="shared" ref="G194" si="541">G191+G192-G193</f>
        <v>0</v>
      </c>
      <c r="H194" s="98">
        <f t="shared" ref="H194" si="542">H191+H192-H193</f>
        <v>0</v>
      </c>
      <c r="I194" s="98">
        <f t="shared" ref="I194" si="543">I191+I192-I193</f>
        <v>0</v>
      </c>
      <c r="J194" s="98">
        <f t="shared" ref="J194" si="544">J191+J192-J193</f>
        <v>0</v>
      </c>
      <c r="K194" s="98">
        <f t="shared" ref="K194" si="545">K191+K192-K193</f>
        <v>0</v>
      </c>
      <c r="L194" s="98">
        <f t="shared" ref="L194" si="546">L191+L192-L193</f>
        <v>0</v>
      </c>
      <c r="M194" s="98">
        <f t="shared" ref="M194" si="547">M191+M192-M193</f>
        <v>0</v>
      </c>
      <c r="N194" s="98">
        <f t="shared" ref="N194" si="548">N191+N192-N193</f>
        <v>0</v>
      </c>
      <c r="O194" s="84">
        <f>N197</f>
        <v>0</v>
      </c>
    </row>
    <row r="195" spans="1:16" x14ac:dyDescent="0.35">
      <c r="B195" s="85" t="s">
        <v>66</v>
      </c>
      <c r="C195" s="71">
        <v>0</v>
      </c>
      <c r="D195" s="71">
        <v>0</v>
      </c>
      <c r="E195" s="71"/>
      <c r="F195" s="71">
        <v>0</v>
      </c>
      <c r="G195" s="71">
        <v>0</v>
      </c>
      <c r="H195" s="71">
        <v>0</v>
      </c>
      <c r="I195" s="71">
        <v>0</v>
      </c>
      <c r="J195" s="71">
        <v>0</v>
      </c>
      <c r="K195" s="71">
        <v>0</v>
      </c>
      <c r="L195" s="71">
        <v>0</v>
      </c>
      <c r="M195" s="71">
        <v>0</v>
      </c>
      <c r="N195" s="71">
        <f>IF(O192&lt;'Tax calculations'!$D$4,O192*'Tax calculations'!$F$4,VLOOKUP(O192,'Tax calculations'!$C$5:$F$10,3,1)+(Calculations!O192-VLOOKUP(O192,'Tax calculations'!$C$5:$F$10,1,1))*VLOOKUP(O192,'Tax calculations'!$C$5:$F$10,4,1))</f>
        <v>0</v>
      </c>
      <c r="O195" s="83">
        <f>SUM(C195:N195)</f>
        <v>0</v>
      </c>
    </row>
    <row r="196" spans="1:16" x14ac:dyDescent="0.35">
      <c r="B196" s="85" t="s">
        <v>80</v>
      </c>
      <c r="C196" s="71">
        <v>0</v>
      </c>
      <c r="D196" s="71">
        <v>0</v>
      </c>
      <c r="E196" s="71"/>
      <c r="F196" s="71">
        <v>0</v>
      </c>
      <c r="G196" s="71">
        <v>0</v>
      </c>
      <c r="H196" s="71">
        <v>0</v>
      </c>
      <c r="I196" s="71">
        <v>0</v>
      </c>
      <c r="J196" s="71">
        <v>0</v>
      </c>
      <c r="K196" s="71">
        <v>0</v>
      </c>
      <c r="L196" s="71">
        <v>0</v>
      </c>
      <c r="M196" s="71">
        <v>0</v>
      </c>
      <c r="N196" s="71">
        <f>IF(O192&gt;'Tax calculations'!$C$19,'Tax calculations'!$E$19+'Tax calculations'!$F$19*(Calculations!O192-'Tax calculations'!$C$19),Calculations!O192*'Tax calculations'!$F$18)</f>
        <v>0</v>
      </c>
      <c r="O196" s="97">
        <f>SUM(C196:N196)</f>
        <v>0</v>
      </c>
    </row>
    <row r="197" spans="1:16" x14ac:dyDescent="0.35">
      <c r="B197" s="91" t="s">
        <v>81</v>
      </c>
      <c r="C197" s="98">
        <f>C194-C195-C196</f>
        <v>0</v>
      </c>
      <c r="D197" s="98">
        <f>D194-D195-D196</f>
        <v>0</v>
      </c>
      <c r="E197" s="98">
        <f>E194-E195-E196</f>
        <v>0</v>
      </c>
      <c r="F197" s="98">
        <f>F194-F195-F196</f>
        <v>0</v>
      </c>
      <c r="G197" s="98">
        <f t="shared" ref="G197" si="549">G194-G195-G196</f>
        <v>0</v>
      </c>
      <c r="H197" s="98">
        <f t="shared" ref="H197" si="550">H194-H195-H196</f>
        <v>0</v>
      </c>
      <c r="I197" s="98">
        <f t="shared" ref="I197" si="551">I194-I195-I196</f>
        <v>0</v>
      </c>
      <c r="J197" s="98">
        <f t="shared" ref="J197" si="552">J194-J195-J196</f>
        <v>0</v>
      </c>
      <c r="K197" s="98">
        <f t="shared" ref="K197" si="553">K194-K195-K196</f>
        <v>0</v>
      </c>
      <c r="L197" s="98">
        <f t="shared" ref="L197" si="554">L194-L195-L196</f>
        <v>0</v>
      </c>
      <c r="M197" s="98">
        <f t="shared" ref="M197" si="555">M194-M195-M196</f>
        <v>0</v>
      </c>
      <c r="N197" s="98">
        <f>N194-N195-N196</f>
        <v>0</v>
      </c>
      <c r="O197" s="107">
        <f>O194</f>
        <v>0</v>
      </c>
    </row>
    <row r="198" spans="1:16" x14ac:dyDescent="0.35">
      <c r="B198" s="80" t="s">
        <v>46</v>
      </c>
      <c r="C198" s="38">
        <f>O188</f>
        <v>389103.78011125483</v>
      </c>
      <c r="D198" s="38">
        <f>C203</f>
        <v>295948.24531199655</v>
      </c>
      <c r="E198" s="38">
        <f>D203</f>
        <v>297921.23361407651</v>
      </c>
      <c r="F198" s="38">
        <f t="shared" ref="F198:N198" si="556">E203</f>
        <v>299907.37517150369</v>
      </c>
      <c r="G198" s="38">
        <f t="shared" si="556"/>
        <v>301906.75767264707</v>
      </c>
      <c r="H198" s="38">
        <f t="shared" si="556"/>
        <v>303919.46939046471</v>
      </c>
      <c r="I198" s="38">
        <f t="shared" si="556"/>
        <v>305945.59918640117</v>
      </c>
      <c r="J198" s="38">
        <f t="shared" si="556"/>
        <v>307985.23651431053</v>
      </c>
      <c r="K198" s="38">
        <f t="shared" si="556"/>
        <v>310038.47142440593</v>
      </c>
      <c r="L198" s="38">
        <f t="shared" si="556"/>
        <v>312105.39456723531</v>
      </c>
      <c r="M198" s="38">
        <f t="shared" si="556"/>
        <v>314186.09719768353</v>
      </c>
      <c r="N198" s="38">
        <f t="shared" si="556"/>
        <v>316280.67117900139</v>
      </c>
      <c r="O198" s="86"/>
    </row>
    <row r="199" spans="1:16" x14ac:dyDescent="0.35">
      <c r="B199" s="82" t="s">
        <v>70</v>
      </c>
      <c r="C199" s="38">
        <f>(C198*$C$6)/12</f>
        <v>2594.0252007416989</v>
      </c>
      <c r="D199" s="38">
        <f>(D198*$C$6)/12</f>
        <v>1972.9883020799771</v>
      </c>
      <c r="E199" s="38">
        <f t="shared" ref="E199" si="557">(E198*$C$6)/12</f>
        <v>1986.1415574271768</v>
      </c>
      <c r="F199" s="38">
        <f t="shared" ref="F199" si="558">(F198*$C$6)/12</f>
        <v>1999.382501143358</v>
      </c>
      <c r="G199" s="38">
        <f t="shared" ref="G199" si="559">(G198*$C$6)/12</f>
        <v>2012.711717817647</v>
      </c>
      <c r="H199" s="38">
        <f t="shared" ref="H199" si="560">(H198*$C$6)/12</f>
        <v>2026.1297959364313</v>
      </c>
      <c r="I199" s="38">
        <f t="shared" ref="I199" si="561">(I198*$C$6)/12</f>
        <v>2039.6373279093411</v>
      </c>
      <c r="J199" s="38">
        <f t="shared" ref="J199" si="562">(J198*$C$6)/12</f>
        <v>2053.2349100954038</v>
      </c>
      <c r="K199" s="38">
        <f t="shared" ref="K199" si="563">(K198*$C$6)/12</f>
        <v>2066.9231428293729</v>
      </c>
      <c r="L199" s="38">
        <f t="shared" ref="L199" si="564">(L198*$C$6)/12</f>
        <v>2080.7026304482356</v>
      </c>
      <c r="M199" s="38">
        <f t="shared" ref="M199" si="565">(M198*$C$6)/12</f>
        <v>2094.5739813178902</v>
      </c>
      <c r="N199" s="38">
        <f t="shared" ref="N199" si="566">(N198*$C$6)/12</f>
        <v>2108.5378078600093</v>
      </c>
      <c r="O199" s="86">
        <f>SUM(C199:N199)</f>
        <v>25034.988875606537</v>
      </c>
    </row>
    <row r="200" spans="1:16" x14ac:dyDescent="0.35">
      <c r="B200" s="82" t="s">
        <v>84</v>
      </c>
      <c r="C200" s="38">
        <f>$B$7+($B$7*'Tax Rates and Inflation'!C39)+(-O197)</f>
        <v>83293</v>
      </c>
      <c r="D200" s="38">
        <v>0</v>
      </c>
      <c r="E200" s="38">
        <v>0</v>
      </c>
      <c r="F200" s="38">
        <v>0</v>
      </c>
      <c r="G200" s="38">
        <v>0</v>
      </c>
      <c r="H200" s="38">
        <v>0</v>
      </c>
      <c r="I200" s="38">
        <v>0</v>
      </c>
      <c r="J200" s="38">
        <v>0</v>
      </c>
      <c r="K200" s="38">
        <v>0</v>
      </c>
      <c r="L200" s="38">
        <v>0</v>
      </c>
      <c r="M200" s="38">
        <v>0</v>
      </c>
      <c r="N200" s="38">
        <v>0</v>
      </c>
      <c r="O200" s="86">
        <f>SUM(C200:N200)</f>
        <v>83293</v>
      </c>
    </row>
    <row r="201" spans="1:16" x14ac:dyDescent="0.35">
      <c r="B201" s="82" t="s">
        <v>82</v>
      </c>
      <c r="C201" s="38">
        <f>IF(C200&lt;'Tax calculations'!$D$4,C200*'Tax calculations'!$F$4,VLOOKUP(C200,'Tax calculations'!$C$5:$F$10,3,1)+(Calculations!C200-VLOOKUP(C200,'Tax calculations'!$C$5:$F$10,1,1))*VLOOKUP(C200,'Tax calculations'!$C$5:$F$10,4,1))</f>
        <v>9821.4599999999991</v>
      </c>
      <c r="D201" s="38">
        <v>0</v>
      </c>
      <c r="E201" s="38">
        <v>0</v>
      </c>
      <c r="F201" s="38">
        <v>0</v>
      </c>
      <c r="G201" s="38">
        <v>0</v>
      </c>
      <c r="H201" s="38">
        <v>0</v>
      </c>
      <c r="I201" s="38">
        <v>0</v>
      </c>
      <c r="J201" s="38">
        <v>0</v>
      </c>
      <c r="K201" s="38">
        <v>0</v>
      </c>
      <c r="L201" s="38">
        <v>0</v>
      </c>
      <c r="M201" s="38">
        <v>0</v>
      </c>
      <c r="N201" s="38">
        <v>0</v>
      </c>
      <c r="O201" s="86">
        <f>SUM(C201:N201)</f>
        <v>9821.4599999999991</v>
      </c>
    </row>
    <row r="202" spans="1:16" x14ac:dyDescent="0.35">
      <c r="B202" s="118" t="s">
        <v>83</v>
      </c>
      <c r="C202" s="38">
        <f>IF(B2="C",IF(Calculations!C200&lt;'Tax calculations'!$D$18,C200*'Tax calculations'!$F$18,VLOOKUP(C200,'Tax calculations'!$C$19:$F$26,3,1)+(Calculations!C200-VLOOKUP(Calculations!C200,'Tax calculations'!$C$19:$F$26,1,1))*VLOOKUP(Calculations!C200,'Tax calculations'!$C$19:$F$26,4,1)),C200*5%)</f>
        <v>2635.1</v>
      </c>
      <c r="D202" s="38">
        <v>0</v>
      </c>
      <c r="E202" s="38">
        <v>0</v>
      </c>
      <c r="F202" s="38">
        <v>0</v>
      </c>
      <c r="G202" s="38">
        <v>0</v>
      </c>
      <c r="H202" s="38">
        <v>0</v>
      </c>
      <c r="I202" s="38">
        <v>0</v>
      </c>
      <c r="J202" s="38">
        <v>0</v>
      </c>
      <c r="K202" s="38">
        <v>0</v>
      </c>
      <c r="L202" s="38">
        <v>0</v>
      </c>
      <c r="M202" s="38">
        <v>0</v>
      </c>
      <c r="N202" s="38">
        <v>0</v>
      </c>
      <c r="O202" s="86">
        <f>SUM(C202:N202)</f>
        <v>2635.1</v>
      </c>
    </row>
    <row r="203" spans="1:16" ht="15" thickBot="1" x14ac:dyDescent="0.4">
      <c r="B203" s="115" t="s">
        <v>85</v>
      </c>
      <c r="C203" s="116">
        <f>C198+C199-C200-C201-C202</f>
        <v>295948.24531199655</v>
      </c>
      <c r="D203" s="116">
        <f t="shared" ref="D203" si="567">D198+D199-D200-D201-D202</f>
        <v>297921.23361407651</v>
      </c>
      <c r="E203" s="116">
        <f t="shared" ref="E203" si="568">E198+E199-E200-E201-E202</f>
        <v>299907.37517150369</v>
      </c>
      <c r="F203" s="116">
        <f t="shared" ref="F203" si="569">F198+F199-F200-F201-F202</f>
        <v>301906.75767264707</v>
      </c>
      <c r="G203" s="116">
        <f t="shared" ref="G203" si="570">G198+G199-G200-G201-G202</f>
        <v>303919.46939046471</v>
      </c>
      <c r="H203" s="116">
        <f t="shared" ref="H203" si="571">H198+H199-H200-H201-H202</f>
        <v>305945.59918640117</v>
      </c>
      <c r="I203" s="116">
        <f t="shared" ref="I203" si="572">I198+I199-I200-I201-I202</f>
        <v>307985.23651431053</v>
      </c>
      <c r="J203" s="116">
        <f t="shared" ref="J203" si="573">J198+J199-J200-J201-J202</f>
        <v>310038.47142440593</v>
      </c>
      <c r="K203" s="116">
        <f t="shared" ref="K203" si="574">K198+K199-K200-K201-K202</f>
        <v>312105.39456723531</v>
      </c>
      <c r="L203" s="116">
        <f t="shared" ref="L203" si="575">L198+L199-L200-L201-L202</f>
        <v>314186.09719768353</v>
      </c>
      <c r="M203" s="116">
        <f t="shared" ref="M203" si="576">M198+M199-M200-M201-M202</f>
        <v>316280.67117900139</v>
      </c>
      <c r="N203" s="116">
        <f t="shared" ref="N203" si="577">N198+N199-N200-N201-N202</f>
        <v>318389.2089868614</v>
      </c>
      <c r="O203" s="117">
        <f>N203</f>
        <v>318389.2089868614</v>
      </c>
    </row>
    <row r="204" spans="1:16" ht="15" thickBot="1" x14ac:dyDescent="0.4">
      <c r="A204" s="113"/>
      <c r="B204" s="119"/>
      <c r="C204" s="111"/>
      <c r="D204" s="111"/>
      <c r="E204" s="111"/>
      <c r="F204" s="111"/>
      <c r="G204" s="111"/>
      <c r="H204" s="111"/>
      <c r="I204" s="111"/>
      <c r="J204" s="111"/>
      <c r="K204" s="111"/>
      <c r="L204" s="111"/>
      <c r="M204" s="111"/>
      <c r="N204" s="111"/>
      <c r="O204" s="114"/>
      <c r="P204" s="113"/>
    </row>
    <row r="205" spans="1:16" x14ac:dyDescent="0.35">
      <c r="B205" s="100">
        <v>2036</v>
      </c>
      <c r="C205" s="78">
        <v>1</v>
      </c>
      <c r="D205" s="78">
        <v>2</v>
      </c>
      <c r="E205" s="78">
        <v>3</v>
      </c>
      <c r="F205" s="78">
        <v>4</v>
      </c>
      <c r="G205" s="78">
        <v>5</v>
      </c>
      <c r="H205" s="78">
        <v>6</v>
      </c>
      <c r="I205" s="78">
        <v>7</v>
      </c>
      <c r="J205" s="78">
        <v>8</v>
      </c>
      <c r="K205" s="78">
        <v>9</v>
      </c>
      <c r="L205" s="78">
        <v>10</v>
      </c>
      <c r="M205" s="78">
        <v>11</v>
      </c>
      <c r="N205" s="78">
        <v>12</v>
      </c>
      <c r="O205" s="79" t="s">
        <v>93</v>
      </c>
    </row>
    <row r="206" spans="1:16" x14ac:dyDescent="0.35">
      <c r="B206" s="80" t="s">
        <v>69</v>
      </c>
      <c r="C206" s="73">
        <v>0</v>
      </c>
      <c r="D206" s="73">
        <f>C212</f>
        <v>0</v>
      </c>
      <c r="E206" s="73">
        <f>D212</f>
        <v>0</v>
      </c>
      <c r="F206" s="73">
        <f>E212</f>
        <v>0</v>
      </c>
      <c r="G206" s="73">
        <f t="shared" ref="G206:N206" si="578">F212</f>
        <v>0</v>
      </c>
      <c r="H206" s="73">
        <f t="shared" si="578"/>
        <v>0</v>
      </c>
      <c r="I206" s="73">
        <f t="shared" si="578"/>
        <v>0</v>
      </c>
      <c r="J206" s="73">
        <f t="shared" si="578"/>
        <v>0</v>
      </c>
      <c r="K206" s="73">
        <f t="shared" si="578"/>
        <v>0</v>
      </c>
      <c r="L206" s="73">
        <f t="shared" si="578"/>
        <v>0</v>
      </c>
      <c r="M206" s="73">
        <f t="shared" si="578"/>
        <v>0</v>
      </c>
      <c r="N206" s="73">
        <f t="shared" si="578"/>
        <v>0</v>
      </c>
      <c r="O206" s="81"/>
    </row>
    <row r="207" spans="1:16" x14ac:dyDescent="0.35">
      <c r="B207" s="82" t="s">
        <v>65</v>
      </c>
      <c r="C207" s="71">
        <f>(C206*$B$6)/12</f>
        <v>0</v>
      </c>
      <c r="D207" s="71">
        <f>(D206*$B$6)/12</f>
        <v>0</v>
      </c>
      <c r="E207" s="71">
        <f>(E206*$B$6)/12</f>
        <v>0</v>
      </c>
      <c r="F207" s="71">
        <f>(F206*$B$6)/12</f>
        <v>0</v>
      </c>
      <c r="G207" s="71">
        <f t="shared" ref="G207" si="579">(G206*$B$6)/12</f>
        <v>0</v>
      </c>
      <c r="H207" s="71">
        <f t="shared" ref="H207" si="580">(H206*$B$6)/12</f>
        <v>0</v>
      </c>
      <c r="I207" s="71">
        <f t="shared" ref="I207" si="581">(I206*$B$6)/12</f>
        <v>0</v>
      </c>
      <c r="J207" s="71">
        <f t="shared" ref="J207" si="582">(J206*$B$6)/12</f>
        <v>0</v>
      </c>
      <c r="K207" s="71">
        <f t="shared" ref="K207" si="583">(K206*$B$6)/12</f>
        <v>0</v>
      </c>
      <c r="L207" s="71">
        <f t="shared" ref="L207" si="584">(L206*$B$6)/12</f>
        <v>0</v>
      </c>
      <c r="M207" s="71">
        <f t="shared" ref="M207" si="585">(M206*$B$6)/12</f>
        <v>0</v>
      </c>
      <c r="N207" s="71">
        <f t="shared" ref="N207" si="586">(N206*$B$6)/12</f>
        <v>0</v>
      </c>
      <c r="O207" s="83">
        <f>SUM(C207:N207)</f>
        <v>0</v>
      </c>
    </row>
    <row r="208" spans="1:16" x14ac:dyDescent="0.35">
      <c r="B208" s="82" t="s">
        <v>45</v>
      </c>
      <c r="C208" s="96">
        <v>0</v>
      </c>
      <c r="D208" s="38">
        <f>C208</f>
        <v>0</v>
      </c>
      <c r="E208" s="38">
        <f>D208</f>
        <v>0</v>
      </c>
      <c r="F208" s="38">
        <f>E208</f>
        <v>0</v>
      </c>
      <c r="G208" s="38">
        <f t="shared" ref="G208:N208" si="587">F208</f>
        <v>0</v>
      </c>
      <c r="H208" s="38">
        <f t="shared" si="587"/>
        <v>0</v>
      </c>
      <c r="I208" s="38">
        <f t="shared" si="587"/>
        <v>0</v>
      </c>
      <c r="J208" s="38">
        <f t="shared" si="587"/>
        <v>0</v>
      </c>
      <c r="K208" s="38">
        <f t="shared" si="587"/>
        <v>0</v>
      </c>
      <c r="L208" s="38">
        <f t="shared" si="587"/>
        <v>0</v>
      </c>
      <c r="M208" s="38">
        <f t="shared" si="587"/>
        <v>0</v>
      </c>
      <c r="N208" s="38">
        <f t="shared" si="587"/>
        <v>0</v>
      </c>
      <c r="O208" s="86">
        <f>SUM(C208:N208)</f>
        <v>0</v>
      </c>
    </row>
    <row r="209" spans="2:15" x14ac:dyDescent="0.35">
      <c r="B209" s="101" t="s">
        <v>67</v>
      </c>
      <c r="C209" s="98">
        <f>C206+C207-C208</f>
        <v>0</v>
      </c>
      <c r="D209" s="98">
        <f>D206+D207-D208</f>
        <v>0</v>
      </c>
      <c r="E209" s="98">
        <f>E206+E207-E208</f>
        <v>0</v>
      </c>
      <c r="F209" s="98">
        <f>F206+F207-F208</f>
        <v>0</v>
      </c>
      <c r="G209" s="98">
        <f t="shared" ref="G209" si="588">G206+G207-G208</f>
        <v>0</v>
      </c>
      <c r="H209" s="98">
        <f t="shared" ref="H209" si="589">H206+H207-H208</f>
        <v>0</v>
      </c>
      <c r="I209" s="98">
        <f t="shared" ref="I209" si="590">I206+I207-I208</f>
        <v>0</v>
      </c>
      <c r="J209" s="98">
        <f t="shared" ref="J209" si="591">J206+J207-J208</f>
        <v>0</v>
      </c>
      <c r="K209" s="98">
        <f t="shared" ref="K209" si="592">K206+K207-K208</f>
        <v>0</v>
      </c>
      <c r="L209" s="98">
        <f t="shared" ref="L209" si="593">L206+L207-L208</f>
        <v>0</v>
      </c>
      <c r="M209" s="98">
        <f t="shared" ref="M209" si="594">M206+M207-M208</f>
        <v>0</v>
      </c>
      <c r="N209" s="98">
        <f t="shared" ref="N209" si="595">N206+N207-N208</f>
        <v>0</v>
      </c>
      <c r="O209" s="84">
        <f>N212</f>
        <v>0</v>
      </c>
    </row>
    <row r="210" spans="2:15" x14ac:dyDescent="0.35">
      <c r="B210" s="85" t="s">
        <v>66</v>
      </c>
      <c r="C210" s="71">
        <v>0</v>
      </c>
      <c r="D210" s="71">
        <v>0</v>
      </c>
      <c r="E210" s="71"/>
      <c r="F210" s="71">
        <v>0</v>
      </c>
      <c r="G210" s="71">
        <v>0</v>
      </c>
      <c r="H210" s="71">
        <v>0</v>
      </c>
      <c r="I210" s="71">
        <v>0</v>
      </c>
      <c r="J210" s="71">
        <v>0</v>
      </c>
      <c r="K210" s="71">
        <v>0</v>
      </c>
      <c r="L210" s="71">
        <v>0</v>
      </c>
      <c r="M210" s="71">
        <v>0</v>
      </c>
      <c r="N210" s="71">
        <f>IF(O207&lt;'Tax calculations'!$D$4,O207*'Tax calculations'!$F$4,VLOOKUP(O207,'Tax calculations'!$C$5:$F$10,3,1)+(Calculations!O207-VLOOKUP(O207,'Tax calculations'!$C$5:$F$10,1,1))*VLOOKUP(O207,'Tax calculations'!$C$5:$F$10,4,1))</f>
        <v>0</v>
      </c>
      <c r="O210" s="83">
        <f>SUM(C210:N210)</f>
        <v>0</v>
      </c>
    </row>
    <row r="211" spans="2:15" x14ac:dyDescent="0.35">
      <c r="B211" s="85" t="s">
        <v>80</v>
      </c>
      <c r="C211" s="71">
        <v>0</v>
      </c>
      <c r="D211" s="71">
        <v>0</v>
      </c>
      <c r="E211" s="71"/>
      <c r="F211" s="71">
        <v>0</v>
      </c>
      <c r="G211" s="71">
        <v>0</v>
      </c>
      <c r="H211" s="71">
        <v>0</v>
      </c>
      <c r="I211" s="71">
        <v>0</v>
      </c>
      <c r="J211" s="71">
        <v>0</v>
      </c>
      <c r="K211" s="71">
        <v>0</v>
      </c>
      <c r="L211" s="71">
        <v>0</v>
      </c>
      <c r="M211" s="71">
        <v>0</v>
      </c>
      <c r="N211" s="71">
        <f>IF(O207&gt;'Tax calculations'!$C$19,'Tax calculations'!$E$19+'Tax calculations'!$F$19*(Calculations!O207-'Tax calculations'!$C$19),Calculations!O207*'Tax calculations'!$F$18)</f>
        <v>0</v>
      </c>
      <c r="O211" s="97">
        <f>SUM(C211:N211)</f>
        <v>0</v>
      </c>
    </row>
    <row r="212" spans="2:15" x14ac:dyDescent="0.35">
      <c r="B212" s="101" t="s">
        <v>81</v>
      </c>
      <c r="C212" s="98">
        <f>C209-C210-C211</f>
        <v>0</v>
      </c>
      <c r="D212" s="98">
        <f>D209-D210-D211</f>
        <v>0</v>
      </c>
      <c r="E212" s="98">
        <f>E209-E210-E211</f>
        <v>0</v>
      </c>
      <c r="F212" s="98">
        <f>F209-F210-F211</f>
        <v>0</v>
      </c>
      <c r="G212" s="98">
        <f t="shared" ref="G212" si="596">G209-G210-G211</f>
        <v>0</v>
      </c>
      <c r="H212" s="98">
        <f t="shared" ref="H212" si="597">H209-H210-H211</f>
        <v>0</v>
      </c>
      <c r="I212" s="98">
        <f t="shared" ref="I212" si="598">I209-I210-I211</f>
        <v>0</v>
      </c>
      <c r="J212" s="98">
        <f t="shared" ref="J212" si="599">J209-J210-J211</f>
        <v>0</v>
      </c>
      <c r="K212" s="98">
        <f t="shared" ref="K212" si="600">K209-K210-K211</f>
        <v>0</v>
      </c>
      <c r="L212" s="98">
        <f t="shared" ref="L212" si="601">L209-L210-L211</f>
        <v>0</v>
      </c>
      <c r="M212" s="98">
        <f t="shared" ref="M212" si="602">M209-M210-M211</f>
        <v>0</v>
      </c>
      <c r="N212" s="98">
        <f>N209-N210-N211</f>
        <v>0</v>
      </c>
      <c r="O212" s="107">
        <f>O209</f>
        <v>0</v>
      </c>
    </row>
    <row r="213" spans="2:15" x14ac:dyDescent="0.35">
      <c r="B213" s="80" t="s">
        <v>46</v>
      </c>
      <c r="C213" s="38">
        <f>O203</f>
        <v>318389.2089868614</v>
      </c>
      <c r="D213" s="38">
        <f>C218</f>
        <v>224762.24371344049</v>
      </c>
      <c r="E213" s="38">
        <f>D218</f>
        <v>226260.65867153008</v>
      </c>
      <c r="F213" s="38">
        <f t="shared" ref="F213:N213" si="603">E218</f>
        <v>227769.06306267361</v>
      </c>
      <c r="G213" s="38">
        <f t="shared" si="603"/>
        <v>229287.52348309144</v>
      </c>
      <c r="H213" s="38">
        <f t="shared" si="603"/>
        <v>230816.10697297871</v>
      </c>
      <c r="I213" s="38">
        <f t="shared" si="603"/>
        <v>232354.88101946525</v>
      </c>
      <c r="J213" s="38">
        <f t="shared" si="603"/>
        <v>233903.91355959501</v>
      </c>
      <c r="K213" s="38">
        <f t="shared" si="603"/>
        <v>235463.27298332565</v>
      </c>
      <c r="L213" s="38">
        <f t="shared" si="603"/>
        <v>237033.02813654783</v>
      </c>
      <c r="M213" s="38">
        <f t="shared" si="603"/>
        <v>238613.24832412481</v>
      </c>
      <c r="N213" s="38">
        <f t="shared" si="603"/>
        <v>240204.00331295232</v>
      </c>
      <c r="O213" s="86"/>
    </row>
    <row r="214" spans="2:15" x14ac:dyDescent="0.35">
      <c r="B214" s="82" t="s">
        <v>70</v>
      </c>
      <c r="C214" s="38">
        <f>(C213*$C$6)/12</f>
        <v>2122.594726579076</v>
      </c>
      <c r="D214" s="38">
        <f>(D213*$C$6)/12</f>
        <v>1498.4149580896035</v>
      </c>
      <c r="E214" s="38">
        <f t="shared" ref="E214" si="604">(E213*$C$6)/12</f>
        <v>1508.4043911435338</v>
      </c>
      <c r="F214" s="38">
        <f t="shared" ref="F214" si="605">(F213*$C$6)/12</f>
        <v>1518.460420417824</v>
      </c>
      <c r="G214" s="38">
        <f t="shared" ref="G214" si="606">(G213*$C$6)/12</f>
        <v>1528.5834898872763</v>
      </c>
      <c r="H214" s="38">
        <f t="shared" ref="H214" si="607">(H213*$C$6)/12</f>
        <v>1538.7740464865246</v>
      </c>
      <c r="I214" s="38">
        <f t="shared" ref="I214" si="608">(I213*$C$6)/12</f>
        <v>1549.0325401297684</v>
      </c>
      <c r="J214" s="38">
        <f t="shared" ref="J214" si="609">(J213*$C$6)/12</f>
        <v>1559.3594237306334</v>
      </c>
      <c r="K214" s="38">
        <f t="shared" ref="K214" si="610">(K213*$C$6)/12</f>
        <v>1569.7551532221712</v>
      </c>
      <c r="L214" s="38">
        <f t="shared" ref="L214" si="611">(L213*$C$6)/12</f>
        <v>1580.2201875769854</v>
      </c>
      <c r="M214" s="38">
        <f t="shared" ref="M214" si="612">(M213*$C$6)/12</f>
        <v>1590.7549888274989</v>
      </c>
      <c r="N214" s="38">
        <f t="shared" ref="N214" si="613">(N213*$C$6)/12</f>
        <v>1601.3600220863489</v>
      </c>
      <c r="O214" s="86">
        <f>SUM(C214:N214)</f>
        <v>19165.714348177247</v>
      </c>
    </row>
    <row r="215" spans="2:15" x14ac:dyDescent="0.35">
      <c r="B215" s="82" t="s">
        <v>84</v>
      </c>
      <c r="C215" s="38">
        <f>$B$7+($B$7*'Tax Rates and Inflation'!C40)+(-O212)</f>
        <v>83293</v>
      </c>
      <c r="D215" s="38">
        <v>0</v>
      </c>
      <c r="E215" s="38">
        <v>0</v>
      </c>
      <c r="F215" s="38">
        <v>0</v>
      </c>
      <c r="G215" s="38">
        <v>0</v>
      </c>
      <c r="H215" s="38">
        <v>0</v>
      </c>
      <c r="I215" s="38">
        <v>0</v>
      </c>
      <c r="J215" s="38">
        <v>0</v>
      </c>
      <c r="K215" s="38">
        <v>0</v>
      </c>
      <c r="L215" s="38">
        <v>0</v>
      </c>
      <c r="M215" s="38">
        <v>0</v>
      </c>
      <c r="N215" s="38">
        <v>0</v>
      </c>
      <c r="O215" s="86">
        <f>SUM(C215:N215)</f>
        <v>83293</v>
      </c>
    </row>
    <row r="216" spans="2:15" x14ac:dyDescent="0.35">
      <c r="B216" s="82" t="s">
        <v>82</v>
      </c>
      <c r="C216" s="38">
        <f>IF(C215&lt;'Tax calculations'!$D$4,C215*'Tax calculations'!$F$4,VLOOKUP(C215,'Tax calculations'!$C$5:$F$10,3,1)+(Calculations!C215-VLOOKUP(C215,'Tax calculations'!$C$5:$F$10,1,1))*VLOOKUP(C215,'Tax calculations'!$C$5:$F$10,4,1))</f>
        <v>9821.4599999999991</v>
      </c>
      <c r="D216" s="38">
        <v>0</v>
      </c>
      <c r="E216" s="38">
        <v>0</v>
      </c>
      <c r="F216" s="38">
        <v>0</v>
      </c>
      <c r="G216" s="38">
        <v>0</v>
      </c>
      <c r="H216" s="38">
        <v>0</v>
      </c>
      <c r="I216" s="38">
        <v>0</v>
      </c>
      <c r="J216" s="38">
        <v>0</v>
      </c>
      <c r="K216" s="38">
        <v>0</v>
      </c>
      <c r="L216" s="38">
        <v>0</v>
      </c>
      <c r="M216" s="38">
        <v>0</v>
      </c>
      <c r="N216" s="38">
        <v>0</v>
      </c>
      <c r="O216" s="86">
        <f>SUM(C216:N216)</f>
        <v>9821.4599999999991</v>
      </c>
    </row>
    <row r="217" spans="2:15" x14ac:dyDescent="0.35">
      <c r="B217" s="118" t="s">
        <v>83</v>
      </c>
      <c r="C217" s="38">
        <f>IF(B2="C",IF(Calculations!C215&lt;'Tax calculations'!$D$18,C215*'Tax calculations'!$F$18,VLOOKUP(C215,'Tax calculations'!$C$19:$F$26,3,1)+(Calculations!C215-VLOOKUP(Calculations!C215,'Tax calculations'!$C$19:$F$26,1,1))*VLOOKUP(Calculations!C215,'Tax calculations'!$C$19:$F$26,4,1)),C215*5%)</f>
        <v>2635.1</v>
      </c>
      <c r="D217" s="38">
        <v>0</v>
      </c>
      <c r="E217" s="38">
        <v>0</v>
      </c>
      <c r="F217" s="38">
        <v>0</v>
      </c>
      <c r="G217" s="38">
        <v>0</v>
      </c>
      <c r="H217" s="38">
        <v>0</v>
      </c>
      <c r="I217" s="38">
        <v>0</v>
      </c>
      <c r="J217" s="38">
        <v>0</v>
      </c>
      <c r="K217" s="38">
        <v>0</v>
      </c>
      <c r="L217" s="38">
        <v>0</v>
      </c>
      <c r="M217" s="38">
        <v>0</v>
      </c>
      <c r="N217" s="38">
        <v>0</v>
      </c>
      <c r="O217" s="86">
        <f>SUM(C217:N217)</f>
        <v>2635.1</v>
      </c>
    </row>
    <row r="218" spans="2:15" ht="15" thickBot="1" x14ac:dyDescent="0.4">
      <c r="B218" s="115" t="s">
        <v>85</v>
      </c>
      <c r="C218" s="116">
        <f>C213+C214-C215-C216-C217</f>
        <v>224762.24371344049</v>
      </c>
      <c r="D218" s="116">
        <f t="shared" ref="D218" si="614">D213+D214-D215-D216-D217</f>
        <v>226260.65867153008</v>
      </c>
      <c r="E218" s="116">
        <f t="shared" ref="E218" si="615">E213+E214-E215-E216-E217</f>
        <v>227769.06306267361</v>
      </c>
      <c r="F218" s="116">
        <f t="shared" ref="F218" si="616">F213+F214-F215-F216-F217</f>
        <v>229287.52348309144</v>
      </c>
      <c r="G218" s="116">
        <f t="shared" ref="G218" si="617">G213+G214-G215-G216-G217</f>
        <v>230816.10697297871</v>
      </c>
      <c r="H218" s="116">
        <f t="shared" ref="H218" si="618">H213+H214-H215-H216-H217</f>
        <v>232354.88101946525</v>
      </c>
      <c r="I218" s="116">
        <f t="shared" ref="I218" si="619">I213+I214-I215-I216-I217</f>
        <v>233903.91355959501</v>
      </c>
      <c r="J218" s="116">
        <f t="shared" ref="J218" si="620">J213+J214-J215-J216-J217</f>
        <v>235463.27298332565</v>
      </c>
      <c r="K218" s="116">
        <f t="shared" ref="K218" si="621">K213+K214-K215-K216-K217</f>
        <v>237033.02813654783</v>
      </c>
      <c r="L218" s="116">
        <f t="shared" ref="L218" si="622">L213+L214-L215-L216-L217</f>
        <v>238613.24832412481</v>
      </c>
      <c r="M218" s="116">
        <f t="shared" ref="M218" si="623">M213+M214-M215-M216-M217</f>
        <v>240204.00331295232</v>
      </c>
      <c r="N218" s="116">
        <f t="shared" ref="N218" si="624">N213+N214-N215-N216-N217</f>
        <v>241805.36333503868</v>
      </c>
      <c r="O218" s="117">
        <f>N218</f>
        <v>241805.36333503868</v>
      </c>
    </row>
    <row r="219" spans="2:15" ht="15" thickBot="1" x14ac:dyDescent="0.4"/>
    <row r="220" spans="2:15" x14ac:dyDescent="0.35">
      <c r="B220" s="100">
        <v>2037</v>
      </c>
      <c r="C220" s="78">
        <v>1</v>
      </c>
      <c r="D220" s="78">
        <v>2</v>
      </c>
      <c r="E220" s="78">
        <v>3</v>
      </c>
      <c r="F220" s="78">
        <v>4</v>
      </c>
      <c r="G220" s="78">
        <v>5</v>
      </c>
      <c r="H220" s="78">
        <v>6</v>
      </c>
      <c r="I220" s="78">
        <v>7</v>
      </c>
      <c r="J220" s="78">
        <v>8</v>
      </c>
      <c r="K220" s="78">
        <v>9</v>
      </c>
      <c r="L220" s="78">
        <v>10</v>
      </c>
      <c r="M220" s="78">
        <v>11</v>
      </c>
      <c r="N220" s="78">
        <v>12</v>
      </c>
      <c r="O220" s="79" t="s">
        <v>94</v>
      </c>
    </row>
    <row r="221" spans="2:15" x14ac:dyDescent="0.35">
      <c r="B221" s="80" t="s">
        <v>69</v>
      </c>
      <c r="C221" s="73">
        <v>0</v>
      </c>
      <c r="D221" s="73">
        <f>C227</f>
        <v>0</v>
      </c>
      <c r="E221" s="73">
        <f>D227</f>
        <v>0</v>
      </c>
      <c r="F221" s="73">
        <f>E227</f>
        <v>0</v>
      </c>
      <c r="G221" s="73">
        <f t="shared" ref="G221:N221" si="625">F227</f>
        <v>0</v>
      </c>
      <c r="H221" s="73">
        <f t="shared" si="625"/>
        <v>0</v>
      </c>
      <c r="I221" s="73">
        <f t="shared" si="625"/>
        <v>0</v>
      </c>
      <c r="J221" s="73">
        <f t="shared" si="625"/>
        <v>0</v>
      </c>
      <c r="K221" s="73">
        <f t="shared" si="625"/>
        <v>0</v>
      </c>
      <c r="L221" s="73">
        <f t="shared" si="625"/>
        <v>0</v>
      </c>
      <c r="M221" s="73">
        <f t="shared" si="625"/>
        <v>0</v>
      </c>
      <c r="N221" s="73">
        <f t="shared" si="625"/>
        <v>0</v>
      </c>
      <c r="O221" s="81"/>
    </row>
    <row r="222" spans="2:15" x14ac:dyDescent="0.35">
      <c r="B222" s="82" t="s">
        <v>65</v>
      </c>
      <c r="C222" s="71">
        <f>(C221*$B$6)/12</f>
        <v>0</v>
      </c>
      <c r="D222" s="71">
        <f>(D221*$B$6)/12</f>
        <v>0</v>
      </c>
      <c r="E222" s="71">
        <f>(E221*$B$6)/12</f>
        <v>0</v>
      </c>
      <c r="F222" s="71">
        <f>(F221*$B$6)/12</f>
        <v>0</v>
      </c>
      <c r="G222" s="71">
        <f t="shared" ref="G222" si="626">(G221*$B$6)/12</f>
        <v>0</v>
      </c>
      <c r="H222" s="71">
        <f t="shared" ref="H222" si="627">(H221*$B$6)/12</f>
        <v>0</v>
      </c>
      <c r="I222" s="71">
        <f t="shared" ref="I222" si="628">(I221*$B$6)/12</f>
        <v>0</v>
      </c>
      <c r="J222" s="71">
        <f t="shared" ref="J222" si="629">(J221*$B$6)/12</f>
        <v>0</v>
      </c>
      <c r="K222" s="71">
        <f t="shared" ref="K222" si="630">(K221*$B$6)/12</f>
        <v>0</v>
      </c>
      <c r="L222" s="71">
        <f t="shared" ref="L222" si="631">(L221*$B$6)/12</f>
        <v>0</v>
      </c>
      <c r="M222" s="71">
        <f t="shared" ref="M222" si="632">(M221*$B$6)/12</f>
        <v>0</v>
      </c>
      <c r="N222" s="71">
        <f t="shared" ref="N222" si="633">(N221*$B$6)/12</f>
        <v>0</v>
      </c>
      <c r="O222" s="83">
        <f>SUM(C222:N222)</f>
        <v>0</v>
      </c>
    </row>
    <row r="223" spans="2:15" x14ac:dyDescent="0.35">
      <c r="B223" s="82" t="s">
        <v>45</v>
      </c>
      <c r="C223" s="96">
        <v>0</v>
      </c>
      <c r="D223" s="38">
        <f>C223</f>
        <v>0</v>
      </c>
      <c r="E223" s="38">
        <f>D223</f>
        <v>0</v>
      </c>
      <c r="F223" s="38">
        <f>E223</f>
        <v>0</v>
      </c>
      <c r="G223" s="38">
        <f t="shared" ref="G223:N223" si="634">F223</f>
        <v>0</v>
      </c>
      <c r="H223" s="38">
        <f t="shared" si="634"/>
        <v>0</v>
      </c>
      <c r="I223" s="38">
        <f t="shared" si="634"/>
        <v>0</v>
      </c>
      <c r="J223" s="38">
        <f t="shared" si="634"/>
        <v>0</v>
      </c>
      <c r="K223" s="38">
        <f t="shared" si="634"/>
        <v>0</v>
      </c>
      <c r="L223" s="38">
        <f t="shared" si="634"/>
        <v>0</v>
      </c>
      <c r="M223" s="38">
        <f t="shared" si="634"/>
        <v>0</v>
      </c>
      <c r="N223" s="38">
        <f t="shared" si="634"/>
        <v>0</v>
      </c>
      <c r="O223" s="86">
        <f>SUM(C223:N223)</f>
        <v>0</v>
      </c>
    </row>
    <row r="224" spans="2:15" x14ac:dyDescent="0.35">
      <c r="B224" s="101" t="s">
        <v>67</v>
      </c>
      <c r="C224" s="98">
        <f>C221+C222-C223</f>
        <v>0</v>
      </c>
      <c r="D224" s="98">
        <f>D221+D222-D223</f>
        <v>0</v>
      </c>
      <c r="E224" s="98">
        <f>E221+E222-E223</f>
        <v>0</v>
      </c>
      <c r="F224" s="98">
        <f>F221+F222-F223</f>
        <v>0</v>
      </c>
      <c r="G224" s="98">
        <f t="shared" ref="G224" si="635">G221+G222-G223</f>
        <v>0</v>
      </c>
      <c r="H224" s="98">
        <f t="shared" ref="H224" si="636">H221+H222-H223</f>
        <v>0</v>
      </c>
      <c r="I224" s="98">
        <f t="shared" ref="I224" si="637">I221+I222-I223</f>
        <v>0</v>
      </c>
      <c r="J224" s="98">
        <f t="shared" ref="J224" si="638">J221+J222-J223</f>
        <v>0</v>
      </c>
      <c r="K224" s="98">
        <f t="shared" ref="K224" si="639">K221+K222-K223</f>
        <v>0</v>
      </c>
      <c r="L224" s="98">
        <f t="shared" ref="L224" si="640">L221+L222-L223</f>
        <v>0</v>
      </c>
      <c r="M224" s="98">
        <f t="shared" ref="M224" si="641">M221+M222-M223</f>
        <v>0</v>
      </c>
      <c r="N224" s="98">
        <f t="shared" ref="N224" si="642">N221+N222-N223</f>
        <v>0</v>
      </c>
      <c r="O224" s="84">
        <f>N227</f>
        <v>0</v>
      </c>
    </row>
    <row r="225" spans="2:15" x14ac:dyDescent="0.35">
      <c r="B225" s="85" t="s">
        <v>66</v>
      </c>
      <c r="C225" s="71">
        <v>0</v>
      </c>
      <c r="D225" s="71">
        <v>0</v>
      </c>
      <c r="E225" s="71"/>
      <c r="F225" s="71">
        <v>0</v>
      </c>
      <c r="G225" s="71">
        <v>0</v>
      </c>
      <c r="H225" s="71">
        <v>0</v>
      </c>
      <c r="I225" s="71">
        <v>0</v>
      </c>
      <c r="J225" s="71">
        <v>0</v>
      </c>
      <c r="K225" s="71">
        <v>0</v>
      </c>
      <c r="L225" s="71">
        <v>0</v>
      </c>
      <c r="M225" s="71">
        <v>0</v>
      </c>
      <c r="N225" s="71">
        <f>IF(O222&lt;'Tax calculations'!$D$4,O222*'Tax calculations'!$F$4,VLOOKUP(O222,'Tax calculations'!$C$5:$F$10,3,1)+(Calculations!O222-VLOOKUP(O222,'Tax calculations'!$C$5:$F$10,1,1))*VLOOKUP(O222,'Tax calculations'!$C$5:$F$10,4,1))</f>
        <v>0</v>
      </c>
      <c r="O225" s="83">
        <f>SUM(C225:N225)</f>
        <v>0</v>
      </c>
    </row>
    <row r="226" spans="2:15" x14ac:dyDescent="0.35">
      <c r="B226" s="85" t="s">
        <v>80</v>
      </c>
      <c r="C226" s="71">
        <v>0</v>
      </c>
      <c r="D226" s="71">
        <v>0</v>
      </c>
      <c r="E226" s="71"/>
      <c r="F226" s="71">
        <v>0</v>
      </c>
      <c r="G226" s="71">
        <v>0</v>
      </c>
      <c r="H226" s="71">
        <v>0</v>
      </c>
      <c r="I226" s="71">
        <v>0</v>
      </c>
      <c r="J226" s="71">
        <v>0</v>
      </c>
      <c r="K226" s="71">
        <v>0</v>
      </c>
      <c r="L226" s="71">
        <v>0</v>
      </c>
      <c r="M226" s="71">
        <v>0</v>
      </c>
      <c r="N226" s="71">
        <f>IF(O222&gt;'Tax calculations'!$C$19,'Tax calculations'!$E$19+'Tax calculations'!$F$19*(Calculations!O222-'Tax calculations'!$C$19),Calculations!O222*'Tax calculations'!$F$18)</f>
        <v>0</v>
      </c>
      <c r="O226" s="97">
        <f>SUM(C226:N226)</f>
        <v>0</v>
      </c>
    </row>
    <row r="227" spans="2:15" x14ac:dyDescent="0.35">
      <c r="B227" s="101" t="s">
        <v>81</v>
      </c>
      <c r="C227" s="98">
        <f>C224-C225-C226</f>
        <v>0</v>
      </c>
      <c r="D227" s="98">
        <f>D224-D225-D226</f>
        <v>0</v>
      </c>
      <c r="E227" s="98">
        <f>E224-E225-E226</f>
        <v>0</v>
      </c>
      <c r="F227" s="98">
        <f>F224-F225-F226</f>
        <v>0</v>
      </c>
      <c r="G227" s="98">
        <f t="shared" ref="G227" si="643">G224-G225-G226</f>
        <v>0</v>
      </c>
      <c r="H227" s="98">
        <f t="shared" ref="H227" si="644">H224-H225-H226</f>
        <v>0</v>
      </c>
      <c r="I227" s="98">
        <f t="shared" ref="I227" si="645">I224-I225-I226</f>
        <v>0</v>
      </c>
      <c r="J227" s="98">
        <f t="shared" ref="J227" si="646">J224-J225-J226</f>
        <v>0</v>
      </c>
      <c r="K227" s="98">
        <f t="shared" ref="K227" si="647">K224-K225-K226</f>
        <v>0</v>
      </c>
      <c r="L227" s="98">
        <f t="shared" ref="L227" si="648">L224-L225-L226</f>
        <v>0</v>
      </c>
      <c r="M227" s="98">
        <f t="shared" ref="M227" si="649">M224-M225-M226</f>
        <v>0</v>
      </c>
      <c r="N227" s="98">
        <f>N224-N225-N226</f>
        <v>0</v>
      </c>
      <c r="O227" s="107">
        <f>O224</f>
        <v>0</v>
      </c>
    </row>
    <row r="228" spans="2:15" x14ac:dyDescent="0.35">
      <c r="B228" s="80" t="s">
        <v>46</v>
      </c>
      <c r="C228" s="38">
        <f>O218</f>
        <v>241805.36333503868</v>
      </c>
      <c r="D228" s="38">
        <f>C233</f>
        <v>147667.83909060562</v>
      </c>
      <c r="E228" s="38">
        <f>D233</f>
        <v>148652.29135120966</v>
      </c>
      <c r="F228" s="38">
        <f t="shared" ref="F228:N228" si="650">E233</f>
        <v>149643.30662688438</v>
      </c>
      <c r="G228" s="38">
        <f t="shared" si="650"/>
        <v>150640.92867106362</v>
      </c>
      <c r="H228" s="38">
        <f t="shared" si="650"/>
        <v>151645.2015288707</v>
      </c>
      <c r="I228" s="38">
        <f t="shared" si="650"/>
        <v>152656.16953906318</v>
      </c>
      <c r="J228" s="38">
        <f t="shared" si="650"/>
        <v>153673.87733599026</v>
      </c>
      <c r="K228" s="38">
        <f t="shared" si="650"/>
        <v>154698.36985156353</v>
      </c>
      <c r="L228" s="38">
        <f t="shared" si="650"/>
        <v>155729.69231724061</v>
      </c>
      <c r="M228" s="38">
        <f t="shared" si="650"/>
        <v>156767.89026602221</v>
      </c>
      <c r="N228" s="38">
        <f t="shared" si="650"/>
        <v>157813.00953446236</v>
      </c>
      <c r="O228" s="86"/>
    </row>
    <row r="229" spans="2:15" x14ac:dyDescent="0.35">
      <c r="B229" s="82" t="s">
        <v>70</v>
      </c>
      <c r="C229" s="38">
        <f>(C228*$C$6)/12</f>
        <v>1612.0357555669245</v>
      </c>
      <c r="D229" s="38">
        <f>(D228*$C$6)/12</f>
        <v>984.45226060403741</v>
      </c>
      <c r="E229" s="38">
        <f t="shared" ref="E229" si="651">(E228*$C$6)/12</f>
        <v>991.01527567473113</v>
      </c>
      <c r="F229" s="38">
        <f t="shared" ref="F229" si="652">(F228*$C$6)/12</f>
        <v>997.62204417922931</v>
      </c>
      <c r="G229" s="38">
        <f t="shared" ref="G229" si="653">(G228*$C$6)/12</f>
        <v>1004.2728578070909</v>
      </c>
      <c r="H229" s="38">
        <f t="shared" ref="H229" si="654">(H228*$C$6)/12</f>
        <v>1010.9680101924714</v>
      </c>
      <c r="I229" s="38">
        <f t="shared" ref="I229" si="655">(I228*$C$6)/12</f>
        <v>1017.707796927088</v>
      </c>
      <c r="J229" s="38">
        <f t="shared" ref="J229" si="656">(J228*$C$6)/12</f>
        <v>1024.4925155732683</v>
      </c>
      <c r="K229" s="38">
        <f t="shared" ref="K229" si="657">(K228*$C$6)/12</f>
        <v>1031.3224656770901</v>
      </c>
      <c r="L229" s="38">
        <f t="shared" ref="L229" si="658">(L228*$C$6)/12</f>
        <v>1038.1979487816041</v>
      </c>
      <c r="M229" s="38">
        <f t="shared" ref="M229" si="659">(M228*$C$6)/12</f>
        <v>1045.1192684401481</v>
      </c>
      <c r="N229" s="38">
        <f t="shared" ref="N229" si="660">(N228*$C$6)/12</f>
        <v>1052.086730229749</v>
      </c>
      <c r="O229" s="86">
        <f>SUM(C229:N229)</f>
        <v>12809.292929653433</v>
      </c>
    </row>
    <row r="230" spans="2:15" x14ac:dyDescent="0.35">
      <c r="B230" s="82" t="s">
        <v>84</v>
      </c>
      <c r="C230" s="38">
        <f>$B$7+($B$7*'Tax Rates and Inflation'!C41)+(-O227)</f>
        <v>83293</v>
      </c>
      <c r="D230" s="38">
        <v>0</v>
      </c>
      <c r="E230" s="38">
        <v>0</v>
      </c>
      <c r="F230" s="38">
        <v>0</v>
      </c>
      <c r="G230" s="38">
        <v>0</v>
      </c>
      <c r="H230" s="38">
        <v>0</v>
      </c>
      <c r="I230" s="38">
        <v>0</v>
      </c>
      <c r="J230" s="38">
        <v>0</v>
      </c>
      <c r="K230" s="38">
        <v>0</v>
      </c>
      <c r="L230" s="38">
        <v>0</v>
      </c>
      <c r="M230" s="38">
        <v>0</v>
      </c>
      <c r="N230" s="38">
        <v>0</v>
      </c>
      <c r="O230" s="86">
        <f>SUM(C230:N230)</f>
        <v>83293</v>
      </c>
    </row>
    <row r="231" spans="2:15" x14ac:dyDescent="0.35">
      <c r="B231" s="82" t="s">
        <v>82</v>
      </c>
      <c r="C231" s="38">
        <f>IF(C230&lt;'Tax calculations'!$D$4,C230*'Tax calculations'!$F$4,VLOOKUP(C230,'Tax calculations'!$C$5:$F$10,3,1)+(Calculations!C230-VLOOKUP(C230,'Tax calculations'!$C$5:$F$10,1,1))*VLOOKUP(C230,'Tax calculations'!$C$5:$F$10,4,1))</f>
        <v>9821.4599999999991</v>
      </c>
      <c r="D231" s="38">
        <v>0</v>
      </c>
      <c r="E231" s="38">
        <v>0</v>
      </c>
      <c r="F231" s="38">
        <v>0</v>
      </c>
      <c r="G231" s="38">
        <v>0</v>
      </c>
      <c r="H231" s="38">
        <v>0</v>
      </c>
      <c r="I231" s="38">
        <v>0</v>
      </c>
      <c r="J231" s="38">
        <v>0</v>
      </c>
      <c r="K231" s="38">
        <v>0</v>
      </c>
      <c r="L231" s="38">
        <v>0</v>
      </c>
      <c r="M231" s="38">
        <v>0</v>
      </c>
      <c r="N231" s="38">
        <v>0</v>
      </c>
      <c r="O231" s="86">
        <f>SUM(C231:N231)</f>
        <v>9821.4599999999991</v>
      </c>
    </row>
    <row r="232" spans="2:15" x14ac:dyDescent="0.35">
      <c r="B232" s="82" t="s">
        <v>83</v>
      </c>
      <c r="C232" s="38">
        <f>IF(B2="C",IF(Calculations!C230&lt;'Tax calculations'!$D$18,C230*'Tax calculations'!$F$18,VLOOKUP(C230,'Tax calculations'!$C$19:$F$26,3,1)+(Calculations!C230-VLOOKUP(Calculations!C230,'Tax calculations'!$C$19:$F$26,1,1))*VLOOKUP(Calculations!C230,'Tax calculations'!$C$19:$F$26,4,1)),C230*5%)</f>
        <v>2635.1</v>
      </c>
      <c r="D232" s="38">
        <v>0</v>
      </c>
      <c r="E232" s="38">
        <v>0</v>
      </c>
      <c r="F232" s="38">
        <v>0</v>
      </c>
      <c r="G232" s="38">
        <v>0</v>
      </c>
      <c r="H232" s="38">
        <v>0</v>
      </c>
      <c r="I232" s="38">
        <v>0</v>
      </c>
      <c r="J232" s="38">
        <v>0</v>
      </c>
      <c r="K232" s="38">
        <v>0</v>
      </c>
      <c r="L232" s="38">
        <v>0</v>
      </c>
      <c r="M232" s="38">
        <v>0</v>
      </c>
      <c r="N232" s="38">
        <v>0</v>
      </c>
      <c r="O232" s="86">
        <f>SUM(C232:N232)</f>
        <v>2635.1</v>
      </c>
    </row>
    <row r="233" spans="2:15" ht="15" thickBot="1" x14ac:dyDescent="0.4">
      <c r="B233" s="115" t="s">
        <v>85</v>
      </c>
      <c r="C233" s="116">
        <f>C228+C229-C230-C231-C232</f>
        <v>147667.83909060562</v>
      </c>
      <c r="D233" s="116">
        <f t="shared" ref="D233" si="661">D228+D229-D230-D231-D232</f>
        <v>148652.29135120966</v>
      </c>
      <c r="E233" s="116">
        <f t="shared" ref="E233" si="662">E228+E229-E230-E231-E232</f>
        <v>149643.30662688438</v>
      </c>
      <c r="F233" s="116">
        <f t="shared" ref="F233" si="663">F228+F229-F230-F231-F232</f>
        <v>150640.92867106362</v>
      </c>
      <c r="G233" s="116">
        <f t="shared" ref="G233" si="664">G228+G229-G230-G231-G232</f>
        <v>151645.2015288707</v>
      </c>
      <c r="H233" s="116">
        <f t="shared" ref="H233" si="665">H228+H229-H230-H231-H232</f>
        <v>152656.16953906318</v>
      </c>
      <c r="I233" s="116">
        <f t="shared" ref="I233" si="666">I228+I229-I230-I231-I232</f>
        <v>153673.87733599026</v>
      </c>
      <c r="J233" s="116">
        <f t="shared" ref="J233" si="667">J228+J229-J230-J231-J232</f>
        <v>154698.36985156353</v>
      </c>
      <c r="K233" s="116">
        <f t="shared" ref="K233" si="668">K228+K229-K230-K231-K232</f>
        <v>155729.69231724061</v>
      </c>
      <c r="L233" s="116">
        <f t="shared" ref="L233" si="669">L228+L229-L230-L231-L232</f>
        <v>156767.89026602221</v>
      </c>
      <c r="M233" s="116">
        <f t="shared" ref="M233" si="670">M228+M229-M230-M231-M232</f>
        <v>157813.00953446236</v>
      </c>
      <c r="N233" s="116">
        <f t="shared" ref="N233" si="671">N228+N229-N230-N231-N232</f>
        <v>158865.09626469211</v>
      </c>
      <c r="O233" s="117">
        <f>N233</f>
        <v>158865.09626469211</v>
      </c>
    </row>
    <row r="234" spans="2:15" ht="15" thickBot="1" x14ac:dyDescent="0.4"/>
    <row r="235" spans="2:15" x14ac:dyDescent="0.35">
      <c r="B235" s="100">
        <v>2038</v>
      </c>
      <c r="C235" s="78">
        <v>1</v>
      </c>
      <c r="D235" s="78">
        <v>2</v>
      </c>
      <c r="E235" s="78">
        <v>3</v>
      </c>
      <c r="F235" s="78">
        <v>4</v>
      </c>
      <c r="G235" s="78">
        <v>5</v>
      </c>
      <c r="H235" s="78">
        <v>6</v>
      </c>
      <c r="I235" s="78">
        <v>7</v>
      </c>
      <c r="J235" s="78">
        <v>8</v>
      </c>
      <c r="K235" s="78">
        <v>9</v>
      </c>
      <c r="L235" s="78">
        <v>10</v>
      </c>
      <c r="M235" s="78">
        <v>11</v>
      </c>
      <c r="N235" s="78">
        <v>12</v>
      </c>
      <c r="O235" s="79" t="s">
        <v>95</v>
      </c>
    </row>
    <row r="236" spans="2:15" x14ac:dyDescent="0.35">
      <c r="B236" s="80" t="s">
        <v>69</v>
      </c>
      <c r="C236" s="73">
        <v>0</v>
      </c>
      <c r="D236" s="73">
        <f>C242</f>
        <v>0</v>
      </c>
      <c r="E236" s="73">
        <f>D242</f>
        <v>0</v>
      </c>
      <c r="F236" s="73">
        <f>E242</f>
        <v>0</v>
      </c>
      <c r="G236" s="73">
        <f t="shared" ref="G236:N236" si="672">F242</f>
        <v>0</v>
      </c>
      <c r="H236" s="73">
        <f t="shared" si="672"/>
        <v>0</v>
      </c>
      <c r="I236" s="73">
        <f t="shared" si="672"/>
        <v>0</v>
      </c>
      <c r="J236" s="73">
        <f t="shared" si="672"/>
        <v>0</v>
      </c>
      <c r="K236" s="73">
        <f t="shared" si="672"/>
        <v>0</v>
      </c>
      <c r="L236" s="73">
        <f t="shared" si="672"/>
        <v>0</v>
      </c>
      <c r="M236" s="73">
        <f t="shared" si="672"/>
        <v>0</v>
      </c>
      <c r="N236" s="73">
        <f t="shared" si="672"/>
        <v>0</v>
      </c>
      <c r="O236" s="81"/>
    </row>
    <row r="237" spans="2:15" x14ac:dyDescent="0.35">
      <c r="B237" s="82" t="s">
        <v>65</v>
      </c>
      <c r="C237" s="71">
        <f>(C236*$B$6)/12</f>
        <v>0</v>
      </c>
      <c r="D237" s="71">
        <f>(D236*$B$6)/12</f>
        <v>0</v>
      </c>
      <c r="E237" s="71">
        <f>(E236*$B$6)/12</f>
        <v>0</v>
      </c>
      <c r="F237" s="71">
        <f>(F236*$B$6)/12</f>
        <v>0</v>
      </c>
      <c r="G237" s="71">
        <f t="shared" ref="G237" si="673">(G236*$B$6)/12</f>
        <v>0</v>
      </c>
      <c r="H237" s="71">
        <f t="shared" ref="H237" si="674">(H236*$B$6)/12</f>
        <v>0</v>
      </c>
      <c r="I237" s="71">
        <f t="shared" ref="I237" si="675">(I236*$B$6)/12</f>
        <v>0</v>
      </c>
      <c r="J237" s="71">
        <f t="shared" ref="J237" si="676">(J236*$B$6)/12</f>
        <v>0</v>
      </c>
      <c r="K237" s="71">
        <f t="shared" ref="K237" si="677">(K236*$B$6)/12</f>
        <v>0</v>
      </c>
      <c r="L237" s="71">
        <f t="shared" ref="L237" si="678">(L236*$B$6)/12</f>
        <v>0</v>
      </c>
      <c r="M237" s="71">
        <f t="shared" ref="M237" si="679">(M236*$B$6)/12</f>
        <v>0</v>
      </c>
      <c r="N237" s="71">
        <f t="shared" ref="N237" si="680">(N236*$B$6)/12</f>
        <v>0</v>
      </c>
      <c r="O237" s="83">
        <f>SUM(C237:N237)</f>
        <v>0</v>
      </c>
    </row>
    <row r="238" spans="2:15" x14ac:dyDescent="0.35">
      <c r="B238" s="82" t="s">
        <v>45</v>
      </c>
      <c r="C238" s="96">
        <v>0</v>
      </c>
      <c r="D238" s="38">
        <f>C238</f>
        <v>0</v>
      </c>
      <c r="E238" s="38">
        <f>D238</f>
        <v>0</v>
      </c>
      <c r="F238" s="38">
        <f>E238</f>
        <v>0</v>
      </c>
      <c r="G238" s="38">
        <f t="shared" ref="G238:N238" si="681">F238</f>
        <v>0</v>
      </c>
      <c r="H238" s="38">
        <f t="shared" si="681"/>
        <v>0</v>
      </c>
      <c r="I238" s="38">
        <f t="shared" si="681"/>
        <v>0</v>
      </c>
      <c r="J238" s="38">
        <f t="shared" si="681"/>
        <v>0</v>
      </c>
      <c r="K238" s="38">
        <f t="shared" si="681"/>
        <v>0</v>
      </c>
      <c r="L238" s="38">
        <f t="shared" si="681"/>
        <v>0</v>
      </c>
      <c r="M238" s="38">
        <f t="shared" si="681"/>
        <v>0</v>
      </c>
      <c r="N238" s="38">
        <f t="shared" si="681"/>
        <v>0</v>
      </c>
      <c r="O238" s="86">
        <f>SUM(C238:N238)</f>
        <v>0</v>
      </c>
    </row>
    <row r="239" spans="2:15" x14ac:dyDescent="0.35">
      <c r="B239" s="101" t="s">
        <v>67</v>
      </c>
      <c r="C239" s="98">
        <f>C236+C237-C238</f>
        <v>0</v>
      </c>
      <c r="D239" s="98">
        <f>D236+D237-D238</f>
        <v>0</v>
      </c>
      <c r="E239" s="98">
        <f>E236+E237-E238</f>
        <v>0</v>
      </c>
      <c r="F239" s="98">
        <f>F236+F237-F238</f>
        <v>0</v>
      </c>
      <c r="G239" s="98">
        <f t="shared" ref="G239" si="682">G236+G237-G238</f>
        <v>0</v>
      </c>
      <c r="H239" s="98">
        <f t="shared" ref="H239" si="683">H236+H237-H238</f>
        <v>0</v>
      </c>
      <c r="I239" s="98">
        <f t="shared" ref="I239" si="684">I236+I237-I238</f>
        <v>0</v>
      </c>
      <c r="J239" s="98">
        <f t="shared" ref="J239" si="685">J236+J237-J238</f>
        <v>0</v>
      </c>
      <c r="K239" s="98">
        <f t="shared" ref="K239" si="686">K236+K237-K238</f>
        <v>0</v>
      </c>
      <c r="L239" s="98">
        <f t="shared" ref="L239" si="687">L236+L237-L238</f>
        <v>0</v>
      </c>
      <c r="M239" s="98">
        <f t="shared" ref="M239" si="688">M236+M237-M238</f>
        <v>0</v>
      </c>
      <c r="N239" s="98">
        <f t="shared" ref="N239" si="689">N236+N237-N238</f>
        <v>0</v>
      </c>
      <c r="O239" s="84">
        <f>N242</f>
        <v>0</v>
      </c>
    </row>
    <row r="240" spans="2:15" x14ac:dyDescent="0.35">
      <c r="B240" s="85" t="s">
        <v>66</v>
      </c>
      <c r="C240" s="71">
        <v>0</v>
      </c>
      <c r="D240" s="71">
        <v>0</v>
      </c>
      <c r="E240" s="71"/>
      <c r="F240" s="71">
        <v>0</v>
      </c>
      <c r="G240" s="71">
        <v>0</v>
      </c>
      <c r="H240" s="71">
        <v>0</v>
      </c>
      <c r="I240" s="71">
        <v>0</v>
      </c>
      <c r="J240" s="71">
        <v>0</v>
      </c>
      <c r="K240" s="71">
        <v>0</v>
      </c>
      <c r="L240" s="71">
        <v>0</v>
      </c>
      <c r="M240" s="71">
        <v>0</v>
      </c>
      <c r="N240" s="71">
        <f>IF(O237&lt;'Tax calculations'!$D$4,O237*'Tax calculations'!$F$4,VLOOKUP(O237,'Tax calculations'!$C$5:$F$10,3,1)+(Calculations!O237-VLOOKUP(O237,'Tax calculations'!$C$5:$F$10,1,1))*VLOOKUP(O237,'Tax calculations'!$C$5:$F$10,4,1))</f>
        <v>0</v>
      </c>
      <c r="O240" s="83">
        <f>SUM(C240:N240)</f>
        <v>0</v>
      </c>
    </row>
    <row r="241" spans="2:15" x14ac:dyDescent="0.35">
      <c r="B241" s="85" t="s">
        <v>80</v>
      </c>
      <c r="C241" s="71">
        <v>0</v>
      </c>
      <c r="D241" s="71">
        <v>0</v>
      </c>
      <c r="E241" s="71"/>
      <c r="F241" s="71">
        <v>0</v>
      </c>
      <c r="G241" s="71">
        <v>0</v>
      </c>
      <c r="H241" s="71">
        <v>0</v>
      </c>
      <c r="I241" s="71">
        <v>0</v>
      </c>
      <c r="J241" s="71">
        <v>0</v>
      </c>
      <c r="K241" s="71">
        <v>0</v>
      </c>
      <c r="L241" s="71">
        <v>0</v>
      </c>
      <c r="M241" s="71">
        <v>0</v>
      </c>
      <c r="N241" s="71">
        <f>IF(O237&gt;'Tax calculations'!$C$19,'Tax calculations'!$E$19+'Tax calculations'!$F$19*(Calculations!O237-'Tax calculations'!$C$19),Calculations!O237*'Tax calculations'!$F$18)</f>
        <v>0</v>
      </c>
      <c r="O241" s="97">
        <f>SUM(C241:N241)</f>
        <v>0</v>
      </c>
    </row>
    <row r="242" spans="2:15" x14ac:dyDescent="0.35">
      <c r="B242" s="101" t="s">
        <v>81</v>
      </c>
      <c r="C242" s="98">
        <f>C239-C240-C241</f>
        <v>0</v>
      </c>
      <c r="D242" s="98">
        <f>D239-D240-D241</f>
        <v>0</v>
      </c>
      <c r="E242" s="98">
        <f>E239-E240-E241</f>
        <v>0</v>
      </c>
      <c r="F242" s="98">
        <f>F239-F240-F241</f>
        <v>0</v>
      </c>
      <c r="G242" s="98">
        <f t="shared" ref="G242" si="690">G239-G240-G241</f>
        <v>0</v>
      </c>
      <c r="H242" s="98">
        <f t="shared" ref="H242" si="691">H239-H240-H241</f>
        <v>0</v>
      </c>
      <c r="I242" s="98">
        <f t="shared" ref="I242" si="692">I239-I240-I241</f>
        <v>0</v>
      </c>
      <c r="J242" s="98">
        <f t="shared" ref="J242" si="693">J239-J240-J241</f>
        <v>0</v>
      </c>
      <c r="K242" s="98">
        <f t="shared" ref="K242" si="694">K239-K240-K241</f>
        <v>0</v>
      </c>
      <c r="L242" s="98">
        <f t="shared" ref="L242" si="695">L239-L240-L241</f>
        <v>0</v>
      </c>
      <c r="M242" s="98">
        <f t="shared" ref="M242" si="696">M239-M240-M241</f>
        <v>0</v>
      </c>
      <c r="N242" s="98">
        <f>N239-N240-N241</f>
        <v>0</v>
      </c>
      <c r="O242" s="107">
        <f>O239</f>
        <v>0</v>
      </c>
    </row>
    <row r="243" spans="2:15" x14ac:dyDescent="0.35">
      <c r="B243" s="82" t="s">
        <v>46</v>
      </c>
      <c r="C243" s="38">
        <f>O233</f>
        <v>158865.09626469211</v>
      </c>
      <c r="D243" s="38">
        <f>C248</f>
        <v>64174.636906456733</v>
      </c>
      <c r="E243" s="38">
        <f>D248</f>
        <v>64602.467819166442</v>
      </c>
      <c r="F243" s="38">
        <f t="shared" ref="F243:N243" si="697">E248</f>
        <v>65033.150937960883</v>
      </c>
      <c r="G243" s="38">
        <f t="shared" si="697"/>
        <v>65466.705277547291</v>
      </c>
      <c r="H243" s="38">
        <f t="shared" si="697"/>
        <v>65903.149979397611</v>
      </c>
      <c r="I243" s="38">
        <f t="shared" si="697"/>
        <v>66342.504312593592</v>
      </c>
      <c r="J243" s="38">
        <f t="shared" si="697"/>
        <v>66784.787674677544</v>
      </c>
      <c r="K243" s="38">
        <f t="shared" si="697"/>
        <v>67230.019592508732</v>
      </c>
      <c r="L243" s="38">
        <f t="shared" si="697"/>
        <v>67678.219723125454</v>
      </c>
      <c r="M243" s="38">
        <f t="shared" si="697"/>
        <v>68129.40785461296</v>
      </c>
      <c r="N243" s="38">
        <f t="shared" si="697"/>
        <v>68583.603906977049</v>
      </c>
      <c r="O243" s="86"/>
    </row>
    <row r="244" spans="2:15" x14ac:dyDescent="0.35">
      <c r="B244" s="82" t="s">
        <v>70</v>
      </c>
      <c r="C244" s="38">
        <f>(C243*$C$6)/12</f>
        <v>1059.1006417646142</v>
      </c>
      <c r="D244" s="38">
        <f>(D243*$C$6)/12</f>
        <v>427.83091270971158</v>
      </c>
      <c r="E244" s="38">
        <f t="shared" ref="E244" si="698">(E243*$C$6)/12</f>
        <v>430.68311879444292</v>
      </c>
      <c r="F244" s="38">
        <f t="shared" ref="F244" si="699">(F243*$C$6)/12</f>
        <v>433.55433958640589</v>
      </c>
      <c r="G244" s="38">
        <f t="shared" ref="G244" si="700">(G243*$C$6)/12</f>
        <v>436.44470185031531</v>
      </c>
      <c r="H244" s="38">
        <f t="shared" ref="H244" si="701">(H243*$C$6)/12</f>
        <v>439.35433319598405</v>
      </c>
      <c r="I244" s="38">
        <f t="shared" ref="I244" si="702">(I243*$C$6)/12</f>
        <v>442.28336208395734</v>
      </c>
      <c r="J244" s="38">
        <f t="shared" ref="J244" si="703">(J243*$C$6)/12</f>
        <v>445.23191783118364</v>
      </c>
      <c r="K244" s="38">
        <f t="shared" ref="K244" si="704">(K243*$C$6)/12</f>
        <v>448.20013061672489</v>
      </c>
      <c r="L244" s="38">
        <f t="shared" ref="L244" si="705">(L243*$C$6)/12</f>
        <v>451.18813148750309</v>
      </c>
      <c r="M244" s="38">
        <f t="shared" ref="M244" si="706">(M243*$C$6)/12</f>
        <v>454.19605236408643</v>
      </c>
      <c r="N244" s="38">
        <f t="shared" ref="N244" si="707">(N243*$C$6)/12</f>
        <v>457.2240260465137</v>
      </c>
      <c r="O244" s="86">
        <f>SUM(C244:N244)</f>
        <v>5925.2916683314434</v>
      </c>
    </row>
    <row r="245" spans="2:15" x14ac:dyDescent="0.35">
      <c r="B245" s="82" t="s">
        <v>84</v>
      </c>
      <c r="C245" s="38">
        <f>$B$7+($B$7*'Tax Rates and Inflation'!C42)+(-O242)</f>
        <v>83293</v>
      </c>
      <c r="D245" s="38">
        <v>0</v>
      </c>
      <c r="E245" s="38">
        <v>0</v>
      </c>
      <c r="F245" s="38">
        <v>0</v>
      </c>
      <c r="G245" s="38">
        <v>0</v>
      </c>
      <c r="H245" s="38">
        <v>0</v>
      </c>
      <c r="I245" s="38">
        <v>0</v>
      </c>
      <c r="J245" s="38">
        <v>0</v>
      </c>
      <c r="K245" s="38">
        <v>0</v>
      </c>
      <c r="L245" s="38">
        <v>0</v>
      </c>
      <c r="M245" s="38">
        <v>0</v>
      </c>
      <c r="N245" s="38">
        <v>0</v>
      </c>
      <c r="O245" s="86">
        <f>SUM(C245:N245)</f>
        <v>83293</v>
      </c>
    </row>
    <row r="246" spans="2:15" x14ac:dyDescent="0.35">
      <c r="B246" s="82" t="s">
        <v>82</v>
      </c>
      <c r="C246" s="38">
        <f>IF(C245&lt;'Tax calculations'!$D$4,C245*'Tax calculations'!$F$4,VLOOKUP(C245,'Tax calculations'!$C$5:$F$10,3,1)+(Calculations!C245-VLOOKUP(C245,'Tax calculations'!$C$5:$F$10,1,1))*VLOOKUP(C245,'Tax calculations'!$C$5:$F$10,4,1))</f>
        <v>9821.4599999999991</v>
      </c>
      <c r="D246" s="38">
        <v>0</v>
      </c>
      <c r="E246" s="38">
        <v>0</v>
      </c>
      <c r="F246" s="38">
        <v>0</v>
      </c>
      <c r="G246" s="38">
        <v>0</v>
      </c>
      <c r="H246" s="38">
        <v>0</v>
      </c>
      <c r="I246" s="38">
        <v>0</v>
      </c>
      <c r="J246" s="38">
        <v>0</v>
      </c>
      <c r="K246" s="38">
        <v>0</v>
      </c>
      <c r="L246" s="38">
        <v>0</v>
      </c>
      <c r="M246" s="38">
        <v>0</v>
      </c>
      <c r="N246" s="38">
        <v>0</v>
      </c>
      <c r="O246" s="86">
        <f>SUM(C246:N246)</f>
        <v>9821.4599999999991</v>
      </c>
    </row>
    <row r="247" spans="2:15" x14ac:dyDescent="0.35">
      <c r="B247" s="82" t="s">
        <v>83</v>
      </c>
      <c r="C247" s="38">
        <f>IF(B2="C",IF(Calculations!C245&lt;'Tax calculations'!$D$18,C245*'Tax calculations'!$F$18,VLOOKUP(C245,'Tax calculations'!$C$19:$F$26,3,1)+(Calculations!C245-VLOOKUP(Calculations!C245,'Tax calculations'!$C$19:$F$26,1,1))*VLOOKUP(Calculations!C245,'Tax calculations'!$C$19:$F$26,4,1)),C245*5%)</f>
        <v>2635.1</v>
      </c>
      <c r="D247" s="38">
        <v>0</v>
      </c>
      <c r="E247" s="38">
        <v>0</v>
      </c>
      <c r="F247" s="38">
        <v>0</v>
      </c>
      <c r="G247" s="38">
        <v>0</v>
      </c>
      <c r="H247" s="38">
        <v>0</v>
      </c>
      <c r="I247" s="38">
        <v>0</v>
      </c>
      <c r="J247" s="38">
        <v>0</v>
      </c>
      <c r="K247" s="38">
        <v>0</v>
      </c>
      <c r="L247" s="38">
        <v>0</v>
      </c>
      <c r="M247" s="38">
        <v>0</v>
      </c>
      <c r="N247" s="38">
        <v>0</v>
      </c>
      <c r="O247" s="86">
        <f>SUM(C247:N247)</f>
        <v>2635.1</v>
      </c>
    </row>
    <row r="248" spans="2:15" ht="15" thickBot="1" x14ac:dyDescent="0.4">
      <c r="B248" s="115" t="s">
        <v>85</v>
      </c>
      <c r="C248" s="116">
        <f>C243+C244-C245-C246-C247</f>
        <v>64174.636906456733</v>
      </c>
      <c r="D248" s="116">
        <f t="shared" ref="D248" si="708">D243+D244-D245-D246-D247</f>
        <v>64602.467819166442</v>
      </c>
      <c r="E248" s="116">
        <f t="shared" ref="E248" si="709">E243+E244-E245-E246-E247</f>
        <v>65033.150937960883</v>
      </c>
      <c r="F248" s="116">
        <f t="shared" ref="F248" si="710">F243+F244-F245-F246-F247</f>
        <v>65466.705277547291</v>
      </c>
      <c r="G248" s="116">
        <f t="shared" ref="G248" si="711">G243+G244-G245-G246-G247</f>
        <v>65903.149979397611</v>
      </c>
      <c r="H248" s="116">
        <f t="shared" ref="H248" si="712">H243+H244-H245-H246-H247</f>
        <v>66342.504312593592</v>
      </c>
      <c r="I248" s="116">
        <f t="shared" ref="I248" si="713">I243+I244-I245-I246-I247</f>
        <v>66784.787674677544</v>
      </c>
      <c r="J248" s="116">
        <f t="shared" ref="J248" si="714">J243+J244-J245-J246-J247</f>
        <v>67230.019592508732</v>
      </c>
      <c r="K248" s="116">
        <f t="shared" ref="K248" si="715">K243+K244-K245-K246-K247</f>
        <v>67678.219723125454</v>
      </c>
      <c r="L248" s="116">
        <f t="shared" ref="L248" si="716">L243+L244-L245-L246-L247</f>
        <v>68129.40785461296</v>
      </c>
      <c r="M248" s="116">
        <f t="shared" ref="M248" si="717">M243+M244-M245-M246-M247</f>
        <v>68583.603906977049</v>
      </c>
      <c r="N248" s="116">
        <f t="shared" ref="N248" si="718">N243+N244-N245-N246-N247</f>
        <v>69040.827933023567</v>
      </c>
      <c r="O248" s="117">
        <f>N248</f>
        <v>69040.827933023567</v>
      </c>
    </row>
    <row r="249" spans="2:15" ht="15" thickBot="1" x14ac:dyDescent="0.4"/>
    <row r="250" spans="2:15" x14ac:dyDescent="0.35">
      <c r="B250" s="100">
        <v>2039</v>
      </c>
      <c r="C250" s="78">
        <v>1</v>
      </c>
      <c r="D250" s="78">
        <v>2</v>
      </c>
      <c r="E250" s="78">
        <v>3</v>
      </c>
      <c r="F250" s="78">
        <v>4</v>
      </c>
      <c r="G250" s="78">
        <v>5</v>
      </c>
      <c r="H250" s="78">
        <v>6</v>
      </c>
      <c r="I250" s="78">
        <v>7</v>
      </c>
      <c r="J250" s="78">
        <v>8</v>
      </c>
      <c r="K250" s="78">
        <v>9</v>
      </c>
      <c r="L250" s="78">
        <v>10</v>
      </c>
      <c r="M250" s="78">
        <v>11</v>
      </c>
      <c r="N250" s="78">
        <v>12</v>
      </c>
      <c r="O250" s="79" t="s">
        <v>96</v>
      </c>
    </row>
    <row r="251" spans="2:15" x14ac:dyDescent="0.35">
      <c r="B251" s="80" t="s">
        <v>69</v>
      </c>
      <c r="C251" s="73">
        <v>0</v>
      </c>
      <c r="D251" s="73">
        <f>C257</f>
        <v>0</v>
      </c>
      <c r="E251" s="73">
        <f>D257</f>
        <v>0</v>
      </c>
      <c r="F251" s="73">
        <f>E257</f>
        <v>0</v>
      </c>
      <c r="G251" s="73">
        <f t="shared" ref="G251:N251" si="719">F257</f>
        <v>0</v>
      </c>
      <c r="H251" s="73">
        <f t="shared" si="719"/>
        <v>0</v>
      </c>
      <c r="I251" s="73">
        <f t="shared" si="719"/>
        <v>0</v>
      </c>
      <c r="J251" s="73">
        <f t="shared" si="719"/>
        <v>0</v>
      </c>
      <c r="K251" s="73">
        <f t="shared" si="719"/>
        <v>0</v>
      </c>
      <c r="L251" s="73">
        <f t="shared" si="719"/>
        <v>0</v>
      </c>
      <c r="M251" s="73">
        <f t="shared" si="719"/>
        <v>0</v>
      </c>
      <c r="N251" s="73">
        <f t="shared" si="719"/>
        <v>0</v>
      </c>
      <c r="O251" s="81"/>
    </row>
    <row r="252" spans="2:15" x14ac:dyDescent="0.35">
      <c r="B252" s="82" t="s">
        <v>65</v>
      </c>
      <c r="C252" s="71">
        <f>(C251*$B$6)/12</f>
        <v>0</v>
      </c>
      <c r="D252" s="71">
        <f>(D251*$B$6)/12</f>
        <v>0</v>
      </c>
      <c r="E252" s="71">
        <f>(E251*$B$6)/12</f>
        <v>0</v>
      </c>
      <c r="F252" s="71">
        <f>(F251*$B$6)/12</f>
        <v>0</v>
      </c>
      <c r="G252" s="71">
        <f t="shared" ref="G252" si="720">(G251*$B$6)/12</f>
        <v>0</v>
      </c>
      <c r="H252" s="71">
        <f t="shared" ref="H252" si="721">(H251*$B$6)/12</f>
        <v>0</v>
      </c>
      <c r="I252" s="71">
        <f t="shared" ref="I252" si="722">(I251*$B$6)/12</f>
        <v>0</v>
      </c>
      <c r="J252" s="71">
        <f t="shared" ref="J252" si="723">(J251*$B$6)/12</f>
        <v>0</v>
      </c>
      <c r="K252" s="71">
        <f t="shared" ref="K252" si="724">(K251*$B$6)/12</f>
        <v>0</v>
      </c>
      <c r="L252" s="71">
        <f t="shared" ref="L252" si="725">(L251*$B$6)/12</f>
        <v>0</v>
      </c>
      <c r="M252" s="71">
        <f t="shared" ref="M252" si="726">(M251*$B$6)/12</f>
        <v>0</v>
      </c>
      <c r="N252" s="71">
        <f t="shared" ref="N252" si="727">(N251*$B$6)/12</f>
        <v>0</v>
      </c>
      <c r="O252" s="83">
        <f>SUM(C252:N252)</f>
        <v>0</v>
      </c>
    </row>
    <row r="253" spans="2:15" x14ac:dyDescent="0.35">
      <c r="B253" s="82" t="s">
        <v>45</v>
      </c>
      <c r="C253" s="96">
        <v>0</v>
      </c>
      <c r="D253" s="38">
        <f>C253</f>
        <v>0</v>
      </c>
      <c r="E253" s="38">
        <f>D253</f>
        <v>0</v>
      </c>
      <c r="F253" s="38">
        <f>E253</f>
        <v>0</v>
      </c>
      <c r="G253" s="38">
        <f t="shared" ref="G253:N253" si="728">F253</f>
        <v>0</v>
      </c>
      <c r="H253" s="38">
        <f t="shared" si="728"/>
        <v>0</v>
      </c>
      <c r="I253" s="38">
        <f t="shared" si="728"/>
        <v>0</v>
      </c>
      <c r="J253" s="38">
        <f t="shared" si="728"/>
        <v>0</v>
      </c>
      <c r="K253" s="38">
        <f t="shared" si="728"/>
        <v>0</v>
      </c>
      <c r="L253" s="38">
        <f t="shared" si="728"/>
        <v>0</v>
      </c>
      <c r="M253" s="38">
        <f t="shared" si="728"/>
        <v>0</v>
      </c>
      <c r="N253" s="38">
        <f t="shared" si="728"/>
        <v>0</v>
      </c>
      <c r="O253" s="86">
        <f>SUM(C253:N253)</f>
        <v>0</v>
      </c>
    </row>
    <row r="254" spans="2:15" x14ac:dyDescent="0.35">
      <c r="B254" s="101" t="s">
        <v>67</v>
      </c>
      <c r="C254" s="98">
        <f>C251+C252-C253</f>
        <v>0</v>
      </c>
      <c r="D254" s="98">
        <f>D251+D252-D253</f>
        <v>0</v>
      </c>
      <c r="E254" s="98">
        <f>E251+E252-E253</f>
        <v>0</v>
      </c>
      <c r="F254" s="98">
        <f>F251+F252-F253</f>
        <v>0</v>
      </c>
      <c r="G254" s="98">
        <f t="shared" ref="G254" si="729">G251+G252-G253</f>
        <v>0</v>
      </c>
      <c r="H254" s="98">
        <f t="shared" ref="H254" si="730">H251+H252-H253</f>
        <v>0</v>
      </c>
      <c r="I254" s="98">
        <f t="shared" ref="I254" si="731">I251+I252-I253</f>
        <v>0</v>
      </c>
      <c r="J254" s="98">
        <f t="shared" ref="J254" si="732">J251+J252-J253</f>
        <v>0</v>
      </c>
      <c r="K254" s="98">
        <f t="shared" ref="K254" si="733">K251+K252-K253</f>
        <v>0</v>
      </c>
      <c r="L254" s="98">
        <f t="shared" ref="L254" si="734">L251+L252-L253</f>
        <v>0</v>
      </c>
      <c r="M254" s="98">
        <f t="shared" ref="M254" si="735">M251+M252-M253</f>
        <v>0</v>
      </c>
      <c r="N254" s="98">
        <f t="shared" ref="N254" si="736">N251+N252-N253</f>
        <v>0</v>
      </c>
      <c r="O254" s="84">
        <f>N257</f>
        <v>0</v>
      </c>
    </row>
    <row r="255" spans="2:15" x14ac:dyDescent="0.35">
      <c r="B255" s="85" t="s">
        <v>66</v>
      </c>
      <c r="C255" s="71">
        <v>0</v>
      </c>
      <c r="D255" s="71">
        <v>0</v>
      </c>
      <c r="E255" s="71"/>
      <c r="F255" s="71">
        <v>0</v>
      </c>
      <c r="G255" s="71">
        <v>0</v>
      </c>
      <c r="H255" s="71">
        <v>0</v>
      </c>
      <c r="I255" s="71">
        <v>0</v>
      </c>
      <c r="J255" s="71">
        <v>0</v>
      </c>
      <c r="K255" s="71">
        <v>0</v>
      </c>
      <c r="L255" s="71">
        <v>0</v>
      </c>
      <c r="M255" s="71">
        <v>0</v>
      </c>
      <c r="N255" s="71">
        <f>IF(O252&lt;'Tax calculations'!$D$4,O252*'Tax calculations'!$F$4,VLOOKUP(O252,'Tax calculations'!$C$5:$F$10,3,1)+(Calculations!O252-VLOOKUP(O252,'Tax calculations'!$C$5:$F$10,1,1))*VLOOKUP(O252,'Tax calculations'!$C$5:$F$10,4,1))</f>
        <v>0</v>
      </c>
      <c r="O255" s="83">
        <f>SUM(C255:N255)</f>
        <v>0</v>
      </c>
    </row>
    <row r="256" spans="2:15" x14ac:dyDescent="0.35">
      <c r="B256" s="85" t="s">
        <v>80</v>
      </c>
      <c r="C256" s="71">
        <v>0</v>
      </c>
      <c r="D256" s="71">
        <v>0</v>
      </c>
      <c r="E256" s="71"/>
      <c r="F256" s="71">
        <v>0</v>
      </c>
      <c r="G256" s="71">
        <v>0</v>
      </c>
      <c r="H256" s="71">
        <v>0</v>
      </c>
      <c r="I256" s="71">
        <v>0</v>
      </c>
      <c r="J256" s="71">
        <v>0</v>
      </c>
      <c r="K256" s="71">
        <v>0</v>
      </c>
      <c r="L256" s="71">
        <v>0</v>
      </c>
      <c r="M256" s="71">
        <v>0</v>
      </c>
      <c r="N256" s="71">
        <f>IF(O252&gt;'Tax calculations'!$C$19,'Tax calculations'!$E$19+'Tax calculations'!$F$19*(Calculations!O252-'Tax calculations'!$C$19),Calculations!O252*'Tax calculations'!$F$18)</f>
        <v>0</v>
      </c>
      <c r="O256" s="97">
        <f>SUM(C256:N256)</f>
        <v>0</v>
      </c>
    </row>
    <row r="257" spans="2:15" x14ac:dyDescent="0.35">
      <c r="B257" s="91" t="s">
        <v>81</v>
      </c>
      <c r="C257" s="98">
        <f>C254-C255-C256</f>
        <v>0</v>
      </c>
      <c r="D257" s="98">
        <f>D254-D255-D256</f>
        <v>0</v>
      </c>
      <c r="E257" s="98">
        <f>E254-E255-E256</f>
        <v>0</v>
      </c>
      <c r="F257" s="98">
        <f>F254-F255-F256</f>
        <v>0</v>
      </c>
      <c r="G257" s="98">
        <f t="shared" ref="G257" si="737">G254-G255-G256</f>
        <v>0</v>
      </c>
      <c r="H257" s="98">
        <f t="shared" ref="H257" si="738">H254-H255-H256</f>
        <v>0</v>
      </c>
      <c r="I257" s="98">
        <f t="shared" ref="I257" si="739">I254-I255-I256</f>
        <v>0</v>
      </c>
      <c r="J257" s="98">
        <f t="shared" ref="J257" si="740">J254-J255-J256</f>
        <v>0</v>
      </c>
      <c r="K257" s="98">
        <f t="shared" ref="K257" si="741">K254-K255-K256</f>
        <v>0</v>
      </c>
      <c r="L257" s="98">
        <f t="shared" ref="L257" si="742">L254-L255-L256</f>
        <v>0</v>
      </c>
      <c r="M257" s="98">
        <f t="shared" ref="M257" si="743">M254-M255-M256</f>
        <v>0</v>
      </c>
      <c r="N257" s="98">
        <f>N254-N255-N256</f>
        <v>0</v>
      </c>
      <c r="O257" s="107">
        <f>O254</f>
        <v>0</v>
      </c>
    </row>
    <row r="258" spans="2:15" x14ac:dyDescent="0.35">
      <c r="B258" s="80" t="s">
        <v>46</v>
      </c>
      <c r="C258" s="38">
        <f>O248</f>
        <v>69040.827933023567</v>
      </c>
      <c r="D258" s="38">
        <f>C263</f>
        <v>-23953.419880756275</v>
      </c>
      <c r="E258" s="38">
        <f>D263</f>
        <v>-24113.109346627985</v>
      </c>
      <c r="F258" s="38">
        <f t="shared" ref="F258:N258" si="744">E263</f>
        <v>-24273.86340893884</v>
      </c>
      <c r="G258" s="38">
        <f t="shared" si="744"/>
        <v>-24435.689164998432</v>
      </c>
      <c r="H258" s="38">
        <f t="shared" si="744"/>
        <v>-24598.593759431755</v>
      </c>
      <c r="I258" s="38">
        <f t="shared" si="744"/>
        <v>-24762.584384494632</v>
      </c>
      <c r="J258" s="38">
        <f t="shared" si="744"/>
        <v>-24927.668280391263</v>
      </c>
      <c r="K258" s="38">
        <f t="shared" si="744"/>
        <v>-25093.852735593871</v>
      </c>
      <c r="L258" s="38">
        <f t="shared" si="744"/>
        <v>-25261.145087164496</v>
      </c>
      <c r="M258" s="38">
        <f t="shared" si="744"/>
        <v>-25429.552721078926</v>
      </c>
      <c r="N258" s="38">
        <f t="shared" si="744"/>
        <v>-25599.083072552785</v>
      </c>
      <c r="O258" s="86"/>
    </row>
    <row r="259" spans="2:15" x14ac:dyDescent="0.35">
      <c r="B259" s="82" t="s">
        <v>70</v>
      </c>
      <c r="C259" s="38">
        <f>(C258*$C$6)/12</f>
        <v>460.27218622015715</v>
      </c>
      <c r="D259" s="38">
        <f>(D258*$C$6)/12</f>
        <v>-159.68946587170851</v>
      </c>
      <c r="E259" s="38">
        <f t="shared" ref="E259" si="745">(E258*$C$6)/12</f>
        <v>-160.75406231085324</v>
      </c>
      <c r="F259" s="38">
        <f t="shared" ref="F259" si="746">(F258*$C$6)/12</f>
        <v>-161.82575605959227</v>
      </c>
      <c r="G259" s="38">
        <f t="shared" ref="G259" si="747">(G258*$C$6)/12</f>
        <v>-162.9045944333229</v>
      </c>
      <c r="H259" s="38">
        <f t="shared" ref="H259" si="748">(H258*$C$6)/12</f>
        <v>-163.99062506287837</v>
      </c>
      <c r="I259" s="38">
        <f t="shared" ref="I259" si="749">(I258*$C$6)/12</f>
        <v>-165.08389589663088</v>
      </c>
      <c r="J259" s="38">
        <f t="shared" ref="J259" si="750">(J258*$C$6)/12</f>
        <v>-166.1844552026084</v>
      </c>
      <c r="K259" s="38">
        <f t="shared" ref="K259" si="751">(K258*$C$6)/12</f>
        <v>-167.29235157062581</v>
      </c>
      <c r="L259" s="38">
        <f t="shared" ref="L259" si="752">(L258*$C$6)/12</f>
        <v>-168.40763391442997</v>
      </c>
      <c r="M259" s="38">
        <f t="shared" ref="M259" si="753">(M258*$C$6)/12</f>
        <v>-169.5303514738595</v>
      </c>
      <c r="N259" s="38">
        <f t="shared" ref="N259" si="754">(N258*$C$6)/12</f>
        <v>-170.66055381701855</v>
      </c>
      <c r="O259" s="86">
        <f>SUM(C259:N259)</f>
        <v>-1356.0515593933712</v>
      </c>
    </row>
    <row r="260" spans="2:15" x14ac:dyDescent="0.35">
      <c r="B260" s="82" t="s">
        <v>84</v>
      </c>
      <c r="C260" s="38">
        <f>$B$7</f>
        <v>81500</v>
      </c>
      <c r="D260" s="38">
        <v>0</v>
      </c>
      <c r="E260" s="38">
        <v>0</v>
      </c>
      <c r="F260" s="38">
        <v>0</v>
      </c>
      <c r="G260" s="38">
        <v>0</v>
      </c>
      <c r="H260" s="38">
        <v>0</v>
      </c>
      <c r="I260" s="38">
        <v>0</v>
      </c>
      <c r="J260" s="38">
        <v>0</v>
      </c>
      <c r="K260" s="38">
        <v>0</v>
      </c>
      <c r="L260" s="38">
        <v>0</v>
      </c>
      <c r="M260" s="38">
        <v>0</v>
      </c>
      <c r="N260" s="38">
        <v>0</v>
      </c>
      <c r="O260" s="86">
        <f>SUM(C260:N260)</f>
        <v>81500</v>
      </c>
    </row>
    <row r="261" spans="2:15" x14ac:dyDescent="0.35">
      <c r="B261" s="82" t="s">
        <v>82</v>
      </c>
      <c r="C261" s="38">
        <f>IF(C260&lt;'Tax calculations'!$D$4,C260*'Tax calculations'!$F$4,VLOOKUP(C260,'Tax calculations'!$C$5:$F$10,3,1)+(Calculations!C260-VLOOKUP(C260,'Tax calculations'!$C$5:$F$10,1,1))*VLOOKUP(C260,'Tax calculations'!$C$5:$F$10,4,1))</f>
        <v>9427</v>
      </c>
      <c r="D261" s="38">
        <v>0</v>
      </c>
      <c r="E261" s="38">
        <v>0</v>
      </c>
      <c r="F261" s="38">
        <v>0</v>
      </c>
      <c r="G261" s="38">
        <v>0</v>
      </c>
      <c r="H261" s="38">
        <v>0</v>
      </c>
      <c r="I261" s="38">
        <v>0</v>
      </c>
      <c r="J261" s="38">
        <v>0</v>
      </c>
      <c r="K261" s="38">
        <v>0</v>
      </c>
      <c r="L261" s="38">
        <v>0</v>
      </c>
      <c r="M261" s="38">
        <v>0</v>
      </c>
      <c r="N261" s="38">
        <v>0</v>
      </c>
      <c r="O261" s="86">
        <f>SUM(C261:N261)</f>
        <v>9427</v>
      </c>
    </row>
    <row r="262" spans="2:15" x14ac:dyDescent="0.35">
      <c r="B262" s="118" t="s">
        <v>83</v>
      </c>
      <c r="C262" s="38">
        <f>IF(B2="C",IF(Calculations!C260&lt;'Tax calculations'!$D$18,C260*'Tax calculations'!$F$18,VLOOKUP(C260,'Tax calculations'!$C$19:$F$26,3,1)+(Calculations!C260-VLOOKUP(Calculations!C260,'Tax calculations'!$C$19:$F$26,1,1))*VLOOKUP(Calculations!C260,'Tax calculations'!$C$19:$F$26,4,1)),C260*5%)</f>
        <v>2527.52</v>
      </c>
      <c r="D262" s="38">
        <v>0</v>
      </c>
      <c r="E262" s="38">
        <v>0</v>
      </c>
      <c r="F262" s="38">
        <v>0</v>
      </c>
      <c r="G262" s="38">
        <v>0</v>
      </c>
      <c r="H262" s="38">
        <v>0</v>
      </c>
      <c r="I262" s="38">
        <v>0</v>
      </c>
      <c r="J262" s="38">
        <v>0</v>
      </c>
      <c r="K262" s="38">
        <v>0</v>
      </c>
      <c r="L262" s="38">
        <v>0</v>
      </c>
      <c r="M262" s="38">
        <v>0</v>
      </c>
      <c r="N262" s="38">
        <v>0</v>
      </c>
      <c r="O262" s="86">
        <f>SUM(C262:N262)</f>
        <v>2527.52</v>
      </c>
    </row>
    <row r="263" spans="2:15" ht="15" thickBot="1" x14ac:dyDescent="0.4">
      <c r="B263" s="108" t="s">
        <v>85</v>
      </c>
      <c r="C263" s="116">
        <f>C258+C259-C260-C261-C262</f>
        <v>-23953.419880756275</v>
      </c>
      <c r="D263" s="116">
        <f t="shared" ref="D263" si="755">D258+D259-D260-D261-D262</f>
        <v>-24113.109346627985</v>
      </c>
      <c r="E263" s="116">
        <f t="shared" ref="E263" si="756">E258+E259-E260-E261-E262</f>
        <v>-24273.86340893884</v>
      </c>
      <c r="F263" s="116">
        <f t="shared" ref="F263" si="757">F258+F259-F260-F261-F262</f>
        <v>-24435.689164998432</v>
      </c>
      <c r="G263" s="116">
        <f t="shared" ref="G263" si="758">G258+G259-G260-G261-G262</f>
        <v>-24598.593759431755</v>
      </c>
      <c r="H263" s="116">
        <f t="shared" ref="H263" si="759">H258+H259-H260-H261-H262</f>
        <v>-24762.584384494632</v>
      </c>
      <c r="I263" s="116">
        <f t="shared" ref="I263" si="760">I258+I259-I260-I261-I262</f>
        <v>-24927.668280391263</v>
      </c>
      <c r="J263" s="116">
        <f t="shared" ref="J263" si="761">J258+J259-J260-J261-J262</f>
        <v>-25093.852735593871</v>
      </c>
      <c r="K263" s="116">
        <f t="shared" ref="K263" si="762">K258+K259-K260-K261-K262</f>
        <v>-25261.145087164496</v>
      </c>
      <c r="L263" s="116">
        <f t="shared" ref="L263" si="763">L258+L259-L260-L261-L262</f>
        <v>-25429.552721078926</v>
      </c>
      <c r="M263" s="116">
        <f t="shared" ref="M263" si="764">M258+M259-M260-M261-M262</f>
        <v>-25599.083072552785</v>
      </c>
      <c r="N263" s="116">
        <f t="shared" ref="N263" si="765">N258+N259-N260-N261-N262</f>
        <v>-25769.743626369804</v>
      </c>
      <c r="O263" s="117">
        <f>N263</f>
        <v>-25769.743626369804</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7C1382-7B04-40A8-8717-0CD7662CF4A9}">
  <dimension ref="A1:S64"/>
  <sheetViews>
    <sheetView showGridLines="0" workbookViewId="0">
      <selection activeCell="C27" sqref="C27"/>
    </sheetView>
  </sheetViews>
  <sheetFormatPr defaultColWidth="8.90625" defaultRowHeight="16.5" x14ac:dyDescent="0.5"/>
  <cols>
    <col min="1" max="1" width="1.6328125" style="50" customWidth="1"/>
    <col min="2" max="2" width="6.453125" style="50" customWidth="1"/>
    <col min="3" max="4" width="11.36328125" style="50" customWidth="1"/>
    <col min="5" max="5" width="12.36328125" style="50" customWidth="1"/>
    <col min="6" max="6" width="7.36328125" style="50" customWidth="1"/>
    <col min="7" max="7" width="2.36328125" style="50" customWidth="1"/>
    <col min="8" max="8" width="6.453125" style="50" customWidth="1"/>
    <col min="9" max="10" width="11.36328125" style="50" customWidth="1"/>
    <col min="11" max="11" width="12.08984375" style="50" customWidth="1"/>
    <col min="12" max="12" width="9.36328125" style="50" customWidth="1"/>
    <col min="13" max="13" width="0.90625" style="50" customWidth="1"/>
    <col min="14" max="16384" width="8.90625" style="50"/>
  </cols>
  <sheetData>
    <row r="1" spans="1:19" x14ac:dyDescent="0.5">
      <c r="A1" s="49"/>
      <c r="M1" s="51"/>
      <c r="S1" s="51" t="s">
        <v>54</v>
      </c>
    </row>
    <row r="2" spans="1:19" x14ac:dyDescent="0.5">
      <c r="A2" s="49"/>
      <c r="S2" s="52"/>
    </row>
    <row r="4" spans="1:19" ht="4.5" customHeight="1" x14ac:dyDescent="0.5"/>
    <row r="5" spans="1:19" ht="51.5" x14ac:dyDescent="1.4">
      <c r="B5" s="53" t="s">
        <v>55</v>
      </c>
      <c r="C5" s="54"/>
      <c r="D5" s="54"/>
      <c r="E5" s="54"/>
      <c r="F5" s="54"/>
      <c r="G5" s="54"/>
      <c r="H5" s="54"/>
      <c r="I5" s="54"/>
      <c r="J5" s="54"/>
      <c r="K5" s="54"/>
      <c r="L5" s="54"/>
      <c r="M5" s="55"/>
      <c r="N5" s="55"/>
      <c r="O5" s="55"/>
      <c r="P5" s="55"/>
      <c r="Q5" s="55"/>
      <c r="R5" s="55"/>
      <c r="S5" s="55"/>
    </row>
    <row r="6" spans="1:19" ht="4.5" customHeight="1" x14ac:dyDescent="0.5"/>
    <row r="7" spans="1:19" x14ac:dyDescent="0.5">
      <c r="B7" s="56" t="s">
        <v>56</v>
      </c>
    </row>
    <row r="8" spans="1:19" ht="18.5" x14ac:dyDescent="0.5">
      <c r="B8" s="124" t="s">
        <v>31</v>
      </c>
      <c r="C8" s="124"/>
      <c r="D8" s="124"/>
      <c r="E8" s="124"/>
      <c r="F8" s="124"/>
      <c r="H8" s="124" t="s">
        <v>38</v>
      </c>
      <c r="I8" s="124"/>
      <c r="J8" s="124"/>
      <c r="K8" s="124"/>
      <c r="L8" s="124"/>
      <c r="O8" s="23" t="s">
        <v>40</v>
      </c>
      <c r="P8" s="24"/>
      <c r="Q8" s="24"/>
      <c r="R8" s="24"/>
      <c r="S8" s="24"/>
    </row>
    <row r="9" spans="1:19" ht="15" customHeight="1" x14ac:dyDescent="0.5">
      <c r="B9" s="125" t="s">
        <v>32</v>
      </c>
      <c r="C9" s="127" t="s">
        <v>33</v>
      </c>
      <c r="D9" s="128"/>
      <c r="E9" s="129"/>
      <c r="F9" s="130" t="s">
        <v>34</v>
      </c>
      <c r="H9" s="125" t="s">
        <v>32</v>
      </c>
      <c r="I9" s="127" t="s">
        <v>39</v>
      </c>
      <c r="J9" s="128"/>
      <c r="K9" s="129"/>
      <c r="L9" s="130" t="s">
        <v>34</v>
      </c>
      <c r="O9" s="121">
        <v>0.05</v>
      </c>
      <c r="P9" s="122"/>
      <c r="Q9" s="122"/>
      <c r="R9" s="122"/>
      <c r="S9" s="123"/>
    </row>
    <row r="10" spans="1:19" x14ac:dyDescent="0.5">
      <c r="B10" s="126"/>
      <c r="C10" s="2" t="s">
        <v>35</v>
      </c>
      <c r="D10" s="3" t="s">
        <v>36</v>
      </c>
      <c r="E10" s="4" t="s">
        <v>37</v>
      </c>
      <c r="F10" s="131"/>
      <c r="H10" s="126"/>
      <c r="I10" s="2" t="s">
        <v>35</v>
      </c>
      <c r="J10" s="3" t="s">
        <v>36</v>
      </c>
      <c r="K10" s="4" t="s">
        <v>37</v>
      </c>
      <c r="L10" s="131"/>
    </row>
    <row r="11" spans="1:19" x14ac:dyDescent="0.5">
      <c r="B11" s="5">
        <v>1</v>
      </c>
      <c r="C11" s="6">
        <v>0</v>
      </c>
      <c r="D11" s="7">
        <v>19900</v>
      </c>
      <c r="E11" s="8">
        <v>0</v>
      </c>
      <c r="F11" s="9">
        <v>0.1</v>
      </c>
      <c r="H11" s="16">
        <v>1</v>
      </c>
      <c r="I11" s="17">
        <v>0</v>
      </c>
      <c r="J11" s="18">
        <v>17864</v>
      </c>
      <c r="K11" s="19">
        <v>0</v>
      </c>
      <c r="L11" s="20">
        <v>0.01</v>
      </c>
    </row>
    <row r="12" spans="1:19" x14ac:dyDescent="0.5">
      <c r="B12" s="5">
        <f t="shared" ref="B12:B17" si="0">B11+1</f>
        <v>2</v>
      </c>
      <c r="C12" s="6">
        <f>D11</f>
        <v>19900</v>
      </c>
      <c r="D12" s="7">
        <v>81050</v>
      </c>
      <c r="E12" s="8">
        <f>F11*D11</f>
        <v>1990</v>
      </c>
      <c r="F12" s="10">
        <v>0.12</v>
      </c>
      <c r="H12" s="5">
        <f>H11+1</f>
        <v>2</v>
      </c>
      <c r="I12" s="6">
        <f t="shared" ref="I12:I19" si="1">J11</f>
        <v>17864</v>
      </c>
      <c r="J12" s="7">
        <v>42350</v>
      </c>
      <c r="K12" s="8">
        <f>L11*J11</f>
        <v>178.64000000000001</v>
      </c>
      <c r="L12" s="21">
        <v>0.02</v>
      </c>
    </row>
    <row r="13" spans="1:19" x14ac:dyDescent="0.5">
      <c r="B13" s="5">
        <f t="shared" si="0"/>
        <v>3</v>
      </c>
      <c r="C13" s="6">
        <f t="shared" ref="C13:C16" si="2">D12</f>
        <v>81050</v>
      </c>
      <c r="D13" s="7">
        <v>172750</v>
      </c>
      <c r="E13" s="8">
        <f>E12+F12*(D12-C12)</f>
        <v>9328</v>
      </c>
      <c r="F13" s="10">
        <v>0.22</v>
      </c>
      <c r="H13" s="5">
        <f t="shared" ref="H13:H19" si="3">H12+1</f>
        <v>3</v>
      </c>
      <c r="I13" s="6">
        <f t="shared" si="1"/>
        <v>42350</v>
      </c>
      <c r="J13" s="7">
        <v>66842</v>
      </c>
      <c r="K13" s="8">
        <f t="shared" ref="K13:K19" si="4">K12+L12*(J12-I12)</f>
        <v>668.36</v>
      </c>
      <c r="L13" s="21">
        <v>0.04</v>
      </c>
    </row>
    <row r="14" spans="1:19" x14ac:dyDescent="0.5">
      <c r="B14" s="5">
        <f t="shared" si="0"/>
        <v>4</v>
      </c>
      <c r="C14" s="6">
        <f t="shared" si="2"/>
        <v>172750</v>
      </c>
      <c r="D14" s="7">
        <v>329850</v>
      </c>
      <c r="E14" s="8">
        <f>E13+F13*(D13-C13)</f>
        <v>29502</v>
      </c>
      <c r="F14" s="10">
        <v>0.24</v>
      </c>
      <c r="H14" s="5">
        <f t="shared" si="3"/>
        <v>4</v>
      </c>
      <c r="I14" s="6">
        <f t="shared" si="1"/>
        <v>66842</v>
      </c>
      <c r="J14" s="7">
        <v>92788</v>
      </c>
      <c r="K14" s="8">
        <f t="shared" si="4"/>
        <v>1648.04</v>
      </c>
      <c r="L14" s="21">
        <v>0.06</v>
      </c>
    </row>
    <row r="15" spans="1:19" x14ac:dyDescent="0.5">
      <c r="B15" s="5">
        <f t="shared" si="0"/>
        <v>5</v>
      </c>
      <c r="C15" s="6">
        <f t="shared" si="2"/>
        <v>329850</v>
      </c>
      <c r="D15" s="7">
        <v>418850</v>
      </c>
      <c r="E15" s="8">
        <f>E14+F14*(D14-C14)</f>
        <v>67206</v>
      </c>
      <c r="F15" s="10">
        <v>0.32</v>
      </c>
      <c r="H15" s="5">
        <f t="shared" si="3"/>
        <v>5</v>
      </c>
      <c r="I15" s="6">
        <f t="shared" si="1"/>
        <v>92788</v>
      </c>
      <c r="J15" s="7">
        <v>117268</v>
      </c>
      <c r="K15" s="8">
        <f t="shared" si="4"/>
        <v>3204.8</v>
      </c>
      <c r="L15" s="21">
        <v>0.08</v>
      </c>
    </row>
    <row r="16" spans="1:19" x14ac:dyDescent="0.5">
      <c r="B16" s="5">
        <f t="shared" si="0"/>
        <v>6</v>
      </c>
      <c r="C16" s="6">
        <f t="shared" si="2"/>
        <v>418850</v>
      </c>
      <c r="D16" s="7">
        <v>628300</v>
      </c>
      <c r="E16" s="8">
        <f>E15+F15*(D15-C15)</f>
        <v>95686</v>
      </c>
      <c r="F16" s="10">
        <v>0.35</v>
      </c>
      <c r="H16" s="5">
        <f t="shared" si="3"/>
        <v>6</v>
      </c>
      <c r="I16" s="6">
        <f t="shared" si="1"/>
        <v>117268</v>
      </c>
      <c r="J16" s="7">
        <v>599016</v>
      </c>
      <c r="K16" s="8">
        <f t="shared" si="4"/>
        <v>5163.2000000000007</v>
      </c>
      <c r="L16" s="21">
        <v>9.2999999999999999E-2</v>
      </c>
    </row>
    <row r="17" spans="2:12" x14ac:dyDescent="0.5">
      <c r="B17" s="11">
        <f t="shared" si="0"/>
        <v>7</v>
      </c>
      <c r="C17" s="12">
        <f>D16</f>
        <v>628300</v>
      </c>
      <c r="D17" s="13"/>
      <c r="E17" s="14">
        <f>E16+F16*(D16-C16)</f>
        <v>168993.5</v>
      </c>
      <c r="F17" s="15">
        <v>0.37</v>
      </c>
      <c r="H17" s="5">
        <f t="shared" si="3"/>
        <v>7</v>
      </c>
      <c r="I17" s="6">
        <f t="shared" si="1"/>
        <v>599016</v>
      </c>
      <c r="J17" s="7">
        <v>718814</v>
      </c>
      <c r="K17" s="8">
        <f t="shared" si="4"/>
        <v>49965.763999999996</v>
      </c>
      <c r="L17" s="21">
        <v>0.10299999999999999</v>
      </c>
    </row>
    <row r="18" spans="2:12" x14ac:dyDescent="0.5">
      <c r="B18" s="57"/>
      <c r="C18" s="18"/>
      <c r="D18" s="18"/>
      <c r="E18" s="18"/>
      <c r="F18" s="58"/>
      <c r="H18" s="5">
        <f t="shared" si="3"/>
        <v>8</v>
      </c>
      <c r="I18" s="6">
        <f t="shared" si="1"/>
        <v>718814</v>
      </c>
      <c r="J18" s="7">
        <v>1198024</v>
      </c>
      <c r="K18" s="8">
        <f t="shared" si="4"/>
        <v>62304.957999999999</v>
      </c>
      <c r="L18" s="21">
        <v>0.113</v>
      </c>
    </row>
    <row r="19" spans="2:12" x14ac:dyDescent="0.5">
      <c r="H19" s="11">
        <f t="shared" si="3"/>
        <v>9</v>
      </c>
      <c r="I19" s="12">
        <f t="shared" si="1"/>
        <v>1198024</v>
      </c>
      <c r="J19" s="13"/>
      <c r="K19" s="14">
        <f t="shared" si="4"/>
        <v>116455.68799999999</v>
      </c>
      <c r="L19" s="22">
        <v>0.123</v>
      </c>
    </row>
    <row r="20" spans="2:12" x14ac:dyDescent="0.5">
      <c r="B20" s="35" t="s">
        <v>57</v>
      </c>
      <c r="F20" s="59"/>
    </row>
    <row r="21" spans="2:12" x14ac:dyDescent="0.5">
      <c r="B21" s="35" t="s">
        <v>58</v>
      </c>
      <c r="J21" s="59"/>
    </row>
    <row r="22" spans="2:12" x14ac:dyDescent="0.5">
      <c r="B22" s="35" t="s">
        <v>59</v>
      </c>
    </row>
    <row r="23" spans="2:12" x14ac:dyDescent="0.5">
      <c r="B23" s="35"/>
    </row>
    <row r="24" spans="2:12" ht="18.5" x14ac:dyDescent="0.5">
      <c r="C24" s="60" t="s">
        <v>60</v>
      </c>
    </row>
    <row r="25" spans="2:12" ht="33" x14ac:dyDescent="0.5">
      <c r="B25" s="61" t="s">
        <v>61</v>
      </c>
      <c r="C25" s="62" t="s">
        <v>62</v>
      </c>
    </row>
    <row r="26" spans="2:12" x14ac:dyDescent="0.5">
      <c r="B26" s="63">
        <v>2021</v>
      </c>
      <c r="C26" s="64">
        <v>2.8000000000000001E-2</v>
      </c>
    </row>
    <row r="27" spans="2:12" x14ac:dyDescent="0.5">
      <c r="B27" s="63">
        <f t="shared" ref="B27:B61" si="5">B26+1</f>
        <v>2022</v>
      </c>
      <c r="C27" s="64">
        <v>0.02</v>
      </c>
    </row>
    <row r="28" spans="2:12" x14ac:dyDescent="0.5">
      <c r="B28" s="63">
        <f t="shared" si="5"/>
        <v>2023</v>
      </c>
      <c r="C28" s="65">
        <v>2.1999999999999999E-2</v>
      </c>
    </row>
    <row r="29" spans="2:12" x14ac:dyDescent="0.5">
      <c r="B29" s="63">
        <f t="shared" si="5"/>
        <v>2024</v>
      </c>
      <c r="C29" s="65">
        <v>2.1999999999999999E-2</v>
      </c>
    </row>
    <row r="30" spans="2:12" x14ac:dyDescent="0.5">
      <c r="B30" s="63">
        <f t="shared" si="5"/>
        <v>2025</v>
      </c>
      <c r="C30" s="65">
        <v>2.1999999999999999E-2</v>
      </c>
    </row>
    <row r="31" spans="2:12" x14ac:dyDescent="0.5">
      <c r="B31" s="63">
        <f t="shared" si="5"/>
        <v>2026</v>
      </c>
      <c r="C31" s="65">
        <v>2.1000000000000001E-2</v>
      </c>
    </row>
    <row r="32" spans="2:12" x14ac:dyDescent="0.5">
      <c r="B32" s="63">
        <f t="shared" si="5"/>
        <v>2027</v>
      </c>
      <c r="C32" s="65">
        <v>2.1000000000000001E-2</v>
      </c>
    </row>
    <row r="33" spans="2:3" x14ac:dyDescent="0.5">
      <c r="B33" s="63">
        <f t="shared" si="5"/>
        <v>2028</v>
      </c>
      <c r="C33" s="65">
        <v>2.1000000000000001E-2</v>
      </c>
    </row>
    <row r="34" spans="2:3" x14ac:dyDescent="0.5">
      <c r="B34" s="63">
        <f t="shared" si="5"/>
        <v>2029</v>
      </c>
      <c r="C34" s="65">
        <v>2.1000000000000001E-2</v>
      </c>
    </row>
    <row r="35" spans="2:3" x14ac:dyDescent="0.5">
      <c r="B35" s="63">
        <f t="shared" si="5"/>
        <v>2030</v>
      </c>
      <c r="C35" s="65">
        <v>2.1000000000000001E-2</v>
      </c>
    </row>
    <row r="36" spans="2:3" x14ac:dyDescent="0.5">
      <c r="B36" s="63">
        <f t="shared" si="5"/>
        <v>2031</v>
      </c>
      <c r="C36" s="65">
        <v>2.1000000000000001E-2</v>
      </c>
    </row>
    <row r="37" spans="2:3" x14ac:dyDescent="0.5">
      <c r="B37" s="66">
        <f t="shared" si="5"/>
        <v>2032</v>
      </c>
      <c r="C37" s="67">
        <v>2.1999999999999999E-2</v>
      </c>
    </row>
    <row r="38" spans="2:3" x14ac:dyDescent="0.5">
      <c r="B38" s="66">
        <f t="shared" si="5"/>
        <v>2033</v>
      </c>
      <c r="C38" s="67">
        <f t="shared" ref="C38:C61" si="6">C37</f>
        <v>2.1999999999999999E-2</v>
      </c>
    </row>
    <row r="39" spans="2:3" x14ac:dyDescent="0.5">
      <c r="B39" s="66">
        <f t="shared" si="5"/>
        <v>2034</v>
      </c>
      <c r="C39" s="67">
        <f t="shared" si="6"/>
        <v>2.1999999999999999E-2</v>
      </c>
    </row>
    <row r="40" spans="2:3" x14ac:dyDescent="0.5">
      <c r="B40" s="66">
        <f t="shared" si="5"/>
        <v>2035</v>
      </c>
      <c r="C40" s="67">
        <f t="shared" si="6"/>
        <v>2.1999999999999999E-2</v>
      </c>
    </row>
    <row r="41" spans="2:3" x14ac:dyDescent="0.5">
      <c r="B41" s="66">
        <f t="shared" si="5"/>
        <v>2036</v>
      </c>
      <c r="C41" s="67">
        <f t="shared" si="6"/>
        <v>2.1999999999999999E-2</v>
      </c>
    </row>
    <row r="42" spans="2:3" x14ac:dyDescent="0.5">
      <c r="B42" s="66">
        <f t="shared" si="5"/>
        <v>2037</v>
      </c>
      <c r="C42" s="67">
        <f t="shared" si="6"/>
        <v>2.1999999999999999E-2</v>
      </c>
    </row>
    <row r="43" spans="2:3" x14ac:dyDescent="0.5">
      <c r="B43" s="66">
        <f t="shared" si="5"/>
        <v>2038</v>
      </c>
      <c r="C43" s="67">
        <f t="shared" si="6"/>
        <v>2.1999999999999999E-2</v>
      </c>
    </row>
    <row r="44" spans="2:3" x14ac:dyDescent="0.5">
      <c r="B44" s="66">
        <f t="shared" si="5"/>
        <v>2039</v>
      </c>
      <c r="C44" s="67">
        <f t="shared" si="6"/>
        <v>2.1999999999999999E-2</v>
      </c>
    </row>
    <row r="45" spans="2:3" x14ac:dyDescent="0.5">
      <c r="B45" s="66">
        <f t="shared" si="5"/>
        <v>2040</v>
      </c>
      <c r="C45" s="67">
        <f t="shared" si="6"/>
        <v>2.1999999999999999E-2</v>
      </c>
    </row>
    <row r="46" spans="2:3" x14ac:dyDescent="0.5">
      <c r="B46" s="66">
        <f t="shared" si="5"/>
        <v>2041</v>
      </c>
      <c r="C46" s="67">
        <f t="shared" si="6"/>
        <v>2.1999999999999999E-2</v>
      </c>
    </row>
    <row r="47" spans="2:3" x14ac:dyDescent="0.5">
      <c r="B47" s="66">
        <f t="shared" si="5"/>
        <v>2042</v>
      </c>
      <c r="C47" s="67">
        <f t="shared" si="6"/>
        <v>2.1999999999999999E-2</v>
      </c>
    </row>
    <row r="48" spans="2:3" x14ac:dyDescent="0.5">
      <c r="B48" s="66">
        <f t="shared" si="5"/>
        <v>2043</v>
      </c>
      <c r="C48" s="67">
        <f t="shared" si="6"/>
        <v>2.1999999999999999E-2</v>
      </c>
    </row>
    <row r="49" spans="2:3" x14ac:dyDescent="0.5">
      <c r="B49" s="66">
        <f t="shared" si="5"/>
        <v>2044</v>
      </c>
      <c r="C49" s="67">
        <f t="shared" si="6"/>
        <v>2.1999999999999999E-2</v>
      </c>
    </row>
    <row r="50" spans="2:3" x14ac:dyDescent="0.5">
      <c r="B50" s="66">
        <f t="shared" si="5"/>
        <v>2045</v>
      </c>
      <c r="C50" s="67">
        <f t="shared" si="6"/>
        <v>2.1999999999999999E-2</v>
      </c>
    </row>
    <row r="51" spans="2:3" x14ac:dyDescent="0.5">
      <c r="B51" s="66">
        <f t="shared" si="5"/>
        <v>2046</v>
      </c>
      <c r="C51" s="67">
        <f t="shared" si="6"/>
        <v>2.1999999999999999E-2</v>
      </c>
    </row>
    <row r="52" spans="2:3" x14ac:dyDescent="0.5">
      <c r="B52" s="66">
        <f t="shared" si="5"/>
        <v>2047</v>
      </c>
      <c r="C52" s="67">
        <f t="shared" si="6"/>
        <v>2.1999999999999999E-2</v>
      </c>
    </row>
    <row r="53" spans="2:3" x14ac:dyDescent="0.5">
      <c r="B53" s="66">
        <f t="shared" si="5"/>
        <v>2048</v>
      </c>
      <c r="C53" s="67">
        <f t="shared" si="6"/>
        <v>2.1999999999999999E-2</v>
      </c>
    </row>
    <row r="54" spans="2:3" x14ac:dyDescent="0.5">
      <c r="B54" s="66">
        <f t="shared" si="5"/>
        <v>2049</v>
      </c>
      <c r="C54" s="67">
        <f t="shared" si="6"/>
        <v>2.1999999999999999E-2</v>
      </c>
    </row>
    <row r="55" spans="2:3" x14ac:dyDescent="0.5">
      <c r="B55" s="66">
        <f t="shared" si="5"/>
        <v>2050</v>
      </c>
      <c r="C55" s="67">
        <f t="shared" si="6"/>
        <v>2.1999999999999999E-2</v>
      </c>
    </row>
    <row r="56" spans="2:3" x14ac:dyDescent="0.5">
      <c r="B56" s="66">
        <f t="shared" si="5"/>
        <v>2051</v>
      </c>
      <c r="C56" s="67">
        <f t="shared" si="6"/>
        <v>2.1999999999999999E-2</v>
      </c>
    </row>
    <row r="57" spans="2:3" x14ac:dyDescent="0.5">
      <c r="B57" s="66">
        <f t="shared" si="5"/>
        <v>2052</v>
      </c>
      <c r="C57" s="67">
        <f t="shared" si="6"/>
        <v>2.1999999999999999E-2</v>
      </c>
    </row>
    <row r="58" spans="2:3" x14ac:dyDescent="0.5">
      <c r="B58" s="66">
        <f t="shared" si="5"/>
        <v>2053</v>
      </c>
      <c r="C58" s="67">
        <f t="shared" si="6"/>
        <v>2.1999999999999999E-2</v>
      </c>
    </row>
    <row r="59" spans="2:3" x14ac:dyDescent="0.5">
      <c r="B59" s="66">
        <f t="shared" si="5"/>
        <v>2054</v>
      </c>
      <c r="C59" s="67">
        <f t="shared" si="6"/>
        <v>2.1999999999999999E-2</v>
      </c>
    </row>
    <row r="60" spans="2:3" x14ac:dyDescent="0.5">
      <c r="B60" s="66">
        <f t="shared" si="5"/>
        <v>2055</v>
      </c>
      <c r="C60" s="67">
        <f t="shared" si="6"/>
        <v>2.1999999999999999E-2</v>
      </c>
    </row>
    <row r="61" spans="2:3" x14ac:dyDescent="0.5">
      <c r="B61" s="68">
        <f t="shared" si="5"/>
        <v>2056</v>
      </c>
      <c r="C61" s="69">
        <f t="shared" si="6"/>
        <v>2.1999999999999999E-2</v>
      </c>
    </row>
    <row r="63" spans="2:3" x14ac:dyDescent="0.5">
      <c r="B63" s="35" t="s">
        <v>63</v>
      </c>
    </row>
    <row r="64" spans="2:3" x14ac:dyDescent="0.5">
      <c r="B64" s="35" t="s">
        <v>64</v>
      </c>
    </row>
  </sheetData>
  <mergeCells count="9">
    <mergeCell ref="O9:S9"/>
    <mergeCell ref="B8:F8"/>
    <mergeCell ref="H8:L8"/>
    <mergeCell ref="B9:B10"/>
    <mergeCell ref="C9:E9"/>
    <mergeCell ref="F9:F10"/>
    <mergeCell ref="H9:H10"/>
    <mergeCell ref="I9:K9"/>
    <mergeCell ref="L9:L10"/>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CC4A6F-D9B5-4AEC-9B46-08711584CF72}">
  <dimension ref="B1:I33"/>
  <sheetViews>
    <sheetView workbookViewId="0"/>
  </sheetViews>
  <sheetFormatPr defaultRowHeight="14.5" x14ac:dyDescent="0.35"/>
  <cols>
    <col min="3" max="3" width="10" bestFit="1" customWidth="1"/>
    <col min="4" max="4" width="11.08984375" bestFit="1" customWidth="1"/>
    <col min="5" max="6" width="12.08984375" bestFit="1" customWidth="1"/>
    <col min="8" max="8" width="10.08984375" bestFit="1" customWidth="1"/>
    <col min="9" max="9" width="11.1796875" bestFit="1" customWidth="1"/>
  </cols>
  <sheetData>
    <row r="1" spans="2:9" ht="18.5" x14ac:dyDescent="0.5">
      <c r="B1" s="124" t="s">
        <v>31</v>
      </c>
      <c r="C1" s="124"/>
      <c r="D1" s="124"/>
      <c r="E1" s="124"/>
      <c r="F1" s="124"/>
    </row>
    <row r="2" spans="2:9" x14ac:dyDescent="0.35">
      <c r="B2" s="27" t="s">
        <v>47</v>
      </c>
      <c r="C2" s="33"/>
      <c r="D2" s="33"/>
      <c r="E2" s="33"/>
      <c r="F2" s="28"/>
    </row>
    <row r="3" spans="2:9" x14ac:dyDescent="0.35">
      <c r="B3" s="132" t="s">
        <v>48</v>
      </c>
      <c r="C3" s="133" t="s">
        <v>35</v>
      </c>
      <c r="D3" s="133" t="s">
        <v>36</v>
      </c>
      <c r="E3" s="133" t="s">
        <v>49</v>
      </c>
      <c r="F3" s="134" t="s">
        <v>34</v>
      </c>
    </row>
    <row r="4" spans="2:9" ht="16.5" x14ac:dyDescent="0.5">
      <c r="B4" s="5">
        <v>1</v>
      </c>
      <c r="C4" s="6">
        <v>0</v>
      </c>
      <c r="D4" s="7">
        <v>19900</v>
      </c>
      <c r="E4" s="8">
        <v>0</v>
      </c>
      <c r="F4" s="10">
        <v>0.1</v>
      </c>
    </row>
    <row r="5" spans="2:9" ht="16.5" x14ac:dyDescent="0.5">
      <c r="B5" s="5">
        <f t="shared" ref="B5:B10" si="0">B4+1</f>
        <v>2</v>
      </c>
      <c r="C5" s="6">
        <f>D4</f>
        <v>19900</v>
      </c>
      <c r="D5" s="7">
        <v>81050</v>
      </c>
      <c r="E5" s="8">
        <f>F4*D4</f>
        <v>1990</v>
      </c>
      <c r="F5" s="10">
        <v>0.12</v>
      </c>
    </row>
    <row r="6" spans="2:9" ht="16.5" x14ac:dyDescent="0.5">
      <c r="B6" s="5">
        <f t="shared" si="0"/>
        <v>3</v>
      </c>
      <c r="C6" s="6">
        <f t="shared" ref="C6:C9" si="1">D5</f>
        <v>81050</v>
      </c>
      <c r="D6" s="7">
        <v>172750</v>
      </c>
      <c r="E6" s="8">
        <f>E5+F5*(D5-C5)</f>
        <v>9328</v>
      </c>
      <c r="F6" s="10">
        <v>0.22</v>
      </c>
    </row>
    <row r="7" spans="2:9" ht="16.5" x14ac:dyDescent="0.5">
      <c r="B7" s="5">
        <f t="shared" si="0"/>
        <v>4</v>
      </c>
      <c r="C7" s="6">
        <f t="shared" si="1"/>
        <v>172750</v>
      </c>
      <c r="D7" s="7">
        <v>329850</v>
      </c>
      <c r="E7" s="8">
        <f>E6+F6*(D6-C6)</f>
        <v>29502</v>
      </c>
      <c r="F7" s="10">
        <v>0.24</v>
      </c>
    </row>
    <row r="8" spans="2:9" ht="16.5" x14ac:dyDescent="0.5">
      <c r="B8" s="5">
        <f t="shared" si="0"/>
        <v>5</v>
      </c>
      <c r="C8" s="6">
        <f t="shared" si="1"/>
        <v>329850</v>
      </c>
      <c r="D8" s="7">
        <v>418850</v>
      </c>
      <c r="E8" s="8">
        <f>E7+F7*(D7-C7)</f>
        <v>67206</v>
      </c>
      <c r="F8" s="10">
        <v>0.32</v>
      </c>
    </row>
    <row r="9" spans="2:9" ht="16.5" x14ac:dyDescent="0.5">
      <c r="B9" s="5">
        <f t="shared" si="0"/>
        <v>6</v>
      </c>
      <c r="C9" s="6">
        <f t="shared" si="1"/>
        <v>418850</v>
      </c>
      <c r="D9" s="7">
        <v>628300</v>
      </c>
      <c r="E9" s="8">
        <f>E8+F8*(D8-C8)</f>
        <v>95686</v>
      </c>
      <c r="F9" s="10">
        <v>0.35</v>
      </c>
    </row>
    <row r="10" spans="2:9" ht="16.5" x14ac:dyDescent="0.5">
      <c r="B10" s="11">
        <f t="shared" si="0"/>
        <v>7</v>
      </c>
      <c r="C10" s="12">
        <f>D9</f>
        <v>628300</v>
      </c>
      <c r="D10" s="13"/>
      <c r="E10" s="14">
        <f>E9+F9*(D9-C9)</f>
        <v>168993.5</v>
      </c>
      <c r="F10" s="15">
        <v>0.37</v>
      </c>
    </row>
    <row r="11" spans="2:9" ht="26" x14ac:dyDescent="0.35">
      <c r="C11" s="44" t="s">
        <v>50</v>
      </c>
      <c r="D11" s="44" t="s">
        <v>37</v>
      </c>
      <c r="E11" s="45" t="s">
        <v>35</v>
      </c>
      <c r="F11" s="44" t="s">
        <v>51</v>
      </c>
      <c r="G11" s="44" t="s">
        <v>34</v>
      </c>
      <c r="H11" s="44" t="s">
        <v>52</v>
      </c>
      <c r="I11" s="46" t="s">
        <v>53</v>
      </c>
    </row>
    <row r="12" spans="2:9" x14ac:dyDescent="0.35">
      <c r="C12">
        <v>83212</v>
      </c>
      <c r="D12" s="25">
        <f>VLOOKUP(C12,C4:E10,3,TRUE)</f>
        <v>9328</v>
      </c>
      <c r="E12" s="25">
        <f>VLOOKUP(C12,C4:D10,1,TRUE)</f>
        <v>81050</v>
      </c>
      <c r="F12" s="25">
        <f>C12-E12</f>
        <v>2162</v>
      </c>
      <c r="G12" s="47">
        <f>VLOOKUP(C12,C4:F10,4,TRUE)</f>
        <v>0.22</v>
      </c>
      <c r="H12" s="26">
        <f>F12*G12</f>
        <v>475.64</v>
      </c>
      <c r="I12" s="48">
        <f>H12+D12</f>
        <v>9803.64</v>
      </c>
    </row>
    <row r="15" spans="2:9" ht="18.5" x14ac:dyDescent="0.5">
      <c r="B15" s="124" t="s">
        <v>38</v>
      </c>
      <c r="C15" s="124"/>
      <c r="D15" s="124"/>
      <c r="E15" s="124"/>
      <c r="F15" s="124"/>
    </row>
    <row r="16" spans="2:9" x14ac:dyDescent="0.35">
      <c r="B16" s="27" t="s">
        <v>47</v>
      </c>
      <c r="C16" s="33"/>
      <c r="D16" s="33"/>
      <c r="E16" s="33"/>
      <c r="F16" s="28"/>
    </row>
    <row r="17" spans="2:9" x14ac:dyDescent="0.35">
      <c r="B17" s="41" t="s">
        <v>48</v>
      </c>
      <c r="C17" s="42" t="s">
        <v>35</v>
      </c>
      <c r="D17" s="42" t="s">
        <v>36</v>
      </c>
      <c r="E17" s="42" t="s">
        <v>49</v>
      </c>
      <c r="F17" s="43" t="s">
        <v>34</v>
      </c>
    </row>
    <row r="18" spans="2:9" ht="16.5" x14ac:dyDescent="0.5">
      <c r="B18" s="16">
        <v>1</v>
      </c>
      <c r="C18" s="17">
        <v>0</v>
      </c>
      <c r="D18" s="18">
        <v>17864</v>
      </c>
      <c r="E18" s="19">
        <v>0</v>
      </c>
      <c r="F18" s="20">
        <v>0.01</v>
      </c>
    </row>
    <row r="19" spans="2:9" ht="16.5" x14ac:dyDescent="0.5">
      <c r="B19" s="5">
        <f>B18+1</f>
        <v>2</v>
      </c>
      <c r="C19" s="6">
        <f t="shared" ref="C19:C26" si="2">D18</f>
        <v>17864</v>
      </c>
      <c r="D19" s="7">
        <v>42350</v>
      </c>
      <c r="E19" s="8">
        <f>F18*D18</f>
        <v>178.64000000000001</v>
      </c>
      <c r="F19" s="21">
        <v>0.02</v>
      </c>
    </row>
    <row r="20" spans="2:9" ht="16.5" x14ac:dyDescent="0.5">
      <c r="B20" s="5">
        <f t="shared" ref="B20:B26" si="3">B19+1</f>
        <v>3</v>
      </c>
      <c r="C20" s="6">
        <f t="shared" si="2"/>
        <v>42350</v>
      </c>
      <c r="D20" s="7">
        <v>66842</v>
      </c>
      <c r="E20" s="8">
        <f t="shared" ref="E20:E26" si="4">E19+F19*(D19-C19)</f>
        <v>668.36</v>
      </c>
      <c r="F20" s="21">
        <v>0.04</v>
      </c>
    </row>
    <row r="21" spans="2:9" ht="16.5" x14ac:dyDescent="0.5">
      <c r="B21" s="5">
        <f t="shared" si="3"/>
        <v>4</v>
      </c>
      <c r="C21" s="6">
        <f t="shared" si="2"/>
        <v>66842</v>
      </c>
      <c r="D21" s="7">
        <v>92788</v>
      </c>
      <c r="E21" s="8">
        <f t="shared" si="4"/>
        <v>1648.04</v>
      </c>
      <c r="F21" s="21">
        <v>0.06</v>
      </c>
    </row>
    <row r="22" spans="2:9" ht="16.5" x14ac:dyDescent="0.5">
      <c r="B22" s="5">
        <f t="shared" si="3"/>
        <v>5</v>
      </c>
      <c r="C22" s="6">
        <f t="shared" si="2"/>
        <v>92788</v>
      </c>
      <c r="D22" s="7">
        <v>117268</v>
      </c>
      <c r="E22" s="8">
        <f t="shared" si="4"/>
        <v>3204.8</v>
      </c>
      <c r="F22" s="21">
        <v>0.08</v>
      </c>
    </row>
    <row r="23" spans="2:9" ht="16.5" x14ac:dyDescent="0.5">
      <c r="B23" s="5">
        <f t="shared" si="3"/>
        <v>6</v>
      </c>
      <c r="C23" s="6">
        <f t="shared" si="2"/>
        <v>117268</v>
      </c>
      <c r="D23" s="7">
        <v>599016</v>
      </c>
      <c r="E23" s="8">
        <f t="shared" si="4"/>
        <v>5163.2000000000007</v>
      </c>
      <c r="F23" s="21">
        <v>9.2999999999999999E-2</v>
      </c>
    </row>
    <row r="24" spans="2:9" ht="16.5" x14ac:dyDescent="0.5">
      <c r="B24" s="5">
        <f t="shared" si="3"/>
        <v>7</v>
      </c>
      <c r="C24" s="6">
        <f t="shared" si="2"/>
        <v>599016</v>
      </c>
      <c r="D24" s="7">
        <v>718814</v>
      </c>
      <c r="E24" s="8">
        <f t="shared" si="4"/>
        <v>49965.763999999996</v>
      </c>
      <c r="F24" s="21">
        <v>0.10299999999999999</v>
      </c>
    </row>
    <row r="25" spans="2:9" ht="16.5" x14ac:dyDescent="0.5">
      <c r="B25" s="5">
        <f t="shared" si="3"/>
        <v>8</v>
      </c>
      <c r="C25" s="6">
        <f t="shared" si="2"/>
        <v>718814</v>
      </c>
      <c r="D25" s="7">
        <v>1198024</v>
      </c>
      <c r="E25" s="8">
        <f t="shared" si="4"/>
        <v>62304.957999999999</v>
      </c>
      <c r="F25" s="21">
        <v>0.113</v>
      </c>
    </row>
    <row r="26" spans="2:9" ht="16.5" x14ac:dyDescent="0.5">
      <c r="B26" s="11">
        <f t="shared" si="3"/>
        <v>9</v>
      </c>
      <c r="C26" s="12">
        <f t="shared" si="2"/>
        <v>1198024</v>
      </c>
      <c r="D26" s="13"/>
      <c r="E26" s="14">
        <f t="shared" si="4"/>
        <v>116455.68799999999</v>
      </c>
      <c r="F26" s="22">
        <v>0.123</v>
      </c>
    </row>
    <row r="27" spans="2:9" ht="16.5" x14ac:dyDescent="0.5">
      <c r="B27" s="11"/>
      <c r="C27" s="12"/>
      <c r="D27" s="13"/>
      <c r="E27" s="14"/>
      <c r="F27" s="15"/>
    </row>
    <row r="28" spans="2:9" ht="26" x14ac:dyDescent="0.35">
      <c r="C28" s="44" t="s">
        <v>50</v>
      </c>
      <c r="D28" s="44" t="s">
        <v>37</v>
      </c>
      <c r="E28" s="45" t="s">
        <v>35</v>
      </c>
      <c r="F28" s="44" t="s">
        <v>51</v>
      </c>
      <c r="G28" s="44" t="s">
        <v>34</v>
      </c>
      <c r="H28" s="44" t="s">
        <v>52</v>
      </c>
      <c r="I28" s="46" t="s">
        <v>53</v>
      </c>
    </row>
    <row r="29" spans="2:9" x14ac:dyDescent="0.35">
      <c r="C29" s="38">
        <v>83212</v>
      </c>
      <c r="D29" s="135">
        <f>VLOOKUP(C29,C18:E27,3,TRUE)</f>
        <v>1648.04</v>
      </c>
      <c r="E29" s="135">
        <f>VLOOKUP(C29,C18:D27,1,TRUE)</f>
        <v>66842</v>
      </c>
      <c r="F29" s="135">
        <f>C29-E29</f>
        <v>16370</v>
      </c>
      <c r="G29" s="136">
        <f>VLOOKUP(C29,C18:F27,4,TRUE)</f>
        <v>0.06</v>
      </c>
      <c r="H29" s="137">
        <f>F29*G29</f>
        <v>982.19999999999993</v>
      </c>
      <c r="I29" s="138">
        <f>H29+D29</f>
        <v>2630.24</v>
      </c>
    </row>
    <row r="30" spans="2:9" ht="16.5" x14ac:dyDescent="0.5">
      <c r="D30" s="139"/>
      <c r="E30" s="140"/>
      <c r="F30" s="7"/>
      <c r="G30" s="7"/>
      <c r="H30" s="36"/>
      <c r="I30" s="141"/>
    </row>
    <row r="31" spans="2:9" ht="16.5" x14ac:dyDescent="0.5">
      <c r="D31" s="139"/>
      <c r="E31" s="140"/>
      <c r="F31" s="7"/>
      <c r="G31" s="7"/>
      <c r="H31" s="36"/>
      <c r="I31" s="141"/>
    </row>
    <row r="32" spans="2:9" x14ac:dyDescent="0.35">
      <c r="D32" s="139"/>
      <c r="E32" s="139"/>
      <c r="F32" s="139"/>
      <c r="G32" s="139"/>
      <c r="H32" s="139"/>
      <c r="I32" s="139"/>
    </row>
    <row r="33" spans="4:9" x14ac:dyDescent="0.35">
      <c r="D33" s="139"/>
      <c r="E33" s="139"/>
      <c r="F33" s="139"/>
      <c r="G33" s="139"/>
      <c r="H33" s="139"/>
      <c r="I33" s="139"/>
    </row>
  </sheetData>
  <mergeCells count="2">
    <mergeCell ref="B1:F1"/>
    <mergeCell ref="B15:F15"/>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07E20B-80B3-417F-AE4D-75617176C74C}">
  <dimension ref="A1"/>
  <sheetViews>
    <sheetView workbookViewId="0">
      <selection activeCell="L8" sqref="L8"/>
    </sheetView>
  </sheetViews>
  <sheetFormatPr defaultRowHeight="14.5" x14ac:dyDescent="0.3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Basic info</vt:lpstr>
      <vt:lpstr>Calculations</vt:lpstr>
      <vt:lpstr>Tax Rates and Inflation</vt:lpstr>
      <vt:lpstr>Tax calculations</vt:lpstr>
      <vt:lpstr>Decision Email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Cholpon</dc:creator>
  <cp:lastModifiedBy>Cholpon Temirbekova</cp:lastModifiedBy>
  <dcterms:created xsi:type="dcterms:W3CDTF">2021-10-06T22:01:59Z</dcterms:created>
  <dcterms:modified xsi:type="dcterms:W3CDTF">2022-11-11T23:32:24Z</dcterms:modified>
</cp:coreProperties>
</file>