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activeTab="1"/>
  </bookViews>
  <sheets>
    <sheet name="PIJ AWL" sheetId="1" r:id="rId1"/>
    <sheet name="N 1" sheetId="2" r:id="rId2"/>
    <sheet name="LAIN N 1" sheetId="4" r:id="rId3"/>
    <sheet name="BRG N 1" sheetId="6" r:id="rId4"/>
    <sheet name="dend n1" sheetId="8" r:id="rId5"/>
    <sheet name="LAIN DEND N1" sheetId="10" r:id="rId6"/>
    <sheet name="BG N 1" sheetId="12" r:id="rId7"/>
    <sheet name="LAIN BG N 1" sheetId="14" r:id="rId8"/>
    <sheet name="PEL" sheetId="16" r:id="rId9"/>
  </sheets>
  <externalReferences>
    <externalReference r:id="rId10"/>
    <externalReference r:id="rId11"/>
    <externalReference r:id="rId12"/>
  </externalReferences>
  <definedNames>
    <definedName name="_xlnm.Print_Area" localSheetId="1">'N 1'!$A$1:$P$427</definedName>
  </definedNames>
  <calcPr calcId="144525"/>
</workbook>
</file>

<file path=xl/calcChain.xml><?xml version="1.0" encoding="utf-8"?>
<calcChain xmlns="http://schemas.openxmlformats.org/spreadsheetml/2006/main">
  <c r="Q82" i="6"/>
  <c r="R80"/>
  <c r="S80" s="1"/>
  <c r="Q80"/>
  <c r="N82" l="1"/>
  <c r="M82"/>
  <c r="L82"/>
  <c r="K82"/>
  <c r="J82"/>
  <c r="I82"/>
  <c r="H82"/>
  <c r="G82"/>
  <c r="F82"/>
  <c r="F80"/>
  <c r="H80" s="1"/>
  <c r="A80"/>
  <c r="G27" i="1"/>
  <c r="H27"/>
  <c r="I27"/>
  <c r="J27"/>
  <c r="K27"/>
  <c r="L27"/>
  <c r="M27"/>
  <c r="N27"/>
  <c r="F27"/>
  <c r="Q25"/>
  <c r="N25"/>
  <c r="M25"/>
  <c r="L25"/>
  <c r="G25" s="1"/>
  <c r="I25"/>
  <c r="H25"/>
  <c r="F25"/>
  <c r="A25"/>
  <c r="N80" i="6" l="1"/>
  <c r="I80"/>
  <c r="L80" s="1"/>
  <c r="A415" i="2"/>
  <c r="J13" i="1"/>
  <c r="K13"/>
  <c r="G33" i="16"/>
  <c r="J33" s="1"/>
  <c r="G32"/>
  <c r="I32" s="1"/>
  <c r="A32"/>
  <c r="A33" s="1"/>
  <c r="M80" i="6" l="1"/>
  <c r="G80"/>
  <c r="J32" i="16"/>
  <c r="O32"/>
  <c r="M32"/>
  <c r="I33"/>
  <c r="O33" l="1"/>
  <c r="M33"/>
  <c r="N32"/>
  <c r="H32"/>
  <c r="N33" l="1"/>
  <c r="H33"/>
  <c r="G9" l="1"/>
  <c r="J9" s="1"/>
  <c r="I9" s="1"/>
  <c r="M9" s="1"/>
  <c r="G8"/>
  <c r="J8" s="1"/>
  <c r="M8" s="1"/>
  <c r="G7"/>
  <c r="J7" s="1"/>
  <c r="I7" s="1"/>
  <c r="M7" s="1"/>
  <c r="I6"/>
  <c r="M6" s="1"/>
  <c r="G6"/>
  <c r="O6" s="1"/>
  <c r="G5"/>
  <c r="J5" s="1"/>
  <c r="M5" s="1"/>
  <c r="A5"/>
  <c r="A6" s="1"/>
  <c r="A7" s="1"/>
  <c r="A8" s="1"/>
  <c r="A9" s="1"/>
  <c r="K14" i="4"/>
  <c r="F79" i="6"/>
  <c r="I79" s="1"/>
  <c r="L79" s="1"/>
  <c r="F78"/>
  <c r="R405" i="2"/>
  <c r="R404"/>
  <c r="R403"/>
  <c r="J411"/>
  <c r="R409"/>
  <c r="R408"/>
  <c r="R407"/>
  <c r="R406"/>
  <c r="F409"/>
  <c r="I409" s="1"/>
  <c r="H409" s="1"/>
  <c r="L409" s="1"/>
  <c r="F408"/>
  <c r="I408" s="1"/>
  <c r="H408" s="1"/>
  <c r="L408" s="1"/>
  <c r="F407"/>
  <c r="I407" s="1"/>
  <c r="H407" s="1"/>
  <c r="L407" s="1"/>
  <c r="F406"/>
  <c r="I406" s="1"/>
  <c r="H406" s="1"/>
  <c r="L406" s="1"/>
  <c r="F405"/>
  <c r="I405" s="1"/>
  <c r="F404"/>
  <c r="I404" s="1"/>
  <c r="H404" s="1"/>
  <c r="L404" s="1"/>
  <c r="L403"/>
  <c r="M403" s="1"/>
  <c r="F403"/>
  <c r="N403" s="1"/>
  <c r="Q403" s="1"/>
  <c r="S403" s="1"/>
  <c r="O331" i="16"/>
  <c r="N331"/>
  <c r="M331"/>
  <c r="L331"/>
  <c r="K331"/>
  <c r="J331"/>
  <c r="I331"/>
  <c r="H331"/>
  <c r="G331"/>
  <c r="O197"/>
  <c r="N197"/>
  <c r="M197"/>
  <c r="L197"/>
  <c r="K197"/>
  <c r="J197"/>
  <c r="I197"/>
  <c r="H197"/>
  <c r="G197"/>
  <c r="O38"/>
  <c r="N38"/>
  <c r="M38"/>
  <c r="L38"/>
  <c r="K38"/>
  <c r="J38"/>
  <c r="I38"/>
  <c r="H38"/>
  <c r="G38"/>
  <c r="K28"/>
  <c r="G28"/>
  <c r="J9" i="14"/>
  <c r="I9"/>
  <c r="H9"/>
  <c r="E9"/>
  <c r="Q7"/>
  <c r="G7"/>
  <c r="M7" s="1"/>
  <c r="P7" s="1"/>
  <c r="R7" s="1"/>
  <c r="Q6"/>
  <c r="G6"/>
  <c r="M6" s="1"/>
  <c r="P6" s="1"/>
  <c r="R6" s="1"/>
  <c r="Q5"/>
  <c r="Q9" s="1"/>
  <c r="G5"/>
  <c r="G9" s="1"/>
  <c r="A5"/>
  <c r="A6" s="1"/>
  <c r="A7" s="1"/>
  <c r="J127" i="12"/>
  <c r="I127"/>
  <c r="H127"/>
  <c r="Q125"/>
  <c r="E125"/>
  <c r="G125" s="1"/>
  <c r="Q124"/>
  <c r="E124"/>
  <c r="G124" s="1"/>
  <c r="Q123"/>
  <c r="E123"/>
  <c r="G123" s="1"/>
  <c r="Q122"/>
  <c r="E122"/>
  <c r="G122" s="1"/>
  <c r="Q121"/>
  <c r="E121"/>
  <c r="G121" s="1"/>
  <c r="Q120"/>
  <c r="E120"/>
  <c r="G120" s="1"/>
  <c r="Q119"/>
  <c r="E119"/>
  <c r="G119" s="1"/>
  <c r="Q118"/>
  <c r="E118"/>
  <c r="G118" s="1"/>
  <c r="Q117"/>
  <c r="E117"/>
  <c r="G117" s="1"/>
  <c r="Q116"/>
  <c r="E116"/>
  <c r="G116" s="1"/>
  <c r="Q115"/>
  <c r="E115"/>
  <c r="G115" s="1"/>
  <c r="Q114"/>
  <c r="E114"/>
  <c r="G114" s="1"/>
  <c r="Q113"/>
  <c r="E113"/>
  <c r="G113" s="1"/>
  <c r="Q112"/>
  <c r="G112"/>
  <c r="K112" s="1"/>
  <c r="Q111"/>
  <c r="G111"/>
  <c r="M111" s="1"/>
  <c r="P111" s="1"/>
  <c r="Q110"/>
  <c r="E110"/>
  <c r="G110" s="1"/>
  <c r="Q109"/>
  <c r="E109"/>
  <c r="G109" s="1"/>
  <c r="Q108"/>
  <c r="E108"/>
  <c r="G108" s="1"/>
  <c r="Q107"/>
  <c r="E107"/>
  <c r="G107" s="1"/>
  <c r="Q106"/>
  <c r="E106"/>
  <c r="G106" s="1"/>
  <c r="Q105"/>
  <c r="E105"/>
  <c r="G105" s="1"/>
  <c r="Q104"/>
  <c r="E104"/>
  <c r="G104" s="1"/>
  <c r="Q103"/>
  <c r="E103"/>
  <c r="G103" s="1"/>
  <c r="Q102"/>
  <c r="E102"/>
  <c r="G102" s="1"/>
  <c r="Q101"/>
  <c r="K101"/>
  <c r="L101" s="1"/>
  <c r="G101"/>
  <c r="M101" s="1"/>
  <c r="P101" s="1"/>
  <c r="R101" s="1"/>
  <c r="F101"/>
  <c r="Q100"/>
  <c r="E100"/>
  <c r="G100" s="1"/>
  <c r="Q99"/>
  <c r="E99"/>
  <c r="G99" s="1"/>
  <c r="Q98"/>
  <c r="E98"/>
  <c r="G98" s="1"/>
  <c r="Q97"/>
  <c r="E97"/>
  <c r="G97" s="1"/>
  <c r="Q96"/>
  <c r="E96"/>
  <c r="G96" s="1"/>
  <c r="Q95"/>
  <c r="E95"/>
  <c r="G95" s="1"/>
  <c r="Q94"/>
  <c r="E94"/>
  <c r="G94" s="1"/>
  <c r="Q93"/>
  <c r="E93"/>
  <c r="G93" s="1"/>
  <c r="Q92"/>
  <c r="E92"/>
  <c r="G92" s="1"/>
  <c r="Q91"/>
  <c r="K91"/>
  <c r="L91" s="1"/>
  <c r="G91"/>
  <c r="M91" s="1"/>
  <c r="P91" s="1"/>
  <c r="R91" s="1"/>
  <c r="F91"/>
  <c r="Q90"/>
  <c r="E90"/>
  <c r="G90" s="1"/>
  <c r="Q89"/>
  <c r="E89"/>
  <c r="G89" s="1"/>
  <c r="Q88"/>
  <c r="E88"/>
  <c r="G88" s="1"/>
  <c r="Q87"/>
  <c r="E87"/>
  <c r="G87" s="1"/>
  <c r="Q86"/>
  <c r="E86"/>
  <c r="G86" s="1"/>
  <c r="Q85"/>
  <c r="E85"/>
  <c r="G85" s="1"/>
  <c r="Q84"/>
  <c r="E84"/>
  <c r="G84" s="1"/>
  <c r="Q83"/>
  <c r="E83"/>
  <c r="G83" s="1"/>
  <c r="Q82"/>
  <c r="E82"/>
  <c r="G82" s="1"/>
  <c r="Q81"/>
  <c r="E81"/>
  <c r="G81" s="1"/>
  <c r="Q80"/>
  <c r="E80"/>
  <c r="G80" s="1"/>
  <c r="Q79"/>
  <c r="E79"/>
  <c r="G79" s="1"/>
  <c r="Q78"/>
  <c r="E78"/>
  <c r="G78" s="1"/>
  <c r="Q77"/>
  <c r="E77"/>
  <c r="G77" s="1"/>
  <c r="Q76"/>
  <c r="G76"/>
  <c r="K76" s="1"/>
  <c r="Q75"/>
  <c r="G75"/>
  <c r="M75" s="1"/>
  <c r="P75" s="1"/>
  <c r="Q74"/>
  <c r="E74"/>
  <c r="G74" s="1"/>
  <c r="Q73"/>
  <c r="K73"/>
  <c r="L73" s="1"/>
  <c r="G73"/>
  <c r="M73" s="1"/>
  <c r="P73" s="1"/>
  <c r="R73" s="1"/>
  <c r="F73"/>
  <c r="Q72"/>
  <c r="E72"/>
  <c r="G72" s="1"/>
  <c r="Q71"/>
  <c r="G71"/>
  <c r="M71" s="1"/>
  <c r="P71" s="1"/>
  <c r="Q70"/>
  <c r="E70"/>
  <c r="G70" s="1"/>
  <c r="Q69"/>
  <c r="E69"/>
  <c r="G69" s="1"/>
  <c r="Q68"/>
  <c r="G68"/>
  <c r="K68" s="1"/>
  <c r="Q67"/>
  <c r="G67"/>
  <c r="M67" s="1"/>
  <c r="P67" s="1"/>
  <c r="Q66"/>
  <c r="E66"/>
  <c r="G66" s="1"/>
  <c r="Q65"/>
  <c r="E65"/>
  <c r="G65" s="1"/>
  <c r="Q64"/>
  <c r="E64"/>
  <c r="G64" s="1"/>
  <c r="Q63"/>
  <c r="E63"/>
  <c r="G63" s="1"/>
  <c r="M63" s="1"/>
  <c r="P63" s="1"/>
  <c r="Q62"/>
  <c r="E62"/>
  <c r="G62" s="1"/>
  <c r="M62" s="1"/>
  <c r="P62" s="1"/>
  <c r="Q61"/>
  <c r="G61"/>
  <c r="M61" s="1"/>
  <c r="P61" s="1"/>
  <c r="Q60"/>
  <c r="G60"/>
  <c r="M60" s="1"/>
  <c r="P60" s="1"/>
  <c r="Q59"/>
  <c r="E59"/>
  <c r="G59" s="1"/>
  <c r="Q58"/>
  <c r="E58"/>
  <c r="G58" s="1"/>
  <c r="Q57"/>
  <c r="E57"/>
  <c r="G57" s="1"/>
  <c r="Q56"/>
  <c r="E56"/>
  <c r="G56" s="1"/>
  <c r="Q55"/>
  <c r="E55"/>
  <c r="G55" s="1"/>
  <c r="Q54"/>
  <c r="E54"/>
  <c r="G54" s="1"/>
  <c r="Q53"/>
  <c r="E53"/>
  <c r="G53" s="1"/>
  <c r="Q52"/>
  <c r="E52"/>
  <c r="G52" s="1"/>
  <c r="Q51"/>
  <c r="E51"/>
  <c r="G51" s="1"/>
  <c r="Q50"/>
  <c r="E50"/>
  <c r="G50" s="1"/>
  <c r="Q49"/>
  <c r="E49"/>
  <c r="G49" s="1"/>
  <c r="Q48"/>
  <c r="E48"/>
  <c r="G48" s="1"/>
  <c r="Q47"/>
  <c r="E47"/>
  <c r="G47" s="1"/>
  <c r="Q46"/>
  <c r="E46"/>
  <c r="G46" s="1"/>
  <c r="Q45"/>
  <c r="E45"/>
  <c r="G45" s="1"/>
  <c r="Q44"/>
  <c r="E44"/>
  <c r="G44" s="1"/>
  <c r="Q43"/>
  <c r="E43"/>
  <c r="G43" s="1"/>
  <c r="Q42"/>
  <c r="K42"/>
  <c r="L42" s="1"/>
  <c r="G42"/>
  <c r="M42" s="1"/>
  <c r="P42" s="1"/>
  <c r="R42" s="1"/>
  <c r="F42"/>
  <c r="Q41"/>
  <c r="E41"/>
  <c r="G41" s="1"/>
  <c r="Q40"/>
  <c r="E40"/>
  <c r="G40" s="1"/>
  <c r="Q39"/>
  <c r="E39"/>
  <c r="G39" s="1"/>
  <c r="Q38"/>
  <c r="E38"/>
  <c r="G38" s="1"/>
  <c r="Q37"/>
  <c r="E37"/>
  <c r="G37" s="1"/>
  <c r="Q36"/>
  <c r="E36"/>
  <c r="G36" s="1"/>
  <c r="Q35"/>
  <c r="E35"/>
  <c r="G35" s="1"/>
  <c r="Q34"/>
  <c r="E34"/>
  <c r="G34" s="1"/>
  <c r="Q33"/>
  <c r="G33"/>
  <c r="M33" s="1"/>
  <c r="P33" s="1"/>
  <c r="Q32"/>
  <c r="E32"/>
  <c r="G32" s="1"/>
  <c r="Q31"/>
  <c r="G31"/>
  <c r="K31" s="1"/>
  <c r="Q30"/>
  <c r="E30"/>
  <c r="G30" s="1"/>
  <c r="Q29"/>
  <c r="G29"/>
  <c r="M29" s="1"/>
  <c r="P29" s="1"/>
  <c r="Q28"/>
  <c r="K28"/>
  <c r="L28" s="1"/>
  <c r="G28"/>
  <c r="M28" s="1"/>
  <c r="P28" s="1"/>
  <c r="R28" s="1"/>
  <c r="F28"/>
  <c r="Q27"/>
  <c r="G27"/>
  <c r="M27" s="1"/>
  <c r="P27" s="1"/>
  <c r="Q26"/>
  <c r="G26"/>
  <c r="K26" s="1"/>
  <c r="Q25"/>
  <c r="E25"/>
  <c r="G25" s="1"/>
  <c r="Q24"/>
  <c r="G24"/>
  <c r="M24" s="1"/>
  <c r="P24" s="1"/>
  <c r="Q23"/>
  <c r="E23"/>
  <c r="G23" s="1"/>
  <c r="Q22"/>
  <c r="K22"/>
  <c r="L22" s="1"/>
  <c r="G22"/>
  <c r="M22" s="1"/>
  <c r="P22" s="1"/>
  <c r="R22" s="1"/>
  <c r="F22"/>
  <c r="Q21"/>
  <c r="G21"/>
  <c r="M21" s="1"/>
  <c r="P21" s="1"/>
  <c r="Q20"/>
  <c r="E20"/>
  <c r="G20" s="1"/>
  <c r="Q19"/>
  <c r="E19"/>
  <c r="G19" s="1"/>
  <c r="Q18"/>
  <c r="G18"/>
  <c r="K18" s="1"/>
  <c r="Q17"/>
  <c r="E17"/>
  <c r="G17" s="1"/>
  <c r="Q16"/>
  <c r="G16"/>
  <c r="M16" s="1"/>
  <c r="P16" s="1"/>
  <c r="Q15"/>
  <c r="E15"/>
  <c r="G15" s="1"/>
  <c r="Q14"/>
  <c r="K14"/>
  <c r="L14" s="1"/>
  <c r="G14"/>
  <c r="M14" s="1"/>
  <c r="P14" s="1"/>
  <c r="R14" s="1"/>
  <c r="F14"/>
  <c r="Q13"/>
  <c r="E13"/>
  <c r="G13" s="1"/>
  <c r="Q12"/>
  <c r="G12"/>
  <c r="M12" s="1"/>
  <c r="P12" s="1"/>
  <c r="Q11"/>
  <c r="E11"/>
  <c r="G11" s="1"/>
  <c r="Q10"/>
  <c r="E10"/>
  <c r="G10" s="1"/>
  <c r="Q9"/>
  <c r="G9"/>
  <c r="K9" s="1"/>
  <c r="Q8"/>
  <c r="E8"/>
  <c r="Q7"/>
  <c r="G7"/>
  <c r="M7" s="1"/>
  <c r="P7" s="1"/>
  <c r="Q6"/>
  <c r="G6"/>
  <c r="K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Q5"/>
  <c r="G5"/>
  <c r="J14" i="10"/>
  <c r="I14"/>
  <c r="H14"/>
  <c r="E14"/>
  <c r="Q12"/>
  <c r="G12"/>
  <c r="K12" s="1"/>
  <c r="Q11"/>
  <c r="G11"/>
  <c r="M11" s="1"/>
  <c r="P11" s="1"/>
  <c r="Q10"/>
  <c r="K10"/>
  <c r="L10" s="1"/>
  <c r="G10"/>
  <c r="M10" s="1"/>
  <c r="P10" s="1"/>
  <c r="R10" s="1"/>
  <c r="F10"/>
  <c r="Q9"/>
  <c r="G9"/>
  <c r="M9" s="1"/>
  <c r="P9" s="1"/>
  <c r="R9" s="1"/>
  <c r="Q8"/>
  <c r="G8"/>
  <c r="K8" s="1"/>
  <c r="Q7"/>
  <c r="G7"/>
  <c r="M7" s="1"/>
  <c r="P7" s="1"/>
  <c r="Q6"/>
  <c r="G6"/>
  <c r="K6" s="1"/>
  <c r="A6"/>
  <c r="A7" s="1"/>
  <c r="A8" s="1"/>
  <c r="A9" s="1"/>
  <c r="A10" s="1"/>
  <c r="A11" s="1"/>
  <c r="A12" s="1"/>
  <c r="Q5"/>
  <c r="G5"/>
  <c r="J10" i="8"/>
  <c r="I10"/>
  <c r="H10"/>
  <c r="Q8"/>
  <c r="E8"/>
  <c r="E10" s="1"/>
  <c r="Q7"/>
  <c r="G7"/>
  <c r="K7" s="1"/>
  <c r="Q6"/>
  <c r="G6"/>
  <c r="M6" s="1"/>
  <c r="P6" s="1"/>
  <c r="A6"/>
  <c r="A7" s="1"/>
  <c r="A8" s="1"/>
  <c r="Q5"/>
  <c r="G5"/>
  <c r="K5" s="1"/>
  <c r="F5" s="1"/>
  <c r="R71" i="6"/>
  <c r="R70"/>
  <c r="R69"/>
  <c r="R68"/>
  <c r="R66"/>
  <c r="R65"/>
  <c r="R59"/>
  <c r="R56"/>
  <c r="R51"/>
  <c r="R45"/>
  <c r="R42"/>
  <c r="R40"/>
  <c r="R39"/>
  <c r="R36"/>
  <c r="R35"/>
  <c r="R30"/>
  <c r="R26"/>
  <c r="R22"/>
  <c r="R21"/>
  <c r="R20"/>
  <c r="R14"/>
  <c r="R13"/>
  <c r="R9"/>
  <c r="F77"/>
  <c r="H77" s="1"/>
  <c r="F76"/>
  <c r="H76" s="1"/>
  <c r="F75"/>
  <c r="H75" s="1"/>
  <c r="F74"/>
  <c r="I74" s="1"/>
  <c r="H74" s="1"/>
  <c r="L74" s="1"/>
  <c r="F73"/>
  <c r="F72"/>
  <c r="H72" s="1"/>
  <c r="I71"/>
  <c r="H71"/>
  <c r="N71" s="1"/>
  <c r="Q71" s="1"/>
  <c r="I70"/>
  <c r="H70"/>
  <c r="N70" s="1"/>
  <c r="Q70" s="1"/>
  <c r="I69"/>
  <c r="H69"/>
  <c r="N69" s="1"/>
  <c r="Q69" s="1"/>
  <c r="I68"/>
  <c r="H68"/>
  <c r="N68" s="1"/>
  <c r="Q68" s="1"/>
  <c r="F67"/>
  <c r="H67" s="1"/>
  <c r="F66"/>
  <c r="I66" s="1"/>
  <c r="L66" s="1"/>
  <c r="F65"/>
  <c r="I65" s="1"/>
  <c r="L65" s="1"/>
  <c r="F64"/>
  <c r="I64" s="1"/>
  <c r="H64" s="1"/>
  <c r="L64" s="1"/>
  <c r="F63"/>
  <c r="F62"/>
  <c r="I62" s="1"/>
  <c r="F61"/>
  <c r="H61" s="1"/>
  <c r="F60"/>
  <c r="H60" s="1"/>
  <c r="F59"/>
  <c r="I59" s="1"/>
  <c r="L59" s="1"/>
  <c r="F58"/>
  <c r="I58" s="1"/>
  <c r="H58" s="1"/>
  <c r="L58" s="1"/>
  <c r="F57"/>
  <c r="F56"/>
  <c r="I56" s="1"/>
  <c r="L56" s="1"/>
  <c r="K55"/>
  <c r="F55"/>
  <c r="H55" s="1"/>
  <c r="K54"/>
  <c r="F54"/>
  <c r="H54" s="1"/>
  <c r="F53"/>
  <c r="I53" s="1"/>
  <c r="F52"/>
  <c r="H52" s="1"/>
  <c r="F51"/>
  <c r="I51" s="1"/>
  <c r="H51" s="1"/>
  <c r="L51" s="1"/>
  <c r="F50"/>
  <c r="H50" s="1"/>
  <c r="F49"/>
  <c r="I49" s="1"/>
  <c r="F48"/>
  <c r="H48" s="1"/>
  <c r="F47"/>
  <c r="I47" s="1"/>
  <c r="F46"/>
  <c r="H46" s="1"/>
  <c r="F45"/>
  <c r="I45" s="1"/>
  <c r="L45" s="1"/>
  <c r="F44"/>
  <c r="I44" s="1"/>
  <c r="F43"/>
  <c r="H43" s="1"/>
  <c r="F42"/>
  <c r="I42" s="1"/>
  <c r="L42" s="1"/>
  <c r="F41"/>
  <c r="I41" s="1"/>
  <c r="F40"/>
  <c r="N40" s="1"/>
  <c r="Q40" s="1"/>
  <c r="F39"/>
  <c r="N39" s="1"/>
  <c r="Q39" s="1"/>
  <c r="F38"/>
  <c r="H38" s="1"/>
  <c r="F37"/>
  <c r="I37" s="1"/>
  <c r="H37" s="1"/>
  <c r="L37" s="1"/>
  <c r="F36"/>
  <c r="N36" s="1"/>
  <c r="Q36" s="1"/>
  <c r="I35"/>
  <c r="H35"/>
  <c r="N35" s="1"/>
  <c r="Q35" s="1"/>
  <c r="F34"/>
  <c r="H34" s="1"/>
  <c r="F33"/>
  <c r="I33" s="1"/>
  <c r="F32"/>
  <c r="H32" s="1"/>
  <c r="F31"/>
  <c r="I31" s="1"/>
  <c r="F30"/>
  <c r="N30" s="1"/>
  <c r="Q30" s="1"/>
  <c r="F29"/>
  <c r="H29" s="1"/>
  <c r="F28"/>
  <c r="I28" s="1"/>
  <c r="H28" s="1"/>
  <c r="L28" s="1"/>
  <c r="F27"/>
  <c r="H27" s="1"/>
  <c r="I26"/>
  <c r="H26"/>
  <c r="N26" s="1"/>
  <c r="Q26" s="1"/>
  <c r="F25"/>
  <c r="I25" s="1"/>
  <c r="F24"/>
  <c r="H24" s="1"/>
  <c r="F23"/>
  <c r="I23" s="1"/>
  <c r="F22"/>
  <c r="N22" s="1"/>
  <c r="Q22" s="1"/>
  <c r="F21"/>
  <c r="H21" s="1"/>
  <c r="L20"/>
  <c r="M20" s="1"/>
  <c r="F20"/>
  <c r="N20" s="1"/>
  <c r="Q20" s="1"/>
  <c r="F19"/>
  <c r="H19" s="1"/>
  <c r="F18"/>
  <c r="I18" s="1"/>
  <c r="F17"/>
  <c r="I17" s="1"/>
  <c r="H17" s="1"/>
  <c r="L17" s="1"/>
  <c r="F16"/>
  <c r="I16" s="1"/>
  <c r="F15"/>
  <c r="H15" s="1"/>
  <c r="K14"/>
  <c r="F14"/>
  <c r="N14" s="1"/>
  <c r="Q14" s="1"/>
  <c r="I13"/>
  <c r="H13"/>
  <c r="N13" s="1"/>
  <c r="Q13" s="1"/>
  <c r="K12"/>
  <c r="F12"/>
  <c r="K11"/>
  <c r="F11"/>
  <c r="K10"/>
  <c r="F10"/>
  <c r="I10" s="1"/>
  <c r="L10" s="1"/>
  <c r="G10" s="1"/>
  <c r="F9"/>
  <c r="I9" s="1"/>
  <c r="L9" s="1"/>
  <c r="F8"/>
  <c r="I8" s="1"/>
  <c r="H8" s="1"/>
  <c r="L8" s="1"/>
  <c r="F7"/>
  <c r="H7" s="1"/>
  <c r="F6"/>
  <c r="I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F5"/>
  <c r="R15" i="4"/>
  <c r="R13"/>
  <c r="R12"/>
  <c r="R11"/>
  <c r="R10"/>
  <c r="R7"/>
  <c r="R6"/>
  <c r="J17"/>
  <c r="N15"/>
  <c r="Q15" s="1"/>
  <c r="S15" s="1"/>
  <c r="F15"/>
  <c r="I15" s="1"/>
  <c r="L15" s="1"/>
  <c r="I14"/>
  <c r="F14"/>
  <c r="H14" s="1"/>
  <c r="N13"/>
  <c r="Q13" s="1"/>
  <c r="K13"/>
  <c r="F13"/>
  <c r="I13" s="1"/>
  <c r="L13" s="1"/>
  <c r="G13" s="1"/>
  <c r="H12"/>
  <c r="N12" s="1"/>
  <c r="Q12" s="1"/>
  <c r="S12" s="1"/>
  <c r="H11"/>
  <c r="N11" s="1"/>
  <c r="Q11" s="1"/>
  <c r="N10"/>
  <c r="Q10" s="1"/>
  <c r="K10"/>
  <c r="F10"/>
  <c r="H10" s="1"/>
  <c r="K9"/>
  <c r="F9"/>
  <c r="N9" s="1"/>
  <c r="Q9" s="1"/>
  <c r="K8"/>
  <c r="K17" s="1"/>
  <c r="F8"/>
  <c r="I8" s="1"/>
  <c r="H7"/>
  <c r="N7" s="1"/>
  <c r="Q7" s="1"/>
  <c r="H6"/>
  <c r="N6" s="1"/>
  <c r="Q6" s="1"/>
  <c r="S6" s="1"/>
  <c r="A6"/>
  <c r="A7" s="1"/>
  <c r="A8" s="1"/>
  <c r="A9" s="1"/>
  <c r="A10" s="1"/>
  <c r="A11" s="1"/>
  <c r="A12" s="1"/>
  <c r="A13" s="1"/>
  <c r="A14" s="1"/>
  <c r="A15" s="1"/>
  <c r="F5"/>
  <c r="A416" i="2"/>
  <c r="A417" s="1"/>
  <c r="A418" s="1"/>
  <c r="A419" s="1"/>
  <c r="A420" s="1"/>
  <c r="A421" s="1"/>
  <c r="A422" s="1"/>
  <c r="A423" s="1"/>
  <c r="A424" s="1"/>
  <c r="A425" s="1"/>
  <c r="A426" s="1"/>
  <c r="R402"/>
  <c r="F402"/>
  <c r="I402" s="1"/>
  <c r="R401"/>
  <c r="F401"/>
  <c r="I401" s="1"/>
  <c r="H401" s="1"/>
  <c r="L401" s="1"/>
  <c r="R400"/>
  <c r="F400"/>
  <c r="I400" s="1"/>
  <c r="H400" s="1"/>
  <c r="L400" s="1"/>
  <c r="R399"/>
  <c r="F399"/>
  <c r="N399" s="1"/>
  <c r="R398"/>
  <c r="F398"/>
  <c r="H398" s="1"/>
  <c r="R397"/>
  <c r="F397"/>
  <c r="I397" s="1"/>
  <c r="H397" s="1"/>
  <c r="L397" s="1"/>
  <c r="R396"/>
  <c r="F396"/>
  <c r="I396" s="1"/>
  <c r="H396" s="1"/>
  <c r="L396" s="1"/>
  <c r="R395"/>
  <c r="F395"/>
  <c r="I395" s="1"/>
  <c r="H395" s="1"/>
  <c r="L395" s="1"/>
  <c r="R394"/>
  <c r="L394"/>
  <c r="M394" s="1"/>
  <c r="F394"/>
  <c r="N394" s="1"/>
  <c r="Q394" s="1"/>
  <c r="S394" s="1"/>
  <c r="R393"/>
  <c r="F393"/>
  <c r="I393" s="1"/>
  <c r="R392"/>
  <c r="K392"/>
  <c r="F392"/>
  <c r="I392" s="1"/>
  <c r="R391"/>
  <c r="F391"/>
  <c r="R390"/>
  <c r="F390"/>
  <c r="I390" s="1"/>
  <c r="H390" s="1"/>
  <c r="L390" s="1"/>
  <c r="R389"/>
  <c r="F389"/>
  <c r="H389" s="1"/>
  <c r="R388"/>
  <c r="F388"/>
  <c r="I388" s="1"/>
  <c r="H388" s="1"/>
  <c r="L388" s="1"/>
  <c r="R387"/>
  <c r="F387"/>
  <c r="H387" s="1"/>
  <c r="R386"/>
  <c r="F386"/>
  <c r="I386" s="1"/>
  <c r="H386" s="1"/>
  <c r="L386" s="1"/>
  <c r="R385"/>
  <c r="F385"/>
  <c r="R384"/>
  <c r="F384"/>
  <c r="I384" s="1"/>
  <c r="L384" s="1"/>
  <c r="R383"/>
  <c r="F383"/>
  <c r="I383" s="1"/>
  <c r="H383" s="1"/>
  <c r="L383" s="1"/>
  <c r="R382"/>
  <c r="F382"/>
  <c r="N382" s="1"/>
  <c r="R381"/>
  <c r="F381"/>
  <c r="N381" s="1"/>
  <c r="Q381" s="1"/>
  <c r="R380"/>
  <c r="F380"/>
  <c r="R379"/>
  <c r="F379"/>
  <c r="I379" s="1"/>
  <c r="L379" s="1"/>
  <c r="R378"/>
  <c r="F378"/>
  <c r="I378" s="1"/>
  <c r="L378" s="1"/>
  <c r="R377"/>
  <c r="F377"/>
  <c r="I377" s="1"/>
  <c r="H377" s="1"/>
  <c r="L377" s="1"/>
  <c r="R376"/>
  <c r="F376"/>
  <c r="N376" s="1"/>
  <c r="Q376" s="1"/>
  <c r="R375"/>
  <c r="I375"/>
  <c r="H375" s="1"/>
  <c r="L375" s="1"/>
  <c r="F375"/>
  <c r="R374"/>
  <c r="N374"/>
  <c r="Q374" s="1"/>
  <c r="L374"/>
  <c r="M374" s="1"/>
  <c r="I374"/>
  <c r="G374"/>
  <c r="R373"/>
  <c r="F373"/>
  <c r="N373" s="1"/>
  <c r="Q373" s="1"/>
  <c r="R372"/>
  <c r="F372"/>
  <c r="N372" s="1"/>
  <c r="Q372" s="1"/>
  <c r="R371"/>
  <c r="I371"/>
  <c r="H371" s="1"/>
  <c r="L371" s="1"/>
  <c r="F371"/>
  <c r="R370"/>
  <c r="F370"/>
  <c r="I370" s="1"/>
  <c r="R369"/>
  <c r="F369"/>
  <c r="N369" s="1"/>
  <c r="Q369" s="1"/>
  <c r="R368"/>
  <c r="F368"/>
  <c r="N368" s="1"/>
  <c r="Q368" s="1"/>
  <c r="R367"/>
  <c r="F367"/>
  <c r="R366"/>
  <c r="F366"/>
  <c r="I366" s="1"/>
  <c r="R365"/>
  <c r="F365"/>
  <c r="I365" s="1"/>
  <c r="H365" s="1"/>
  <c r="L365" s="1"/>
  <c r="R364"/>
  <c r="F364"/>
  <c r="I364" s="1"/>
  <c r="R363"/>
  <c r="F363"/>
  <c r="I363" s="1"/>
  <c r="H363" s="1"/>
  <c r="L363" s="1"/>
  <c r="R362"/>
  <c r="F362"/>
  <c r="I362" s="1"/>
  <c r="H362" s="1"/>
  <c r="L362" s="1"/>
  <c r="R361"/>
  <c r="F361"/>
  <c r="I361" s="1"/>
  <c r="L361" s="1"/>
  <c r="R360"/>
  <c r="F360"/>
  <c r="I360" s="1"/>
  <c r="L360" s="1"/>
  <c r="R359"/>
  <c r="F359"/>
  <c r="I359" s="1"/>
  <c r="L359" s="1"/>
  <c r="R358"/>
  <c r="F358"/>
  <c r="I358" s="1"/>
  <c r="L358" s="1"/>
  <c r="R357"/>
  <c r="F357"/>
  <c r="I357" s="1"/>
  <c r="L357" s="1"/>
  <c r="R356"/>
  <c r="F356"/>
  <c r="I356" s="1"/>
  <c r="L356" s="1"/>
  <c r="R355"/>
  <c r="F355"/>
  <c r="I355" s="1"/>
  <c r="H355" s="1"/>
  <c r="L355" s="1"/>
  <c r="R354"/>
  <c r="F354"/>
  <c r="R353"/>
  <c r="F353"/>
  <c r="I353" s="1"/>
  <c r="H353" s="1"/>
  <c r="L353" s="1"/>
  <c r="R352"/>
  <c r="F352"/>
  <c r="N352" s="1"/>
  <c r="Q352" s="1"/>
  <c r="R351"/>
  <c r="F351"/>
  <c r="N351" s="1"/>
  <c r="Q351" s="1"/>
  <c r="R350"/>
  <c r="F350"/>
  <c r="R349"/>
  <c r="F349"/>
  <c r="I349" s="1"/>
  <c r="R348"/>
  <c r="F348"/>
  <c r="R347"/>
  <c r="F347"/>
  <c r="R346"/>
  <c r="F346"/>
  <c r="I346" s="1"/>
  <c r="L346" s="1"/>
  <c r="R345"/>
  <c r="F345"/>
  <c r="I345" s="1"/>
  <c r="L345" s="1"/>
  <c r="R344"/>
  <c r="F344"/>
  <c r="I344" s="1"/>
  <c r="L344" s="1"/>
  <c r="R343"/>
  <c r="F343"/>
  <c r="R342"/>
  <c r="L342"/>
  <c r="M342" s="1"/>
  <c r="F342"/>
  <c r="N342" s="1"/>
  <c r="Q342" s="1"/>
  <c r="S342" s="1"/>
  <c r="R341"/>
  <c r="F341"/>
  <c r="R340"/>
  <c r="N340"/>
  <c r="Q340" s="1"/>
  <c r="I340"/>
  <c r="L340" s="1"/>
  <c r="R339"/>
  <c r="F339"/>
  <c r="I339" s="1"/>
  <c r="L339" s="1"/>
  <c r="R338"/>
  <c r="F338"/>
  <c r="R337"/>
  <c r="F337"/>
  <c r="I337" s="1"/>
  <c r="L337" s="1"/>
  <c r="R336"/>
  <c r="N336"/>
  <c r="Q336" s="1"/>
  <c r="I336"/>
  <c r="L336" s="1"/>
  <c r="R335"/>
  <c r="F335"/>
  <c r="H335" s="1"/>
  <c r="R334"/>
  <c r="F334"/>
  <c r="H334" s="1"/>
  <c r="R333"/>
  <c r="F333"/>
  <c r="R332"/>
  <c r="L332"/>
  <c r="M332" s="1"/>
  <c r="F332"/>
  <c r="N332" s="1"/>
  <c r="Q332" s="1"/>
  <c r="S332" s="1"/>
  <c r="R331"/>
  <c r="F331"/>
  <c r="R330"/>
  <c r="F330"/>
  <c r="I330" s="1"/>
  <c r="L330" s="1"/>
  <c r="R329"/>
  <c r="F329"/>
  <c r="H329" s="1"/>
  <c r="R328"/>
  <c r="F328"/>
  <c r="H328" s="1"/>
  <c r="R327"/>
  <c r="F327"/>
  <c r="I327" s="1"/>
  <c r="L327" s="1"/>
  <c r="R326"/>
  <c r="F326"/>
  <c r="I326" s="1"/>
  <c r="H326" s="1"/>
  <c r="L326" s="1"/>
  <c r="R325"/>
  <c r="F325"/>
  <c r="R324"/>
  <c r="F324"/>
  <c r="I324" s="1"/>
  <c r="L324" s="1"/>
  <c r="R323"/>
  <c r="F323"/>
  <c r="I323" s="1"/>
  <c r="L323" s="1"/>
  <c r="R322"/>
  <c r="F322"/>
  <c r="I322" s="1"/>
  <c r="H322" s="1"/>
  <c r="L322" s="1"/>
  <c r="R321"/>
  <c r="F321"/>
  <c r="N321" s="1"/>
  <c r="Q321" s="1"/>
  <c r="R320"/>
  <c r="F320"/>
  <c r="N320" s="1"/>
  <c r="Q320" s="1"/>
  <c r="R319"/>
  <c r="F319"/>
  <c r="N319" s="1"/>
  <c r="Q319" s="1"/>
  <c r="R318"/>
  <c r="F318"/>
  <c r="R317"/>
  <c r="F317"/>
  <c r="I317" s="1"/>
  <c r="L317" s="1"/>
  <c r="R316"/>
  <c r="F316"/>
  <c r="I316" s="1"/>
  <c r="H316" s="1"/>
  <c r="L316" s="1"/>
  <c r="R315"/>
  <c r="F315"/>
  <c r="N315" s="1"/>
  <c r="Q315" s="1"/>
  <c r="R314"/>
  <c r="F314"/>
  <c r="R313"/>
  <c r="F313"/>
  <c r="I313" s="1"/>
  <c r="H313" s="1"/>
  <c r="L313" s="1"/>
  <c r="R312"/>
  <c r="F312"/>
  <c r="N312" s="1"/>
  <c r="Q312" s="1"/>
  <c r="R311"/>
  <c r="F311"/>
  <c r="H311" s="1"/>
  <c r="R310"/>
  <c r="F310"/>
  <c r="I310" s="1"/>
  <c r="L310" s="1"/>
  <c r="R309"/>
  <c r="F309"/>
  <c r="I309" s="1"/>
  <c r="H309" s="1"/>
  <c r="L309" s="1"/>
  <c r="R308"/>
  <c r="F308"/>
  <c r="R307"/>
  <c r="F307"/>
  <c r="I307" s="1"/>
  <c r="L307" s="1"/>
  <c r="R306"/>
  <c r="F306"/>
  <c r="I306" s="1"/>
  <c r="R305"/>
  <c r="F305"/>
  <c r="H305" s="1"/>
  <c r="R304"/>
  <c r="F304"/>
  <c r="I304" s="1"/>
  <c r="H304" s="1"/>
  <c r="L304" s="1"/>
  <c r="R303"/>
  <c r="F303"/>
  <c r="N303" s="1"/>
  <c r="Q303" s="1"/>
  <c r="R302"/>
  <c r="F302"/>
  <c r="R301"/>
  <c r="F301"/>
  <c r="I301" s="1"/>
  <c r="H301" s="1"/>
  <c r="L301" s="1"/>
  <c r="R300"/>
  <c r="F300"/>
  <c r="H300" s="1"/>
  <c r="R299"/>
  <c r="F299"/>
  <c r="I299" s="1"/>
  <c r="H299" s="1"/>
  <c r="L299" s="1"/>
  <c r="R298"/>
  <c r="F298"/>
  <c r="N298" s="1"/>
  <c r="Q298" s="1"/>
  <c r="R297"/>
  <c r="F297"/>
  <c r="R296"/>
  <c r="F296"/>
  <c r="I296" s="1"/>
  <c r="L296" s="1"/>
  <c r="R295"/>
  <c r="F295"/>
  <c r="I295" s="1"/>
  <c r="L295" s="1"/>
  <c r="R294"/>
  <c r="F294"/>
  <c r="I294" s="1"/>
  <c r="L294" s="1"/>
  <c r="R293"/>
  <c r="F293"/>
  <c r="I293" s="1"/>
  <c r="L293" s="1"/>
  <c r="R292"/>
  <c r="F292"/>
  <c r="I292" s="1"/>
  <c r="L292" s="1"/>
  <c r="R291"/>
  <c r="F291"/>
  <c r="I291" s="1"/>
  <c r="L291" s="1"/>
  <c r="R290"/>
  <c r="F290"/>
  <c r="I290" s="1"/>
  <c r="L290" s="1"/>
  <c r="R289"/>
  <c r="F289"/>
  <c r="I289" s="1"/>
  <c r="L289" s="1"/>
  <c r="R288"/>
  <c r="F288"/>
  <c r="I288" s="1"/>
  <c r="H288" s="1"/>
  <c r="L288" s="1"/>
  <c r="R287"/>
  <c r="F287"/>
  <c r="I287" s="1"/>
  <c r="H287" s="1"/>
  <c r="L287" s="1"/>
  <c r="R286"/>
  <c r="F286"/>
  <c r="I286" s="1"/>
  <c r="R285"/>
  <c r="F285"/>
  <c r="I285" s="1"/>
  <c r="H285" s="1"/>
  <c r="L285" s="1"/>
  <c r="R284"/>
  <c r="F284"/>
  <c r="I284" s="1"/>
  <c r="H284" s="1"/>
  <c r="L284" s="1"/>
  <c r="R283"/>
  <c r="F283"/>
  <c r="I283" s="1"/>
  <c r="H283" s="1"/>
  <c r="L283" s="1"/>
  <c r="R282"/>
  <c r="F282"/>
  <c r="I282" s="1"/>
  <c r="H282" s="1"/>
  <c r="L282" s="1"/>
  <c r="R281"/>
  <c r="F281"/>
  <c r="I281" s="1"/>
  <c r="H281" s="1"/>
  <c r="L281" s="1"/>
  <c r="R280"/>
  <c r="F280"/>
  <c r="I280" s="1"/>
  <c r="L280" s="1"/>
  <c r="R279"/>
  <c r="F279"/>
  <c r="I279" s="1"/>
  <c r="H279" s="1"/>
  <c r="L279" s="1"/>
  <c r="R278"/>
  <c r="F278"/>
  <c r="N278" s="1"/>
  <c r="Q278" s="1"/>
  <c r="R277"/>
  <c r="F277"/>
  <c r="H277" s="1"/>
  <c r="R276"/>
  <c r="F276"/>
  <c r="I276" s="1"/>
  <c r="R275"/>
  <c r="F275"/>
  <c r="I275" s="1"/>
  <c r="H275" s="1"/>
  <c r="L275" s="1"/>
  <c r="R274"/>
  <c r="F274"/>
  <c r="I274" s="1"/>
  <c r="L274" s="1"/>
  <c r="R273"/>
  <c r="F273"/>
  <c r="I273" s="1"/>
  <c r="H273" s="1"/>
  <c r="L273" s="1"/>
  <c r="R272"/>
  <c r="F272"/>
  <c r="I272" s="1"/>
  <c r="H272" s="1"/>
  <c r="L272" s="1"/>
  <c r="R271"/>
  <c r="F271"/>
  <c r="I271" s="1"/>
  <c r="L271" s="1"/>
  <c r="R270"/>
  <c r="F270"/>
  <c r="I270" s="1"/>
  <c r="H270" s="1"/>
  <c r="L270" s="1"/>
  <c r="R269"/>
  <c r="F269"/>
  <c r="N269" s="1"/>
  <c r="Q269" s="1"/>
  <c r="R268"/>
  <c r="F268"/>
  <c r="N268" s="1"/>
  <c r="Q268" s="1"/>
  <c r="R267"/>
  <c r="F267"/>
  <c r="I267" s="1"/>
  <c r="H267" s="1"/>
  <c r="L267" s="1"/>
  <c r="R266"/>
  <c r="F266"/>
  <c r="I266" s="1"/>
  <c r="L266" s="1"/>
  <c r="R265"/>
  <c r="F265"/>
  <c r="I265" s="1"/>
  <c r="H265" s="1"/>
  <c r="L265" s="1"/>
  <c r="R264"/>
  <c r="F264"/>
  <c r="I264" s="1"/>
  <c r="H264" s="1"/>
  <c r="L264" s="1"/>
  <c r="R263"/>
  <c r="F263"/>
  <c r="I263" s="1"/>
  <c r="H263" s="1"/>
  <c r="L263" s="1"/>
  <c r="R262"/>
  <c r="K262"/>
  <c r="K411" s="1"/>
  <c r="F262"/>
  <c r="R261"/>
  <c r="F261"/>
  <c r="N261" s="1"/>
  <c r="Q261" s="1"/>
  <c r="R260"/>
  <c r="F260"/>
  <c r="N260" s="1"/>
  <c r="Q260" s="1"/>
  <c r="R259"/>
  <c r="F259"/>
  <c r="H259" s="1"/>
  <c r="R258"/>
  <c r="F258"/>
  <c r="I258" s="1"/>
  <c r="L258" s="1"/>
  <c r="R257"/>
  <c r="F257"/>
  <c r="I257" s="1"/>
  <c r="H257" s="1"/>
  <c r="L257" s="1"/>
  <c r="R256"/>
  <c r="F256"/>
  <c r="N256" s="1"/>
  <c r="Q256" s="1"/>
  <c r="R255"/>
  <c r="F255"/>
  <c r="N255" s="1"/>
  <c r="Q255" s="1"/>
  <c r="R254"/>
  <c r="F254"/>
  <c r="I254" s="1"/>
  <c r="H254" s="1"/>
  <c r="L254" s="1"/>
  <c r="R253"/>
  <c r="F253"/>
  <c r="I253" s="1"/>
  <c r="H253" s="1"/>
  <c r="L253" s="1"/>
  <c r="R252"/>
  <c r="F252"/>
  <c r="N252" s="1"/>
  <c r="Q252" s="1"/>
  <c r="R251"/>
  <c r="F251"/>
  <c r="I251" s="1"/>
  <c r="H251" s="1"/>
  <c r="L251" s="1"/>
  <c r="R250"/>
  <c r="F250"/>
  <c r="I250" s="1"/>
  <c r="H250" s="1"/>
  <c r="L250" s="1"/>
  <c r="R249"/>
  <c r="F249"/>
  <c r="N249" s="1"/>
  <c r="R248"/>
  <c r="F248"/>
  <c r="N248" s="1"/>
  <c r="R247"/>
  <c r="F247"/>
  <c r="N247" s="1"/>
  <c r="Q247" s="1"/>
  <c r="R246"/>
  <c r="F246"/>
  <c r="I246" s="1"/>
  <c r="H246" s="1"/>
  <c r="L246" s="1"/>
  <c r="R245"/>
  <c r="F245"/>
  <c r="I245" s="1"/>
  <c r="R244"/>
  <c r="I244"/>
  <c r="H244"/>
  <c r="N244" s="1"/>
  <c r="Q244" s="1"/>
  <c r="S244" s="1"/>
  <c r="R243"/>
  <c r="F243"/>
  <c r="I243" s="1"/>
  <c r="H243" s="1"/>
  <c r="L243" s="1"/>
  <c r="R242"/>
  <c r="F242"/>
  <c r="I242" s="1"/>
  <c r="H242" s="1"/>
  <c r="L242" s="1"/>
  <c r="R241"/>
  <c r="F241"/>
  <c r="N241" s="1"/>
  <c r="Q241" s="1"/>
  <c r="R240"/>
  <c r="F240"/>
  <c r="N240" s="1"/>
  <c r="Q240" s="1"/>
  <c r="R239"/>
  <c r="F239"/>
  <c r="H239" s="1"/>
  <c r="R238"/>
  <c r="F238"/>
  <c r="I238" s="1"/>
  <c r="L238" s="1"/>
  <c r="R237"/>
  <c r="F237"/>
  <c r="I237" s="1"/>
  <c r="R236"/>
  <c r="F236"/>
  <c r="I236" s="1"/>
  <c r="H236" s="1"/>
  <c r="L236" s="1"/>
  <c r="R235"/>
  <c r="F235"/>
  <c r="I235" s="1"/>
  <c r="L235" s="1"/>
  <c r="R234"/>
  <c r="F234"/>
  <c r="I234" s="1"/>
  <c r="L234" s="1"/>
  <c r="R233"/>
  <c r="F233"/>
  <c r="I233" s="1"/>
  <c r="R232"/>
  <c r="F232"/>
  <c r="N232" s="1"/>
  <c r="Q232" s="1"/>
  <c r="R231"/>
  <c r="F231"/>
  <c r="N231" s="1"/>
  <c r="Q231" s="1"/>
  <c r="S231" s="1"/>
  <c r="R230"/>
  <c r="F230"/>
  <c r="I230" s="1"/>
  <c r="H230" s="1"/>
  <c r="L230" s="1"/>
  <c r="R229"/>
  <c r="F229"/>
  <c r="I229" s="1"/>
  <c r="H229" s="1"/>
  <c r="L229" s="1"/>
  <c r="R228"/>
  <c r="F228"/>
  <c r="H228" s="1"/>
  <c r="R227"/>
  <c r="F227"/>
  <c r="I227" s="1"/>
  <c r="R226"/>
  <c r="F226"/>
  <c r="H226" s="1"/>
  <c r="R225"/>
  <c r="I225"/>
  <c r="H225" s="1"/>
  <c r="N225" s="1"/>
  <c r="Q225" s="1"/>
  <c r="R224"/>
  <c r="F224"/>
  <c r="I224" s="1"/>
  <c r="L224" s="1"/>
  <c r="R223"/>
  <c r="F223"/>
  <c r="I223" s="1"/>
  <c r="L223" s="1"/>
  <c r="R222"/>
  <c r="F222"/>
  <c r="I222" s="1"/>
  <c r="L222" s="1"/>
  <c r="R221"/>
  <c r="F221"/>
  <c r="I221" s="1"/>
  <c r="L221" s="1"/>
  <c r="R220"/>
  <c r="H220"/>
  <c r="F220"/>
  <c r="I220" s="1"/>
  <c r="R219"/>
  <c r="F219"/>
  <c r="I219" s="1"/>
  <c r="H219" s="1"/>
  <c r="L219" s="1"/>
  <c r="R218"/>
  <c r="L218"/>
  <c r="M218" s="1"/>
  <c r="F218"/>
  <c r="N218" s="1"/>
  <c r="Q218" s="1"/>
  <c r="S218" s="1"/>
  <c r="R217"/>
  <c r="F217"/>
  <c r="I217" s="1"/>
  <c r="H217" s="1"/>
  <c r="L217" s="1"/>
  <c r="R216"/>
  <c r="F216"/>
  <c r="I216" s="1"/>
  <c r="R215"/>
  <c r="F215"/>
  <c r="N215" s="1"/>
  <c r="Q215" s="1"/>
  <c r="R214"/>
  <c r="F214"/>
  <c r="H214" s="1"/>
  <c r="R213"/>
  <c r="F213"/>
  <c r="I213" s="1"/>
  <c r="H213" s="1"/>
  <c r="L213" s="1"/>
  <c r="R212"/>
  <c r="F212"/>
  <c r="H212" s="1"/>
  <c r="R211"/>
  <c r="F211"/>
  <c r="I211" s="1"/>
  <c r="H211" s="1"/>
  <c r="L211" s="1"/>
  <c r="R210"/>
  <c r="F210"/>
  <c r="N210" s="1"/>
  <c r="Q210" s="1"/>
  <c r="R209"/>
  <c r="F209"/>
  <c r="R208"/>
  <c r="F208"/>
  <c r="I208" s="1"/>
  <c r="H208" s="1"/>
  <c r="L208" s="1"/>
  <c r="R207"/>
  <c r="F207"/>
  <c r="R206"/>
  <c r="F206"/>
  <c r="I206" s="1"/>
  <c r="R205"/>
  <c r="H205"/>
  <c r="L205" s="1"/>
  <c r="F205"/>
  <c r="R204"/>
  <c r="F204"/>
  <c r="R203"/>
  <c r="F203"/>
  <c r="I203" s="1"/>
  <c r="H203" s="1"/>
  <c r="L203" s="1"/>
  <c r="R202"/>
  <c r="F202"/>
  <c r="N202" s="1"/>
  <c r="Q202" s="1"/>
  <c r="R201"/>
  <c r="F201"/>
  <c r="N201" s="1"/>
  <c r="Q201" s="1"/>
  <c r="R200"/>
  <c r="F200"/>
  <c r="I200" s="1"/>
  <c r="H200" s="1"/>
  <c r="L200" s="1"/>
  <c r="R199"/>
  <c r="F199"/>
  <c r="H199" s="1"/>
  <c r="R198"/>
  <c r="F198"/>
  <c r="I198" s="1"/>
  <c r="R197"/>
  <c r="F197"/>
  <c r="R196"/>
  <c r="F196"/>
  <c r="I196" s="1"/>
  <c r="H196" s="1"/>
  <c r="L196" s="1"/>
  <c r="R195"/>
  <c r="F195"/>
  <c r="N195" s="1"/>
  <c r="Q195" s="1"/>
  <c r="R194"/>
  <c r="F194"/>
  <c r="R193"/>
  <c r="F193"/>
  <c r="I193" s="1"/>
  <c r="H193" s="1"/>
  <c r="L193" s="1"/>
  <c r="R192"/>
  <c r="F192"/>
  <c r="I192" s="1"/>
  <c r="L192" s="1"/>
  <c r="R191"/>
  <c r="F191"/>
  <c r="R190"/>
  <c r="F190"/>
  <c r="I190" s="1"/>
  <c r="H190" s="1"/>
  <c r="L190" s="1"/>
  <c r="R189"/>
  <c r="F189"/>
  <c r="R188"/>
  <c r="F188"/>
  <c r="I188" s="1"/>
  <c r="H188" s="1"/>
  <c r="L188" s="1"/>
  <c r="R187"/>
  <c r="F187"/>
  <c r="I187" s="1"/>
  <c r="L187" s="1"/>
  <c r="R186"/>
  <c r="F186"/>
  <c r="I186" s="1"/>
  <c r="L186" s="1"/>
  <c r="R185"/>
  <c r="F185"/>
  <c r="H185" s="1"/>
  <c r="R184"/>
  <c r="F184"/>
  <c r="H184" s="1"/>
  <c r="R183"/>
  <c r="F183"/>
  <c r="I183" s="1"/>
  <c r="L183" s="1"/>
  <c r="R182"/>
  <c r="F182"/>
  <c r="R181"/>
  <c r="F181"/>
  <c r="I181" s="1"/>
  <c r="L181" s="1"/>
  <c r="R180"/>
  <c r="F180"/>
  <c r="I180" s="1"/>
  <c r="H180" s="1"/>
  <c r="L180" s="1"/>
  <c r="R179"/>
  <c r="F179"/>
  <c r="N179" s="1"/>
  <c r="Q179" s="1"/>
  <c r="R178"/>
  <c r="L178"/>
  <c r="M178" s="1"/>
  <c r="F178"/>
  <c r="N178" s="1"/>
  <c r="Q178" s="1"/>
  <c r="S178" s="1"/>
  <c r="R177"/>
  <c r="F177"/>
  <c r="I177" s="1"/>
  <c r="H177" s="1"/>
  <c r="L177" s="1"/>
  <c r="R176"/>
  <c r="F176"/>
  <c r="N176" s="1"/>
  <c r="Q176" s="1"/>
  <c r="R175"/>
  <c r="F175"/>
  <c r="N175" s="1"/>
  <c r="Q175" s="1"/>
  <c r="R174"/>
  <c r="F174"/>
  <c r="N174" s="1"/>
  <c r="Q174" s="1"/>
  <c r="R173"/>
  <c r="F173"/>
  <c r="R172"/>
  <c r="F172"/>
  <c r="I172" s="1"/>
  <c r="L172" s="1"/>
  <c r="R171"/>
  <c r="F171"/>
  <c r="I171" s="1"/>
  <c r="L171" s="1"/>
  <c r="R170"/>
  <c r="F170"/>
  <c r="I170" s="1"/>
  <c r="L170" s="1"/>
  <c r="R169"/>
  <c r="F169"/>
  <c r="I169" s="1"/>
  <c r="L169" s="1"/>
  <c r="R168"/>
  <c r="F168"/>
  <c r="I168" s="1"/>
  <c r="L168" s="1"/>
  <c r="R167"/>
  <c r="F167"/>
  <c r="I167" s="1"/>
  <c r="H167" s="1"/>
  <c r="L167" s="1"/>
  <c r="R166"/>
  <c r="F166"/>
  <c r="I166" s="1"/>
  <c r="L166" s="1"/>
  <c r="R165"/>
  <c r="F165"/>
  <c r="I165" s="1"/>
  <c r="H165" s="1"/>
  <c r="L165" s="1"/>
  <c r="R164"/>
  <c r="F164"/>
  <c r="I164" s="1"/>
  <c r="H164" s="1"/>
  <c r="L164" s="1"/>
  <c r="R163"/>
  <c r="F163"/>
  <c r="I163" s="1"/>
  <c r="H163" s="1"/>
  <c r="L163" s="1"/>
  <c r="R162"/>
  <c r="F162"/>
  <c r="H162" s="1"/>
  <c r="R161"/>
  <c r="F161"/>
  <c r="I161" s="1"/>
  <c r="L161" s="1"/>
  <c r="R160"/>
  <c r="F160"/>
  <c r="I160" s="1"/>
  <c r="H160" s="1"/>
  <c r="L160" s="1"/>
  <c r="R159"/>
  <c r="F159"/>
  <c r="H159" s="1"/>
  <c r="R158"/>
  <c r="F158"/>
  <c r="I158" s="1"/>
  <c r="H158" s="1"/>
  <c r="L158" s="1"/>
  <c r="R157"/>
  <c r="F157"/>
  <c r="N157" s="1"/>
  <c r="Q157" s="1"/>
  <c r="R156"/>
  <c r="F156"/>
  <c r="I156" s="1"/>
  <c r="H156" s="1"/>
  <c r="L156" s="1"/>
  <c r="R155"/>
  <c r="F155"/>
  <c r="I155" s="1"/>
  <c r="L155" s="1"/>
  <c r="R154"/>
  <c r="F154"/>
  <c r="I154" s="1"/>
  <c r="R153"/>
  <c r="F153"/>
  <c r="N153" s="1"/>
  <c r="Q153" s="1"/>
  <c r="R152"/>
  <c r="F152"/>
  <c r="N152" s="1"/>
  <c r="Q152" s="1"/>
  <c r="R151"/>
  <c r="F151"/>
  <c r="N151" s="1"/>
  <c r="Q151" s="1"/>
  <c r="R150"/>
  <c r="F150"/>
  <c r="R149"/>
  <c r="F149"/>
  <c r="I149" s="1"/>
  <c r="R148"/>
  <c r="F148"/>
  <c r="R147"/>
  <c r="F147"/>
  <c r="I147" s="1"/>
  <c r="H147" s="1"/>
  <c r="L147" s="1"/>
  <c r="R146"/>
  <c r="F146"/>
  <c r="N146" s="1"/>
  <c r="R145"/>
  <c r="F145"/>
  <c r="H145" s="1"/>
  <c r="R144"/>
  <c r="I144"/>
  <c r="F144"/>
  <c r="H144" s="1"/>
  <c r="R143"/>
  <c r="F143"/>
  <c r="N143" s="1"/>
  <c r="Q143" s="1"/>
  <c r="R142"/>
  <c r="L142"/>
  <c r="M142" s="1"/>
  <c r="F142"/>
  <c r="N142" s="1"/>
  <c r="R141"/>
  <c r="I141"/>
  <c r="H141" s="1"/>
  <c r="L141" s="1"/>
  <c r="F141"/>
  <c r="R140"/>
  <c r="F140"/>
  <c r="I140" s="1"/>
  <c r="L140" s="1"/>
  <c r="R139"/>
  <c r="F139"/>
  <c r="I139" s="1"/>
  <c r="L139" s="1"/>
  <c r="R138"/>
  <c r="F138"/>
  <c r="R137"/>
  <c r="L137"/>
  <c r="M137" s="1"/>
  <c r="F137"/>
  <c r="N137" s="1"/>
  <c r="Q137" s="1"/>
  <c r="S137" s="1"/>
  <c r="R136"/>
  <c r="L136"/>
  <c r="M136" s="1"/>
  <c r="F136"/>
  <c r="N136" s="1"/>
  <c r="Q136" s="1"/>
  <c r="S136" s="1"/>
  <c r="R135"/>
  <c r="F135"/>
  <c r="I135" s="1"/>
  <c r="H135" s="1"/>
  <c r="L135" s="1"/>
  <c r="R134"/>
  <c r="H134"/>
  <c r="L134" s="1"/>
  <c r="F134"/>
  <c r="R133"/>
  <c r="F133"/>
  <c r="R132"/>
  <c r="F132"/>
  <c r="I132" s="1"/>
  <c r="H132" s="1"/>
  <c r="L132" s="1"/>
  <c r="R131"/>
  <c r="F131"/>
  <c r="R130"/>
  <c r="F130"/>
  <c r="I130" s="1"/>
  <c r="L130" s="1"/>
  <c r="R129"/>
  <c r="F129"/>
  <c r="I129" s="1"/>
  <c r="R128"/>
  <c r="F128"/>
  <c r="R127"/>
  <c r="F127"/>
  <c r="I127" s="1"/>
  <c r="L127" s="1"/>
  <c r="R126"/>
  <c r="F126"/>
  <c r="I126" s="1"/>
  <c r="H126" s="1"/>
  <c r="L126" s="1"/>
  <c r="R125"/>
  <c r="F125"/>
  <c r="N125" s="1"/>
  <c r="Q125" s="1"/>
  <c r="R124"/>
  <c r="F124"/>
  <c r="H124" s="1"/>
  <c r="R123"/>
  <c r="F123"/>
  <c r="I123" s="1"/>
  <c r="H123" s="1"/>
  <c r="L123" s="1"/>
  <c r="R122"/>
  <c r="F122"/>
  <c r="N122" s="1"/>
  <c r="Q122" s="1"/>
  <c r="R121"/>
  <c r="F121"/>
  <c r="R120"/>
  <c r="F120"/>
  <c r="I120" s="1"/>
  <c r="R119"/>
  <c r="I119"/>
  <c r="H119" s="1"/>
  <c r="N119" s="1"/>
  <c r="Q119" s="1"/>
  <c r="R118"/>
  <c r="F118"/>
  <c r="I118" s="1"/>
  <c r="L118" s="1"/>
  <c r="R117"/>
  <c r="F117"/>
  <c r="I117" s="1"/>
  <c r="L117" s="1"/>
  <c r="R116"/>
  <c r="F116"/>
  <c r="R115"/>
  <c r="I115"/>
  <c r="H115" s="1"/>
  <c r="L115" s="1"/>
  <c r="F115"/>
  <c r="R114"/>
  <c r="F114"/>
  <c r="R113"/>
  <c r="F113"/>
  <c r="I113" s="1"/>
  <c r="H113" s="1"/>
  <c r="L113" s="1"/>
  <c r="R112"/>
  <c r="F112"/>
  <c r="I112" s="1"/>
  <c r="L112" s="1"/>
  <c r="R111"/>
  <c r="F111"/>
  <c r="R110"/>
  <c r="F110"/>
  <c r="I110" s="1"/>
  <c r="L110" s="1"/>
  <c r="R109"/>
  <c r="F109"/>
  <c r="I109" s="1"/>
  <c r="L109" s="1"/>
  <c r="R108"/>
  <c r="F108"/>
  <c r="I108" s="1"/>
  <c r="R107"/>
  <c r="F107"/>
  <c r="N107" s="1"/>
  <c r="Q107" s="1"/>
  <c r="R106"/>
  <c r="F106"/>
  <c r="H106" s="1"/>
  <c r="R105"/>
  <c r="F105"/>
  <c r="I105" s="1"/>
  <c r="L105" s="1"/>
  <c r="R104"/>
  <c r="F104"/>
  <c r="I104" s="1"/>
  <c r="L104" s="1"/>
  <c r="R103"/>
  <c r="F103"/>
  <c r="I103" s="1"/>
  <c r="R102"/>
  <c r="F102"/>
  <c r="N102" s="1"/>
  <c r="Q102" s="1"/>
  <c r="R101"/>
  <c r="F101"/>
  <c r="H101" s="1"/>
  <c r="R100"/>
  <c r="F100"/>
  <c r="I100" s="1"/>
  <c r="L100" s="1"/>
  <c r="R99"/>
  <c r="F99"/>
  <c r="I99" s="1"/>
  <c r="L99" s="1"/>
  <c r="R98"/>
  <c r="F98"/>
  <c r="I98" s="1"/>
  <c r="L98" s="1"/>
  <c r="R97"/>
  <c r="F97"/>
  <c r="I97" s="1"/>
  <c r="H97" s="1"/>
  <c r="L97" s="1"/>
  <c r="R96"/>
  <c r="F96"/>
  <c r="R95"/>
  <c r="F95"/>
  <c r="I95" s="1"/>
  <c r="H95" s="1"/>
  <c r="L95" s="1"/>
  <c r="R94"/>
  <c r="F94"/>
  <c r="N94" s="1"/>
  <c r="Q94" s="1"/>
  <c r="R93"/>
  <c r="I93"/>
  <c r="H93" s="1"/>
  <c r="N93" s="1"/>
  <c r="Q93" s="1"/>
  <c r="R92"/>
  <c r="F92"/>
  <c r="R91"/>
  <c r="F91"/>
  <c r="I91" s="1"/>
  <c r="H91" s="1"/>
  <c r="L91" s="1"/>
  <c r="R90"/>
  <c r="F90"/>
  <c r="R89"/>
  <c r="L89"/>
  <c r="M89" s="1"/>
  <c r="F89"/>
  <c r="N89" s="1"/>
  <c r="R88"/>
  <c r="N88"/>
  <c r="Q88" s="1"/>
  <c r="I88"/>
  <c r="L88" s="1"/>
  <c r="R87"/>
  <c r="F87"/>
  <c r="I87" s="1"/>
  <c r="L87" s="1"/>
  <c r="R86"/>
  <c r="F86"/>
  <c r="I86" s="1"/>
  <c r="L86" s="1"/>
  <c r="R85"/>
  <c r="F85"/>
  <c r="I85" s="1"/>
  <c r="R84"/>
  <c r="F84"/>
  <c r="N84" s="1"/>
  <c r="Q84" s="1"/>
  <c r="R83"/>
  <c r="F83"/>
  <c r="R82"/>
  <c r="F82"/>
  <c r="I82" s="1"/>
  <c r="L82" s="1"/>
  <c r="R81"/>
  <c r="F81"/>
  <c r="I81" s="1"/>
  <c r="L81" s="1"/>
  <c r="R80"/>
  <c r="F80"/>
  <c r="I80" s="1"/>
  <c r="H80" s="1"/>
  <c r="L80" s="1"/>
  <c r="R79"/>
  <c r="F79"/>
  <c r="N79" s="1"/>
  <c r="Q79" s="1"/>
  <c r="R78"/>
  <c r="F78"/>
  <c r="H78" s="1"/>
  <c r="R77"/>
  <c r="F77"/>
  <c r="I77" s="1"/>
  <c r="L77" s="1"/>
  <c r="R76"/>
  <c r="I76"/>
  <c r="H76"/>
  <c r="N76" s="1"/>
  <c r="Q76" s="1"/>
  <c r="S76" s="1"/>
  <c r="R75"/>
  <c r="F75"/>
  <c r="I75" s="1"/>
  <c r="L75" s="1"/>
  <c r="R74"/>
  <c r="F74"/>
  <c r="I74" s="1"/>
  <c r="H74" s="1"/>
  <c r="L74" s="1"/>
  <c r="R73"/>
  <c r="F73"/>
  <c r="R72"/>
  <c r="F72"/>
  <c r="I72" s="1"/>
  <c r="H72" s="1"/>
  <c r="L72" s="1"/>
  <c r="R71"/>
  <c r="F71"/>
  <c r="N71" s="1"/>
  <c r="Q71" s="1"/>
  <c r="R70"/>
  <c r="I70"/>
  <c r="H70" s="1"/>
  <c r="N70" s="1"/>
  <c r="Q70" s="1"/>
  <c r="R69"/>
  <c r="F69"/>
  <c r="R68"/>
  <c r="F68"/>
  <c r="I68" s="1"/>
  <c r="H68" s="1"/>
  <c r="L68" s="1"/>
  <c r="R67"/>
  <c r="F67"/>
  <c r="I67" s="1"/>
  <c r="L67" s="1"/>
  <c r="R66"/>
  <c r="F66"/>
  <c r="R65"/>
  <c r="F65"/>
  <c r="H65" s="1"/>
  <c r="R64"/>
  <c r="F64"/>
  <c r="I64" s="1"/>
  <c r="L64" s="1"/>
  <c r="R63"/>
  <c r="F63"/>
  <c r="R62"/>
  <c r="I62"/>
  <c r="F62"/>
  <c r="H62" s="1"/>
  <c r="R61"/>
  <c r="F61"/>
  <c r="R60"/>
  <c r="F60"/>
  <c r="I60" s="1"/>
  <c r="L60" s="1"/>
  <c r="R59"/>
  <c r="F59"/>
  <c r="I59" s="1"/>
  <c r="L59" s="1"/>
  <c r="R58"/>
  <c r="F58"/>
  <c r="I58" s="1"/>
  <c r="H58" s="1"/>
  <c r="L58" s="1"/>
  <c r="R57"/>
  <c r="F57"/>
  <c r="R56"/>
  <c r="I56"/>
  <c r="H56" s="1"/>
  <c r="R55"/>
  <c r="F55"/>
  <c r="I55" s="1"/>
  <c r="R54"/>
  <c r="F54"/>
  <c r="R53"/>
  <c r="F53"/>
  <c r="I53" s="1"/>
  <c r="L53" s="1"/>
  <c r="R52"/>
  <c r="F52"/>
  <c r="I52" s="1"/>
  <c r="H52" s="1"/>
  <c r="L52" s="1"/>
  <c r="R51"/>
  <c r="F51"/>
  <c r="N51" s="1"/>
  <c r="Q51" s="1"/>
  <c r="R50"/>
  <c r="F50"/>
  <c r="N50" s="1"/>
  <c r="Q50" s="1"/>
  <c r="R49"/>
  <c r="F49"/>
  <c r="R48"/>
  <c r="F48"/>
  <c r="I48" s="1"/>
  <c r="H48" s="1"/>
  <c r="L48" s="1"/>
  <c r="R47"/>
  <c r="F47"/>
  <c r="R46"/>
  <c r="F46"/>
  <c r="R45"/>
  <c r="F45"/>
  <c r="I45" s="1"/>
  <c r="L45" s="1"/>
  <c r="R44"/>
  <c r="F44"/>
  <c r="I44" s="1"/>
  <c r="L44" s="1"/>
  <c r="R43"/>
  <c r="F43"/>
  <c r="I43" s="1"/>
  <c r="H43" s="1"/>
  <c r="L43" s="1"/>
  <c r="R42"/>
  <c r="F42"/>
  <c r="N42" s="1"/>
  <c r="Q42" s="1"/>
  <c r="R41"/>
  <c r="F41"/>
  <c r="H41" s="1"/>
  <c r="R40"/>
  <c r="F40"/>
  <c r="I40" s="1"/>
  <c r="R39"/>
  <c r="F39"/>
  <c r="I39" s="1"/>
  <c r="H39" s="1"/>
  <c r="L39" s="1"/>
  <c r="R38"/>
  <c r="F38"/>
  <c r="I38" s="1"/>
  <c r="H38" s="1"/>
  <c r="L38" s="1"/>
  <c r="R37"/>
  <c r="F37"/>
  <c r="N37" s="1"/>
  <c r="Q37" s="1"/>
  <c r="R36"/>
  <c r="F36"/>
  <c r="N36" s="1"/>
  <c r="Q36" s="1"/>
  <c r="R35"/>
  <c r="F35"/>
  <c r="I35" s="1"/>
  <c r="H35" s="1"/>
  <c r="L35" s="1"/>
  <c r="R34"/>
  <c r="F34"/>
  <c r="I34" s="1"/>
  <c r="H34" s="1"/>
  <c r="L34" s="1"/>
  <c r="R33"/>
  <c r="H33"/>
  <c r="L33" s="1"/>
  <c r="F33"/>
  <c r="R32"/>
  <c r="F32"/>
  <c r="H32" s="1"/>
  <c r="R31"/>
  <c r="F31"/>
  <c r="I31" s="1"/>
  <c r="L31" s="1"/>
  <c r="R30"/>
  <c r="F30"/>
  <c r="I30" s="1"/>
  <c r="L30" s="1"/>
  <c r="R29"/>
  <c r="F29"/>
  <c r="I29" s="1"/>
  <c r="R28"/>
  <c r="F28"/>
  <c r="H28" s="1"/>
  <c r="R27"/>
  <c r="F27"/>
  <c r="I27" s="1"/>
  <c r="L27" s="1"/>
  <c r="R26"/>
  <c r="F26"/>
  <c r="I26" s="1"/>
  <c r="R25"/>
  <c r="F25"/>
  <c r="N25" s="1"/>
  <c r="Q25" s="1"/>
  <c r="R24"/>
  <c r="F24"/>
  <c r="R23"/>
  <c r="F23"/>
  <c r="I23" s="1"/>
  <c r="L23" s="1"/>
  <c r="R22"/>
  <c r="F22"/>
  <c r="I22" s="1"/>
  <c r="L22" s="1"/>
  <c r="R21"/>
  <c r="F21"/>
  <c r="I21" s="1"/>
  <c r="R20"/>
  <c r="F20"/>
  <c r="R19"/>
  <c r="F19"/>
  <c r="I19" s="1"/>
  <c r="L19" s="1"/>
  <c r="R18"/>
  <c r="F18"/>
  <c r="I18" s="1"/>
  <c r="H18" s="1"/>
  <c r="L18" s="1"/>
  <c r="R17"/>
  <c r="F17"/>
  <c r="N17" s="1"/>
  <c r="Q17" s="1"/>
  <c r="R16"/>
  <c r="F16"/>
  <c r="R15"/>
  <c r="F15"/>
  <c r="I15" s="1"/>
  <c r="H15" s="1"/>
  <c r="L15" s="1"/>
  <c r="R14"/>
  <c r="F14"/>
  <c r="N14" s="1"/>
  <c r="Q14" s="1"/>
  <c r="R13"/>
  <c r="F13"/>
  <c r="N13" s="1"/>
  <c r="Q13" s="1"/>
  <c r="R12"/>
  <c r="F12"/>
  <c r="R11"/>
  <c r="F11"/>
  <c r="I11" s="1"/>
  <c r="L11" s="1"/>
  <c r="R10"/>
  <c r="F10"/>
  <c r="I10" s="1"/>
  <c r="L10" s="1"/>
  <c r="R9"/>
  <c r="F9"/>
  <c r="I9" s="1"/>
  <c r="H9" s="1"/>
  <c r="L9" s="1"/>
  <c r="R8"/>
  <c r="F8"/>
  <c r="H8" s="1"/>
  <c r="R7"/>
  <c r="F7"/>
  <c r="I7" s="1"/>
  <c r="L7" s="1"/>
  <c r="R6"/>
  <c r="F6"/>
  <c r="I6" s="1"/>
  <c r="L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R5"/>
  <c r="F5"/>
  <c r="N5" s="1"/>
  <c r="S7" i="4" l="1"/>
  <c r="S11"/>
  <c r="S13"/>
  <c r="S268" i="2"/>
  <c r="S269"/>
  <c r="S119"/>
  <c r="S122"/>
  <c r="S232"/>
  <c r="N291"/>
  <c r="Q291" s="1"/>
  <c r="G14" i="10"/>
  <c r="Q89" i="2"/>
  <c r="S89" s="1"/>
  <c r="Q142"/>
  <c r="S142" s="1"/>
  <c r="Q146"/>
  <c r="S146" s="1"/>
  <c r="Q248"/>
  <c r="Q249"/>
  <c r="Q382"/>
  <c r="Q399"/>
  <c r="S399" s="1"/>
  <c r="I55" i="6"/>
  <c r="K5" i="14"/>
  <c r="F5" s="1"/>
  <c r="K7"/>
  <c r="S125" i="2"/>
  <c r="S210"/>
  <c r="S372"/>
  <c r="S373"/>
  <c r="S376"/>
  <c r="S381"/>
  <c r="S291"/>
  <c r="R12" i="12"/>
  <c r="R21"/>
  <c r="R27"/>
  <c r="R33"/>
  <c r="R61"/>
  <c r="R71"/>
  <c r="I159" i="2"/>
  <c r="S10" i="4"/>
  <c r="L7" i="8"/>
  <c r="F7"/>
  <c r="L6" i="12"/>
  <c r="F6"/>
  <c r="L9"/>
  <c r="F9"/>
  <c r="L18"/>
  <c r="F18"/>
  <c r="L26"/>
  <c r="F26"/>
  <c r="L31"/>
  <c r="F31"/>
  <c r="L68"/>
  <c r="F68"/>
  <c r="L76"/>
  <c r="F76"/>
  <c r="L112"/>
  <c r="F112"/>
  <c r="L6" i="10"/>
  <c r="F6"/>
  <c r="M6" s="1"/>
  <c r="P6" s="1"/>
  <c r="R6" s="1"/>
  <c r="L8"/>
  <c r="F8"/>
  <c r="L12"/>
  <c r="F12"/>
  <c r="F17" i="4"/>
  <c r="L6"/>
  <c r="N8"/>
  <c r="Q8" s="1"/>
  <c r="L11"/>
  <c r="M13"/>
  <c r="I7" i="6"/>
  <c r="I52"/>
  <c r="M5" i="8"/>
  <c r="M7"/>
  <c r="P7" s="1"/>
  <c r="R7" s="1"/>
  <c r="M8" i="10"/>
  <c r="P8" s="1"/>
  <c r="R8" s="1"/>
  <c r="M12"/>
  <c r="P12" s="1"/>
  <c r="R12" s="1"/>
  <c r="M6" i="12"/>
  <c r="P6" s="1"/>
  <c r="R6" s="1"/>
  <c r="M9"/>
  <c r="P9" s="1"/>
  <c r="R9" s="1"/>
  <c r="M18"/>
  <c r="P18" s="1"/>
  <c r="R18" s="1"/>
  <c r="M26"/>
  <c r="P26" s="1"/>
  <c r="R26" s="1"/>
  <c r="M31"/>
  <c r="P31" s="1"/>
  <c r="R31" s="1"/>
  <c r="M68"/>
  <c r="P68" s="1"/>
  <c r="R68" s="1"/>
  <c r="M76"/>
  <c r="P76" s="1"/>
  <c r="R76" s="1"/>
  <c r="M112"/>
  <c r="P112" s="1"/>
  <c r="R112" s="1"/>
  <c r="A72" i="6"/>
  <c r="A73" s="1"/>
  <c r="A74" s="1"/>
  <c r="A75" s="1"/>
  <c r="A76" s="1"/>
  <c r="A77" s="1"/>
  <c r="A78" s="1"/>
  <c r="A79" s="1"/>
  <c r="Q10" i="8"/>
  <c r="R6"/>
  <c r="Q14" i="10"/>
  <c r="R7"/>
  <c r="R11"/>
  <c r="R7" i="12"/>
  <c r="E127"/>
  <c r="R16"/>
  <c r="R24"/>
  <c r="R29"/>
  <c r="R60"/>
  <c r="K61"/>
  <c r="R62"/>
  <c r="R63"/>
  <c r="R67"/>
  <c r="R75"/>
  <c r="R111"/>
  <c r="M5" i="14"/>
  <c r="I5" i="6"/>
  <c r="N9"/>
  <c r="Q9" s="1"/>
  <c r="I15"/>
  <c r="I19"/>
  <c r="I50"/>
  <c r="I54"/>
  <c r="I72"/>
  <c r="N74"/>
  <c r="Q74" s="1"/>
  <c r="I76"/>
  <c r="I24"/>
  <c r="R79"/>
  <c r="R78"/>
  <c r="S9"/>
  <c r="S13"/>
  <c r="S14"/>
  <c r="S20"/>
  <c r="S22"/>
  <c r="S26"/>
  <c r="S30"/>
  <c r="S35"/>
  <c r="S36"/>
  <c r="S39"/>
  <c r="S40"/>
  <c r="S68"/>
  <c r="S69"/>
  <c r="S70"/>
  <c r="S71"/>
  <c r="N280" i="2"/>
  <c r="Q280" s="1"/>
  <c r="S280" s="1"/>
  <c r="N323"/>
  <c r="Q323" s="1"/>
  <c r="S70"/>
  <c r="N171"/>
  <c r="Q171" s="1"/>
  <c r="S171" s="1"/>
  <c r="S174"/>
  <c r="N9" i="16"/>
  <c r="H9"/>
  <c r="O9"/>
  <c r="I8" i="2"/>
  <c r="S13"/>
  <c r="S14"/>
  <c r="I41"/>
  <c r="S42"/>
  <c r="S79"/>
  <c r="H286"/>
  <c r="N294"/>
  <c r="Q294" s="1"/>
  <c r="S294" s="1"/>
  <c r="N358"/>
  <c r="Q358" s="1"/>
  <c r="S151"/>
  <c r="S175"/>
  <c r="S176"/>
  <c r="N8" i="16"/>
  <c r="H8"/>
  <c r="O8"/>
  <c r="M88" i="2"/>
  <c r="G88"/>
  <c r="S84"/>
  <c r="G89"/>
  <c r="S93"/>
  <c r="S94"/>
  <c r="S102"/>
  <c r="S107"/>
  <c r="S157"/>
  <c r="S179"/>
  <c r="N187"/>
  <c r="Q187" s="1"/>
  <c r="S187" s="1"/>
  <c r="N222"/>
  <c r="Q222" s="1"/>
  <c r="S222" s="1"/>
  <c r="S225"/>
  <c r="N238"/>
  <c r="Q238" s="1"/>
  <c r="S238" s="1"/>
  <c r="S255"/>
  <c r="S256"/>
  <c r="A120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F411"/>
  <c r="R411"/>
  <c r="N31"/>
  <c r="Q31" s="1"/>
  <c r="S31" s="1"/>
  <c r="N33"/>
  <c r="Q33" s="1"/>
  <c r="S33" s="1"/>
  <c r="S36"/>
  <c r="S340"/>
  <c r="N346"/>
  <c r="Q346" s="1"/>
  <c r="S346" s="1"/>
  <c r="S351"/>
  <c r="S352"/>
  <c r="N7" i="16"/>
  <c r="H7"/>
  <c r="O7"/>
  <c r="S37" i="2"/>
  <c r="N45"/>
  <c r="Q45" s="1"/>
  <c r="S45" s="1"/>
  <c r="S50"/>
  <c r="S51"/>
  <c r="I65"/>
  <c r="N112"/>
  <c r="Q112" s="1"/>
  <c r="S112" s="1"/>
  <c r="N118"/>
  <c r="Q118" s="1"/>
  <c r="S118" s="1"/>
  <c r="N134"/>
  <c r="Q134" s="1"/>
  <c r="S134" s="1"/>
  <c r="N139"/>
  <c r="Q139" s="1"/>
  <c r="N161"/>
  <c r="Q161" s="1"/>
  <c r="S161" s="1"/>
  <c r="N289"/>
  <c r="Q289" s="1"/>
  <c r="S289" s="1"/>
  <c r="S298"/>
  <c r="S303"/>
  <c r="S312"/>
  <c r="G332"/>
  <c r="N339"/>
  <c r="Q339" s="1"/>
  <c r="S339" s="1"/>
  <c r="N344"/>
  <c r="Q344" s="1"/>
  <c r="S344" s="1"/>
  <c r="N356"/>
  <c r="Q356" s="1"/>
  <c r="S356" s="1"/>
  <c r="N360"/>
  <c r="Q360" s="1"/>
  <c r="N6"/>
  <c r="Q6" s="1"/>
  <c r="S6" s="1"/>
  <c r="N27"/>
  <c r="Q27" s="1"/>
  <c r="S152"/>
  <c r="S153"/>
  <c r="N169"/>
  <c r="Q169" s="1"/>
  <c r="S169" s="1"/>
  <c r="I184"/>
  <c r="N192"/>
  <c r="Q192" s="1"/>
  <c r="S192" s="1"/>
  <c r="S195"/>
  <c r="I214"/>
  <c r="S215"/>
  <c r="L220"/>
  <c r="G220" s="1"/>
  <c r="N224"/>
  <c r="Q224" s="1"/>
  <c r="S224" s="1"/>
  <c r="I226"/>
  <c r="N235"/>
  <c r="Q235" s="1"/>
  <c r="S235" s="1"/>
  <c r="S247"/>
  <c r="S248"/>
  <c r="S249"/>
  <c r="I259"/>
  <c r="S260"/>
  <c r="S261"/>
  <c r="N6" i="16"/>
  <c r="H6"/>
  <c r="M134" i="2"/>
  <c r="G134"/>
  <c r="N64"/>
  <c r="Q64" s="1"/>
  <c r="S64" s="1"/>
  <c r="N67"/>
  <c r="S71"/>
  <c r="S88"/>
  <c r="G137"/>
  <c r="N140"/>
  <c r="Q140" s="1"/>
  <c r="S140" s="1"/>
  <c r="N155"/>
  <c r="Q155" s="1"/>
  <c r="S155" s="1"/>
  <c r="I162"/>
  <c r="N166"/>
  <c r="Q166" s="1"/>
  <c r="S166" s="1"/>
  <c r="N168"/>
  <c r="Q168" s="1"/>
  <c r="S168" s="1"/>
  <c r="N170"/>
  <c r="Q170" s="1"/>
  <c r="S170" s="1"/>
  <c r="N183"/>
  <c r="Q183" s="1"/>
  <c r="S183" s="1"/>
  <c r="N186"/>
  <c r="Q186" s="1"/>
  <c r="S186" s="1"/>
  <c r="S201"/>
  <c r="S202"/>
  <c r="N205"/>
  <c r="Q205" s="1"/>
  <c r="S205" s="1"/>
  <c r="I212"/>
  <c r="L212" s="1"/>
  <c r="N221"/>
  <c r="Q221" s="1"/>
  <c r="S221" s="1"/>
  <c r="N223"/>
  <c r="Q223" s="1"/>
  <c r="S223" s="1"/>
  <c r="I228"/>
  <c r="N234"/>
  <c r="Q234" s="1"/>
  <c r="S234" s="1"/>
  <c r="I239"/>
  <c r="S240"/>
  <c r="S252"/>
  <c r="N258"/>
  <c r="Q258" s="1"/>
  <c r="S258" s="1"/>
  <c r="N266"/>
  <c r="Q266" s="1"/>
  <c r="S266" s="1"/>
  <c r="N271"/>
  <c r="Q271" s="1"/>
  <c r="S271" s="1"/>
  <c r="N274"/>
  <c r="Q274" s="1"/>
  <c r="S274" s="1"/>
  <c r="I277"/>
  <c r="L277" s="1"/>
  <c r="N290"/>
  <c r="Q290" s="1"/>
  <c r="S290" s="1"/>
  <c r="N292"/>
  <c r="Q292" s="1"/>
  <c r="S292" s="1"/>
  <c r="G394"/>
  <c r="I398"/>
  <c r="N7"/>
  <c r="Q7" s="1"/>
  <c r="S7" s="1"/>
  <c r="N19"/>
  <c r="Q19" s="1"/>
  <c r="S19" s="1"/>
  <c r="S25"/>
  <c r="N30"/>
  <c r="Q30" s="1"/>
  <c r="S30" s="1"/>
  <c r="N35"/>
  <c r="Q35" s="1"/>
  <c r="S35" s="1"/>
  <c r="N44"/>
  <c r="Q44" s="1"/>
  <c r="S44" s="1"/>
  <c r="N91"/>
  <c r="Q91" s="1"/>
  <c r="S91" s="1"/>
  <c r="N115"/>
  <c r="Q115" s="1"/>
  <c r="S115" s="1"/>
  <c r="N117"/>
  <c r="Q117" s="1"/>
  <c r="S117" s="1"/>
  <c r="N135"/>
  <c r="Q135" s="1"/>
  <c r="S135" s="1"/>
  <c r="N217"/>
  <c r="Q217" s="1"/>
  <c r="S217" s="1"/>
  <c r="N219"/>
  <c r="N236"/>
  <c r="Q236" s="1"/>
  <c r="S236" s="1"/>
  <c r="N251"/>
  <c r="Q251" s="1"/>
  <c r="S251" s="1"/>
  <c r="N281"/>
  <c r="Q281" s="1"/>
  <c r="S281" s="1"/>
  <c r="N285"/>
  <c r="Q285" s="1"/>
  <c r="S285" s="1"/>
  <c r="N287"/>
  <c r="Q287" s="1"/>
  <c r="S287" s="1"/>
  <c r="S315"/>
  <c r="S319"/>
  <c r="S320"/>
  <c r="S321"/>
  <c r="I329"/>
  <c r="I334"/>
  <c r="G342"/>
  <c r="N345"/>
  <c r="Q345" s="1"/>
  <c r="S345" s="1"/>
  <c r="I354"/>
  <c r="H354" s="1"/>
  <c r="L354" s="1"/>
  <c r="N357"/>
  <c r="Q357" s="1"/>
  <c r="S357" s="1"/>
  <c r="N359"/>
  <c r="Q359" s="1"/>
  <c r="S359" s="1"/>
  <c r="N361"/>
  <c r="Q361" s="1"/>
  <c r="S361" s="1"/>
  <c r="I367"/>
  <c r="H367" s="1"/>
  <c r="L367" s="1"/>
  <c r="S368"/>
  <c r="S369"/>
  <c r="S374"/>
  <c r="N5" i="16"/>
  <c r="H5"/>
  <c r="O5"/>
  <c r="M79" i="6"/>
  <c r="G79"/>
  <c r="I78"/>
  <c r="H78" s="1"/>
  <c r="L78" s="1"/>
  <c r="N79"/>
  <c r="Q79" s="1"/>
  <c r="M407" i="2"/>
  <c r="G407"/>
  <c r="M409"/>
  <c r="G409"/>
  <c r="M404"/>
  <c r="G404"/>
  <c r="M406"/>
  <c r="G406"/>
  <c r="M408"/>
  <c r="G408"/>
  <c r="N404"/>
  <c r="Q404" s="1"/>
  <c r="S404" s="1"/>
  <c r="H405"/>
  <c r="N406"/>
  <c r="Q406" s="1"/>
  <c r="S406" s="1"/>
  <c r="N407"/>
  <c r="Q407" s="1"/>
  <c r="S407" s="1"/>
  <c r="N408"/>
  <c r="Q408" s="1"/>
  <c r="S408" s="1"/>
  <c r="N409"/>
  <c r="Q409" s="1"/>
  <c r="S409" s="1"/>
  <c r="G403"/>
  <c r="S139"/>
  <c r="S336"/>
  <c r="S17"/>
  <c r="S27"/>
  <c r="S143"/>
  <c r="S241"/>
  <c r="S278"/>
  <c r="S323"/>
  <c r="S358"/>
  <c r="S360"/>
  <c r="S382"/>
  <c r="R12" i="6"/>
  <c r="L28" i="16"/>
  <c r="M9" i="14"/>
  <c r="L5"/>
  <c r="P5"/>
  <c r="K6"/>
  <c r="M10" i="12"/>
  <c r="P10" s="1"/>
  <c r="R10" s="1"/>
  <c r="K10"/>
  <c r="M11"/>
  <c r="P11" s="1"/>
  <c r="R11" s="1"/>
  <c r="K11"/>
  <c r="M13"/>
  <c r="P13" s="1"/>
  <c r="R13" s="1"/>
  <c r="K13"/>
  <c r="M19"/>
  <c r="P19" s="1"/>
  <c r="R19" s="1"/>
  <c r="K19"/>
  <c r="M20"/>
  <c r="P20" s="1"/>
  <c r="R20" s="1"/>
  <c r="K20"/>
  <c r="M32"/>
  <c r="P32" s="1"/>
  <c r="R32" s="1"/>
  <c r="K32"/>
  <c r="M34"/>
  <c r="P34" s="1"/>
  <c r="R34" s="1"/>
  <c r="K34"/>
  <c r="M35"/>
  <c r="P35" s="1"/>
  <c r="R35" s="1"/>
  <c r="K35"/>
  <c r="M36"/>
  <c r="P36" s="1"/>
  <c r="R36" s="1"/>
  <c r="K36"/>
  <c r="M37"/>
  <c r="P37" s="1"/>
  <c r="R37" s="1"/>
  <c r="K37"/>
  <c r="M38"/>
  <c r="P38" s="1"/>
  <c r="R38" s="1"/>
  <c r="K38"/>
  <c r="M39"/>
  <c r="P39" s="1"/>
  <c r="R39" s="1"/>
  <c r="K39"/>
  <c r="M40"/>
  <c r="P40" s="1"/>
  <c r="R40" s="1"/>
  <c r="K40"/>
  <c r="M41"/>
  <c r="P41" s="1"/>
  <c r="R41" s="1"/>
  <c r="K41"/>
  <c r="M15"/>
  <c r="P15" s="1"/>
  <c r="R15" s="1"/>
  <c r="K15"/>
  <c r="M17"/>
  <c r="P17" s="1"/>
  <c r="R17" s="1"/>
  <c r="K17"/>
  <c r="M23"/>
  <c r="P23" s="1"/>
  <c r="R23" s="1"/>
  <c r="K23"/>
  <c r="M25"/>
  <c r="P25" s="1"/>
  <c r="R25" s="1"/>
  <c r="K25"/>
  <c r="M30"/>
  <c r="P30" s="1"/>
  <c r="R30" s="1"/>
  <c r="K30"/>
  <c r="M43"/>
  <c r="P43" s="1"/>
  <c r="R43" s="1"/>
  <c r="K43"/>
  <c r="M44"/>
  <c r="P44" s="1"/>
  <c r="R44" s="1"/>
  <c r="K44"/>
  <c r="M45"/>
  <c r="P45" s="1"/>
  <c r="R45" s="1"/>
  <c r="K45"/>
  <c r="M46"/>
  <c r="P46" s="1"/>
  <c r="R46" s="1"/>
  <c r="K46"/>
  <c r="M47"/>
  <c r="P47" s="1"/>
  <c r="R47" s="1"/>
  <c r="K47"/>
  <c r="M48"/>
  <c r="P48" s="1"/>
  <c r="R48" s="1"/>
  <c r="K48"/>
  <c r="M49"/>
  <c r="P49" s="1"/>
  <c r="R49" s="1"/>
  <c r="K49"/>
  <c r="M50"/>
  <c r="P50" s="1"/>
  <c r="R50" s="1"/>
  <c r="K50"/>
  <c r="M51"/>
  <c r="P51" s="1"/>
  <c r="R51" s="1"/>
  <c r="K51"/>
  <c r="M52"/>
  <c r="P52" s="1"/>
  <c r="R52" s="1"/>
  <c r="K52"/>
  <c r="M53"/>
  <c r="P53" s="1"/>
  <c r="R53" s="1"/>
  <c r="K53"/>
  <c r="M54"/>
  <c r="P54" s="1"/>
  <c r="R54" s="1"/>
  <c r="K54"/>
  <c r="M55"/>
  <c r="P55" s="1"/>
  <c r="R55" s="1"/>
  <c r="K55"/>
  <c r="M56"/>
  <c r="P56" s="1"/>
  <c r="R56" s="1"/>
  <c r="K56"/>
  <c r="M57"/>
  <c r="P57" s="1"/>
  <c r="R57" s="1"/>
  <c r="K57"/>
  <c r="M58"/>
  <c r="P58" s="1"/>
  <c r="R58" s="1"/>
  <c r="K58"/>
  <c r="M59"/>
  <c r="P59" s="1"/>
  <c r="R59" s="1"/>
  <c r="K59"/>
  <c r="M69"/>
  <c r="P69" s="1"/>
  <c r="R69" s="1"/>
  <c r="K69"/>
  <c r="M70"/>
  <c r="P70" s="1"/>
  <c r="R70" s="1"/>
  <c r="K70"/>
  <c r="M72"/>
  <c r="P72" s="1"/>
  <c r="R72" s="1"/>
  <c r="K72"/>
  <c r="M77"/>
  <c r="P77" s="1"/>
  <c r="R77" s="1"/>
  <c r="K77"/>
  <c r="M78"/>
  <c r="P78" s="1"/>
  <c r="R78" s="1"/>
  <c r="K78"/>
  <c r="M79"/>
  <c r="P79" s="1"/>
  <c r="R79" s="1"/>
  <c r="K79"/>
  <c r="M80"/>
  <c r="P80" s="1"/>
  <c r="R80" s="1"/>
  <c r="K80"/>
  <c r="M81"/>
  <c r="P81" s="1"/>
  <c r="R81" s="1"/>
  <c r="K81"/>
  <c r="M82"/>
  <c r="P82" s="1"/>
  <c r="R82" s="1"/>
  <c r="K82"/>
  <c r="M83"/>
  <c r="P83" s="1"/>
  <c r="R83" s="1"/>
  <c r="K83"/>
  <c r="M84"/>
  <c r="P84" s="1"/>
  <c r="R84" s="1"/>
  <c r="K84"/>
  <c r="M85"/>
  <c r="P85" s="1"/>
  <c r="R85" s="1"/>
  <c r="K85"/>
  <c r="M86"/>
  <c r="P86" s="1"/>
  <c r="R86" s="1"/>
  <c r="K86"/>
  <c r="M87"/>
  <c r="P87" s="1"/>
  <c r="R87" s="1"/>
  <c r="K87"/>
  <c r="M88"/>
  <c r="P88" s="1"/>
  <c r="R88" s="1"/>
  <c r="K88"/>
  <c r="M89"/>
  <c r="P89" s="1"/>
  <c r="R89" s="1"/>
  <c r="K89"/>
  <c r="M90"/>
  <c r="P90" s="1"/>
  <c r="R90" s="1"/>
  <c r="K90"/>
  <c r="M92"/>
  <c r="P92" s="1"/>
  <c r="R92" s="1"/>
  <c r="K92"/>
  <c r="M93"/>
  <c r="P93" s="1"/>
  <c r="R93" s="1"/>
  <c r="K93"/>
  <c r="M94"/>
  <c r="P94" s="1"/>
  <c r="R94" s="1"/>
  <c r="K94"/>
  <c r="M95"/>
  <c r="P95" s="1"/>
  <c r="R95" s="1"/>
  <c r="K95"/>
  <c r="M96"/>
  <c r="P96" s="1"/>
  <c r="R96" s="1"/>
  <c r="K96"/>
  <c r="M97"/>
  <c r="P97" s="1"/>
  <c r="R97" s="1"/>
  <c r="K97"/>
  <c r="M98"/>
  <c r="P98" s="1"/>
  <c r="R98" s="1"/>
  <c r="K98"/>
  <c r="M99"/>
  <c r="P99" s="1"/>
  <c r="R99" s="1"/>
  <c r="K99"/>
  <c r="M100"/>
  <c r="P100" s="1"/>
  <c r="R100" s="1"/>
  <c r="K100"/>
  <c r="M113"/>
  <c r="P113" s="1"/>
  <c r="R113" s="1"/>
  <c r="K113"/>
  <c r="M114"/>
  <c r="P114" s="1"/>
  <c r="R114" s="1"/>
  <c r="K114"/>
  <c r="M115"/>
  <c r="P115" s="1"/>
  <c r="R115" s="1"/>
  <c r="K115"/>
  <c r="M116"/>
  <c r="P116" s="1"/>
  <c r="R116" s="1"/>
  <c r="K116"/>
  <c r="M117"/>
  <c r="P117" s="1"/>
  <c r="R117" s="1"/>
  <c r="K117"/>
  <c r="M118"/>
  <c r="P118" s="1"/>
  <c r="R118" s="1"/>
  <c r="K118"/>
  <c r="M119"/>
  <c r="P119" s="1"/>
  <c r="R119" s="1"/>
  <c r="K119"/>
  <c r="M120"/>
  <c r="P120" s="1"/>
  <c r="R120" s="1"/>
  <c r="K120"/>
  <c r="M121"/>
  <c r="P121" s="1"/>
  <c r="R121" s="1"/>
  <c r="K121"/>
  <c r="M122"/>
  <c r="P122" s="1"/>
  <c r="R122" s="1"/>
  <c r="K122"/>
  <c r="M123"/>
  <c r="P123" s="1"/>
  <c r="R123" s="1"/>
  <c r="K123"/>
  <c r="M124"/>
  <c r="P124" s="1"/>
  <c r="R124" s="1"/>
  <c r="K124"/>
  <c r="M125"/>
  <c r="P125" s="1"/>
  <c r="R125" s="1"/>
  <c r="K125"/>
  <c r="G127"/>
  <c r="G8"/>
  <c r="K62"/>
  <c r="K63"/>
  <c r="M64"/>
  <c r="P64" s="1"/>
  <c r="R64" s="1"/>
  <c r="K64"/>
  <c r="M65"/>
  <c r="P65" s="1"/>
  <c r="R65" s="1"/>
  <c r="K65"/>
  <c r="M66"/>
  <c r="P66" s="1"/>
  <c r="R66" s="1"/>
  <c r="K66"/>
  <c r="M74"/>
  <c r="P74" s="1"/>
  <c r="R74" s="1"/>
  <c r="K74"/>
  <c r="M102"/>
  <c r="P102" s="1"/>
  <c r="R102" s="1"/>
  <c r="K102"/>
  <c r="M103"/>
  <c r="P103" s="1"/>
  <c r="R103" s="1"/>
  <c r="K103"/>
  <c r="M104"/>
  <c r="P104" s="1"/>
  <c r="R104" s="1"/>
  <c r="K104"/>
  <c r="M105"/>
  <c r="P105" s="1"/>
  <c r="R105" s="1"/>
  <c r="K105"/>
  <c r="M106"/>
  <c r="P106" s="1"/>
  <c r="R106" s="1"/>
  <c r="K106"/>
  <c r="M107"/>
  <c r="P107" s="1"/>
  <c r="R107" s="1"/>
  <c r="K107"/>
  <c r="M108"/>
  <c r="P108" s="1"/>
  <c r="R108" s="1"/>
  <c r="K108"/>
  <c r="M109"/>
  <c r="P109" s="1"/>
  <c r="R109" s="1"/>
  <c r="K109"/>
  <c r="M110"/>
  <c r="P110" s="1"/>
  <c r="R110" s="1"/>
  <c r="K110"/>
  <c r="K5"/>
  <c r="M5"/>
  <c r="Q127"/>
  <c r="K7"/>
  <c r="K12"/>
  <c r="K16"/>
  <c r="K21"/>
  <c r="K24"/>
  <c r="K27"/>
  <c r="K29"/>
  <c r="K33"/>
  <c r="K60"/>
  <c r="K67"/>
  <c r="K71"/>
  <c r="K75"/>
  <c r="K111"/>
  <c r="K5" i="10"/>
  <c r="M5"/>
  <c r="K7"/>
  <c r="K9"/>
  <c r="K11"/>
  <c r="L5"/>
  <c r="L5" i="8"/>
  <c r="P5"/>
  <c r="K6"/>
  <c r="G8"/>
  <c r="G10" s="1"/>
  <c r="R7" i="6"/>
  <c r="R8"/>
  <c r="R27"/>
  <c r="R28"/>
  <c r="R29"/>
  <c r="R44"/>
  <c r="R53"/>
  <c r="R60"/>
  <c r="R43"/>
  <c r="R52"/>
  <c r="N7"/>
  <c r="Q7" s="1"/>
  <c r="L7"/>
  <c r="N17"/>
  <c r="Q17" s="1"/>
  <c r="M8"/>
  <c r="G8"/>
  <c r="M9"/>
  <c r="G9"/>
  <c r="N15"/>
  <c r="Q15" s="1"/>
  <c r="L15"/>
  <c r="M17"/>
  <c r="G17"/>
  <c r="N19"/>
  <c r="Q19" s="1"/>
  <c r="L19"/>
  <c r="N21"/>
  <c r="Q21" s="1"/>
  <c r="S21" s="1"/>
  <c r="L21"/>
  <c r="M37"/>
  <c r="G37"/>
  <c r="N38"/>
  <c r="Q38" s="1"/>
  <c r="M42"/>
  <c r="G42"/>
  <c r="N43"/>
  <c r="Q43" s="1"/>
  <c r="M45"/>
  <c r="G45"/>
  <c r="N46"/>
  <c r="Q46" s="1"/>
  <c r="N48"/>
  <c r="Q48" s="1"/>
  <c r="N50"/>
  <c r="Q50" s="1"/>
  <c r="L50"/>
  <c r="N54"/>
  <c r="Q54" s="1"/>
  <c r="L54"/>
  <c r="G54" s="1"/>
  <c r="N55"/>
  <c r="Q55" s="1"/>
  <c r="L55"/>
  <c r="G55" s="1"/>
  <c r="M56"/>
  <c r="G56"/>
  <c r="M58"/>
  <c r="G58"/>
  <c r="M59"/>
  <c r="G59"/>
  <c r="N60"/>
  <c r="Q60" s="1"/>
  <c r="L60"/>
  <c r="N61"/>
  <c r="Q61" s="1"/>
  <c r="M64"/>
  <c r="G64"/>
  <c r="M65"/>
  <c r="G65"/>
  <c r="M66"/>
  <c r="G66"/>
  <c r="N67"/>
  <c r="Q67" s="1"/>
  <c r="N77"/>
  <c r="Q77" s="1"/>
  <c r="H6"/>
  <c r="N8"/>
  <c r="Q8" s="1"/>
  <c r="M10"/>
  <c r="I14"/>
  <c r="L14" s="1"/>
  <c r="G14" s="1"/>
  <c r="H16"/>
  <c r="H18"/>
  <c r="M54"/>
  <c r="M55"/>
  <c r="N24"/>
  <c r="Q24" s="1"/>
  <c r="L24"/>
  <c r="N27"/>
  <c r="Q27" s="1"/>
  <c r="M28"/>
  <c r="G28"/>
  <c r="N29"/>
  <c r="Q29" s="1"/>
  <c r="N32"/>
  <c r="Q32" s="1"/>
  <c r="N34"/>
  <c r="Q34" s="1"/>
  <c r="M51"/>
  <c r="G51"/>
  <c r="N52"/>
  <c r="Q52" s="1"/>
  <c r="L52"/>
  <c r="N72"/>
  <c r="Q72" s="1"/>
  <c r="L72"/>
  <c r="M74"/>
  <c r="G74"/>
  <c r="N75"/>
  <c r="Q75" s="1"/>
  <c r="N76"/>
  <c r="Q76" s="1"/>
  <c r="L76"/>
  <c r="H5"/>
  <c r="N10"/>
  <c r="Q10" s="1"/>
  <c r="I11"/>
  <c r="H11" s="1"/>
  <c r="L11" s="1"/>
  <c r="G11" s="1"/>
  <c r="I12"/>
  <c r="H12" s="1"/>
  <c r="L12" s="1"/>
  <c r="G12" s="1"/>
  <c r="L13"/>
  <c r="G20"/>
  <c r="I22"/>
  <c r="L22" s="1"/>
  <c r="H23"/>
  <c r="H25"/>
  <c r="L26"/>
  <c r="I27"/>
  <c r="L27" s="1"/>
  <c r="N28"/>
  <c r="Q28" s="1"/>
  <c r="I29"/>
  <c r="L29" s="1"/>
  <c r="I30"/>
  <c r="L30" s="1"/>
  <c r="H31"/>
  <c r="I32"/>
  <c r="L32" s="1"/>
  <c r="H33"/>
  <c r="I34"/>
  <c r="L34" s="1"/>
  <c r="I36"/>
  <c r="L36" s="1"/>
  <c r="N37"/>
  <c r="Q37" s="1"/>
  <c r="I38"/>
  <c r="L38" s="1"/>
  <c r="I39"/>
  <c r="L39" s="1"/>
  <c r="I40"/>
  <c r="L40" s="1"/>
  <c r="H41"/>
  <c r="N42"/>
  <c r="Q42" s="1"/>
  <c r="S42" s="1"/>
  <c r="I43"/>
  <c r="L43" s="1"/>
  <c r="H44"/>
  <c r="N45"/>
  <c r="Q45" s="1"/>
  <c r="S45" s="1"/>
  <c r="I46"/>
  <c r="L46" s="1"/>
  <c r="H47"/>
  <c r="I48"/>
  <c r="L48" s="1"/>
  <c r="H49"/>
  <c r="N51"/>
  <c r="Q51" s="1"/>
  <c r="S51" s="1"/>
  <c r="H53"/>
  <c r="N56"/>
  <c r="Q56" s="1"/>
  <c r="S56" s="1"/>
  <c r="I57"/>
  <c r="H57" s="1"/>
  <c r="L57" s="1"/>
  <c r="N58"/>
  <c r="Q58" s="1"/>
  <c r="N59"/>
  <c r="Q59" s="1"/>
  <c r="S59" s="1"/>
  <c r="I61"/>
  <c r="L61" s="1"/>
  <c r="H62"/>
  <c r="I63"/>
  <c r="H63" s="1"/>
  <c r="L63" s="1"/>
  <c r="N64"/>
  <c r="Q64" s="1"/>
  <c r="N65"/>
  <c r="Q65" s="1"/>
  <c r="S65" s="1"/>
  <c r="N66"/>
  <c r="Q66" s="1"/>
  <c r="S66" s="1"/>
  <c r="I67"/>
  <c r="L67" s="1"/>
  <c r="I73"/>
  <c r="H73" s="1"/>
  <c r="L73" s="1"/>
  <c r="I75"/>
  <c r="L75" s="1"/>
  <c r="I77"/>
  <c r="L77" s="1"/>
  <c r="L35"/>
  <c r="L68"/>
  <c r="L69"/>
  <c r="L70"/>
  <c r="L71"/>
  <c r="R5" i="4"/>
  <c r="L8"/>
  <c r="G8" s="1"/>
  <c r="N14"/>
  <c r="Q14" s="1"/>
  <c r="L14"/>
  <c r="G14" s="1"/>
  <c r="G15"/>
  <c r="M15"/>
  <c r="L10"/>
  <c r="G10" s="1"/>
  <c r="L7"/>
  <c r="I9"/>
  <c r="L9" s="1"/>
  <c r="G9" s="1"/>
  <c r="I10"/>
  <c r="L12"/>
  <c r="H5"/>
  <c r="M6" i="2"/>
  <c r="G6"/>
  <c r="N8"/>
  <c r="Q8" s="1"/>
  <c r="S8" s="1"/>
  <c r="L8"/>
  <c r="M22"/>
  <c r="G22"/>
  <c r="M23"/>
  <c r="G23"/>
  <c r="M27"/>
  <c r="G27"/>
  <c r="M31"/>
  <c r="G31"/>
  <c r="G33"/>
  <c r="M33"/>
  <c r="M34"/>
  <c r="G34"/>
  <c r="M39"/>
  <c r="G39"/>
  <c r="N41"/>
  <c r="Q41" s="1"/>
  <c r="S41" s="1"/>
  <c r="L41"/>
  <c r="M45"/>
  <c r="G45"/>
  <c r="M7"/>
  <c r="G7"/>
  <c r="M9"/>
  <c r="G9"/>
  <c r="M10"/>
  <c r="G10"/>
  <c r="M11"/>
  <c r="G11"/>
  <c r="M15"/>
  <c r="G15"/>
  <c r="M18"/>
  <c r="G18"/>
  <c r="M19"/>
  <c r="G19"/>
  <c r="N28"/>
  <c r="Q28" s="1"/>
  <c r="S28" s="1"/>
  <c r="M30"/>
  <c r="G30"/>
  <c r="N32"/>
  <c r="Q32" s="1"/>
  <c r="S32" s="1"/>
  <c r="M35"/>
  <c r="G35"/>
  <c r="M38"/>
  <c r="G38"/>
  <c r="M43"/>
  <c r="G43"/>
  <c r="M44"/>
  <c r="G44"/>
  <c r="N39"/>
  <c r="Q39" s="1"/>
  <c r="S39" s="1"/>
  <c r="G64"/>
  <c r="M64"/>
  <c r="G67"/>
  <c r="M67"/>
  <c r="M68"/>
  <c r="G68"/>
  <c r="M77"/>
  <c r="G77"/>
  <c r="N78"/>
  <c r="Q78" s="1"/>
  <c r="S78" s="1"/>
  <c r="M80"/>
  <c r="G80"/>
  <c r="M81"/>
  <c r="G81"/>
  <c r="M82"/>
  <c r="G82"/>
  <c r="M86"/>
  <c r="G86"/>
  <c r="M87"/>
  <c r="G87"/>
  <c r="M95"/>
  <c r="G95"/>
  <c r="M97"/>
  <c r="G97"/>
  <c r="M98"/>
  <c r="G98"/>
  <c r="M99"/>
  <c r="G99"/>
  <c r="M100"/>
  <c r="G100"/>
  <c r="N101"/>
  <c r="Q101" s="1"/>
  <c r="S101" s="1"/>
  <c r="M104"/>
  <c r="G104"/>
  <c r="M105"/>
  <c r="G105"/>
  <c r="N106"/>
  <c r="Q106" s="1"/>
  <c r="S106" s="1"/>
  <c r="M109"/>
  <c r="G109"/>
  <c r="M110"/>
  <c r="G110"/>
  <c r="G112"/>
  <c r="M112"/>
  <c r="M113"/>
  <c r="G113"/>
  <c r="G118"/>
  <c r="M118"/>
  <c r="M132"/>
  <c r="G132"/>
  <c r="G140"/>
  <c r="M140"/>
  <c r="M141"/>
  <c r="G141"/>
  <c r="N145"/>
  <c r="Q145" s="1"/>
  <c r="S145" s="1"/>
  <c r="M147"/>
  <c r="G147"/>
  <c r="M155"/>
  <c r="G155"/>
  <c r="M156"/>
  <c r="G156"/>
  <c r="M158"/>
  <c r="G158"/>
  <c r="N159"/>
  <c r="Q159" s="1"/>
  <c r="S159" s="1"/>
  <c r="L159"/>
  <c r="N162"/>
  <c r="Q162" s="1"/>
  <c r="S162" s="1"/>
  <c r="L162"/>
  <c r="M164"/>
  <c r="G164"/>
  <c r="M165"/>
  <c r="G165"/>
  <c r="M166"/>
  <c r="G166"/>
  <c r="M167"/>
  <c r="G167"/>
  <c r="N9"/>
  <c r="Q9" s="1"/>
  <c r="S9" s="1"/>
  <c r="N10"/>
  <c r="Q10" s="1"/>
  <c r="S10" s="1"/>
  <c r="N11"/>
  <c r="Q11" s="1"/>
  <c r="S11" s="1"/>
  <c r="I12"/>
  <c r="H12" s="1"/>
  <c r="L12" s="1"/>
  <c r="I13"/>
  <c r="L13" s="1"/>
  <c r="I14"/>
  <c r="L14" s="1"/>
  <c r="N15"/>
  <c r="Q15" s="1"/>
  <c r="S15" s="1"/>
  <c r="I16"/>
  <c r="H16" s="1"/>
  <c r="L16" s="1"/>
  <c r="I17"/>
  <c r="L17" s="1"/>
  <c r="N18"/>
  <c r="Q18" s="1"/>
  <c r="S18" s="1"/>
  <c r="I20"/>
  <c r="H20" s="1"/>
  <c r="L20" s="1"/>
  <c r="H21"/>
  <c r="N22"/>
  <c r="Q22" s="1"/>
  <c r="S22" s="1"/>
  <c r="N23"/>
  <c r="Q23" s="1"/>
  <c r="S23" s="1"/>
  <c r="I24"/>
  <c r="H24" s="1"/>
  <c r="L24" s="1"/>
  <c r="I25"/>
  <c r="L25" s="1"/>
  <c r="H26"/>
  <c r="I28"/>
  <c r="L28" s="1"/>
  <c r="H29"/>
  <c r="I32"/>
  <c r="L32" s="1"/>
  <c r="N34"/>
  <c r="Q34" s="1"/>
  <c r="S34" s="1"/>
  <c r="I36"/>
  <c r="L36" s="1"/>
  <c r="I37"/>
  <c r="L37" s="1"/>
  <c r="N38"/>
  <c r="Q38" s="1"/>
  <c r="S38" s="1"/>
  <c r="H40"/>
  <c r="I42"/>
  <c r="L42" s="1"/>
  <c r="N43"/>
  <c r="Q43" s="1"/>
  <c r="S43" s="1"/>
  <c r="I46"/>
  <c r="H46" s="1"/>
  <c r="L46" s="1"/>
  <c r="M48"/>
  <c r="G48"/>
  <c r="M52"/>
  <c r="G52"/>
  <c r="M53"/>
  <c r="G53"/>
  <c r="N56"/>
  <c r="Q56" s="1"/>
  <c r="S56" s="1"/>
  <c r="L56"/>
  <c r="M58"/>
  <c r="G58"/>
  <c r="M59"/>
  <c r="G59"/>
  <c r="M60"/>
  <c r="G60"/>
  <c r="N62"/>
  <c r="Q62" s="1"/>
  <c r="S62" s="1"/>
  <c r="L62"/>
  <c r="N65"/>
  <c r="Q65" s="1"/>
  <c r="S65" s="1"/>
  <c r="L65"/>
  <c r="M72"/>
  <c r="G72"/>
  <c r="M74"/>
  <c r="G74"/>
  <c r="M75"/>
  <c r="G75"/>
  <c r="M91"/>
  <c r="G91"/>
  <c r="M115"/>
  <c r="G115"/>
  <c r="G117"/>
  <c r="M117"/>
  <c r="M123"/>
  <c r="G123"/>
  <c r="N124"/>
  <c r="Q124" s="1"/>
  <c r="S124" s="1"/>
  <c r="M126"/>
  <c r="G126"/>
  <c r="M127"/>
  <c r="G127"/>
  <c r="M130"/>
  <c r="G130"/>
  <c r="M135"/>
  <c r="G135"/>
  <c r="G139"/>
  <c r="M139"/>
  <c r="N144"/>
  <c r="Q144" s="1"/>
  <c r="S144" s="1"/>
  <c r="L144"/>
  <c r="M160"/>
  <c r="G160"/>
  <c r="M161"/>
  <c r="G161"/>
  <c r="M163"/>
  <c r="G163"/>
  <c r="I5"/>
  <c r="Q5"/>
  <c r="N68"/>
  <c r="Q68" s="1"/>
  <c r="S68" s="1"/>
  <c r="N113"/>
  <c r="Q113" s="1"/>
  <c r="S113" s="1"/>
  <c r="N132"/>
  <c r="Q132" s="1"/>
  <c r="S132" s="1"/>
  <c r="N141"/>
  <c r="Q141" s="1"/>
  <c r="S141" s="1"/>
  <c r="N156"/>
  <c r="Q156" s="1"/>
  <c r="S156" s="1"/>
  <c r="N164"/>
  <c r="Q164" s="1"/>
  <c r="S164" s="1"/>
  <c r="M168"/>
  <c r="G168"/>
  <c r="M170"/>
  <c r="G170"/>
  <c r="M172"/>
  <c r="G172"/>
  <c r="M177"/>
  <c r="G177"/>
  <c r="G183"/>
  <c r="M183"/>
  <c r="N185"/>
  <c r="Q185" s="1"/>
  <c r="S185" s="1"/>
  <c r="G186"/>
  <c r="M186"/>
  <c r="M188"/>
  <c r="G188"/>
  <c r="M190"/>
  <c r="G190"/>
  <c r="G192"/>
  <c r="M192"/>
  <c r="G205"/>
  <c r="M205"/>
  <c r="M208"/>
  <c r="G208"/>
  <c r="M211"/>
  <c r="G211"/>
  <c r="N212"/>
  <c r="Q212" s="1"/>
  <c r="S212" s="1"/>
  <c r="M220"/>
  <c r="M221"/>
  <c r="G221"/>
  <c r="M223"/>
  <c r="G223"/>
  <c r="N228"/>
  <c r="Q228" s="1"/>
  <c r="S228" s="1"/>
  <c r="L228"/>
  <c r="M230"/>
  <c r="G230"/>
  <c r="M234"/>
  <c r="G234"/>
  <c r="N239"/>
  <c r="Q239" s="1"/>
  <c r="S239" s="1"/>
  <c r="L239"/>
  <c r="M243"/>
  <c r="G243"/>
  <c r="M246"/>
  <c r="G246"/>
  <c r="M250"/>
  <c r="G250"/>
  <c r="M254"/>
  <c r="G254"/>
  <c r="M257"/>
  <c r="G257"/>
  <c r="M258"/>
  <c r="G258"/>
  <c r="M264"/>
  <c r="G264"/>
  <c r="M265"/>
  <c r="G265"/>
  <c r="M266"/>
  <c r="G266"/>
  <c r="M267"/>
  <c r="G267"/>
  <c r="M270"/>
  <c r="G270"/>
  <c r="M271"/>
  <c r="G271"/>
  <c r="M272"/>
  <c r="G272"/>
  <c r="M273"/>
  <c r="G273"/>
  <c r="M274"/>
  <c r="G274"/>
  <c r="M275"/>
  <c r="G275"/>
  <c r="N277"/>
  <c r="Q277" s="1"/>
  <c r="S277" s="1"/>
  <c r="M283"/>
  <c r="G283"/>
  <c r="M284"/>
  <c r="G284"/>
  <c r="I47"/>
  <c r="H47" s="1"/>
  <c r="L47" s="1"/>
  <c r="N48"/>
  <c r="Q48" s="1"/>
  <c r="S48" s="1"/>
  <c r="I49"/>
  <c r="H49" s="1"/>
  <c r="L49" s="1"/>
  <c r="I50"/>
  <c r="L50" s="1"/>
  <c r="I51"/>
  <c r="L51" s="1"/>
  <c r="N52"/>
  <c r="Q52" s="1"/>
  <c r="S52" s="1"/>
  <c r="N53"/>
  <c r="Q53" s="1"/>
  <c r="S53" s="1"/>
  <c r="I54"/>
  <c r="H54" s="1"/>
  <c r="L54" s="1"/>
  <c r="H55"/>
  <c r="I57"/>
  <c r="H57" s="1"/>
  <c r="L57" s="1"/>
  <c r="N58"/>
  <c r="Q58" s="1"/>
  <c r="S58" s="1"/>
  <c r="N59"/>
  <c r="Q59" s="1"/>
  <c r="S59" s="1"/>
  <c r="N60"/>
  <c r="Q60" s="1"/>
  <c r="S60" s="1"/>
  <c r="I61"/>
  <c r="H61" s="1"/>
  <c r="L61" s="1"/>
  <c r="I63"/>
  <c r="H63" s="1"/>
  <c r="L63" s="1"/>
  <c r="I66"/>
  <c r="H66" s="1"/>
  <c r="L66" s="1"/>
  <c r="I69"/>
  <c r="H69" s="1"/>
  <c r="L69" s="1"/>
  <c r="I71"/>
  <c r="L71" s="1"/>
  <c r="N72"/>
  <c r="Q72" s="1"/>
  <c r="S72" s="1"/>
  <c r="I73"/>
  <c r="H73" s="1"/>
  <c r="L73" s="1"/>
  <c r="N74"/>
  <c r="Q74" s="1"/>
  <c r="S74" s="1"/>
  <c r="N75"/>
  <c r="Q75" s="1"/>
  <c r="S75" s="1"/>
  <c r="L76"/>
  <c r="N77"/>
  <c r="Q77" s="1"/>
  <c r="S77" s="1"/>
  <c r="I78"/>
  <c r="L78" s="1"/>
  <c r="I79"/>
  <c r="L79" s="1"/>
  <c r="N80"/>
  <c r="Q80" s="1"/>
  <c r="S80" s="1"/>
  <c r="N81"/>
  <c r="Q81" s="1"/>
  <c r="S81" s="1"/>
  <c r="N82"/>
  <c r="Q82" s="1"/>
  <c r="S82" s="1"/>
  <c r="I83"/>
  <c r="H83" s="1"/>
  <c r="L83" s="1"/>
  <c r="I84"/>
  <c r="L84" s="1"/>
  <c r="H85"/>
  <c r="N86"/>
  <c r="Q86" s="1"/>
  <c r="S86" s="1"/>
  <c r="N87"/>
  <c r="Q87" s="1"/>
  <c r="S87" s="1"/>
  <c r="I90"/>
  <c r="H90" s="1"/>
  <c r="L90" s="1"/>
  <c r="I92"/>
  <c r="H92" s="1"/>
  <c r="L92" s="1"/>
  <c r="I94"/>
  <c r="L94" s="1"/>
  <c r="N95"/>
  <c r="Q95" s="1"/>
  <c r="S95" s="1"/>
  <c r="I96"/>
  <c r="H96" s="1"/>
  <c r="L96" s="1"/>
  <c r="N97"/>
  <c r="Q97" s="1"/>
  <c r="S97" s="1"/>
  <c r="N98"/>
  <c r="Q98" s="1"/>
  <c r="S98" s="1"/>
  <c r="N99"/>
  <c r="Q99" s="1"/>
  <c r="S99" s="1"/>
  <c r="N100"/>
  <c r="Q100" s="1"/>
  <c r="S100" s="1"/>
  <c r="I101"/>
  <c r="L101" s="1"/>
  <c r="I102"/>
  <c r="L102" s="1"/>
  <c r="H103"/>
  <c r="N104"/>
  <c r="Q104" s="1"/>
  <c r="S104" s="1"/>
  <c r="N105"/>
  <c r="Q105" s="1"/>
  <c r="S105" s="1"/>
  <c r="I106"/>
  <c r="L106" s="1"/>
  <c r="I107"/>
  <c r="L107" s="1"/>
  <c r="H108"/>
  <c r="N109"/>
  <c r="Q109" s="1"/>
  <c r="S109" s="1"/>
  <c r="N110"/>
  <c r="Q110" s="1"/>
  <c r="S110" s="1"/>
  <c r="I111"/>
  <c r="H111" s="1"/>
  <c r="L111" s="1"/>
  <c r="I114"/>
  <c r="H114" s="1"/>
  <c r="L114" s="1"/>
  <c r="I116"/>
  <c r="H116" s="1"/>
  <c r="L116" s="1"/>
  <c r="H120"/>
  <c r="I121"/>
  <c r="H121" s="1"/>
  <c r="L121" s="1"/>
  <c r="I122"/>
  <c r="L122" s="1"/>
  <c r="N123"/>
  <c r="Q123" s="1"/>
  <c r="S123" s="1"/>
  <c r="I124"/>
  <c r="L124" s="1"/>
  <c r="I125"/>
  <c r="L125" s="1"/>
  <c r="N126"/>
  <c r="Q126" s="1"/>
  <c r="S126" s="1"/>
  <c r="N127"/>
  <c r="Q127" s="1"/>
  <c r="S127" s="1"/>
  <c r="I128"/>
  <c r="H128" s="1"/>
  <c r="L128" s="1"/>
  <c r="H129"/>
  <c r="N130"/>
  <c r="Q130" s="1"/>
  <c r="S130" s="1"/>
  <c r="I131"/>
  <c r="H131" s="1"/>
  <c r="L131" s="1"/>
  <c r="I133"/>
  <c r="H133" s="1"/>
  <c r="L133" s="1"/>
  <c r="G136"/>
  <c r="I138"/>
  <c r="H138" s="1"/>
  <c r="L138" s="1"/>
  <c r="G142"/>
  <c r="I143"/>
  <c r="L143" s="1"/>
  <c r="I145"/>
  <c r="L145" s="1"/>
  <c r="I146"/>
  <c r="L146" s="1"/>
  <c r="N147"/>
  <c r="Q147" s="1"/>
  <c r="S147" s="1"/>
  <c r="I148"/>
  <c r="H148" s="1"/>
  <c r="L148" s="1"/>
  <c r="H149"/>
  <c r="I150"/>
  <c r="H150" s="1"/>
  <c r="L150" s="1"/>
  <c r="I151"/>
  <c r="L151" s="1"/>
  <c r="I152"/>
  <c r="L152" s="1"/>
  <c r="I153"/>
  <c r="L153" s="1"/>
  <c r="H154"/>
  <c r="I157"/>
  <c r="L157" s="1"/>
  <c r="N158"/>
  <c r="Q158" s="1"/>
  <c r="S158" s="1"/>
  <c r="N160"/>
  <c r="Q160" s="1"/>
  <c r="S160" s="1"/>
  <c r="N163"/>
  <c r="Q163" s="1"/>
  <c r="S163" s="1"/>
  <c r="N165"/>
  <c r="Q165" s="1"/>
  <c r="S165" s="1"/>
  <c r="N167"/>
  <c r="Q167" s="1"/>
  <c r="S167" s="1"/>
  <c r="M169"/>
  <c r="G169"/>
  <c r="M171"/>
  <c r="G171"/>
  <c r="M180"/>
  <c r="G180"/>
  <c r="M181"/>
  <c r="G181"/>
  <c r="N184"/>
  <c r="Q184" s="1"/>
  <c r="S184" s="1"/>
  <c r="L184"/>
  <c r="G187"/>
  <c r="M187"/>
  <c r="M193"/>
  <c r="G193"/>
  <c r="M196"/>
  <c r="G196"/>
  <c r="N199"/>
  <c r="Q199" s="1"/>
  <c r="S199" s="1"/>
  <c r="M200"/>
  <c r="G200"/>
  <c r="M203"/>
  <c r="G203"/>
  <c r="M213"/>
  <c r="G213"/>
  <c r="N214"/>
  <c r="Q214" s="1"/>
  <c r="S214" s="1"/>
  <c r="L214"/>
  <c r="M217"/>
  <c r="G217"/>
  <c r="M219"/>
  <c r="G219"/>
  <c r="M222"/>
  <c r="G222"/>
  <c r="M224"/>
  <c r="G224"/>
  <c r="N226"/>
  <c r="Q226" s="1"/>
  <c r="S226" s="1"/>
  <c r="L226"/>
  <c r="M229"/>
  <c r="G229"/>
  <c r="M235"/>
  <c r="G235"/>
  <c r="M236"/>
  <c r="G236"/>
  <c r="M238"/>
  <c r="G238"/>
  <c r="M242"/>
  <c r="G242"/>
  <c r="M251"/>
  <c r="G251"/>
  <c r="M253"/>
  <c r="G253"/>
  <c r="N259"/>
  <c r="Q259" s="1"/>
  <c r="S259" s="1"/>
  <c r="L259"/>
  <c r="M263"/>
  <c r="G263"/>
  <c r="M279"/>
  <c r="G279"/>
  <c r="M280"/>
  <c r="G280"/>
  <c r="M281"/>
  <c r="G281"/>
  <c r="M282"/>
  <c r="G282"/>
  <c r="M285"/>
  <c r="G285"/>
  <c r="L70"/>
  <c r="L93"/>
  <c r="L119"/>
  <c r="N230"/>
  <c r="Q230" s="1"/>
  <c r="S230" s="1"/>
  <c r="N243"/>
  <c r="Q243" s="1"/>
  <c r="S243" s="1"/>
  <c r="N246"/>
  <c r="Q246" s="1"/>
  <c r="S246" s="1"/>
  <c r="N254"/>
  <c r="Q254" s="1"/>
  <c r="S254" s="1"/>
  <c r="N264"/>
  <c r="Q264" s="1"/>
  <c r="S264" s="1"/>
  <c r="N267"/>
  <c r="Q267" s="1"/>
  <c r="S267" s="1"/>
  <c r="N272"/>
  <c r="Q272" s="1"/>
  <c r="S272" s="1"/>
  <c r="N275"/>
  <c r="Q275" s="1"/>
  <c r="S275" s="1"/>
  <c r="N283"/>
  <c r="Q283" s="1"/>
  <c r="S283" s="1"/>
  <c r="N286"/>
  <c r="Q286" s="1"/>
  <c r="S286" s="1"/>
  <c r="L286"/>
  <c r="M290"/>
  <c r="G290"/>
  <c r="M292"/>
  <c r="G292"/>
  <c r="M295"/>
  <c r="G295"/>
  <c r="M296"/>
  <c r="G296"/>
  <c r="M299"/>
  <c r="G299"/>
  <c r="N300"/>
  <c r="Q300" s="1"/>
  <c r="S300" s="1"/>
  <c r="M301"/>
  <c r="G301"/>
  <c r="M304"/>
  <c r="G304"/>
  <c r="N305"/>
  <c r="Q305" s="1"/>
  <c r="S305" s="1"/>
  <c r="M307"/>
  <c r="G307"/>
  <c r="M309"/>
  <c r="G309"/>
  <c r="M310"/>
  <c r="G310"/>
  <c r="N311"/>
  <c r="Q311" s="1"/>
  <c r="S311" s="1"/>
  <c r="M313"/>
  <c r="G313"/>
  <c r="M316"/>
  <c r="G316"/>
  <c r="M317"/>
  <c r="G317"/>
  <c r="M322"/>
  <c r="G322"/>
  <c r="M323"/>
  <c r="G323"/>
  <c r="M330"/>
  <c r="G330"/>
  <c r="N335"/>
  <c r="Q335" s="1"/>
  <c r="S335" s="1"/>
  <c r="M336"/>
  <c r="G336"/>
  <c r="M337"/>
  <c r="G337"/>
  <c r="G339"/>
  <c r="M339"/>
  <c r="G344"/>
  <c r="M344"/>
  <c r="G346"/>
  <c r="M346"/>
  <c r="N172"/>
  <c r="Q172" s="1"/>
  <c r="S172" s="1"/>
  <c r="I173"/>
  <c r="H173" s="1"/>
  <c r="L173" s="1"/>
  <c r="I174"/>
  <c r="L174" s="1"/>
  <c r="I175"/>
  <c r="L175" s="1"/>
  <c r="I176"/>
  <c r="L176" s="1"/>
  <c r="N177"/>
  <c r="Q177" s="1"/>
  <c r="S177" s="1"/>
  <c r="G178"/>
  <c r="I179"/>
  <c r="L179" s="1"/>
  <c r="N180"/>
  <c r="Q180" s="1"/>
  <c r="S180" s="1"/>
  <c r="N181"/>
  <c r="Q181" s="1"/>
  <c r="S181" s="1"/>
  <c r="I182"/>
  <c r="H182" s="1"/>
  <c r="L182" s="1"/>
  <c r="I185"/>
  <c r="L185" s="1"/>
  <c r="N188"/>
  <c r="Q188" s="1"/>
  <c r="S188" s="1"/>
  <c r="I189"/>
  <c r="H189" s="1"/>
  <c r="L189" s="1"/>
  <c r="N190"/>
  <c r="Q190" s="1"/>
  <c r="S190" s="1"/>
  <c r="I191"/>
  <c r="H191" s="1"/>
  <c r="L191" s="1"/>
  <c r="N193"/>
  <c r="Q193" s="1"/>
  <c r="S193" s="1"/>
  <c r="I194"/>
  <c r="H194" s="1"/>
  <c r="L194" s="1"/>
  <c r="I195"/>
  <c r="L195" s="1"/>
  <c r="N196"/>
  <c r="Q196" s="1"/>
  <c r="S196" s="1"/>
  <c r="I197"/>
  <c r="H197" s="1"/>
  <c r="L197" s="1"/>
  <c r="H198"/>
  <c r="I199"/>
  <c r="L199" s="1"/>
  <c r="N200"/>
  <c r="Q200" s="1"/>
  <c r="S200" s="1"/>
  <c r="I201"/>
  <c r="L201" s="1"/>
  <c r="I202"/>
  <c r="L202" s="1"/>
  <c r="N203"/>
  <c r="Q203" s="1"/>
  <c r="S203" s="1"/>
  <c r="I204"/>
  <c r="H204" s="1"/>
  <c r="L204" s="1"/>
  <c r="H206"/>
  <c r="I207"/>
  <c r="H207" s="1"/>
  <c r="L207" s="1"/>
  <c r="N208"/>
  <c r="Q208" s="1"/>
  <c r="S208" s="1"/>
  <c r="I209"/>
  <c r="H209" s="1"/>
  <c r="L209" s="1"/>
  <c r="I210"/>
  <c r="L210" s="1"/>
  <c r="N211"/>
  <c r="Q211" s="1"/>
  <c r="S211" s="1"/>
  <c r="N213"/>
  <c r="Q213" s="1"/>
  <c r="S213" s="1"/>
  <c r="I215"/>
  <c r="L215" s="1"/>
  <c r="H216"/>
  <c r="N220"/>
  <c r="L225"/>
  <c r="H227"/>
  <c r="N229"/>
  <c r="Q229" s="1"/>
  <c r="S229" s="1"/>
  <c r="I231"/>
  <c r="L231" s="1"/>
  <c r="I232"/>
  <c r="L232" s="1"/>
  <c r="H233"/>
  <c r="H237"/>
  <c r="I240"/>
  <c r="L240" s="1"/>
  <c r="I241"/>
  <c r="L241" s="1"/>
  <c r="N242"/>
  <c r="Q242" s="1"/>
  <c r="S242" s="1"/>
  <c r="H245"/>
  <c r="I247"/>
  <c r="L247" s="1"/>
  <c r="I248"/>
  <c r="L248" s="1"/>
  <c r="I249"/>
  <c r="L249" s="1"/>
  <c r="N250"/>
  <c r="Q250" s="1"/>
  <c r="S250" s="1"/>
  <c r="I252"/>
  <c r="L252" s="1"/>
  <c r="N253"/>
  <c r="Q253" s="1"/>
  <c r="S253" s="1"/>
  <c r="I255"/>
  <c r="L255" s="1"/>
  <c r="I256"/>
  <c r="L256" s="1"/>
  <c r="N257"/>
  <c r="Q257" s="1"/>
  <c r="S257" s="1"/>
  <c r="I260"/>
  <c r="L260" s="1"/>
  <c r="I261"/>
  <c r="L261" s="1"/>
  <c r="N263"/>
  <c r="Q263" s="1"/>
  <c r="S263" s="1"/>
  <c r="N265"/>
  <c r="Q265" s="1"/>
  <c r="S265" s="1"/>
  <c r="I268"/>
  <c r="L268" s="1"/>
  <c r="I269"/>
  <c r="L269" s="1"/>
  <c r="N270"/>
  <c r="Q270" s="1"/>
  <c r="S270" s="1"/>
  <c r="N273"/>
  <c r="Q273" s="1"/>
  <c r="S273" s="1"/>
  <c r="H276"/>
  <c r="I278"/>
  <c r="L278" s="1"/>
  <c r="N279"/>
  <c r="Q279" s="1"/>
  <c r="S279" s="1"/>
  <c r="N282"/>
  <c r="Q282" s="1"/>
  <c r="S282" s="1"/>
  <c r="N284"/>
  <c r="Q284" s="1"/>
  <c r="S284" s="1"/>
  <c r="M287"/>
  <c r="G287"/>
  <c r="M288"/>
  <c r="G288"/>
  <c r="M289"/>
  <c r="G289"/>
  <c r="M291"/>
  <c r="G291"/>
  <c r="M293"/>
  <c r="G293"/>
  <c r="M294"/>
  <c r="G294"/>
  <c r="M324"/>
  <c r="G324"/>
  <c r="M326"/>
  <c r="G326"/>
  <c r="M327"/>
  <c r="G327"/>
  <c r="N328"/>
  <c r="Q328" s="1"/>
  <c r="S328" s="1"/>
  <c r="N329"/>
  <c r="Q329" s="1"/>
  <c r="S329" s="1"/>
  <c r="L329"/>
  <c r="N334"/>
  <c r="Q334" s="1"/>
  <c r="S334" s="1"/>
  <c r="L334"/>
  <c r="M340"/>
  <c r="G340"/>
  <c r="G345"/>
  <c r="M345"/>
  <c r="G218"/>
  <c r="L244"/>
  <c r="I262"/>
  <c r="H262" s="1"/>
  <c r="L262" s="1"/>
  <c r="G262" s="1"/>
  <c r="I347"/>
  <c r="L347" s="1"/>
  <c r="N347"/>
  <c r="Q347" s="1"/>
  <c r="S347" s="1"/>
  <c r="M354"/>
  <c r="G354"/>
  <c r="M355"/>
  <c r="G355"/>
  <c r="M356"/>
  <c r="G356"/>
  <c r="M358"/>
  <c r="G358"/>
  <c r="M360"/>
  <c r="G360"/>
  <c r="M365"/>
  <c r="G365"/>
  <c r="M367"/>
  <c r="G367"/>
  <c r="M396"/>
  <c r="G396"/>
  <c r="M397"/>
  <c r="G397"/>
  <c r="N398"/>
  <c r="Q398" s="1"/>
  <c r="S398" s="1"/>
  <c r="L398"/>
  <c r="M401"/>
  <c r="G401"/>
  <c r="N288"/>
  <c r="Q288" s="1"/>
  <c r="S288" s="1"/>
  <c r="N293"/>
  <c r="Q293" s="1"/>
  <c r="S293" s="1"/>
  <c r="N295"/>
  <c r="Q295" s="1"/>
  <c r="S295" s="1"/>
  <c r="N296"/>
  <c r="Q296" s="1"/>
  <c r="S296" s="1"/>
  <c r="I297"/>
  <c r="H297" s="1"/>
  <c r="L297" s="1"/>
  <c r="I298"/>
  <c r="L298" s="1"/>
  <c r="N299"/>
  <c r="Q299" s="1"/>
  <c r="S299" s="1"/>
  <c r="I300"/>
  <c r="L300" s="1"/>
  <c r="N301"/>
  <c r="Q301" s="1"/>
  <c r="S301" s="1"/>
  <c r="I302"/>
  <c r="H302" s="1"/>
  <c r="L302" s="1"/>
  <c r="I303"/>
  <c r="L303" s="1"/>
  <c r="N304"/>
  <c r="Q304" s="1"/>
  <c r="S304" s="1"/>
  <c r="I305"/>
  <c r="L305" s="1"/>
  <c r="H306"/>
  <c r="N307"/>
  <c r="Q307" s="1"/>
  <c r="S307" s="1"/>
  <c r="I308"/>
  <c r="H308" s="1"/>
  <c r="L308" s="1"/>
  <c r="N309"/>
  <c r="Q309" s="1"/>
  <c r="S309" s="1"/>
  <c r="N310"/>
  <c r="Q310" s="1"/>
  <c r="S310" s="1"/>
  <c r="I311"/>
  <c r="L311" s="1"/>
  <c r="I312"/>
  <c r="L312" s="1"/>
  <c r="N313"/>
  <c r="Q313" s="1"/>
  <c r="S313" s="1"/>
  <c r="I314"/>
  <c r="H314" s="1"/>
  <c r="L314" s="1"/>
  <c r="I315"/>
  <c r="L315" s="1"/>
  <c r="N316"/>
  <c r="Q316" s="1"/>
  <c r="S316" s="1"/>
  <c r="N317"/>
  <c r="Q317" s="1"/>
  <c r="S317" s="1"/>
  <c r="I318"/>
  <c r="H318" s="1"/>
  <c r="L318" s="1"/>
  <c r="I319"/>
  <c r="L319" s="1"/>
  <c r="I320"/>
  <c r="L320" s="1"/>
  <c r="I321"/>
  <c r="L321" s="1"/>
  <c r="N322"/>
  <c r="Q322" s="1"/>
  <c r="S322" s="1"/>
  <c r="N324"/>
  <c r="Q324" s="1"/>
  <c r="S324" s="1"/>
  <c r="I325"/>
  <c r="H325" s="1"/>
  <c r="L325" s="1"/>
  <c r="N326"/>
  <c r="Q326" s="1"/>
  <c r="S326" s="1"/>
  <c r="N327"/>
  <c r="Q327" s="1"/>
  <c r="S327" s="1"/>
  <c r="I328"/>
  <c r="L328" s="1"/>
  <c r="N330"/>
  <c r="Q330" s="1"/>
  <c r="S330" s="1"/>
  <c r="I331"/>
  <c r="H331" s="1"/>
  <c r="L331" s="1"/>
  <c r="I333"/>
  <c r="H333" s="1"/>
  <c r="L333" s="1"/>
  <c r="I335"/>
  <c r="L335" s="1"/>
  <c r="N337"/>
  <c r="Q337" s="1"/>
  <c r="S337" s="1"/>
  <c r="I338"/>
  <c r="I341"/>
  <c r="H341" s="1"/>
  <c r="L341" s="1"/>
  <c r="I343"/>
  <c r="H343" s="1"/>
  <c r="L343" s="1"/>
  <c r="N362"/>
  <c r="Q362" s="1"/>
  <c r="S362" s="1"/>
  <c r="N371"/>
  <c r="Q371" s="1"/>
  <c r="S371" s="1"/>
  <c r="N375"/>
  <c r="Q375" s="1"/>
  <c r="S375" s="1"/>
  <c r="M353"/>
  <c r="G353"/>
  <c r="M357"/>
  <c r="G357"/>
  <c r="M359"/>
  <c r="G359"/>
  <c r="M361"/>
  <c r="G361"/>
  <c r="M362"/>
  <c r="G362"/>
  <c r="M363"/>
  <c r="G363"/>
  <c r="M371"/>
  <c r="G371"/>
  <c r="M375"/>
  <c r="G375"/>
  <c r="M377"/>
  <c r="G377"/>
  <c r="M378"/>
  <c r="G378"/>
  <c r="M379"/>
  <c r="G379"/>
  <c r="M383"/>
  <c r="G383"/>
  <c r="M384"/>
  <c r="G384"/>
  <c r="M386"/>
  <c r="G386"/>
  <c r="N387"/>
  <c r="Q387" s="1"/>
  <c r="S387" s="1"/>
  <c r="M388"/>
  <c r="G388"/>
  <c r="N389"/>
  <c r="Q389" s="1"/>
  <c r="S389" s="1"/>
  <c r="M390"/>
  <c r="G390"/>
  <c r="M395"/>
  <c r="G395"/>
  <c r="M400"/>
  <c r="G400"/>
  <c r="H338"/>
  <c r="L338" s="1"/>
  <c r="N396"/>
  <c r="Q396" s="1"/>
  <c r="S396" s="1"/>
  <c r="N401"/>
  <c r="Q401" s="1"/>
  <c r="S401" s="1"/>
  <c r="I348"/>
  <c r="H348" s="1"/>
  <c r="L348" s="1"/>
  <c r="H349"/>
  <c r="I350"/>
  <c r="H350" s="1"/>
  <c r="L350" s="1"/>
  <c r="I351"/>
  <c r="L351" s="1"/>
  <c r="I352"/>
  <c r="L352" s="1"/>
  <c r="N353"/>
  <c r="Q353" s="1"/>
  <c r="S353" s="1"/>
  <c r="N355"/>
  <c r="Q355" s="1"/>
  <c r="S355" s="1"/>
  <c r="N363"/>
  <c r="Q363" s="1"/>
  <c r="S363" s="1"/>
  <c r="N365"/>
  <c r="I368"/>
  <c r="L368" s="1"/>
  <c r="I369"/>
  <c r="L369" s="1"/>
  <c r="H370"/>
  <c r="I372"/>
  <c r="L372" s="1"/>
  <c r="I373"/>
  <c r="L373" s="1"/>
  <c r="I376"/>
  <c r="L376" s="1"/>
  <c r="N377"/>
  <c r="Q377" s="1"/>
  <c r="S377" s="1"/>
  <c r="N378"/>
  <c r="Q378" s="1"/>
  <c r="S378" s="1"/>
  <c r="N379"/>
  <c r="Q379" s="1"/>
  <c r="S379" s="1"/>
  <c r="I380"/>
  <c r="H380" s="1"/>
  <c r="L380" s="1"/>
  <c r="I381"/>
  <c r="L381" s="1"/>
  <c r="I382"/>
  <c r="L382" s="1"/>
  <c r="N383"/>
  <c r="Q383" s="1"/>
  <c r="S383" s="1"/>
  <c r="N384"/>
  <c r="Q384" s="1"/>
  <c r="S384" s="1"/>
  <c r="I385"/>
  <c r="H385" s="1"/>
  <c r="L385" s="1"/>
  <c r="N386"/>
  <c r="Q386" s="1"/>
  <c r="S386" s="1"/>
  <c r="I387"/>
  <c r="L387" s="1"/>
  <c r="N388"/>
  <c r="Q388" s="1"/>
  <c r="S388" s="1"/>
  <c r="I389"/>
  <c r="L389" s="1"/>
  <c r="N390"/>
  <c r="Q390" s="1"/>
  <c r="S390" s="1"/>
  <c r="I391"/>
  <c r="H391" s="1"/>
  <c r="L391" s="1"/>
  <c r="H392"/>
  <c r="H393"/>
  <c r="N395"/>
  <c r="Q395" s="1"/>
  <c r="S395" s="1"/>
  <c r="N397"/>
  <c r="Q397" s="1"/>
  <c r="S397" s="1"/>
  <c r="I399"/>
  <c r="L399" s="1"/>
  <c r="N400"/>
  <c r="Q400" s="1"/>
  <c r="S400" s="1"/>
  <c r="H402"/>
  <c r="H364"/>
  <c r="L364" s="1"/>
  <c r="H366"/>
  <c r="L366" s="1"/>
  <c r="F24" i="1"/>
  <c r="S79" i="6" l="1"/>
  <c r="Q365" i="2"/>
  <c r="S365" s="1"/>
  <c r="Q219"/>
  <c r="S219" s="1"/>
  <c r="Q67"/>
  <c r="S67" s="1"/>
  <c r="L7" i="14"/>
  <c r="F7"/>
  <c r="Q220" i="2"/>
  <c r="S220" s="1"/>
  <c r="R9" i="4"/>
  <c r="S9" s="1"/>
  <c r="R8"/>
  <c r="S8" s="1"/>
  <c r="L61" i="12"/>
  <c r="F61"/>
  <c r="M11" i="4"/>
  <c r="G11"/>
  <c r="M6"/>
  <c r="G6"/>
  <c r="S52" i="6"/>
  <c r="S43"/>
  <c r="S8"/>
  <c r="S7"/>
  <c r="N78"/>
  <c r="Q78" s="1"/>
  <c r="S78" s="1"/>
  <c r="S60"/>
  <c r="S29"/>
  <c r="S28"/>
  <c r="S27"/>
  <c r="R24"/>
  <c r="S24" s="1"/>
  <c r="R10"/>
  <c r="S10" s="1"/>
  <c r="R54"/>
  <c r="S54" s="1"/>
  <c r="R11"/>
  <c r="R6"/>
  <c r="A183" i="2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N367"/>
  <c r="Q367" s="1"/>
  <c r="S367" s="1"/>
  <c r="I411"/>
  <c r="N46"/>
  <c r="Q46" s="1"/>
  <c r="S46" s="1"/>
  <c r="N354"/>
  <c r="Q354" s="1"/>
  <c r="S354" s="1"/>
  <c r="H411"/>
  <c r="M78" i="6"/>
  <c r="G78"/>
  <c r="N405" i="2"/>
  <c r="Q405" s="1"/>
  <c r="S405" s="1"/>
  <c r="L405"/>
  <c r="J28" i="16"/>
  <c r="P9" i="14"/>
  <c r="R5"/>
  <c r="R9" s="1"/>
  <c r="L6"/>
  <c r="F6"/>
  <c r="F9" s="1"/>
  <c r="L9"/>
  <c r="K9"/>
  <c r="L75" i="12"/>
  <c r="F75"/>
  <c r="L67"/>
  <c r="F67"/>
  <c r="F33"/>
  <c r="L33"/>
  <c r="F27"/>
  <c r="L27"/>
  <c r="F21"/>
  <c r="L21"/>
  <c r="F12"/>
  <c r="L12"/>
  <c r="F5"/>
  <c r="L5"/>
  <c r="L62"/>
  <c r="F62"/>
  <c r="L111"/>
  <c r="F111"/>
  <c r="L71"/>
  <c r="F71"/>
  <c r="F60"/>
  <c r="L60"/>
  <c r="F29"/>
  <c r="L29"/>
  <c r="F24"/>
  <c r="L24"/>
  <c r="F16"/>
  <c r="L16"/>
  <c r="F7"/>
  <c r="L7"/>
  <c r="P5"/>
  <c r="F110"/>
  <c r="L110"/>
  <c r="F109"/>
  <c r="L109"/>
  <c r="F108"/>
  <c r="L108"/>
  <c r="F107"/>
  <c r="L107"/>
  <c r="F106"/>
  <c r="L106"/>
  <c r="F105"/>
  <c r="L105"/>
  <c r="F104"/>
  <c r="L104"/>
  <c r="F103"/>
  <c r="L103"/>
  <c r="F102"/>
  <c r="L102"/>
  <c r="F74"/>
  <c r="L74"/>
  <c r="F66"/>
  <c r="L66"/>
  <c r="F65"/>
  <c r="L65"/>
  <c r="F64"/>
  <c r="L64"/>
  <c r="L63"/>
  <c r="F63"/>
  <c r="M8"/>
  <c r="P8" s="1"/>
  <c r="R8" s="1"/>
  <c r="K8"/>
  <c r="F125"/>
  <c r="L125"/>
  <c r="F124"/>
  <c r="L124"/>
  <c r="F123"/>
  <c r="L123"/>
  <c r="F122"/>
  <c r="L122"/>
  <c r="F121"/>
  <c r="L121"/>
  <c r="F120"/>
  <c r="L120"/>
  <c r="F119"/>
  <c r="L119"/>
  <c r="F118"/>
  <c r="L118"/>
  <c r="F117"/>
  <c r="L117"/>
  <c r="F116"/>
  <c r="L116"/>
  <c r="F115"/>
  <c r="L115"/>
  <c r="F114"/>
  <c r="L114"/>
  <c r="F113"/>
  <c r="L113"/>
  <c r="L100"/>
  <c r="F100"/>
  <c r="L99"/>
  <c r="F99"/>
  <c r="L98"/>
  <c r="F98"/>
  <c r="L97"/>
  <c r="F97"/>
  <c r="L96"/>
  <c r="F96"/>
  <c r="L95"/>
  <c r="F95"/>
  <c r="L94"/>
  <c r="F94"/>
  <c r="L93"/>
  <c r="F93"/>
  <c r="L92"/>
  <c r="F92"/>
  <c r="F90"/>
  <c r="L90"/>
  <c r="F89"/>
  <c r="L89"/>
  <c r="F88"/>
  <c r="L88"/>
  <c r="F87"/>
  <c r="L87"/>
  <c r="F86"/>
  <c r="L86"/>
  <c r="F85"/>
  <c r="L85"/>
  <c r="F84"/>
  <c r="L84"/>
  <c r="F83"/>
  <c r="L83"/>
  <c r="F82"/>
  <c r="L82"/>
  <c r="F81"/>
  <c r="L81"/>
  <c r="F80"/>
  <c r="L80"/>
  <c r="F79"/>
  <c r="L79"/>
  <c r="F78"/>
  <c r="L78"/>
  <c r="F77"/>
  <c r="L77"/>
  <c r="L72"/>
  <c r="F72"/>
  <c r="F70"/>
  <c r="L70"/>
  <c r="F69"/>
  <c r="L69"/>
  <c r="L59"/>
  <c r="F59"/>
  <c r="L58"/>
  <c r="F58"/>
  <c r="L57"/>
  <c r="F57"/>
  <c r="L56"/>
  <c r="F56"/>
  <c r="L55"/>
  <c r="F55"/>
  <c r="L54"/>
  <c r="F54"/>
  <c r="L53"/>
  <c r="F53"/>
  <c r="L52"/>
  <c r="F52"/>
  <c r="L51"/>
  <c r="F51"/>
  <c r="L50"/>
  <c r="F50"/>
  <c r="L49"/>
  <c r="F49"/>
  <c r="L48"/>
  <c r="F48"/>
  <c r="L47"/>
  <c r="F47"/>
  <c r="L46"/>
  <c r="F46"/>
  <c r="L45"/>
  <c r="F45"/>
  <c r="L44"/>
  <c r="F44"/>
  <c r="L43"/>
  <c r="F43"/>
  <c r="F30"/>
  <c r="L30"/>
  <c r="F25"/>
  <c r="L25"/>
  <c r="L23"/>
  <c r="F23"/>
  <c r="F17"/>
  <c r="L17"/>
  <c r="L15"/>
  <c r="F15"/>
  <c r="F41"/>
  <c r="L41"/>
  <c r="F40"/>
  <c r="L40"/>
  <c r="F39"/>
  <c r="L39"/>
  <c r="F38"/>
  <c r="L38"/>
  <c r="F37"/>
  <c r="L37"/>
  <c r="F36"/>
  <c r="L36"/>
  <c r="F35"/>
  <c r="L35"/>
  <c r="F34"/>
  <c r="L34"/>
  <c r="L32"/>
  <c r="F32"/>
  <c r="L20"/>
  <c r="F20"/>
  <c r="L19"/>
  <c r="F19"/>
  <c r="F13"/>
  <c r="L13"/>
  <c r="L11"/>
  <c r="F11"/>
  <c r="L10"/>
  <c r="F10"/>
  <c r="L11" i="10"/>
  <c r="F11"/>
  <c r="L7"/>
  <c r="F7"/>
  <c r="K14"/>
  <c r="F5"/>
  <c r="L9"/>
  <c r="F9"/>
  <c r="M14"/>
  <c r="P5"/>
  <c r="L14"/>
  <c r="L6" i="8"/>
  <c r="F6"/>
  <c r="M8"/>
  <c r="K8"/>
  <c r="R5"/>
  <c r="K10"/>
  <c r="R77" i="6"/>
  <c r="S77" s="1"/>
  <c r="R76"/>
  <c r="S76" s="1"/>
  <c r="R75"/>
  <c r="S75" s="1"/>
  <c r="R74"/>
  <c r="S74" s="1"/>
  <c r="M77"/>
  <c r="G77"/>
  <c r="M67"/>
  <c r="G67"/>
  <c r="M61"/>
  <c r="G61"/>
  <c r="M48"/>
  <c r="G48"/>
  <c r="M46"/>
  <c r="G46"/>
  <c r="M38"/>
  <c r="G38"/>
  <c r="M29"/>
  <c r="G29"/>
  <c r="M27"/>
  <c r="G27"/>
  <c r="M75"/>
  <c r="G75"/>
  <c r="M43"/>
  <c r="G43"/>
  <c r="M34"/>
  <c r="G34"/>
  <c r="M32"/>
  <c r="G32"/>
  <c r="M70"/>
  <c r="G70"/>
  <c r="M68"/>
  <c r="G68"/>
  <c r="M73"/>
  <c r="G73"/>
  <c r="M63"/>
  <c r="G63"/>
  <c r="N44"/>
  <c r="Q44" s="1"/>
  <c r="S44" s="1"/>
  <c r="L44"/>
  <c r="G40"/>
  <c r="M40"/>
  <c r="G36"/>
  <c r="M36"/>
  <c r="N33"/>
  <c r="Q33" s="1"/>
  <c r="L33"/>
  <c r="N31"/>
  <c r="Q31" s="1"/>
  <c r="L31"/>
  <c r="N25"/>
  <c r="Q25" s="1"/>
  <c r="L25"/>
  <c r="G22"/>
  <c r="M22"/>
  <c r="M13"/>
  <c r="G13"/>
  <c r="N18"/>
  <c r="Q18" s="1"/>
  <c r="L18"/>
  <c r="G21"/>
  <c r="M21"/>
  <c r="M19"/>
  <c r="G19"/>
  <c r="M15"/>
  <c r="G15"/>
  <c r="N63"/>
  <c r="Q63" s="1"/>
  <c r="M12"/>
  <c r="M11"/>
  <c r="M71"/>
  <c r="G71"/>
  <c r="M69"/>
  <c r="G69"/>
  <c r="M35"/>
  <c r="G35"/>
  <c r="N62"/>
  <c r="Q62" s="1"/>
  <c r="L62"/>
  <c r="M57"/>
  <c r="G57"/>
  <c r="N53"/>
  <c r="Q53" s="1"/>
  <c r="S53" s="1"/>
  <c r="L53"/>
  <c r="N49"/>
  <c r="Q49" s="1"/>
  <c r="L49"/>
  <c r="N47"/>
  <c r="Q47" s="1"/>
  <c r="L47"/>
  <c r="N41"/>
  <c r="Q41" s="1"/>
  <c r="L41"/>
  <c r="G39"/>
  <c r="M39"/>
  <c r="G30"/>
  <c r="M30"/>
  <c r="M26"/>
  <c r="G26"/>
  <c r="N23"/>
  <c r="Q23" s="1"/>
  <c r="L23"/>
  <c r="N5"/>
  <c r="L5"/>
  <c r="M76"/>
  <c r="G76"/>
  <c r="M72"/>
  <c r="G72"/>
  <c r="M52"/>
  <c r="G52"/>
  <c r="M24"/>
  <c r="G24"/>
  <c r="N16"/>
  <c r="Q16" s="1"/>
  <c r="L16"/>
  <c r="N6"/>
  <c r="Q6" s="1"/>
  <c r="L6"/>
  <c r="M60"/>
  <c r="G60"/>
  <c r="M50"/>
  <c r="G50"/>
  <c r="M7"/>
  <c r="G7"/>
  <c r="N73"/>
  <c r="Q73" s="1"/>
  <c r="N57"/>
  <c r="Q57" s="1"/>
  <c r="M14"/>
  <c r="N11"/>
  <c r="Q11" s="1"/>
  <c r="N12"/>
  <c r="Q12" s="1"/>
  <c r="S12" s="1"/>
  <c r="M12" i="4"/>
  <c r="G12"/>
  <c r="M7"/>
  <c r="G7"/>
  <c r="H17"/>
  <c r="N5"/>
  <c r="L5"/>
  <c r="M10"/>
  <c r="M8"/>
  <c r="M14"/>
  <c r="M9"/>
  <c r="I17"/>
  <c r="M389" i="2"/>
  <c r="G389"/>
  <c r="M387"/>
  <c r="G387"/>
  <c r="M300"/>
  <c r="G300"/>
  <c r="M199"/>
  <c r="G199"/>
  <c r="M124"/>
  <c r="G124"/>
  <c r="M106"/>
  <c r="G106"/>
  <c r="M78"/>
  <c r="G78"/>
  <c r="M32"/>
  <c r="G32"/>
  <c r="M28"/>
  <c r="G28"/>
  <c r="M335"/>
  <c r="G335"/>
  <c r="M328"/>
  <c r="G328"/>
  <c r="M311"/>
  <c r="G311"/>
  <c r="M305"/>
  <c r="G305"/>
  <c r="M185"/>
  <c r="G185"/>
  <c r="M145"/>
  <c r="G145"/>
  <c r="M101"/>
  <c r="G101"/>
  <c r="M364"/>
  <c r="G364"/>
  <c r="N393"/>
  <c r="Q393" s="1"/>
  <c r="S393" s="1"/>
  <c r="L393"/>
  <c r="M391"/>
  <c r="G391"/>
  <c r="M385"/>
  <c r="G385"/>
  <c r="G381"/>
  <c r="M381"/>
  <c r="G373"/>
  <c r="M373"/>
  <c r="N370"/>
  <c r="Q370" s="1"/>
  <c r="S370" s="1"/>
  <c r="L370"/>
  <c r="G368"/>
  <c r="M368"/>
  <c r="G352"/>
  <c r="M352"/>
  <c r="M350"/>
  <c r="G350"/>
  <c r="M348"/>
  <c r="G348"/>
  <c r="M341"/>
  <c r="G341"/>
  <c r="M333"/>
  <c r="G333"/>
  <c r="M325"/>
  <c r="G325"/>
  <c r="G320"/>
  <c r="M320"/>
  <c r="M318"/>
  <c r="G318"/>
  <c r="M314"/>
  <c r="G314"/>
  <c r="G312"/>
  <c r="M312"/>
  <c r="M308"/>
  <c r="G308"/>
  <c r="N306"/>
  <c r="Q306" s="1"/>
  <c r="S306" s="1"/>
  <c r="L306"/>
  <c r="M302"/>
  <c r="G302"/>
  <c r="G298"/>
  <c r="M298"/>
  <c r="M347"/>
  <c r="G347"/>
  <c r="G278"/>
  <c r="M278"/>
  <c r="G269"/>
  <c r="M269"/>
  <c r="G260"/>
  <c r="M260"/>
  <c r="G256"/>
  <c r="M256"/>
  <c r="G248"/>
  <c r="M248"/>
  <c r="N245"/>
  <c r="Q245" s="1"/>
  <c r="S245" s="1"/>
  <c r="L245"/>
  <c r="G241"/>
  <c r="M241"/>
  <c r="N237"/>
  <c r="Q237" s="1"/>
  <c r="S237" s="1"/>
  <c r="L237"/>
  <c r="G232"/>
  <c r="M232"/>
  <c r="M225"/>
  <c r="G225"/>
  <c r="N216"/>
  <c r="Q216" s="1"/>
  <c r="S216" s="1"/>
  <c r="L216"/>
  <c r="G210"/>
  <c r="M210"/>
  <c r="N206"/>
  <c r="Q206" s="1"/>
  <c r="S206" s="1"/>
  <c r="L206"/>
  <c r="G201"/>
  <c r="M201"/>
  <c r="N198"/>
  <c r="Q198" s="1"/>
  <c r="S198" s="1"/>
  <c r="L198"/>
  <c r="M194"/>
  <c r="G194"/>
  <c r="M191"/>
  <c r="G191"/>
  <c r="M189"/>
  <c r="G189"/>
  <c r="G179"/>
  <c r="M179"/>
  <c r="G175"/>
  <c r="M175"/>
  <c r="M173"/>
  <c r="G173"/>
  <c r="M286"/>
  <c r="G286"/>
  <c r="M119"/>
  <c r="G119"/>
  <c r="M70"/>
  <c r="G70"/>
  <c r="G157"/>
  <c r="M157"/>
  <c r="G153"/>
  <c r="M153"/>
  <c r="G151"/>
  <c r="M151"/>
  <c r="N149"/>
  <c r="Q149" s="1"/>
  <c r="S149" s="1"/>
  <c r="L149"/>
  <c r="M131"/>
  <c r="G131"/>
  <c r="N129"/>
  <c r="Q129" s="1"/>
  <c r="S129" s="1"/>
  <c r="L129"/>
  <c r="G125"/>
  <c r="M125"/>
  <c r="M121"/>
  <c r="G121"/>
  <c r="M116"/>
  <c r="G116"/>
  <c r="M111"/>
  <c r="G111"/>
  <c r="G107"/>
  <c r="M107"/>
  <c r="N103"/>
  <c r="Q103" s="1"/>
  <c r="S103" s="1"/>
  <c r="L103"/>
  <c r="M92"/>
  <c r="G92"/>
  <c r="N85"/>
  <c r="Q85" s="1"/>
  <c r="S85" s="1"/>
  <c r="L85"/>
  <c r="M83"/>
  <c r="G83"/>
  <c r="G79"/>
  <c r="M79"/>
  <c r="M73"/>
  <c r="G73"/>
  <c r="G71"/>
  <c r="M71"/>
  <c r="M66"/>
  <c r="G66"/>
  <c r="M61"/>
  <c r="G61"/>
  <c r="M57"/>
  <c r="G57"/>
  <c r="M54"/>
  <c r="G54"/>
  <c r="G50"/>
  <c r="M50"/>
  <c r="M277"/>
  <c r="G277"/>
  <c r="M239"/>
  <c r="G239"/>
  <c r="M228"/>
  <c r="G228"/>
  <c r="M212"/>
  <c r="G212"/>
  <c r="S5"/>
  <c r="M144"/>
  <c r="G144"/>
  <c r="M65"/>
  <c r="G65"/>
  <c r="M62"/>
  <c r="G62"/>
  <c r="M56"/>
  <c r="G56"/>
  <c r="G42"/>
  <c r="M42"/>
  <c r="G36"/>
  <c r="M36"/>
  <c r="G25"/>
  <c r="M25"/>
  <c r="N21"/>
  <c r="Q21" s="1"/>
  <c r="S21" s="1"/>
  <c r="L21"/>
  <c r="M16"/>
  <c r="G16"/>
  <c r="G14"/>
  <c r="M14"/>
  <c r="M12"/>
  <c r="G12"/>
  <c r="M41"/>
  <c r="G41"/>
  <c r="M8"/>
  <c r="G8"/>
  <c r="N385"/>
  <c r="Q385" s="1"/>
  <c r="S385" s="1"/>
  <c r="N364"/>
  <c r="Q364" s="1"/>
  <c r="S364" s="1"/>
  <c r="N348"/>
  <c r="Q348" s="1"/>
  <c r="S348" s="1"/>
  <c r="N333"/>
  <c r="Q333" s="1"/>
  <c r="S333" s="1"/>
  <c r="N338"/>
  <c r="Q338" s="1"/>
  <c r="S338" s="1"/>
  <c r="N318"/>
  <c r="Q318" s="1"/>
  <c r="S318" s="1"/>
  <c r="N308"/>
  <c r="Q308" s="1"/>
  <c r="S308" s="1"/>
  <c r="N297"/>
  <c r="Q297" s="1"/>
  <c r="S297" s="1"/>
  <c r="M262"/>
  <c r="N194"/>
  <c r="Q194" s="1"/>
  <c r="S194" s="1"/>
  <c r="N209"/>
  <c r="Q209" s="1"/>
  <c r="S209" s="1"/>
  <c r="N191"/>
  <c r="Q191" s="1"/>
  <c r="S191" s="1"/>
  <c r="N173"/>
  <c r="Q173" s="1"/>
  <c r="S173" s="1"/>
  <c r="N128"/>
  <c r="Q128" s="1"/>
  <c r="S128" s="1"/>
  <c r="N116"/>
  <c r="Q116" s="1"/>
  <c r="S116" s="1"/>
  <c r="N92"/>
  <c r="Q92" s="1"/>
  <c r="S92" s="1"/>
  <c r="N57"/>
  <c r="Q57" s="1"/>
  <c r="S57" s="1"/>
  <c r="N49"/>
  <c r="Q49" s="1"/>
  <c r="S49" s="1"/>
  <c r="N150"/>
  <c r="Q150" s="1"/>
  <c r="S150" s="1"/>
  <c r="N133"/>
  <c r="Q133" s="1"/>
  <c r="S133" s="1"/>
  <c r="N111"/>
  <c r="Q111" s="1"/>
  <c r="S111" s="1"/>
  <c r="N90"/>
  <c r="Q90" s="1"/>
  <c r="S90" s="1"/>
  <c r="N69"/>
  <c r="Q69" s="1"/>
  <c r="S69" s="1"/>
  <c r="N63"/>
  <c r="Q63" s="1"/>
  <c r="S63" s="1"/>
  <c r="N16"/>
  <c r="Q16" s="1"/>
  <c r="S16" s="1"/>
  <c r="N24"/>
  <c r="Q24" s="1"/>
  <c r="S24" s="1"/>
  <c r="M366"/>
  <c r="G366"/>
  <c r="N402"/>
  <c r="Q402" s="1"/>
  <c r="S402" s="1"/>
  <c r="L402"/>
  <c r="G399"/>
  <c r="M399"/>
  <c r="N392"/>
  <c r="Q392" s="1"/>
  <c r="S392" s="1"/>
  <c r="L392"/>
  <c r="G382"/>
  <c r="M382"/>
  <c r="M380"/>
  <c r="G380"/>
  <c r="G376"/>
  <c r="M376"/>
  <c r="G372"/>
  <c r="M372"/>
  <c r="G369"/>
  <c r="M369"/>
  <c r="G351"/>
  <c r="M351"/>
  <c r="N349"/>
  <c r="Q349" s="1"/>
  <c r="S349" s="1"/>
  <c r="L349"/>
  <c r="M338"/>
  <c r="G338"/>
  <c r="M343"/>
  <c r="G343"/>
  <c r="M331"/>
  <c r="G331"/>
  <c r="G321"/>
  <c r="M321"/>
  <c r="G319"/>
  <c r="M319"/>
  <c r="G315"/>
  <c r="M315"/>
  <c r="G303"/>
  <c r="M303"/>
  <c r="M297"/>
  <c r="G297"/>
  <c r="M398"/>
  <c r="G398"/>
  <c r="M244"/>
  <c r="G244"/>
  <c r="M334"/>
  <c r="G334"/>
  <c r="M329"/>
  <c r="G329"/>
  <c r="N276"/>
  <c r="Q276" s="1"/>
  <c r="S276" s="1"/>
  <c r="L276"/>
  <c r="G268"/>
  <c r="M268"/>
  <c r="G261"/>
  <c r="M261"/>
  <c r="G255"/>
  <c r="M255"/>
  <c r="G252"/>
  <c r="M252"/>
  <c r="G249"/>
  <c r="M249"/>
  <c r="G247"/>
  <c r="M247"/>
  <c r="G240"/>
  <c r="M240"/>
  <c r="N233"/>
  <c r="Q233" s="1"/>
  <c r="S233" s="1"/>
  <c r="L233"/>
  <c r="G231"/>
  <c r="M231"/>
  <c r="N227"/>
  <c r="Q227" s="1"/>
  <c r="S227" s="1"/>
  <c r="L227"/>
  <c r="G215"/>
  <c r="M215"/>
  <c r="M209"/>
  <c r="G209"/>
  <c r="M207"/>
  <c r="G207"/>
  <c r="M204"/>
  <c r="G204"/>
  <c r="G202"/>
  <c r="M202"/>
  <c r="M197"/>
  <c r="G197"/>
  <c r="G195"/>
  <c r="M195"/>
  <c r="M182"/>
  <c r="G182"/>
  <c r="G176"/>
  <c r="M176"/>
  <c r="G174"/>
  <c r="M174"/>
  <c r="M93"/>
  <c r="G93"/>
  <c r="M259"/>
  <c r="G259"/>
  <c r="M226"/>
  <c r="G226"/>
  <c r="M214"/>
  <c r="G214"/>
  <c r="M184"/>
  <c r="G184"/>
  <c r="N154"/>
  <c r="Q154" s="1"/>
  <c r="S154" s="1"/>
  <c r="L154"/>
  <c r="G152"/>
  <c r="M152"/>
  <c r="M150"/>
  <c r="G150"/>
  <c r="M148"/>
  <c r="G148"/>
  <c r="G146"/>
  <c r="M146"/>
  <c r="G143"/>
  <c r="M143"/>
  <c r="M138"/>
  <c r="G138"/>
  <c r="M133"/>
  <c r="G133"/>
  <c r="M128"/>
  <c r="G128"/>
  <c r="G122"/>
  <c r="M122"/>
  <c r="N120"/>
  <c r="Q120" s="1"/>
  <c r="S120" s="1"/>
  <c r="L120"/>
  <c r="M114"/>
  <c r="G114"/>
  <c r="N108"/>
  <c r="Q108" s="1"/>
  <c r="S108" s="1"/>
  <c r="L108"/>
  <c r="G102"/>
  <c r="M102"/>
  <c r="M96"/>
  <c r="G96"/>
  <c r="G94"/>
  <c r="M94"/>
  <c r="M90"/>
  <c r="G90"/>
  <c r="G84"/>
  <c r="M84"/>
  <c r="M76"/>
  <c r="G76"/>
  <c r="M69"/>
  <c r="G69"/>
  <c r="M63"/>
  <c r="G63"/>
  <c r="N55"/>
  <c r="Q55" s="1"/>
  <c r="S55" s="1"/>
  <c r="L55"/>
  <c r="G51"/>
  <c r="M51"/>
  <c r="M49"/>
  <c r="G49"/>
  <c r="M47"/>
  <c r="G47"/>
  <c r="L5"/>
  <c r="M46"/>
  <c r="G46"/>
  <c r="N40"/>
  <c r="Q40" s="1"/>
  <c r="S40" s="1"/>
  <c r="L40"/>
  <c r="G37"/>
  <c r="M37"/>
  <c r="N29"/>
  <c r="Q29" s="1"/>
  <c r="S29" s="1"/>
  <c r="L29"/>
  <c r="N26"/>
  <c r="Q26" s="1"/>
  <c r="S26" s="1"/>
  <c r="L26"/>
  <c r="M24"/>
  <c r="G24"/>
  <c r="M20"/>
  <c r="G20"/>
  <c r="G17"/>
  <c r="M17"/>
  <c r="G13"/>
  <c r="M13"/>
  <c r="M162"/>
  <c r="G162"/>
  <c r="M159"/>
  <c r="G159"/>
  <c r="N391"/>
  <c r="Q391" s="1"/>
  <c r="S391" s="1"/>
  <c r="N380"/>
  <c r="Q380" s="1"/>
  <c r="S380" s="1"/>
  <c r="N350"/>
  <c r="Q350" s="1"/>
  <c r="S350" s="1"/>
  <c r="N366"/>
  <c r="Q366" s="1"/>
  <c r="S366" s="1"/>
  <c r="N341"/>
  <c r="Q341" s="1"/>
  <c r="S341" s="1"/>
  <c r="N325"/>
  <c r="Q325" s="1"/>
  <c r="S325" s="1"/>
  <c r="N343"/>
  <c r="Q343" s="1"/>
  <c r="S343" s="1"/>
  <c r="N331"/>
  <c r="Q331" s="1"/>
  <c r="S331" s="1"/>
  <c r="N314"/>
  <c r="N302"/>
  <c r="Q302" s="1"/>
  <c r="S302" s="1"/>
  <c r="N204"/>
  <c r="Q204" s="1"/>
  <c r="S204" s="1"/>
  <c r="N197"/>
  <c r="Q197" s="1"/>
  <c r="S197" s="1"/>
  <c r="N182"/>
  <c r="Q182" s="1"/>
  <c r="S182" s="1"/>
  <c r="N262"/>
  <c r="Q262" s="1"/>
  <c r="S262" s="1"/>
  <c r="N207"/>
  <c r="Q207" s="1"/>
  <c r="S207" s="1"/>
  <c r="N189"/>
  <c r="Q189" s="1"/>
  <c r="S189" s="1"/>
  <c r="N138"/>
  <c r="Q138" s="1"/>
  <c r="S138" s="1"/>
  <c r="N131"/>
  <c r="Q131" s="1"/>
  <c r="S131" s="1"/>
  <c r="N121"/>
  <c r="Q121" s="1"/>
  <c r="S121" s="1"/>
  <c r="N73"/>
  <c r="Q73" s="1"/>
  <c r="S73" s="1"/>
  <c r="N61"/>
  <c r="Q61" s="1"/>
  <c r="S61" s="1"/>
  <c r="N54"/>
  <c r="Q54" s="1"/>
  <c r="S54" s="1"/>
  <c r="N47"/>
  <c r="Q47" s="1"/>
  <c r="S47" s="1"/>
  <c r="N148"/>
  <c r="Q148" s="1"/>
  <c r="S148" s="1"/>
  <c r="N114"/>
  <c r="N96"/>
  <c r="Q96" s="1"/>
  <c r="S96" s="1"/>
  <c r="N83"/>
  <c r="Q83" s="1"/>
  <c r="S83" s="1"/>
  <c r="N66"/>
  <c r="Q66" s="1"/>
  <c r="S66" s="1"/>
  <c r="N12"/>
  <c r="Q12" s="1"/>
  <c r="S12" s="1"/>
  <c r="N20"/>
  <c r="Q20" s="1"/>
  <c r="S20" s="1"/>
  <c r="F23" i="1"/>
  <c r="F11"/>
  <c r="F10"/>
  <c r="F9"/>
  <c r="F8"/>
  <c r="F7"/>
  <c r="F6"/>
  <c r="Q114" i="2" l="1"/>
  <c r="S114" s="1"/>
  <c r="Q314"/>
  <c r="S314" s="1"/>
  <c r="R14" i="4"/>
  <c r="S14" s="1"/>
  <c r="R17"/>
  <c r="A201" i="2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S6" i="6"/>
  <c r="S11"/>
  <c r="R64"/>
  <c r="S64" s="1"/>
  <c r="R37"/>
  <c r="S37" s="1"/>
  <c r="R15"/>
  <c r="S15" s="1"/>
  <c r="R18"/>
  <c r="S18" s="1"/>
  <c r="R25"/>
  <c r="S25" s="1"/>
  <c r="R31"/>
  <c r="S31" s="1"/>
  <c r="R33"/>
  <c r="S33" s="1"/>
  <c r="R38"/>
  <c r="S38" s="1"/>
  <c r="R41"/>
  <c r="S41" s="1"/>
  <c r="R46"/>
  <c r="S46" s="1"/>
  <c r="R48"/>
  <c r="S48" s="1"/>
  <c r="R50"/>
  <c r="S50" s="1"/>
  <c r="R55"/>
  <c r="S55" s="1"/>
  <c r="R61"/>
  <c r="S61" s="1"/>
  <c r="R72"/>
  <c r="S72" s="1"/>
  <c r="R63"/>
  <c r="S63" s="1"/>
  <c r="R23"/>
  <c r="S23" s="1"/>
  <c r="R32"/>
  <c r="S32" s="1"/>
  <c r="R34"/>
  <c r="S34" s="1"/>
  <c r="R47"/>
  <c r="S47" s="1"/>
  <c r="R49"/>
  <c r="S49" s="1"/>
  <c r="R62"/>
  <c r="S62" s="1"/>
  <c r="R67"/>
  <c r="S67" s="1"/>
  <c r="R58"/>
  <c r="S58" s="1"/>
  <c r="R73"/>
  <c r="S73" s="1"/>
  <c r="R17"/>
  <c r="S17" s="1"/>
  <c r="R57"/>
  <c r="S57" s="1"/>
  <c r="R16"/>
  <c r="S16" s="1"/>
  <c r="R19"/>
  <c r="S19" s="1"/>
  <c r="R5"/>
  <c r="R82" s="1"/>
  <c r="L411" i="2"/>
  <c r="S411"/>
  <c r="N411"/>
  <c r="Q411"/>
  <c r="M405"/>
  <c r="G405"/>
  <c r="I28" i="16"/>
  <c r="O28"/>
  <c r="F8" i="12"/>
  <c r="F127" s="1"/>
  <c r="L8"/>
  <c r="L127" s="1"/>
  <c r="P127"/>
  <c r="R5"/>
  <c r="R127" s="1"/>
  <c r="K127"/>
  <c r="M127"/>
  <c r="R5" i="10"/>
  <c r="R14" s="1"/>
  <c r="P14"/>
  <c r="F14"/>
  <c r="F8" i="8"/>
  <c r="L8"/>
  <c r="L10" s="1"/>
  <c r="P8"/>
  <c r="M10"/>
  <c r="F10"/>
  <c r="M6" i="6"/>
  <c r="G6"/>
  <c r="M16"/>
  <c r="G16"/>
  <c r="M5"/>
  <c r="G5"/>
  <c r="Q5"/>
  <c r="M23"/>
  <c r="G23"/>
  <c r="M41"/>
  <c r="G41"/>
  <c r="M47"/>
  <c r="G47"/>
  <c r="M49"/>
  <c r="G49"/>
  <c r="M53"/>
  <c r="G53"/>
  <c r="M62"/>
  <c r="G62"/>
  <c r="M18"/>
  <c r="G18"/>
  <c r="M25"/>
  <c r="G25"/>
  <c r="M31"/>
  <c r="G31"/>
  <c r="M33"/>
  <c r="G33"/>
  <c r="M44"/>
  <c r="G44"/>
  <c r="L17" i="4"/>
  <c r="M5"/>
  <c r="M17" s="1"/>
  <c r="G5"/>
  <c r="G17" s="1"/>
  <c r="N17"/>
  <c r="Q5"/>
  <c r="Q17" s="1"/>
  <c r="M26" i="2"/>
  <c r="G26"/>
  <c r="M29"/>
  <c r="G29"/>
  <c r="M40"/>
  <c r="G40"/>
  <c r="M5"/>
  <c r="G5"/>
  <c r="M55"/>
  <c r="G55"/>
  <c r="M108"/>
  <c r="G108"/>
  <c r="M120"/>
  <c r="G120"/>
  <c r="M154"/>
  <c r="G154"/>
  <c r="M227"/>
  <c r="G227"/>
  <c r="M233"/>
  <c r="G233"/>
  <c r="M276"/>
  <c r="G276"/>
  <c r="M349"/>
  <c r="G349"/>
  <c r="G392"/>
  <c r="M392"/>
  <c r="M402"/>
  <c r="G402"/>
  <c r="M21"/>
  <c r="G21"/>
  <c r="M85"/>
  <c r="G85"/>
  <c r="M103"/>
  <c r="G103"/>
  <c r="M129"/>
  <c r="G129"/>
  <c r="M149"/>
  <c r="G149"/>
  <c r="M198"/>
  <c r="G198"/>
  <c r="M206"/>
  <c r="G206"/>
  <c r="M216"/>
  <c r="G216"/>
  <c r="M237"/>
  <c r="G237"/>
  <c r="M245"/>
  <c r="G245"/>
  <c r="M306"/>
  <c r="G306"/>
  <c r="M370"/>
  <c r="G370"/>
  <c r="M393"/>
  <c r="G393"/>
  <c r="I11" i="1"/>
  <c r="H11" s="1"/>
  <c r="L11" s="1"/>
  <c r="G11" s="1"/>
  <c r="I10"/>
  <c r="H10" s="1"/>
  <c r="L10" s="1"/>
  <c r="I9"/>
  <c r="H9" s="1"/>
  <c r="N9" s="1"/>
  <c r="Q9" s="1"/>
  <c r="F5"/>
  <c r="F13" s="1"/>
  <c r="H7"/>
  <c r="N7" s="1"/>
  <c r="A31"/>
  <c r="I24"/>
  <c r="N24"/>
  <c r="Q24" s="1"/>
  <c r="I23"/>
  <c r="A23"/>
  <c r="A24" s="1"/>
  <c r="A6"/>
  <c r="A7" s="1"/>
  <c r="A8" s="1"/>
  <c r="A9" s="1"/>
  <c r="A10" s="1"/>
  <c r="A11" s="1"/>
  <c r="M11" l="1"/>
  <c r="N10"/>
  <c r="Q10" s="1"/>
  <c r="G411" i="2"/>
  <c r="M411"/>
  <c r="M28" i="16"/>
  <c r="N28"/>
  <c r="H28"/>
  <c r="R8" i="8"/>
  <c r="R10" s="1"/>
  <c r="P10"/>
  <c r="S5" i="6"/>
  <c r="S82" s="1"/>
  <c r="S5" i="4"/>
  <c r="S17" s="1"/>
  <c r="G10" i="1"/>
  <c r="M10"/>
  <c r="N5"/>
  <c r="N11"/>
  <c r="Q11" s="1"/>
  <c r="L23"/>
  <c r="L9"/>
  <c r="M9" s="1"/>
  <c r="I6"/>
  <c r="I8"/>
  <c r="I7"/>
  <c r="L7" s="1"/>
  <c r="L24"/>
  <c r="N23" l="1"/>
  <c r="I13"/>
  <c r="H8"/>
  <c r="N8" s="1"/>
  <c r="Q8" s="1"/>
  <c r="H6"/>
  <c r="G9"/>
  <c r="M23"/>
  <c r="G23"/>
  <c r="L5"/>
  <c r="Q7"/>
  <c r="M24"/>
  <c r="G24"/>
  <c r="M7"/>
  <c r="G7"/>
  <c r="H13" l="1"/>
  <c r="Q23"/>
  <c r="Q27" s="1"/>
  <c r="N6"/>
  <c r="N13" s="1"/>
  <c r="L6"/>
  <c r="L13" s="1"/>
  <c r="L8"/>
  <c r="Q5"/>
  <c r="M5"/>
  <c r="G5"/>
  <c r="M8" l="1"/>
  <c r="G8"/>
  <c r="G6"/>
  <c r="G13" s="1"/>
  <c r="M6"/>
  <c r="Q6"/>
  <c r="Q13" s="1"/>
  <c r="M13" l="1"/>
</calcChain>
</file>

<file path=xl/sharedStrings.xml><?xml version="1.0" encoding="utf-8"?>
<sst xmlns="http://schemas.openxmlformats.org/spreadsheetml/2006/main" count="3310" uniqueCount="1843">
  <si>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</si>
  <si>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</si>
  <si>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</si>
  <si>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</si>
  <si>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</si>
  <si>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</si>
  <si>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</si>
  <si>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</si>
  <si>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</si>
  <si>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</si>
  <si>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</si>
  <si>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</si>
  <si>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</si>
  <si>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</si>
  <si>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</si>
  <si>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</si>
  <si>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</si>
  <si>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</si>
  <si>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</si>
  <si>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</si>
  <si>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BCA JOMBANG</t>
  </si>
  <si>
    <t>POT BNS APRIL'18</t>
  </si>
  <si>
    <t>POT THR'18</t>
  </si>
  <si>
    <t>POT TAT'18</t>
  </si>
  <si>
    <t>NO FORM</t>
  </si>
  <si>
    <t>POT BONUS APRIL 2018</t>
  </si>
  <si>
    <t>POT THR 2018</t>
  </si>
  <si>
    <t>POT TAT 2018</t>
  </si>
  <si>
    <t>SUGENG PURNOMO</t>
  </si>
  <si>
    <t>101011</t>
  </si>
  <si>
    <t>010606</t>
  </si>
  <si>
    <t>RECOVERY NORM</t>
  </si>
  <si>
    <t>KARY KOP</t>
  </si>
  <si>
    <t>SHERLY ADE YULIANA</t>
  </si>
  <si>
    <t>057157</t>
  </si>
  <si>
    <t>002322</t>
  </si>
  <si>
    <t>NORM</t>
  </si>
  <si>
    <t>MUHAMAD RUSLI</t>
  </si>
  <si>
    <t>970258</t>
  </si>
  <si>
    <t>002738</t>
  </si>
  <si>
    <t>BIRO EDC JKT</t>
  </si>
  <si>
    <t>WIDYASTUTI</t>
  </si>
  <si>
    <t>DJOKO SISWANTO</t>
  </si>
  <si>
    <t>975386</t>
  </si>
  <si>
    <t>910253</t>
  </si>
  <si>
    <t>002675</t>
  </si>
  <si>
    <t>002674</t>
  </si>
  <si>
    <t>BCA GRESIK</t>
  </si>
  <si>
    <t>BCA KAPASARI</t>
  </si>
  <si>
    <t>ARIANTO WAHYOETOMO</t>
  </si>
  <si>
    <t>911296</t>
  </si>
  <si>
    <t>002319</t>
  </si>
  <si>
    <t>BCA MOJOAGUNG</t>
  </si>
  <si>
    <t>SRI RATNA H</t>
  </si>
  <si>
    <t>962742</t>
  </si>
  <si>
    <t>002272</t>
  </si>
  <si>
    <t>BCA DELTA PLAZA</t>
  </si>
  <si>
    <t>HAMZAH FANSURI</t>
  </si>
  <si>
    <t>TJATUR IDA HARIYATI</t>
  </si>
  <si>
    <t>974430</t>
  </si>
  <si>
    <t>973171</t>
  </si>
  <si>
    <t>001666</t>
  </si>
  <si>
    <t>001968</t>
  </si>
  <si>
    <t>MOTOR HONDA SCOPPY(EKA K)</t>
  </si>
  <si>
    <t>BCA NGAGEL JAYA</t>
  </si>
  <si>
    <t>PI BCA GALAXY</t>
  </si>
  <si>
    <t>PELUNASAN</t>
  </si>
  <si>
    <t>BCA CABANG</t>
  </si>
  <si>
    <t>KETERANGAN</t>
  </si>
  <si>
    <t>AGUSTININGRUM</t>
  </si>
  <si>
    <t>900848</t>
  </si>
  <si>
    <t>CSO BCA PRK BRT</t>
  </si>
  <si>
    <t>24</t>
  </si>
  <si>
    <t>NORMATIF</t>
  </si>
  <si>
    <t>BCA RUNGKUT MAPAN</t>
  </si>
  <si>
    <t>RECOVERY PIJ NORM</t>
  </si>
  <si>
    <t>BCA BABATAN PANTAI</t>
  </si>
  <si>
    <t>SHANTI KARTIKA</t>
  </si>
  <si>
    <t>962140</t>
  </si>
  <si>
    <t>BCA DARMO</t>
  </si>
  <si>
    <t>YULI DWI H</t>
  </si>
  <si>
    <t>007044</t>
  </si>
  <si>
    <t>36</t>
  </si>
  <si>
    <t>LOG KW 3 DARMO</t>
  </si>
  <si>
    <t>RECOVERY NOR</t>
  </si>
  <si>
    <t>VITRI WIDANINGSIH</t>
  </si>
  <si>
    <t>961436</t>
  </si>
  <si>
    <t>BCA TUBAN</t>
  </si>
  <si>
    <t>DIDIT HENDRO R</t>
  </si>
  <si>
    <t>990159</t>
  </si>
  <si>
    <t>LOG KW3 DARMO</t>
  </si>
  <si>
    <t>YULI LESMONO</t>
  </si>
  <si>
    <t>962991</t>
  </si>
  <si>
    <t>RECOVERY NORMATIF</t>
  </si>
  <si>
    <t>18</t>
  </si>
  <si>
    <t>GARK SBY</t>
  </si>
  <si>
    <t>SUCAHYONO</t>
  </si>
  <si>
    <t>940009</t>
  </si>
  <si>
    <t>KCU JOMBANG</t>
  </si>
  <si>
    <t>KCU GRS</t>
  </si>
  <si>
    <t>NOR BARU</t>
  </si>
  <si>
    <t>RECOVERY</t>
  </si>
  <si>
    <t>YETTY HARYATI</t>
  </si>
  <si>
    <t>000003</t>
  </si>
  <si>
    <t>010179</t>
  </si>
  <si>
    <t>BCA RUNGKUT</t>
  </si>
  <si>
    <t>FRANCISCA SANUSI</t>
  </si>
  <si>
    <t>000130</t>
  </si>
  <si>
    <t>NI KETUT DEWI S</t>
  </si>
  <si>
    <t>000775</t>
  </si>
  <si>
    <t>009793</t>
  </si>
  <si>
    <t>BCA TPI</t>
  </si>
  <si>
    <t>ERSISTA ADRIANI</t>
  </si>
  <si>
    <t>001854</t>
  </si>
  <si>
    <t>BCA GALAXY</t>
  </si>
  <si>
    <t>DEVINA KARUNIAWATY</t>
  </si>
  <si>
    <t>003614</t>
  </si>
  <si>
    <t>BCA M. DURYAT</t>
  </si>
  <si>
    <t>IFAN ARFIJANTO</t>
  </si>
  <si>
    <t>005880</t>
  </si>
  <si>
    <t>002142</t>
  </si>
  <si>
    <t>BCA KMBG JEPUN</t>
  </si>
  <si>
    <t>HUSEN</t>
  </si>
  <si>
    <t>005939</t>
  </si>
  <si>
    <t>KEU KW 3 BCA DARMO</t>
  </si>
  <si>
    <t>ENDANG WINASTUTI</t>
  </si>
  <si>
    <t>006025</t>
  </si>
  <si>
    <t>KCP GOCI</t>
  </si>
  <si>
    <t>NETI</t>
  </si>
  <si>
    <t>006060</t>
  </si>
  <si>
    <t>KCU HR MUH</t>
  </si>
  <si>
    <t>FREDDY KHORINTIUS</t>
  </si>
  <si>
    <t>006219</t>
  </si>
  <si>
    <t>002028</t>
  </si>
  <si>
    <t>BO BCA HR MUH</t>
  </si>
  <si>
    <t>001397</t>
  </si>
  <si>
    <t>PINJAMAN NORM TMBHAN</t>
  </si>
  <si>
    <t>001366</t>
  </si>
  <si>
    <t>LUSIANA KURNIAWATI</t>
  </si>
  <si>
    <t>007326</t>
  </si>
  <si>
    <t>010281</t>
  </si>
  <si>
    <t>BCA SEMARANG</t>
  </si>
  <si>
    <t>DIAH WISNU WARDHANI</t>
  </si>
  <si>
    <t>008543</t>
  </si>
  <si>
    <t>002344</t>
  </si>
  <si>
    <t>PIJ NORM</t>
  </si>
  <si>
    <t>TOMMY ALFAN</t>
  </si>
  <si>
    <t>008887</t>
  </si>
  <si>
    <t>006083</t>
  </si>
  <si>
    <t>SLK KW 3 DARMO</t>
  </si>
  <si>
    <t>INEKE COBO R</t>
  </si>
  <si>
    <t>008888</t>
  </si>
  <si>
    <t>002278</t>
  </si>
  <si>
    <t>BCA KPS KRMPUNG</t>
  </si>
  <si>
    <t>AGUS ADMAJA</t>
  </si>
  <si>
    <t>009674</t>
  </si>
  <si>
    <t>30</t>
  </si>
  <si>
    <t>SOY KW3 DARMO</t>
  </si>
  <si>
    <t>001721</t>
  </si>
  <si>
    <t>SOY KW 2 BCA DARMO</t>
  </si>
  <si>
    <t>NORM TAMBAHAN</t>
  </si>
  <si>
    <t>ELLYDA YULIAWATI</t>
  </si>
  <si>
    <t>009682</t>
  </si>
  <si>
    <t>KCU BANGKALAN</t>
  </si>
  <si>
    <t>R. AYU EVA YUANITA</t>
  </si>
  <si>
    <t>009683</t>
  </si>
  <si>
    <t>002337</t>
  </si>
  <si>
    <t>BCA SAMPANG</t>
  </si>
  <si>
    <t>AGNES WIDYARTI</t>
  </si>
  <si>
    <t>010037</t>
  </si>
  <si>
    <t>K3S GALAXY</t>
  </si>
  <si>
    <t>FARID CUNONG</t>
  </si>
  <si>
    <t>010121</t>
  </si>
  <si>
    <t>009564</t>
  </si>
  <si>
    <t>ATM KW 3 BCA DARMO</t>
  </si>
  <si>
    <t>HENGKY. D.A</t>
  </si>
  <si>
    <t>010186</t>
  </si>
  <si>
    <t>008743</t>
  </si>
  <si>
    <t>SOEGIHARTO</t>
  </si>
  <si>
    <t>010313</t>
  </si>
  <si>
    <t>010286</t>
  </si>
  <si>
    <t>BCA NGAGEL JAYA SLTN</t>
  </si>
  <si>
    <t>009925</t>
  </si>
  <si>
    <t>PIJ NORM TMBHN</t>
  </si>
  <si>
    <t>TITIK NUR WAHYUNINGSIH</t>
  </si>
  <si>
    <t>010314</t>
  </si>
  <si>
    <t>008346</t>
  </si>
  <si>
    <t>SLK KW3 DARMO</t>
  </si>
  <si>
    <t>MARYANTI N</t>
  </si>
  <si>
    <t>010385</t>
  </si>
  <si>
    <t>010320</t>
  </si>
  <si>
    <t>BCA BANGKALAN</t>
  </si>
  <si>
    <t>INDAH SULISTYANINGATI</t>
  </si>
  <si>
    <t>010403</t>
  </si>
  <si>
    <t>010005</t>
  </si>
  <si>
    <t>NORM TMBHN</t>
  </si>
  <si>
    <t>RESCEDULE NORM</t>
  </si>
  <si>
    <t>NURRAJEPIN</t>
  </si>
  <si>
    <t>010521</t>
  </si>
  <si>
    <t>001396</t>
  </si>
  <si>
    <t>SELVI KARTIKA</t>
  </si>
  <si>
    <t>020377</t>
  </si>
  <si>
    <t>004131</t>
  </si>
  <si>
    <t>BCA PSR ATUM</t>
  </si>
  <si>
    <t>IGNASIA MILKA G</t>
  </si>
  <si>
    <t>050374</t>
  </si>
  <si>
    <t>002092</t>
  </si>
  <si>
    <t>RAGA TAUFANI</t>
  </si>
  <si>
    <t>050958</t>
  </si>
  <si>
    <t>008642</t>
  </si>
  <si>
    <t>KEF BCA VETERAN</t>
  </si>
  <si>
    <t>LEONARD SANTOSO</t>
  </si>
  <si>
    <t>050996</t>
  </si>
  <si>
    <t>009838</t>
  </si>
  <si>
    <t>AO BCA INDRAPURA</t>
  </si>
  <si>
    <t>DAVID ARIANTO</t>
  </si>
  <si>
    <t>051117</t>
  </si>
  <si>
    <t>009200</t>
  </si>
  <si>
    <t>RIA APRILIYANA</t>
  </si>
  <si>
    <t>051237</t>
  </si>
  <si>
    <t>001368</t>
  </si>
  <si>
    <t>SBK KW 3 DARMO</t>
  </si>
  <si>
    <t>EKA WILIS D</t>
  </si>
  <si>
    <t>051584</t>
  </si>
  <si>
    <t>KCU GRESIK</t>
  </si>
  <si>
    <t>RECOVERY PINJ NOR</t>
  </si>
  <si>
    <t>SRI SURYANI P</t>
  </si>
  <si>
    <t>052323</t>
  </si>
  <si>
    <t>008732</t>
  </si>
  <si>
    <t>PENDK OPS BCA TUBAN</t>
  </si>
  <si>
    <t>DIAN ALIT PRAYITNA</t>
  </si>
  <si>
    <t>052422</t>
  </si>
  <si>
    <t>INDAH SULUSIYAH</t>
  </si>
  <si>
    <t>052444</t>
  </si>
  <si>
    <t>009324</t>
  </si>
  <si>
    <t>BCA HR MUH</t>
  </si>
  <si>
    <t>TYAS RADITA I</t>
  </si>
  <si>
    <t>053343</t>
  </si>
  <si>
    <t>JAMES FRANSIADE R.M</t>
  </si>
  <si>
    <t>053414</t>
  </si>
  <si>
    <t>008980</t>
  </si>
  <si>
    <t>BCA VETERAN</t>
  </si>
  <si>
    <t>ASTRI MERANTI</t>
  </si>
  <si>
    <t>053521</t>
  </si>
  <si>
    <t>002050</t>
  </si>
  <si>
    <t>K3S KW 3 SBY</t>
  </si>
  <si>
    <t>AGUS PUTRI MADHU</t>
  </si>
  <si>
    <t>053564</t>
  </si>
  <si>
    <t>002143</t>
  </si>
  <si>
    <t>KFCC SBY</t>
  </si>
  <si>
    <t>FERDY WIDJAJA</t>
  </si>
  <si>
    <t>053749</t>
  </si>
  <si>
    <t>002048</t>
  </si>
  <si>
    <t>WAHYU AGUNG P</t>
  </si>
  <si>
    <t>053816</t>
  </si>
  <si>
    <t>BCA SEPANJANG</t>
  </si>
  <si>
    <t>SURAYA S UTAMI</t>
  </si>
  <si>
    <t>053839</t>
  </si>
  <si>
    <t>010225</t>
  </si>
  <si>
    <t>FRIDA IKA R</t>
  </si>
  <si>
    <t>054128</t>
  </si>
  <si>
    <t>001326</t>
  </si>
  <si>
    <t>AO BCA SIDOARJO</t>
  </si>
  <si>
    <t>DANIK SEPTA PRATIWI</t>
  </si>
  <si>
    <t>054321</t>
  </si>
  <si>
    <t>BCA MJKERTO</t>
  </si>
  <si>
    <t>DIAN ERLINDA A</t>
  </si>
  <si>
    <t>054402</t>
  </si>
  <si>
    <t>001680</t>
  </si>
  <si>
    <t>ARIA HENGKY P</t>
  </si>
  <si>
    <t>054479</t>
  </si>
  <si>
    <t>008665</t>
  </si>
  <si>
    <t>DESY WAHYU S</t>
  </si>
  <si>
    <t>054483</t>
  </si>
  <si>
    <t>001295</t>
  </si>
  <si>
    <t>RINDA ASTRI W</t>
  </si>
  <si>
    <t>054501</t>
  </si>
  <si>
    <t>009795</t>
  </si>
  <si>
    <t>CS BCA PERAK BARAT</t>
  </si>
  <si>
    <t>YUYUN MARDHIANA</t>
  </si>
  <si>
    <t>054651</t>
  </si>
  <si>
    <t>010007</t>
  </si>
  <si>
    <t>BCA KPS KRMPG</t>
  </si>
  <si>
    <t>YETTY FEBRINA</t>
  </si>
  <si>
    <t>054778</t>
  </si>
  <si>
    <t>TELER BCA PSR ATUM</t>
  </si>
  <si>
    <t>AYIK SYAHBANA</t>
  </si>
  <si>
    <t>054837</t>
  </si>
  <si>
    <t>MARIA CHRISTANTY P</t>
  </si>
  <si>
    <t>054853</t>
  </si>
  <si>
    <t>010033</t>
  </si>
  <si>
    <t>BCA MY SUNGKONO</t>
  </si>
  <si>
    <t>ELVANDARI Y</t>
  </si>
  <si>
    <t>055026</t>
  </si>
  <si>
    <t>001751</t>
  </si>
  <si>
    <t>OKSITA MAULANIH</t>
  </si>
  <si>
    <t>055068</t>
  </si>
  <si>
    <t>009697</t>
  </si>
  <si>
    <t>K3S SBY</t>
  </si>
  <si>
    <t>AVIAN YOES H</t>
  </si>
  <si>
    <t>055148</t>
  </si>
  <si>
    <t>008811</t>
  </si>
  <si>
    <t>KEF KK GRAHA NIAGA</t>
  </si>
  <si>
    <t>HENITA</t>
  </si>
  <si>
    <t>055158</t>
  </si>
  <si>
    <t>001752</t>
  </si>
  <si>
    <t>BCA DIPONEGORO</t>
  </si>
  <si>
    <t>MIFTAHUDDIN</t>
  </si>
  <si>
    <t>055165</t>
  </si>
  <si>
    <t>008656</t>
  </si>
  <si>
    <t>ELISABETH LISTIANI</t>
  </si>
  <si>
    <t>055426</t>
  </si>
  <si>
    <t>BCA TIDAR</t>
  </si>
  <si>
    <t>RESTIE PRATANTINA</t>
  </si>
  <si>
    <t>055438</t>
  </si>
  <si>
    <t>009369</t>
  </si>
  <si>
    <t>HANSEL WILLIAM</t>
  </si>
  <si>
    <t>055633</t>
  </si>
  <si>
    <t>009175</t>
  </si>
  <si>
    <t>HEPTA SANTOSO</t>
  </si>
  <si>
    <t>055802</t>
  </si>
  <si>
    <t>001832</t>
  </si>
  <si>
    <t>MOCH AGUS NUR RIFAI</t>
  </si>
  <si>
    <t>055816</t>
  </si>
  <si>
    <t>006929</t>
  </si>
  <si>
    <t>INDRA PURWONINGSIH</t>
  </si>
  <si>
    <t>055887</t>
  </si>
  <si>
    <t>KCU TUBAN</t>
  </si>
  <si>
    <t>SHENDY ANGELINA M</t>
  </si>
  <si>
    <t>055892</t>
  </si>
  <si>
    <t>010344</t>
  </si>
  <si>
    <t>RECOVERY PIJ DILUAR NORM</t>
  </si>
  <si>
    <t>AFRIA SUKARTINI</t>
  </si>
  <si>
    <t>056015</t>
  </si>
  <si>
    <t>005367</t>
  </si>
  <si>
    <t>TELLER BCA PSR ATUM</t>
  </si>
  <si>
    <t>ANTONIUS MARYANTO</t>
  </si>
  <si>
    <t>056017</t>
  </si>
  <si>
    <t>008473</t>
  </si>
  <si>
    <t>BCA SIDOARJO</t>
  </si>
  <si>
    <t>CINDY KURNIA DEWI</t>
  </si>
  <si>
    <t>056023</t>
  </si>
  <si>
    <t>009878</t>
  </si>
  <si>
    <t>KEF BCA DARMO</t>
  </si>
  <si>
    <t>KARINA SANDRA</t>
  </si>
  <si>
    <t>056045</t>
  </si>
  <si>
    <t>002279</t>
  </si>
  <si>
    <t>IMAM TAUFIK</t>
  </si>
  <si>
    <t>056142</t>
  </si>
  <si>
    <t>010074</t>
  </si>
  <si>
    <t>SOY KW 3 BCA DARMO</t>
  </si>
  <si>
    <t>FRITA YUNINGTYAS</t>
  </si>
  <si>
    <t>056173</t>
  </si>
  <si>
    <t>009572</t>
  </si>
  <si>
    <t>CSO PRIO MOJOKERTO</t>
  </si>
  <si>
    <t>GEOVANI Y</t>
  </si>
  <si>
    <t>056301</t>
  </si>
  <si>
    <t>001483</t>
  </si>
  <si>
    <t>BCA CITRALAND</t>
  </si>
  <si>
    <t>RIZZA RAHMAWATI</t>
  </si>
  <si>
    <t>056306</t>
  </si>
  <si>
    <t>007534</t>
  </si>
  <si>
    <t>BCA LAMONGAN</t>
  </si>
  <si>
    <t>PINJ NORM</t>
  </si>
  <si>
    <t>NOVI SETIA H</t>
  </si>
  <si>
    <t>056417</t>
  </si>
  <si>
    <t>009860</t>
  </si>
  <si>
    <t>DWI SUHARYADI</t>
  </si>
  <si>
    <t>056710</t>
  </si>
  <si>
    <t>001657</t>
  </si>
  <si>
    <t>KEF K3S SBY</t>
  </si>
  <si>
    <t>DWIAZZA GADITYA P</t>
  </si>
  <si>
    <t>057001</t>
  </si>
  <si>
    <t>008703</t>
  </si>
  <si>
    <t>K3S SURABAYA</t>
  </si>
  <si>
    <t>DIAH NINGRUM ASTUTI</t>
  </si>
  <si>
    <t>057125</t>
  </si>
  <si>
    <t>KCU DARMO</t>
  </si>
  <si>
    <t>FRANSISCUS ANDY TEGUH</t>
  </si>
  <si>
    <t>057141</t>
  </si>
  <si>
    <t>KCU SIDOARJO</t>
  </si>
  <si>
    <t>RESTI AYU S</t>
  </si>
  <si>
    <t>057153</t>
  </si>
  <si>
    <t>001820</t>
  </si>
  <si>
    <t>WAHYU SETYORINI</t>
  </si>
  <si>
    <t>057159</t>
  </si>
  <si>
    <t>001505</t>
  </si>
  <si>
    <t>BCA GOLDEN CITY</t>
  </si>
  <si>
    <t>ZUMARATUS SAADAH</t>
  </si>
  <si>
    <t>057162</t>
  </si>
  <si>
    <t>004336</t>
  </si>
  <si>
    <t>KEF BCA MANYAR</t>
  </si>
  <si>
    <t>SHINTA ANGGRAINI</t>
  </si>
  <si>
    <t>057700</t>
  </si>
  <si>
    <t>010138</t>
  </si>
  <si>
    <t>ANGGI VANDIKA P</t>
  </si>
  <si>
    <t>058501</t>
  </si>
  <si>
    <t>007865</t>
  </si>
  <si>
    <t>BCA PTC</t>
  </si>
  <si>
    <t>ANISA MELATI AYU</t>
  </si>
  <si>
    <t>058503</t>
  </si>
  <si>
    <t>KEF TELLER KCU RUNGKUT</t>
  </si>
  <si>
    <t>ANISA MELATI AYU.A</t>
  </si>
  <si>
    <t>007977</t>
  </si>
  <si>
    <t>TELLER BCA RUNGKUT</t>
  </si>
  <si>
    <t>DYAH WULANSARI</t>
  </si>
  <si>
    <t>058518</t>
  </si>
  <si>
    <t>009835</t>
  </si>
  <si>
    <t>CSO BCA PTC</t>
  </si>
  <si>
    <t>LIA RISQIANA</t>
  </si>
  <si>
    <t>058530</t>
  </si>
  <si>
    <t>010227</t>
  </si>
  <si>
    <t>SYLVIA INDRASARI</t>
  </si>
  <si>
    <t>058814</t>
  </si>
  <si>
    <t>008537</t>
  </si>
  <si>
    <t>BCA MJK</t>
  </si>
  <si>
    <t>RISKA GILDHA</t>
  </si>
  <si>
    <t>059166</t>
  </si>
  <si>
    <t>009183</t>
  </si>
  <si>
    <t>LILLA SALSABILA I</t>
  </si>
  <si>
    <t>059551</t>
  </si>
  <si>
    <t>009913</t>
  </si>
  <si>
    <t>KEF BCA SEPANJANG</t>
  </si>
  <si>
    <t>MOCH ZAINURI</t>
  </si>
  <si>
    <t>059554</t>
  </si>
  <si>
    <t>001891</t>
  </si>
  <si>
    <t>BCA SIMPANG DARMO</t>
  </si>
  <si>
    <t>NIA MIRYANTI</t>
  </si>
  <si>
    <t>059556</t>
  </si>
  <si>
    <t>006406</t>
  </si>
  <si>
    <t>CSO BCA JOMBANG</t>
  </si>
  <si>
    <t>RECOVERY PINJ NORM</t>
  </si>
  <si>
    <t>AMALIA VERISKA</t>
  </si>
  <si>
    <t>060153</t>
  </si>
  <si>
    <t>001748</t>
  </si>
  <si>
    <t>BCA KERTOPATEN</t>
  </si>
  <si>
    <t>INDRA ENDHIKA</t>
  </si>
  <si>
    <t>060165</t>
  </si>
  <si>
    <t>DISTY ANGGRAIKA</t>
  </si>
  <si>
    <t>060204</t>
  </si>
  <si>
    <t>002151</t>
  </si>
  <si>
    <t>NIKEN RAHAYU PRIHASTUTI</t>
  </si>
  <si>
    <t>060219</t>
  </si>
  <si>
    <t>KCP SUNGKONO</t>
  </si>
  <si>
    <t>NOR</t>
  </si>
  <si>
    <t>RANI FRISCA C</t>
  </si>
  <si>
    <t>060220</t>
  </si>
  <si>
    <t>009912</t>
  </si>
  <si>
    <t>IRMALA YUNIARSASI</t>
  </si>
  <si>
    <t>060309</t>
  </si>
  <si>
    <t>009963</t>
  </si>
  <si>
    <t>NUR ASIYAH JAMIL</t>
  </si>
  <si>
    <t>060790</t>
  </si>
  <si>
    <t>AYU FITRIANI</t>
  </si>
  <si>
    <t>061006</t>
  </si>
  <si>
    <t>001699</t>
  </si>
  <si>
    <t>KEF BCA MAKRO PPLEGI</t>
  </si>
  <si>
    <t>DERINA AVIANDRI K</t>
  </si>
  <si>
    <t>061040</t>
  </si>
  <si>
    <t>008949</t>
  </si>
  <si>
    <t>BCA GEDANGAN</t>
  </si>
  <si>
    <t>ERRICA DESI RACHMAWATI</t>
  </si>
  <si>
    <t>061044</t>
  </si>
  <si>
    <t>008532</t>
  </si>
  <si>
    <t>NILSEN SILVIA D</t>
  </si>
  <si>
    <t>061060</t>
  </si>
  <si>
    <t>RIA VIRGIA VERONICA</t>
  </si>
  <si>
    <t>061097</t>
  </si>
  <si>
    <t>BCA JUANDA</t>
  </si>
  <si>
    <t>LUVI MARIANA</t>
  </si>
  <si>
    <t>061621</t>
  </si>
  <si>
    <t>010254</t>
  </si>
  <si>
    <t>FREESI FRIANA</t>
  </si>
  <si>
    <t>061860</t>
  </si>
  <si>
    <t>009950</t>
  </si>
  <si>
    <t>RADIKTYA INDRA P</t>
  </si>
  <si>
    <t>062284</t>
  </si>
  <si>
    <t>009112</t>
  </si>
  <si>
    <t>NUR FITRIA M</t>
  </si>
  <si>
    <t>062308</t>
  </si>
  <si>
    <t>007533</t>
  </si>
  <si>
    <t>CSO BCA LAMONGAN</t>
  </si>
  <si>
    <t>ARISKA YOGA</t>
  </si>
  <si>
    <t>063034</t>
  </si>
  <si>
    <t>001523</t>
  </si>
  <si>
    <t>KTR KAS LIDAH WETAN</t>
  </si>
  <si>
    <t>FRISKA AMALIA</t>
  </si>
  <si>
    <t>063179</t>
  </si>
  <si>
    <t>009620</t>
  </si>
  <si>
    <t>KEU KW3 BCA DARMO</t>
  </si>
  <si>
    <t>DINDA AYU P</t>
  </si>
  <si>
    <t>063483</t>
  </si>
  <si>
    <t>009899</t>
  </si>
  <si>
    <t>SLA KANWIL 3 BCA DARMO</t>
  </si>
  <si>
    <t>001875</t>
  </si>
  <si>
    <t>KARYAWAN KOPERASI</t>
  </si>
  <si>
    <t>KASIADI</t>
  </si>
  <si>
    <t>885157</t>
  </si>
  <si>
    <t>009554</t>
  </si>
  <si>
    <t>NOERLITA SWANDAYANI</t>
  </si>
  <si>
    <t>885399</t>
  </si>
  <si>
    <t>006810</t>
  </si>
  <si>
    <t>KK LARANGAN</t>
  </si>
  <si>
    <t>MEILIJAWATI</t>
  </si>
  <si>
    <t>885468</t>
  </si>
  <si>
    <t>KCU MJK</t>
  </si>
  <si>
    <t>MIRA ISMAWATI</t>
  </si>
  <si>
    <t>885814</t>
  </si>
  <si>
    <t>PSDM KW 3 DARMO</t>
  </si>
  <si>
    <t>CHARLOTTE TRIAS M</t>
  </si>
  <si>
    <t>896058</t>
  </si>
  <si>
    <t>009033</t>
  </si>
  <si>
    <t>MURDIANTO</t>
  </si>
  <si>
    <t>896947</t>
  </si>
  <si>
    <t>001638</t>
  </si>
  <si>
    <t>PRAMUKARYA VETERAN</t>
  </si>
  <si>
    <t>EDI PURWOKO</t>
  </si>
  <si>
    <t>897646</t>
  </si>
  <si>
    <t>001550</t>
  </si>
  <si>
    <t>BCA BABAT</t>
  </si>
  <si>
    <t>INA KARTIKA</t>
  </si>
  <si>
    <t>897665</t>
  </si>
  <si>
    <t>KCU VETERAN</t>
  </si>
  <si>
    <t>MUCHAMAD MUSLIM</t>
  </si>
  <si>
    <t>897667</t>
  </si>
  <si>
    <t>KCP LAMONGAN</t>
  </si>
  <si>
    <t>SUDARTO</t>
  </si>
  <si>
    <t>897865</t>
  </si>
  <si>
    <t>009578</t>
  </si>
  <si>
    <t>SIAMAH</t>
  </si>
  <si>
    <t>897876</t>
  </si>
  <si>
    <t>008526</t>
  </si>
  <si>
    <t>BCA KAPASAN</t>
  </si>
  <si>
    <t>IDA TARIDA</t>
  </si>
  <si>
    <t>898027</t>
  </si>
  <si>
    <t>002292</t>
  </si>
  <si>
    <t>KKKS SBY BCA GALAXY</t>
  </si>
  <si>
    <t>SETIA PUDIANI</t>
  </si>
  <si>
    <t>898039</t>
  </si>
  <si>
    <t>010323</t>
  </si>
  <si>
    <t>ACHMAD TRIYONO</t>
  </si>
  <si>
    <t>898317</t>
  </si>
  <si>
    <t>009904</t>
  </si>
  <si>
    <t>BCA SDA</t>
  </si>
  <si>
    <t>MURNI JULIARSI</t>
  </si>
  <si>
    <t>898328</t>
  </si>
  <si>
    <t>001980</t>
  </si>
  <si>
    <t>MURYANTO</t>
  </si>
  <si>
    <t>898330</t>
  </si>
  <si>
    <t>009875</t>
  </si>
  <si>
    <t>BCA AMBENGAN</t>
  </si>
  <si>
    <t>HARTONO</t>
  </si>
  <si>
    <t>898614</t>
  </si>
  <si>
    <t>001527</t>
  </si>
  <si>
    <t>KABAG CSO BCA PRK TMR</t>
  </si>
  <si>
    <t>RUTH FERAWATI</t>
  </si>
  <si>
    <t>898615</t>
  </si>
  <si>
    <t>008689</t>
  </si>
  <si>
    <t>ERNA ROSYADA</t>
  </si>
  <si>
    <t>898779</t>
  </si>
  <si>
    <t>PRIBADI AGUSTONO</t>
  </si>
  <si>
    <t>898826</t>
  </si>
  <si>
    <t>001310</t>
  </si>
  <si>
    <t>BCA PSR TURI</t>
  </si>
  <si>
    <t>PRILIA POERWITA</t>
  </si>
  <si>
    <t>899527</t>
  </si>
  <si>
    <t>002176</t>
  </si>
  <si>
    <t>BCA DIT</t>
  </si>
  <si>
    <t>MOH KUSNUN</t>
  </si>
  <si>
    <t>899533</t>
  </si>
  <si>
    <t>009686</t>
  </si>
  <si>
    <t>PRAMUKARYA BCA VET</t>
  </si>
  <si>
    <t>LAKSMI MRABAWANI</t>
  </si>
  <si>
    <t>899725</t>
  </si>
  <si>
    <t>KCP SLOMPRETAN</t>
  </si>
  <si>
    <t>MULYADI</t>
  </si>
  <si>
    <t>900028</t>
  </si>
  <si>
    <t>006981</t>
  </si>
  <si>
    <t>SUPRIONO</t>
  </si>
  <si>
    <t>900225</t>
  </si>
  <si>
    <t>009036</t>
  </si>
  <si>
    <t>SA BCA JOMBANG</t>
  </si>
  <si>
    <t>SRI ENDAHWATI</t>
  </si>
  <si>
    <t>900254</t>
  </si>
  <si>
    <t>009748</t>
  </si>
  <si>
    <t>ANDRY INYANUARINI</t>
  </si>
  <si>
    <t>900260</t>
  </si>
  <si>
    <t>002304</t>
  </si>
  <si>
    <t>17</t>
  </si>
  <si>
    <t>BCA PORONG</t>
  </si>
  <si>
    <t>ERNY TEDJORAHARDJO</t>
  </si>
  <si>
    <t>900268</t>
  </si>
  <si>
    <t>001306</t>
  </si>
  <si>
    <t>BCA BO JUNCTION</t>
  </si>
  <si>
    <t>SUGENG HARDJANTO</t>
  </si>
  <si>
    <t>900272</t>
  </si>
  <si>
    <t>DARMO INDH TIMUR</t>
  </si>
  <si>
    <t>BETTY MOELISTYANINGSIH</t>
  </si>
  <si>
    <t>900847</t>
  </si>
  <si>
    <t>007857</t>
  </si>
  <si>
    <t>BCA MANYAR</t>
  </si>
  <si>
    <t>AIDA NINDIAH</t>
  </si>
  <si>
    <t>901039</t>
  </si>
  <si>
    <t>009113</t>
  </si>
  <si>
    <t>BCA PAMEKASAN</t>
  </si>
  <si>
    <t>BUDI SETYANINGSIH</t>
  </si>
  <si>
    <t>901041</t>
  </si>
  <si>
    <t>008513</t>
  </si>
  <si>
    <t>ERLINA YULI A</t>
  </si>
  <si>
    <t>901042</t>
  </si>
  <si>
    <t>001953</t>
  </si>
  <si>
    <t>M. ZAHRI</t>
  </si>
  <si>
    <t>901067</t>
  </si>
  <si>
    <t>NUR HUZAIMAH</t>
  </si>
  <si>
    <t>901151</t>
  </si>
  <si>
    <t>001723</t>
  </si>
  <si>
    <t>HENDRA SARI KARTIKA</t>
  </si>
  <si>
    <t>901793</t>
  </si>
  <si>
    <t>001376</t>
  </si>
  <si>
    <t>FX ANSELMUS</t>
  </si>
  <si>
    <t>901798</t>
  </si>
  <si>
    <t>002584</t>
  </si>
  <si>
    <t>BCA PLZ MARINA</t>
  </si>
  <si>
    <t>ADI SUSANTO</t>
  </si>
  <si>
    <t>901950</t>
  </si>
  <si>
    <t>002030</t>
  </si>
  <si>
    <t>ALK KW 3 BCA DARMO</t>
  </si>
  <si>
    <t>DONO SULASTIO</t>
  </si>
  <si>
    <t>901967</t>
  </si>
  <si>
    <t>009998</t>
  </si>
  <si>
    <t>DADANG ISWORO</t>
  </si>
  <si>
    <t>902252</t>
  </si>
  <si>
    <t>009653</t>
  </si>
  <si>
    <t>KBG LOG KW 3 DARMO</t>
  </si>
  <si>
    <t>EMY SRIHASTUTI</t>
  </si>
  <si>
    <t>902254</t>
  </si>
  <si>
    <t>009465</t>
  </si>
  <si>
    <t>ADM KRDT KW3 DRM</t>
  </si>
  <si>
    <t>001669</t>
  </si>
  <si>
    <t>SLK KW 3 BCA DARMO</t>
  </si>
  <si>
    <t>HEDWIG KARTIKAWATI</t>
  </si>
  <si>
    <t>902256</t>
  </si>
  <si>
    <t>001781</t>
  </si>
  <si>
    <t>SBK KW3 DARMO</t>
  </si>
  <si>
    <t>ARLIAH FERNIATY</t>
  </si>
  <si>
    <t>902326</t>
  </si>
  <si>
    <t>009231</t>
  </si>
  <si>
    <t>BCA GENTENG KALI</t>
  </si>
  <si>
    <t>HARNANIK</t>
  </si>
  <si>
    <t>902552</t>
  </si>
  <si>
    <t>008981</t>
  </si>
  <si>
    <t>LUKITA PURWATI</t>
  </si>
  <si>
    <t>902556</t>
  </si>
  <si>
    <t>009448</t>
  </si>
  <si>
    <t>ISTIRAHATININGSIH</t>
  </si>
  <si>
    <t>902741</t>
  </si>
  <si>
    <t>SAMIDI</t>
  </si>
  <si>
    <t>902742</t>
  </si>
  <si>
    <t>KCU MOJOKERTO</t>
  </si>
  <si>
    <t>LILY HERAWATI</t>
  </si>
  <si>
    <t>902857</t>
  </si>
  <si>
    <t>BCA PERAK</t>
  </si>
  <si>
    <t>AGUS BUDIYONO</t>
  </si>
  <si>
    <t>902874</t>
  </si>
  <si>
    <t>002403</t>
  </si>
  <si>
    <t>BCA INDRAPURA</t>
  </si>
  <si>
    <t>TUGAS HERLIYANTO</t>
  </si>
  <si>
    <t>903846</t>
  </si>
  <si>
    <t>001298</t>
  </si>
  <si>
    <t>HAMDANI</t>
  </si>
  <si>
    <t>904001</t>
  </si>
  <si>
    <t>SIW KCU JOMBANG</t>
  </si>
  <si>
    <t>WIWIK INDRAWATI</t>
  </si>
  <si>
    <t>904117</t>
  </si>
  <si>
    <t>SUSIANTO</t>
  </si>
  <si>
    <t>904182</t>
  </si>
  <si>
    <t>002582</t>
  </si>
  <si>
    <t>SUYITNA</t>
  </si>
  <si>
    <t>904455</t>
  </si>
  <si>
    <t>008549</t>
  </si>
  <si>
    <t>GANGSAR PRIYATNO</t>
  </si>
  <si>
    <t>904931</t>
  </si>
  <si>
    <t>009246</t>
  </si>
  <si>
    <t>BCA TUNJUNGAN</t>
  </si>
  <si>
    <t>INDAH RACHMAWATI</t>
  </si>
  <si>
    <t>904948</t>
  </si>
  <si>
    <t>002154</t>
  </si>
  <si>
    <t>STAF APK BCA DIPONEGORO</t>
  </si>
  <si>
    <t>HANIFAH ARSYAD</t>
  </si>
  <si>
    <t>904968</t>
  </si>
  <si>
    <t>010067</t>
  </si>
  <si>
    <t>CSO BCA GEDANGAN</t>
  </si>
  <si>
    <t>SRI WAHYUNI</t>
  </si>
  <si>
    <t>904976</t>
  </si>
  <si>
    <t>009003</t>
  </si>
  <si>
    <t>BCA GOCI</t>
  </si>
  <si>
    <t>NINIEK</t>
  </si>
  <si>
    <t>905145</t>
  </si>
  <si>
    <t>006728</t>
  </si>
  <si>
    <t>AMARINA</t>
  </si>
  <si>
    <t>910065</t>
  </si>
  <si>
    <t>002570</t>
  </si>
  <si>
    <t>MURIANA MUSTARI</t>
  </si>
  <si>
    <t>910247</t>
  </si>
  <si>
    <t>KCP KAPASARI</t>
  </si>
  <si>
    <t>ELVI MARIA</t>
  </si>
  <si>
    <t>910252</t>
  </si>
  <si>
    <t>005408</t>
  </si>
  <si>
    <t>001276</t>
  </si>
  <si>
    <t>LUSCY TANDYONO</t>
  </si>
  <si>
    <t>910260</t>
  </si>
  <si>
    <t>001610</t>
  </si>
  <si>
    <t>BCA BG JUNCTION</t>
  </si>
  <si>
    <t>RATNA DEWI WIDJAJA</t>
  </si>
  <si>
    <t>910267</t>
  </si>
  <si>
    <t>007991</t>
  </si>
  <si>
    <t>BCA RAJAWALI</t>
  </si>
  <si>
    <t>TOMIADI</t>
  </si>
  <si>
    <t>910268</t>
  </si>
  <si>
    <t>009182</t>
  </si>
  <si>
    <t>BCA PERAK TIMUR</t>
  </si>
  <si>
    <t>SITI ISRO'IYAH</t>
  </si>
  <si>
    <t>910270</t>
  </si>
  <si>
    <t>008535</t>
  </si>
  <si>
    <t>LANI HERAWATI</t>
  </si>
  <si>
    <t>910515</t>
  </si>
  <si>
    <t>008716</t>
  </si>
  <si>
    <t>KUSWANTO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</si>
  <si>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</si>
  <si>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</si>
  <si>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</si>
  <si>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</si>
  <si>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</si>
  <si>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</si>
  <si>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</si>
  <si>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</si>
  <si>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</si>
  <si>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910536</t>
  </si>
  <si>
    <t>001293</t>
  </si>
  <si>
    <t>ARIEF WIDODO</t>
  </si>
  <si>
    <t>910546</t>
  </si>
  <si>
    <t>009371</t>
  </si>
  <si>
    <t>SUGENG PRASETYO</t>
  </si>
  <si>
    <t>910642</t>
  </si>
  <si>
    <t>007570</t>
  </si>
  <si>
    <t>MARTINUS EKO K</t>
  </si>
  <si>
    <t>910963</t>
  </si>
  <si>
    <t>008997</t>
  </si>
  <si>
    <t>PAULUS ERICK S</t>
  </si>
  <si>
    <t>911076</t>
  </si>
  <si>
    <t>010100</t>
  </si>
  <si>
    <t>TELLER BCA SEMUT</t>
  </si>
  <si>
    <t>IWAN SANTOSO</t>
  </si>
  <si>
    <t>911089</t>
  </si>
  <si>
    <t>008676</t>
  </si>
  <si>
    <t>BCA TP</t>
  </si>
  <si>
    <t>ONNY SURYANI</t>
  </si>
  <si>
    <t>911095</t>
  </si>
  <si>
    <t>002564</t>
  </si>
  <si>
    <t>JUNARIS</t>
  </si>
  <si>
    <t>911098</t>
  </si>
  <si>
    <t>009879</t>
  </si>
  <si>
    <t>RUPA2 BCA DARMO</t>
  </si>
  <si>
    <t>DANA ONG</t>
  </si>
  <si>
    <t>911106</t>
  </si>
  <si>
    <t>001253</t>
  </si>
  <si>
    <t>NOER CHASANAH</t>
  </si>
  <si>
    <t>911187</t>
  </si>
  <si>
    <t>009861</t>
  </si>
  <si>
    <t>SUTRISNO</t>
  </si>
  <si>
    <t>911805</t>
  </si>
  <si>
    <t>010291</t>
  </si>
  <si>
    <t>BCA KRIAN</t>
  </si>
  <si>
    <t>ARIANI PRINARYANTI</t>
  </si>
  <si>
    <t>911812</t>
  </si>
  <si>
    <t>010152</t>
  </si>
  <si>
    <t>BO DARMO</t>
  </si>
  <si>
    <t>SOLICHIN</t>
  </si>
  <si>
    <t>911813</t>
  </si>
  <si>
    <t>008848</t>
  </si>
  <si>
    <t>BCA JMP</t>
  </si>
  <si>
    <t>VERA M KAUNANG</t>
  </si>
  <si>
    <t>912036</t>
  </si>
  <si>
    <t>008834</t>
  </si>
  <si>
    <t>BCA GENTENGKALI</t>
  </si>
  <si>
    <t>YOEZIE SEPTEMBER</t>
  </si>
  <si>
    <t>912038</t>
  </si>
  <si>
    <t>KCP NGINDEN SEMOLO</t>
  </si>
  <si>
    <t>BOUGENVIVA TJIPTA</t>
  </si>
  <si>
    <t>912045</t>
  </si>
  <si>
    <t>002293</t>
  </si>
  <si>
    <t>CHRISTINA R W</t>
  </si>
  <si>
    <t>912096</t>
  </si>
  <si>
    <t>008963</t>
  </si>
  <si>
    <t>EDY KUSWAHYONO</t>
  </si>
  <si>
    <t>912193</t>
  </si>
  <si>
    <t>009227</t>
  </si>
  <si>
    <t>EDDY TEGUH D</t>
  </si>
  <si>
    <t>912283</t>
  </si>
  <si>
    <t>008621</t>
  </si>
  <si>
    <t>AO BCA DARMO</t>
  </si>
  <si>
    <t>ZUBAIDAH</t>
  </si>
  <si>
    <t>912318</t>
  </si>
  <si>
    <t>008538</t>
  </si>
  <si>
    <t>HYIDTRI SUPRANINGSIH</t>
  </si>
  <si>
    <t>912462</t>
  </si>
  <si>
    <t>008421</t>
  </si>
  <si>
    <t>BCA MOJOSARI</t>
  </si>
  <si>
    <t>ANNY PUSPITA S</t>
  </si>
  <si>
    <t>912467</t>
  </si>
  <si>
    <t>002317</t>
  </si>
  <si>
    <t>ENDANG TRI P</t>
  </si>
  <si>
    <t>912470</t>
  </si>
  <si>
    <t>001419</t>
  </si>
  <si>
    <t>JASMANTO</t>
  </si>
  <si>
    <t>912768</t>
  </si>
  <si>
    <t>008996</t>
  </si>
  <si>
    <t>MOEDJI SANTOSO</t>
  </si>
  <si>
    <t>912769</t>
  </si>
  <si>
    <t>010259</t>
  </si>
  <si>
    <t>BCA SUNCITY</t>
  </si>
  <si>
    <t>DEWI NOVIANTI</t>
  </si>
  <si>
    <t>912775</t>
  </si>
  <si>
    <t>BCA MULYOSARI</t>
  </si>
  <si>
    <t>SUKARJI</t>
  </si>
  <si>
    <t>912786</t>
  </si>
  <si>
    <t>009190</t>
  </si>
  <si>
    <t>BAGUS YOGA KUMALA</t>
  </si>
  <si>
    <t>912792</t>
  </si>
  <si>
    <t>010008</t>
  </si>
  <si>
    <t>SLA KW3 DARMO</t>
  </si>
  <si>
    <t>DIDIK ASMARA</t>
  </si>
  <si>
    <t>912799</t>
  </si>
  <si>
    <t>009987</t>
  </si>
  <si>
    <t>PRAMUKARYA IDP</t>
  </si>
  <si>
    <t>DWI YENUARTANTO</t>
  </si>
  <si>
    <t>912804</t>
  </si>
  <si>
    <t>001348</t>
  </si>
  <si>
    <t>MOCH ISMAIL</t>
  </si>
  <si>
    <t>912805</t>
  </si>
  <si>
    <t>009565</t>
  </si>
  <si>
    <t>INDAH POERWATI</t>
  </si>
  <si>
    <t>912815</t>
  </si>
  <si>
    <t>ENDANG RISWATININGSIH</t>
  </si>
  <si>
    <t>912821</t>
  </si>
  <si>
    <t>KCP MARGOREJO</t>
  </si>
  <si>
    <t>REBEKA CHENDRA</t>
  </si>
  <si>
    <t>912828</t>
  </si>
  <si>
    <t>002093</t>
  </si>
  <si>
    <t>AGUS YULIANTO</t>
  </si>
  <si>
    <t>912849</t>
  </si>
  <si>
    <t>001572</t>
  </si>
  <si>
    <t>BCA NGORO</t>
  </si>
  <si>
    <t>NI NYOMAN</t>
  </si>
  <si>
    <t>913371</t>
  </si>
  <si>
    <t>001320</t>
  </si>
  <si>
    <t>BCA KENJERAN</t>
  </si>
  <si>
    <t>I WAYAN MUDJIANTO</t>
  </si>
  <si>
    <t>913376</t>
  </si>
  <si>
    <t>002586</t>
  </si>
  <si>
    <t>SQW KW3 DARMO</t>
  </si>
  <si>
    <t>EDDY WANTORO</t>
  </si>
  <si>
    <t>913381</t>
  </si>
  <si>
    <t>009319</t>
  </si>
  <si>
    <t>DHIYAH NURMASIH</t>
  </si>
  <si>
    <t>913383</t>
  </si>
  <si>
    <t>001475</t>
  </si>
  <si>
    <t>EFFENDI</t>
  </si>
  <si>
    <t>913431</t>
  </si>
  <si>
    <t>009865</t>
  </si>
  <si>
    <t>SONY SUMARSONO</t>
  </si>
  <si>
    <t>913433</t>
  </si>
  <si>
    <t>001255</t>
  </si>
  <si>
    <t>DANU HIDAYAT</t>
  </si>
  <si>
    <t>913612</t>
  </si>
  <si>
    <t>DRIVER MJK</t>
  </si>
  <si>
    <t>ANTONIUS GUNAWAN W</t>
  </si>
  <si>
    <t>913616</t>
  </si>
  <si>
    <t>001386</t>
  </si>
  <si>
    <t>BCA PASAR ATOM</t>
  </si>
  <si>
    <t>ANAM BASOEKI</t>
  </si>
  <si>
    <t>913617</t>
  </si>
  <si>
    <t>008637</t>
  </si>
  <si>
    <t>SURIANTO</t>
  </si>
  <si>
    <t>913622</t>
  </si>
  <si>
    <t>001696</t>
  </si>
  <si>
    <t>ATM KW 3 DARMO</t>
  </si>
  <si>
    <t>EDDI CUNG</t>
  </si>
  <si>
    <t>913992</t>
  </si>
  <si>
    <t>001477</t>
  </si>
  <si>
    <t>AHJADI WIDJAJA</t>
  </si>
  <si>
    <t>914013</t>
  </si>
  <si>
    <t>001479</t>
  </si>
  <si>
    <t>KLIRING BCA DARMO</t>
  </si>
  <si>
    <t>LULUK MARIANA</t>
  </si>
  <si>
    <t>914065</t>
  </si>
  <si>
    <t>010025</t>
  </si>
  <si>
    <t>TRIS RUSTIJADJI</t>
  </si>
  <si>
    <t>914071</t>
  </si>
  <si>
    <t>001664</t>
  </si>
  <si>
    <t>BCA DHARMAHUSADA</t>
  </si>
  <si>
    <t>AGUNG SULAKSONO</t>
  </si>
  <si>
    <t>914242</t>
  </si>
  <si>
    <t>001658</t>
  </si>
  <si>
    <t>USDIYANTO</t>
  </si>
  <si>
    <t>914269</t>
  </si>
  <si>
    <t>WASIS WAHYUDI</t>
  </si>
  <si>
    <t>920216</t>
  </si>
  <si>
    <t>009931</t>
  </si>
  <si>
    <t>PRAMUKARYA GALAXY</t>
  </si>
  <si>
    <t>RATNA ISLUSININGTYAS A</t>
  </si>
  <si>
    <t>920218</t>
  </si>
  <si>
    <t>009788</t>
  </si>
  <si>
    <t>KK LAMONGAN</t>
  </si>
  <si>
    <t>NINA SUPRIYANI</t>
  </si>
  <si>
    <t>920219</t>
  </si>
  <si>
    <t>001883</t>
  </si>
  <si>
    <t>BCA KERTAJAYA INDAH</t>
  </si>
  <si>
    <t>NI MADE SUWASTINI</t>
  </si>
  <si>
    <t>920410</t>
  </si>
  <si>
    <t>001716</t>
  </si>
  <si>
    <t>SOK KW 3 BCA DARMO</t>
  </si>
  <si>
    <t>WARDA ROSITA</t>
  </si>
  <si>
    <t>920914</t>
  </si>
  <si>
    <t>002593</t>
  </si>
  <si>
    <t>AGUS SUWARDI</t>
  </si>
  <si>
    <t>921332</t>
  </si>
  <si>
    <t>SATPAM SDA</t>
  </si>
  <si>
    <t>ISWIYONO</t>
  </si>
  <si>
    <t>921353</t>
  </si>
  <si>
    <t>009822</t>
  </si>
  <si>
    <t>MOCH IMRON</t>
  </si>
  <si>
    <t>921471</t>
  </si>
  <si>
    <t>008858</t>
  </si>
  <si>
    <t>PRAMUKARYA BCA VETERAN</t>
  </si>
  <si>
    <t>HERLINA SAFITRI</t>
  </si>
  <si>
    <t>921602</t>
  </si>
  <si>
    <t>010098</t>
  </si>
  <si>
    <t>PIMP KRTJY</t>
  </si>
  <si>
    <t>KUWAT MUJAHIDIN</t>
  </si>
  <si>
    <t>921687</t>
  </si>
  <si>
    <t>010017</t>
  </si>
  <si>
    <t>KASDAR</t>
  </si>
  <si>
    <t>921852</t>
  </si>
  <si>
    <t>008736</t>
  </si>
  <si>
    <t>BUDI ASMANTO</t>
  </si>
  <si>
    <t>921931</t>
  </si>
  <si>
    <t>002116</t>
  </si>
  <si>
    <t>BCA GUNUNG SARI</t>
  </si>
  <si>
    <t>DYAH PARAMITA</t>
  </si>
  <si>
    <t>930926</t>
  </si>
  <si>
    <t>009517</t>
  </si>
  <si>
    <t>SAFNI</t>
  </si>
  <si>
    <t>931527</t>
  </si>
  <si>
    <t>KCP MAKRO PEPELEGI</t>
  </si>
  <si>
    <t>AWALUDDIN ACHMAD</t>
  </si>
  <si>
    <t>931795</t>
  </si>
  <si>
    <t>BAMBANG HARTONO</t>
  </si>
  <si>
    <t>931992</t>
  </si>
  <si>
    <t>PRAMUKARYA DARMO</t>
  </si>
  <si>
    <t>GATOT SUBROTO</t>
  </si>
  <si>
    <t>932162</t>
  </si>
  <si>
    <t>009540</t>
  </si>
  <si>
    <t>HIMAWAN BUDI S</t>
  </si>
  <si>
    <t>940325</t>
  </si>
  <si>
    <t>PIMP BCA KPG JY</t>
  </si>
  <si>
    <t>ARI PITONO</t>
  </si>
  <si>
    <t>940372</t>
  </si>
  <si>
    <t>009536</t>
  </si>
  <si>
    <t>BAMBANG ERWANTO</t>
  </si>
  <si>
    <t>940940</t>
  </si>
  <si>
    <t>009986</t>
  </si>
  <si>
    <t>BCA PRK BARAT</t>
  </si>
  <si>
    <t>ARDYE AMRAN</t>
  </si>
  <si>
    <t>941170</t>
  </si>
  <si>
    <t>009638</t>
  </si>
  <si>
    <t>KANWIL VII MALANG</t>
  </si>
  <si>
    <t>GANDUNG INDRA IRAWAN</t>
  </si>
  <si>
    <t>941280</t>
  </si>
  <si>
    <t>001833</t>
  </si>
  <si>
    <t xml:space="preserve">DAVID </t>
  </si>
  <si>
    <t>950298</t>
  </si>
  <si>
    <t>009700</t>
  </si>
  <si>
    <t>SLA KW 3 BCA DARMO</t>
  </si>
  <si>
    <t>NGATNO</t>
  </si>
  <si>
    <t>951549</t>
  </si>
  <si>
    <t>001516</t>
  </si>
  <si>
    <t>BCA BOJONEGORO</t>
  </si>
  <si>
    <t>ACHMAD IDRIS</t>
  </si>
  <si>
    <t>951594</t>
  </si>
  <si>
    <t>MOBIL KAS VETERAN</t>
  </si>
  <si>
    <t>AGUS DARMAWAN</t>
  </si>
  <si>
    <t>960227</t>
  </si>
  <si>
    <t>001534</t>
  </si>
  <si>
    <t>KHASANAH BANGKALAN</t>
  </si>
  <si>
    <t>FIONA</t>
  </si>
  <si>
    <t>960316</t>
  </si>
  <si>
    <t>001678</t>
  </si>
  <si>
    <t>KTR KAS RGKT</t>
  </si>
  <si>
    <t>NOVIANI</t>
  </si>
  <si>
    <t>960768</t>
  </si>
  <si>
    <t>BCA SLPPI SBY</t>
  </si>
  <si>
    <t>TANTI DAMAYANTI</t>
  </si>
  <si>
    <t>960940</t>
  </si>
  <si>
    <t>002045</t>
  </si>
  <si>
    <t>PIKW KW 3 BCA DARMO</t>
  </si>
  <si>
    <t>RATIH INDRIANINGRUM</t>
  </si>
  <si>
    <t>961190</t>
  </si>
  <si>
    <t>TAN SONI SANTOSO</t>
  </si>
  <si>
    <t>961303</t>
  </si>
  <si>
    <t>008152</t>
  </si>
  <si>
    <t>DEVI WISNU SUPROBO</t>
  </si>
  <si>
    <t>961536</t>
  </si>
  <si>
    <t>KCP KEDUNGDORO</t>
  </si>
  <si>
    <t>PARTO</t>
  </si>
  <si>
    <t>961551</t>
  </si>
  <si>
    <t>001652</t>
  </si>
  <si>
    <t>NGAISAH</t>
  </si>
  <si>
    <t>961554</t>
  </si>
  <si>
    <t>KCP GEMBLONGAN</t>
  </si>
  <si>
    <t>DARMA SETIAWAN</t>
  </si>
  <si>
    <t>961764</t>
  </si>
  <si>
    <t>001548</t>
  </si>
  <si>
    <t>RINI CHENDRASARI</t>
  </si>
  <si>
    <t>961866</t>
  </si>
  <si>
    <t>KCU DIPONEGORO</t>
  </si>
  <si>
    <t>AGUS MUSPE</t>
  </si>
  <si>
    <t>962121</t>
  </si>
  <si>
    <t>001783</t>
  </si>
  <si>
    <t>FLORENCE S LEATEM</t>
  </si>
  <si>
    <t>962184</t>
  </si>
  <si>
    <t>009750</t>
  </si>
  <si>
    <t>STAF BCA M. DURYAT</t>
  </si>
  <si>
    <t>M. SAIROZI</t>
  </si>
  <si>
    <t>962291</t>
  </si>
  <si>
    <t>001511</t>
  </si>
  <si>
    <t>MARWOTO</t>
  </si>
  <si>
    <t>962293</t>
  </si>
  <si>
    <t>009463</t>
  </si>
  <si>
    <t>LISA KARTIKA</t>
  </si>
  <si>
    <t>962308</t>
  </si>
  <si>
    <t>006385</t>
  </si>
  <si>
    <t>RINDAWATI</t>
  </si>
  <si>
    <t>962353</t>
  </si>
  <si>
    <t>001812</t>
  </si>
  <si>
    <t>BCA GRS</t>
  </si>
  <si>
    <t>M. HARY KUSUMA</t>
  </si>
  <si>
    <t>962402</t>
  </si>
  <si>
    <t>002452</t>
  </si>
  <si>
    <t>BCA BALIWERTI</t>
  </si>
  <si>
    <t>SUNARTO</t>
  </si>
  <si>
    <t>962409</t>
  </si>
  <si>
    <t>001764</t>
  </si>
  <si>
    <t>EMMY WIDAYATI</t>
  </si>
  <si>
    <t>962513</t>
  </si>
  <si>
    <t>010051</t>
  </si>
  <si>
    <t>TYAS ARDHYANA</t>
  </si>
  <si>
    <t>0962522</t>
  </si>
  <si>
    <t>010053</t>
  </si>
  <si>
    <t>KK PDK MUTIARA</t>
  </si>
  <si>
    <t>EKO R.A</t>
  </si>
  <si>
    <t>962717</t>
  </si>
  <si>
    <t>001423</t>
  </si>
  <si>
    <t>CECILIA E IRMAWATI</t>
  </si>
  <si>
    <t>962782</t>
  </si>
  <si>
    <t>009695</t>
  </si>
  <si>
    <t>EDY PRASETYO</t>
  </si>
  <si>
    <t>962793</t>
  </si>
  <si>
    <t>006224</t>
  </si>
  <si>
    <t>BCA MADIUN</t>
  </si>
  <si>
    <t>JENNY JULIATI</t>
  </si>
  <si>
    <t>962827</t>
  </si>
  <si>
    <t>BCA MEGA GROSIR</t>
  </si>
  <si>
    <t>SIGIT M. ALIM</t>
  </si>
  <si>
    <t>962920</t>
  </si>
  <si>
    <t>009577</t>
  </si>
  <si>
    <t>WAHINTON SUROYO</t>
  </si>
  <si>
    <t>962925</t>
  </si>
  <si>
    <t>008541</t>
  </si>
  <si>
    <t>BO BCA KRIAN</t>
  </si>
  <si>
    <t>RUDY TANJUNG</t>
  </si>
  <si>
    <t>962960</t>
  </si>
  <si>
    <t>001540</t>
  </si>
  <si>
    <t>RO BCA DARMO</t>
  </si>
  <si>
    <t>WIDIYANDARI</t>
  </si>
  <si>
    <t>962993</t>
  </si>
  <si>
    <t>010293</t>
  </si>
  <si>
    <t>FRANS WILASA S</t>
  </si>
  <si>
    <t>962995</t>
  </si>
  <si>
    <t>008559</t>
  </si>
  <si>
    <t>BCA PLASA MARINA</t>
  </si>
  <si>
    <t>TOMAS</t>
  </si>
  <si>
    <t>963175</t>
  </si>
  <si>
    <t>001411</t>
  </si>
  <si>
    <t>INSANI</t>
  </si>
  <si>
    <t>963185</t>
  </si>
  <si>
    <t>YANTI YURIKE T</t>
  </si>
  <si>
    <t>963290</t>
  </si>
  <si>
    <t>001767</t>
  </si>
  <si>
    <t>ANITA ANDRIYANI</t>
  </si>
  <si>
    <t>963318</t>
  </si>
  <si>
    <t>CSO MEGA GROSIR</t>
  </si>
  <si>
    <t>DWI ARTATI DYAH P</t>
  </si>
  <si>
    <t>963354</t>
  </si>
  <si>
    <t>001561</t>
  </si>
  <si>
    <t>RO BCA BOROBUDUR MLG</t>
  </si>
  <si>
    <t>MOCHAMAD ALVAN</t>
  </si>
  <si>
    <t>963721</t>
  </si>
  <si>
    <t>ATM KW3 BCA DARMO</t>
  </si>
  <si>
    <t>ENDANG PURWANINGSIH</t>
  </si>
  <si>
    <t>963723</t>
  </si>
  <si>
    <t>001558</t>
  </si>
  <si>
    <t>RIDA SHINTA SARI</t>
  </si>
  <si>
    <t>963734</t>
  </si>
  <si>
    <t>KCP KEDUNG DORO</t>
  </si>
  <si>
    <t>YOSEPHINE KARYANTI</t>
  </si>
  <si>
    <t>970056</t>
  </si>
  <si>
    <t>002139</t>
  </si>
  <si>
    <t>EMMA MARIA</t>
  </si>
  <si>
    <t>970174</t>
  </si>
  <si>
    <t>002184</t>
  </si>
  <si>
    <t>LOG KW3 BCA DARMO</t>
  </si>
  <si>
    <t>HASIM</t>
  </si>
  <si>
    <t>970187</t>
  </si>
  <si>
    <t>BCA UNDAAN</t>
  </si>
  <si>
    <t>VIVI HERLINAWATI</t>
  </si>
  <si>
    <t>970478</t>
  </si>
  <si>
    <t>AGUNG EKO B</t>
  </si>
  <si>
    <t>970678</t>
  </si>
  <si>
    <t>MAYA PUSPITA W</t>
  </si>
  <si>
    <t>971055</t>
  </si>
  <si>
    <t>010283</t>
  </si>
  <si>
    <t>RONA LAWALUNINGSIH</t>
  </si>
  <si>
    <t>971062</t>
  </si>
  <si>
    <t>009267</t>
  </si>
  <si>
    <t>LUJENG SUSSETIANINGSIH</t>
  </si>
  <si>
    <t>971064</t>
  </si>
  <si>
    <t>001702</t>
  </si>
  <si>
    <t>HADUN</t>
  </si>
  <si>
    <t>971143</t>
  </si>
  <si>
    <t>MUHAMMAD YUSUF</t>
  </si>
  <si>
    <t>971225</t>
  </si>
  <si>
    <t>002221</t>
  </si>
  <si>
    <t>SOLIKHATI</t>
  </si>
  <si>
    <t>971238</t>
  </si>
  <si>
    <t>002361</t>
  </si>
  <si>
    <t>DAHLIANA</t>
  </si>
  <si>
    <t>971302</t>
  </si>
  <si>
    <t>009243</t>
  </si>
  <si>
    <t>SRI DIARTI</t>
  </si>
  <si>
    <t>971326</t>
  </si>
  <si>
    <t>BCA MANGGA DUA S</t>
  </si>
  <si>
    <t>MARIA LOISE C</t>
  </si>
  <si>
    <t>971485</t>
  </si>
  <si>
    <t>001300</t>
  </si>
  <si>
    <t>HARYENI</t>
  </si>
  <si>
    <t>971739</t>
  </si>
  <si>
    <t>010094</t>
  </si>
  <si>
    <t>FRANSISCA MARIANI</t>
  </si>
  <si>
    <t>971751</t>
  </si>
  <si>
    <t>001636</t>
  </si>
  <si>
    <t>RENI OKTAVIA</t>
  </si>
  <si>
    <t>971863</t>
  </si>
  <si>
    <t>001522</t>
  </si>
  <si>
    <t>KTR KAS KH MANSYUR</t>
  </si>
  <si>
    <t>SISWI DAYAWATI</t>
  </si>
  <si>
    <t>971990</t>
  </si>
  <si>
    <t>005850</t>
  </si>
  <si>
    <t>ELLY FERIANI</t>
  </si>
  <si>
    <t>971994</t>
  </si>
  <si>
    <t>007556</t>
  </si>
  <si>
    <t>RR. DEWI CHAYORINI</t>
  </si>
  <si>
    <t>972192</t>
  </si>
  <si>
    <t>008678</t>
  </si>
  <si>
    <t>HERAWATI</t>
  </si>
  <si>
    <t>973102</t>
  </si>
  <si>
    <t>SUDARNI</t>
  </si>
  <si>
    <t>973103</t>
  </si>
  <si>
    <t>KCP PDK CHNDRA</t>
  </si>
  <si>
    <t>TITIN HERNANIK</t>
  </si>
  <si>
    <t>973145</t>
  </si>
  <si>
    <t>002044</t>
  </si>
  <si>
    <t>STAF APK BCA DARMO</t>
  </si>
  <si>
    <t>009882</t>
  </si>
  <si>
    <t>APK BCA DARMO</t>
  </si>
  <si>
    <t>HINDUN KURNIATI</t>
  </si>
  <si>
    <t>973154</t>
  </si>
  <si>
    <t>001564</t>
  </si>
  <si>
    <t>BCA KUPANG JAYA</t>
  </si>
  <si>
    <t>SRI ERNAWATI</t>
  </si>
  <si>
    <t>973160</t>
  </si>
  <si>
    <t>004014</t>
  </si>
  <si>
    <t>KK SUMBERREJO</t>
  </si>
  <si>
    <t>IZZUDIN ANANG</t>
  </si>
  <si>
    <t>973186</t>
  </si>
  <si>
    <t>002180</t>
  </si>
  <si>
    <t>YONATHAN KURNIAWAN</t>
  </si>
  <si>
    <t>973198</t>
  </si>
  <si>
    <t>008574</t>
  </si>
  <si>
    <t>BCA GOLDENCITY HRM</t>
  </si>
  <si>
    <t>WINDARIJATI</t>
  </si>
  <si>
    <t>973205</t>
  </si>
  <si>
    <t>009874</t>
  </si>
  <si>
    <t>AGUSTINA DEWI</t>
  </si>
  <si>
    <t>973207</t>
  </si>
  <si>
    <t>009180</t>
  </si>
  <si>
    <t>RAMINAH</t>
  </si>
  <si>
    <t>973208</t>
  </si>
  <si>
    <t>001301</t>
  </si>
  <si>
    <t>LINDA</t>
  </si>
  <si>
    <t>973226</t>
  </si>
  <si>
    <t>APK KCU DARMO</t>
  </si>
  <si>
    <t>FENNY MARLINA</t>
  </si>
  <si>
    <t>973239</t>
  </si>
  <si>
    <t>009758</t>
  </si>
  <si>
    <t>YANNY KUSRINI</t>
  </si>
  <si>
    <t>973262</t>
  </si>
  <si>
    <t>KCP KUSUMA BANGSA</t>
  </si>
  <si>
    <t>TRI MURTININGSIH</t>
  </si>
  <si>
    <t>973270</t>
  </si>
  <si>
    <t>001529</t>
  </si>
  <si>
    <t>IMAM MUSLIKUN</t>
  </si>
  <si>
    <t>973271</t>
  </si>
  <si>
    <t>008818</t>
  </si>
  <si>
    <t>RINDAYANI PETRUS TT</t>
  </si>
  <si>
    <t>973304</t>
  </si>
  <si>
    <t>BCA PERAK BARAT BARAT</t>
  </si>
  <si>
    <t>WITO VIDYA PUTRA</t>
  </si>
  <si>
    <t>973357</t>
  </si>
  <si>
    <t>ASTERIA ANDRI</t>
  </si>
  <si>
    <t>973623</t>
  </si>
  <si>
    <t>009942</t>
  </si>
  <si>
    <t>LAY NSBH KFCC SBY</t>
  </si>
  <si>
    <t>RINASARI NOVIANA</t>
  </si>
  <si>
    <t>973710</t>
  </si>
  <si>
    <t>009862</t>
  </si>
  <si>
    <t>TAN MEI LIE</t>
  </si>
  <si>
    <t>973719</t>
  </si>
  <si>
    <t>007771</t>
  </si>
  <si>
    <t>MAGDALENA</t>
  </si>
  <si>
    <t>973765</t>
  </si>
  <si>
    <t>SAMUEL RUDI Y</t>
  </si>
  <si>
    <t>973775</t>
  </si>
  <si>
    <t>001769</t>
  </si>
  <si>
    <t>BCA TANDES</t>
  </si>
  <si>
    <t>LINDA SRI HASTUTIK</t>
  </si>
  <si>
    <t>973782</t>
  </si>
  <si>
    <t>BAGUS SANTOSO</t>
  </si>
  <si>
    <t>973855</t>
  </si>
  <si>
    <t>DARMAWAN K</t>
  </si>
  <si>
    <t>973897</t>
  </si>
  <si>
    <t>001717</t>
  </si>
  <si>
    <t>BCA KPS KRAMPUNG</t>
  </si>
  <si>
    <t>WIDIYANTI</t>
  </si>
  <si>
    <t>973955</t>
  </si>
  <si>
    <t>009067</t>
  </si>
  <si>
    <t>MUK SIONG</t>
  </si>
  <si>
    <t>973959</t>
  </si>
  <si>
    <t>KCP GOLDEN CITY MALL</t>
  </si>
  <si>
    <t>LINA RATNA DEWI</t>
  </si>
  <si>
    <t>973961</t>
  </si>
  <si>
    <t>KCU INDRAPURA</t>
  </si>
  <si>
    <t>IN ANGGRAINI S</t>
  </si>
  <si>
    <t>974015</t>
  </si>
  <si>
    <t>002049</t>
  </si>
  <si>
    <t>UPPA KW3 BCA DARMO</t>
  </si>
  <si>
    <t>GUNAWAN</t>
  </si>
  <si>
    <t>974037</t>
  </si>
  <si>
    <t>010279</t>
  </si>
  <si>
    <t>WIDIYASTUTI</t>
  </si>
  <si>
    <t>974104</t>
  </si>
  <si>
    <t>HERLINA</t>
  </si>
  <si>
    <t>974168</t>
  </si>
  <si>
    <t>009571</t>
  </si>
  <si>
    <t>ELFIANI CHAIRIYAH</t>
  </si>
  <si>
    <t>974610</t>
  </si>
  <si>
    <t>001574</t>
  </si>
  <si>
    <t>ACHMADOER RIFAI</t>
  </si>
  <si>
    <t>974611</t>
  </si>
  <si>
    <t>002305</t>
  </si>
  <si>
    <t>LEONORA WILHELMINA</t>
  </si>
  <si>
    <t>974928</t>
  </si>
  <si>
    <t>INA ISMIATI</t>
  </si>
  <si>
    <t>975042</t>
  </si>
  <si>
    <t>RETNO PUJI L</t>
  </si>
  <si>
    <t>975136</t>
  </si>
  <si>
    <t>008723</t>
  </si>
  <si>
    <t>LAYANAN KREDIT BCA JOMBANG</t>
  </si>
  <si>
    <t>MARGARETHA MAHULETTE</t>
  </si>
  <si>
    <t>975329</t>
  </si>
  <si>
    <t>001690</t>
  </si>
  <si>
    <t>VIVIAN R TJUNG</t>
  </si>
  <si>
    <t>975332</t>
  </si>
  <si>
    <t>009143</t>
  </si>
  <si>
    <t>AGUSTINUS HERU H</t>
  </si>
  <si>
    <t>975333</t>
  </si>
  <si>
    <t>THOMAS VILLANOVA M</t>
  </si>
  <si>
    <t>975336</t>
  </si>
  <si>
    <t>001676</t>
  </si>
  <si>
    <t>DIAN ARMI UTARI</t>
  </si>
  <si>
    <t>975381</t>
  </si>
  <si>
    <t>009802</t>
  </si>
  <si>
    <t>009705</t>
  </si>
  <si>
    <t>AO BCA GRESIK</t>
  </si>
  <si>
    <t>TITIES BUDHY DIAH M</t>
  </si>
  <si>
    <t>975388</t>
  </si>
  <si>
    <t>009148</t>
  </si>
  <si>
    <t>SULISTIOWATI</t>
  </si>
  <si>
    <t>975390</t>
  </si>
  <si>
    <t>001630</t>
  </si>
  <si>
    <t>FEBRILYANA MONAWATI</t>
  </si>
  <si>
    <t>975456</t>
  </si>
  <si>
    <t>FEMMY RAMONA</t>
  </si>
  <si>
    <t>975486</t>
  </si>
  <si>
    <t>009799</t>
  </si>
  <si>
    <t>ARYA FEBRIYANTO</t>
  </si>
  <si>
    <t>975770</t>
  </si>
  <si>
    <t>002286</t>
  </si>
  <si>
    <t>MESIYATI</t>
  </si>
  <si>
    <t>975797</t>
  </si>
  <si>
    <t>BCA PUCANG ANOM</t>
  </si>
  <si>
    <t>DEWI INDRA SARI</t>
  </si>
  <si>
    <t>975866</t>
  </si>
  <si>
    <t>008657</t>
  </si>
  <si>
    <t>FRANSISKUS</t>
  </si>
  <si>
    <t>975892</t>
  </si>
  <si>
    <t>SEMBODO</t>
  </si>
  <si>
    <t>975907</t>
  </si>
  <si>
    <t>009741</t>
  </si>
  <si>
    <t>SAMIADJI</t>
  </si>
  <si>
    <t>975908</t>
  </si>
  <si>
    <t>001371</t>
  </si>
  <si>
    <t>DJONO PRIBADI</t>
  </si>
  <si>
    <t>976554</t>
  </si>
  <si>
    <t>006023</t>
  </si>
  <si>
    <t>BCA BHYGKARA</t>
  </si>
  <si>
    <t>SONI DARMAWAN</t>
  </si>
  <si>
    <t>976587</t>
  </si>
  <si>
    <t>006767</t>
  </si>
  <si>
    <t>SONJA ESTHER P</t>
  </si>
  <si>
    <t>976608</t>
  </si>
  <si>
    <t>009922</t>
  </si>
  <si>
    <t>ADM KRDT KW3 DARMO</t>
  </si>
  <si>
    <t>CHRIESTIAN ARDHHY S</t>
  </si>
  <si>
    <t>976633</t>
  </si>
  <si>
    <t>KFCC SURABAYA</t>
  </si>
  <si>
    <t>PO JUNAEDI P</t>
  </si>
  <si>
    <t>977151</t>
  </si>
  <si>
    <t>001670</t>
  </si>
  <si>
    <t>SOW KW 3 DARMO</t>
  </si>
  <si>
    <t>SONY HENDRA W</t>
  </si>
  <si>
    <t>977380</t>
  </si>
  <si>
    <t>RUDY HARTONO</t>
  </si>
  <si>
    <t>980030</t>
  </si>
  <si>
    <t>009449</t>
  </si>
  <si>
    <t>DEKI SUSANTO S</t>
  </si>
  <si>
    <t>980484</t>
  </si>
  <si>
    <t>KCP KEMBANG JEPUN</t>
  </si>
  <si>
    <t>FAUZI HADE</t>
  </si>
  <si>
    <t>990529</t>
  </si>
  <si>
    <t>009443</t>
  </si>
  <si>
    <t>PETER OCTAVIANUS S</t>
  </si>
  <si>
    <t>990648</t>
  </si>
  <si>
    <t>010062</t>
  </si>
  <si>
    <t>MUHAMMAD HOJALI</t>
  </si>
  <si>
    <t>902098</t>
  </si>
  <si>
    <t>002523</t>
  </si>
  <si>
    <t>PRAMUKARYA BCA DARMO</t>
  </si>
  <si>
    <t>TANIA RISKY NING</t>
  </si>
  <si>
    <t>057189</t>
  </si>
  <si>
    <t>002413</t>
  </si>
  <si>
    <t>BCA NGAGEL JY SEL</t>
  </si>
  <si>
    <t>MULYANINGSIH</t>
  </si>
  <si>
    <t>912803</t>
  </si>
  <si>
    <t>002511</t>
  </si>
  <si>
    <t>002494</t>
  </si>
  <si>
    <t>DIMAS BAYU D</t>
  </si>
  <si>
    <t>055939</t>
  </si>
  <si>
    <t>002498</t>
  </si>
  <si>
    <t>SOY KW3 BCA DARMO</t>
  </si>
  <si>
    <t>CATUR GANJAR S</t>
  </si>
  <si>
    <t>010413</t>
  </si>
  <si>
    <t>002528</t>
  </si>
  <si>
    <t>SATPAM KOPERASI</t>
  </si>
  <si>
    <t>002542</t>
  </si>
  <si>
    <t>002666</t>
  </si>
  <si>
    <t>001814</t>
  </si>
  <si>
    <t>PIC BCA TUBAN</t>
  </si>
  <si>
    <t>008739</t>
  </si>
  <si>
    <t>ASWIN MARDIANTO</t>
  </si>
  <si>
    <t>970172</t>
  </si>
  <si>
    <t>001420</t>
  </si>
  <si>
    <t>002318</t>
  </si>
  <si>
    <t>002543</t>
  </si>
  <si>
    <t>BCA PAKUWON CITY</t>
  </si>
  <si>
    <t>INDRI NOVITA A</t>
  </si>
  <si>
    <t>975355</t>
  </si>
  <si>
    <t>002496</t>
  </si>
  <si>
    <t>CSO BCA KTJY IDH</t>
  </si>
  <si>
    <t>FARDIAN E</t>
  </si>
  <si>
    <t>0513660</t>
  </si>
  <si>
    <t>002550</t>
  </si>
  <si>
    <t>002701</t>
  </si>
  <si>
    <t>DRIVER BCA DARMO</t>
  </si>
  <si>
    <t>ANGS/</t>
  </si>
  <si>
    <t>BULAN</t>
  </si>
  <si>
    <t>DAFTAR PINJAMAN POTONG BONUS-BONUS NORMATIF</t>
  </si>
  <si>
    <t>TGL PINJ</t>
  </si>
  <si>
    <t>POT APRIL</t>
  </si>
  <si>
    <t>POT THR</t>
  </si>
  <si>
    <t>POT TAT</t>
  </si>
  <si>
    <t>NO REK DBT</t>
  </si>
  <si>
    <t>LAKSMI M</t>
  </si>
  <si>
    <t>NO.</t>
  </si>
  <si>
    <t>RUT BUDIMAN</t>
  </si>
  <si>
    <t>006080</t>
  </si>
  <si>
    <t>BUNGA GGL DBT JUNI 2015</t>
  </si>
  <si>
    <t>BUNGA GGL NOR NOR JULI 2015</t>
  </si>
  <si>
    <t>BG PINJ KHS SEPT 2015</t>
  </si>
  <si>
    <t>CITRALAND</t>
  </si>
  <si>
    <t>ASMARANI PRIHAMDINI</t>
  </si>
  <si>
    <t>006631</t>
  </si>
  <si>
    <t>KARYAWAN KPSG</t>
  </si>
  <si>
    <t>HONDA VARIO 150 (GEBYAR KMS)</t>
  </si>
  <si>
    <t>YULIA TRI DENOK</t>
  </si>
  <si>
    <t>KCP TRUNOJOYO JEMBER</t>
  </si>
  <si>
    <t>SRI LESTARI</t>
  </si>
  <si>
    <t>CSO KW7 BANYUWANGI</t>
  </si>
  <si>
    <t>BUNGA GGL DBT NORMT JULI12</t>
  </si>
  <si>
    <t>BUNGA GGL DBT NORMT AGTS12</t>
  </si>
  <si>
    <t>PIJMN RECOVERY</t>
  </si>
  <si>
    <t>TRY KUSWENDRA</t>
  </si>
  <si>
    <t>1102006</t>
  </si>
  <si>
    <t>010211</t>
  </si>
  <si>
    <t>SATPAM GUN BCA DARMO</t>
  </si>
  <si>
    <t>YAMAHA ALL NEW VXN</t>
  </si>
  <si>
    <t>KUSWANDI</t>
  </si>
  <si>
    <t>900835</t>
  </si>
  <si>
    <t>002349</t>
  </si>
  <si>
    <t>AGT LUAR BIASA</t>
  </si>
  <si>
    <t>PIJ NORM TMBHAN</t>
  </si>
  <si>
    <t>001330</t>
  </si>
  <si>
    <t>KABAG LAY BCA SMRG SBY</t>
  </si>
  <si>
    <t>1 KOCHIPAN PRIMA BOGA</t>
  </si>
  <si>
    <t>AYU EVA Y</t>
  </si>
  <si>
    <t>001410</t>
  </si>
  <si>
    <t>STAF BCA SAMPANG</t>
  </si>
  <si>
    <t>PANCI MM2 1 UNIT</t>
  </si>
  <si>
    <t>HENGKY DARMAWAN</t>
  </si>
  <si>
    <t>002163</t>
  </si>
  <si>
    <t>AO BCA TUBAN</t>
  </si>
  <si>
    <t>HP OPPO F5 (BEZZ MART)</t>
  </si>
  <si>
    <t>SIFERA TRISMINARTI</t>
  </si>
  <si>
    <t>010424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</si>
  <si>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</si>
  <si>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</si>
  <si>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</si>
  <si>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</si>
  <si>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</si>
  <si>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</si>
  <si>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EDY ERYANTO</t>
  </si>
  <si>
    <t>010667</t>
  </si>
  <si>
    <t>POLYGON HELIOS C2O</t>
  </si>
  <si>
    <t>WIWID</t>
  </si>
  <si>
    <t>030305</t>
  </si>
  <si>
    <t>002456</t>
  </si>
  <si>
    <t>HP POLYTRON</t>
  </si>
  <si>
    <t>WIWID W</t>
  </si>
  <si>
    <t>001621</t>
  </si>
  <si>
    <t>KARY KOPERASI</t>
  </si>
  <si>
    <t>TABLET LENOVO</t>
  </si>
  <si>
    <t>GANDA SETIAWAN</t>
  </si>
  <si>
    <t>055028</t>
  </si>
  <si>
    <t>001357</t>
  </si>
  <si>
    <t>KEF BCA RGKT MPN</t>
  </si>
  <si>
    <t>1 ALAT PIJAT</t>
  </si>
  <si>
    <t>RUFI PURWANINGSIH</t>
  </si>
  <si>
    <t>055128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</si>
  <si>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</si>
  <si>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</si>
  <si>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</si>
  <si>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</si>
  <si>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</si>
  <si>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</si>
  <si>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</si>
  <si>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058524</t>
  </si>
  <si>
    <t>010332</t>
  </si>
  <si>
    <t>MM1 &amp; MM2</t>
  </si>
  <si>
    <t>DINDA AYU PRANITA</t>
  </si>
  <si>
    <t>001499</t>
  </si>
  <si>
    <t>KEF SOY KW 3 DARMO</t>
  </si>
  <si>
    <t>HONDA BEAT SPORTY CBS ISS</t>
  </si>
  <si>
    <t>ROSMADIANA</t>
  </si>
  <si>
    <t>896611</t>
  </si>
  <si>
    <t>006908</t>
  </si>
  <si>
    <t>BCA TROPODO</t>
  </si>
  <si>
    <t>OPTIK</t>
  </si>
  <si>
    <t>DJOKO SANTOSO</t>
  </si>
  <si>
    <t>897120</t>
  </si>
  <si>
    <t>001322</t>
  </si>
  <si>
    <t>KPO BCA GRESIK</t>
  </si>
  <si>
    <t>ALL NEW R15 155 WA</t>
  </si>
  <si>
    <t>DODY CATUR S</t>
  </si>
  <si>
    <t>897422</t>
  </si>
  <si>
    <t>010235</t>
  </si>
  <si>
    <t>CSO BCA DARMO</t>
  </si>
  <si>
    <t>SCOPY HONDA (EKA KARUNIA)</t>
  </si>
  <si>
    <t>001682</t>
  </si>
  <si>
    <t>PURNA KARY BCA</t>
  </si>
  <si>
    <t>LENOVO TAB3 7</t>
  </si>
  <si>
    <t>BAMBANG KURNIAWAN</t>
  </si>
  <si>
    <t>898803</t>
  </si>
  <si>
    <t>001531</t>
  </si>
  <si>
    <t>PIMP BCA NGORO</t>
  </si>
  <si>
    <t>HONDA BEAT SPORTY CBS</t>
  </si>
  <si>
    <t>DJOKO PRIYO U</t>
  </si>
  <si>
    <t>900257</t>
  </si>
  <si>
    <t>002155</t>
  </si>
  <si>
    <t>KABAG OPS BCA RUNGKUT</t>
  </si>
  <si>
    <t>MINICON 2 BUAH</t>
  </si>
  <si>
    <t>M. ARIEF KAPRAWI</t>
  </si>
  <si>
    <t>901149</t>
  </si>
  <si>
    <t>002579</t>
  </si>
  <si>
    <t>SOY KW III BCA DARMO</t>
  </si>
  <si>
    <t>HP OPPO F5 (GEMILANG CELL)</t>
  </si>
  <si>
    <t>Z. SRI RAHAJOE</t>
  </si>
  <si>
    <t>901689</t>
  </si>
  <si>
    <t>001336</t>
  </si>
  <si>
    <t>BCA MAKRO SIDOARJO</t>
  </si>
  <si>
    <t>1 GRILL PAN</t>
  </si>
  <si>
    <t>YOENARMIATI</t>
  </si>
  <si>
    <t>902327</t>
  </si>
  <si>
    <t>001354</t>
  </si>
  <si>
    <t>TELLER BCA RGKT MAPN</t>
  </si>
  <si>
    <t>2 ALAT PIJAT</t>
  </si>
  <si>
    <t>010191</t>
  </si>
  <si>
    <t>PANCI PRIMA BOGA</t>
  </si>
  <si>
    <t>PRIYONO</t>
  </si>
  <si>
    <t>903065</t>
  </si>
  <si>
    <t>YAMAHA AEROX</t>
  </si>
  <si>
    <t>LANY. S. TEDJO</t>
  </si>
  <si>
    <t>903070</t>
  </si>
  <si>
    <t>010327</t>
  </si>
  <si>
    <t>WINARTI</t>
  </si>
  <si>
    <t>903998</t>
  </si>
  <si>
    <t>001837</t>
  </si>
  <si>
    <t>PIC JOMBANG</t>
  </si>
  <si>
    <t>HONDA VARIO 150 (EKA KARUNIA)</t>
  </si>
  <si>
    <t>001408</t>
  </si>
  <si>
    <t>PANCI KC3 1 UNIT</t>
  </si>
  <si>
    <t>SRI SUMAJI</t>
  </si>
  <si>
    <t>910135</t>
  </si>
  <si>
    <t>002404</t>
  </si>
  <si>
    <t>KALUNG+GELANG KES (SUP RIADI)</t>
  </si>
  <si>
    <t>ADANG SURADI</t>
  </si>
  <si>
    <t>910520</t>
  </si>
  <si>
    <t>002041</t>
  </si>
  <si>
    <t>BO KHASANAH BCA RUNGKUT</t>
  </si>
  <si>
    <t>MINICON+CAS 100.000</t>
  </si>
  <si>
    <t>I MADE SETIAWAN</t>
  </si>
  <si>
    <t>910549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</si>
  <si>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</si>
  <si>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</si>
  <si>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</si>
  <si>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</si>
  <si>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</si>
  <si>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</si>
  <si>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</si>
  <si>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</si>
  <si>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</si>
  <si>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</si>
  <si>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912195</t>
  </si>
  <si>
    <t>002024</t>
  </si>
  <si>
    <t>STAF BCA DIT</t>
  </si>
  <si>
    <t>OKTO STEM 35 (FIRAXIS)</t>
  </si>
  <si>
    <t>AGUS PURWANTO</t>
  </si>
  <si>
    <t>912784</t>
  </si>
  <si>
    <t>001328</t>
  </si>
  <si>
    <t>KTRKAS BCA MANUKAN</t>
  </si>
  <si>
    <t>1 KC3 &amp; 1 STOK POT PRIMBOG</t>
  </si>
  <si>
    <t>KEN FITRI NILUH W</t>
  </si>
  <si>
    <t>913364</t>
  </si>
  <si>
    <t>001815</t>
  </si>
  <si>
    <t>CSO BCA MEER</t>
  </si>
  <si>
    <t>1 YAMAHA N MAX ABS</t>
  </si>
  <si>
    <t>MARIA DEWI A</t>
  </si>
  <si>
    <t>913368</t>
  </si>
  <si>
    <t>001686</t>
  </si>
  <si>
    <t>SAMSUNG GLX J7 PRO</t>
  </si>
  <si>
    <t>DEWI USMAWATI</t>
  </si>
  <si>
    <t>913384</t>
  </si>
  <si>
    <t>010299</t>
  </si>
  <si>
    <t>KC 3 &amp; GRILL PAN</t>
  </si>
  <si>
    <t>MOCH ILYAS</t>
  </si>
  <si>
    <t>914011</t>
  </si>
  <si>
    <t>001653</t>
  </si>
  <si>
    <t>DRIVER BCA DIPONEGORO</t>
  </si>
  <si>
    <t>HP SAMSUNG GALAXY J7 PRO</t>
  </si>
  <si>
    <t>YOHANES ANDI S</t>
  </si>
  <si>
    <t>914072</t>
  </si>
  <si>
    <t>002405</t>
  </si>
  <si>
    <t>RIRIS NABABAN</t>
  </si>
  <si>
    <t>914076</t>
  </si>
  <si>
    <t>010202</t>
  </si>
  <si>
    <t>AO BCA VETERAN</t>
  </si>
  <si>
    <t>KACAMATA SUP ALFA OMEGA</t>
  </si>
  <si>
    <t>001556</t>
  </si>
  <si>
    <t>PRAMUKARYA GLX</t>
  </si>
  <si>
    <t>YAMAHA NEW MIO M3 125</t>
  </si>
  <si>
    <t>010328</t>
  </si>
  <si>
    <t>001402</t>
  </si>
  <si>
    <t>FERRY YOHANNES</t>
  </si>
  <si>
    <t>932120</t>
  </si>
  <si>
    <t>009667</t>
  </si>
  <si>
    <t>BO PDK CHANDRA</t>
  </si>
  <si>
    <t>HP OPPO F 1 S</t>
  </si>
  <si>
    <t>ANDRIYANTO</t>
  </si>
  <si>
    <t>940715</t>
  </si>
  <si>
    <t>002042</t>
  </si>
  <si>
    <t>ADM KREDIT KW3 DRMO</t>
  </si>
  <si>
    <t>MINICON</t>
  </si>
  <si>
    <t>HENDRA</t>
  </si>
  <si>
    <t>960196</t>
  </si>
  <si>
    <t>010049</t>
  </si>
  <si>
    <t>3 HP OPPO A37 (SUP INDRA)</t>
  </si>
  <si>
    <t>001971</t>
  </si>
  <si>
    <t>HP OPPO A37 (GEMILANG CELL)</t>
  </si>
  <si>
    <t>001355</t>
  </si>
  <si>
    <t>CS BCA PLASA MARINA</t>
  </si>
  <si>
    <t>HOT PILW+PILW MESSG+DERMWN</t>
  </si>
  <si>
    <t>ALINE PURNOMO</t>
  </si>
  <si>
    <t>963396</t>
  </si>
  <si>
    <t>001687</t>
  </si>
  <si>
    <t>KABAG KERTOPATEN</t>
  </si>
  <si>
    <t>OPPO F3 PLUS GOLD</t>
  </si>
  <si>
    <t>ARNOLD PRIAJAYA</t>
  </si>
  <si>
    <t>970270</t>
  </si>
  <si>
    <t>001351</t>
  </si>
  <si>
    <t>KABAG TELLER PRAPEN</t>
  </si>
  <si>
    <t>BTL HOT PILW+DERMAWAN</t>
  </si>
  <si>
    <t>001333</t>
  </si>
  <si>
    <t>KBG TELLER PRAPEN</t>
  </si>
  <si>
    <t>PANCI MM2 PRIMA BOGA</t>
  </si>
  <si>
    <t>JUNITA REBIKA WADJA</t>
  </si>
  <si>
    <t>970654</t>
  </si>
  <si>
    <t>001685</t>
  </si>
  <si>
    <t xml:space="preserve">DP HONDA SCOPY </t>
  </si>
  <si>
    <t>JUNITA REBIKA</t>
  </si>
  <si>
    <t>HONDA SCOPY BROWN</t>
  </si>
  <si>
    <t>DIDI RUSLI</t>
  </si>
  <si>
    <t>970664</t>
  </si>
  <si>
    <t>001481</t>
  </si>
  <si>
    <t>SENTRL LAY KW 3 DRM</t>
  </si>
  <si>
    <t>AEROX YAMAHA</t>
  </si>
  <si>
    <t>VARIO 150 HONDA</t>
  </si>
  <si>
    <t>MICHELSEN</t>
  </si>
  <si>
    <t>971755</t>
  </si>
  <si>
    <t>001287</t>
  </si>
  <si>
    <t>KBG TELLER  NGAGEL</t>
  </si>
  <si>
    <t>HP HUAWEY</t>
  </si>
  <si>
    <t>INGE SUPROBO</t>
  </si>
  <si>
    <t>972131</t>
  </si>
  <si>
    <t>001401</t>
  </si>
  <si>
    <t>PIK KW 3 DARMO</t>
  </si>
  <si>
    <t>HENI ISWINARTI</t>
  </si>
  <si>
    <t>973168</t>
  </si>
  <si>
    <t>001335</t>
  </si>
  <si>
    <t>BCA PRAPEN</t>
  </si>
  <si>
    <t>010175</t>
  </si>
  <si>
    <t>PENGWSN INTERN BCA GALAXY</t>
  </si>
  <si>
    <t>YMH AEROX(RODA SAKTI)</t>
  </si>
  <si>
    <t>RIYANTI WULANDARI</t>
  </si>
  <si>
    <t>973200</t>
  </si>
  <si>
    <t>SHIERLY</t>
  </si>
  <si>
    <t>973261</t>
  </si>
  <si>
    <t>010133</t>
  </si>
  <si>
    <t>RO BCA VETERAN</t>
  </si>
  <si>
    <t>HONDA VARIO 125 (GEBYAR KMS)</t>
  </si>
  <si>
    <t>001880</t>
  </si>
  <si>
    <t>YAP TJUAN KIN</t>
  </si>
  <si>
    <t>973873</t>
  </si>
  <si>
    <t>002406</t>
  </si>
  <si>
    <t>NOVIA T</t>
  </si>
  <si>
    <t>975213</t>
  </si>
  <si>
    <t>010200</t>
  </si>
  <si>
    <t>MARGARETHA M</t>
  </si>
  <si>
    <t>010197</t>
  </si>
  <si>
    <t>PIC GRESIK</t>
  </si>
  <si>
    <t>RO, RS, RK (PRIMA BOGA)</t>
  </si>
  <si>
    <t>ANY IRMA H</t>
  </si>
  <si>
    <t>975350</t>
  </si>
  <si>
    <t>010196</t>
  </si>
  <si>
    <t>PEND OPS</t>
  </si>
  <si>
    <t>ANITA DYAH S</t>
  </si>
  <si>
    <t>975375</t>
  </si>
  <si>
    <t>010189</t>
  </si>
  <si>
    <t>GRESIK</t>
  </si>
  <si>
    <t>MM3 &amp; RO (PRIMA BOGA)</t>
  </si>
  <si>
    <t>RUDI HANDOKO</t>
  </si>
  <si>
    <t>977398</t>
  </si>
  <si>
    <t>009813</t>
  </si>
  <si>
    <t>HOT PILLOW CV.YASIIRA RIZKY</t>
  </si>
  <si>
    <t>M. RIRIN E</t>
  </si>
  <si>
    <t>980094</t>
  </si>
  <si>
    <t>001868</t>
  </si>
  <si>
    <t>BO BCA TANDES</t>
  </si>
  <si>
    <t>3 WOK JMA + 1 POT 28cm</t>
  </si>
  <si>
    <t>STAF BCA NGAGEL JY SEL</t>
  </si>
  <si>
    <t>DP HONDA SCOPY (EKA KARUNIA)</t>
  </si>
  <si>
    <t>STAF APK BCA GALAXY</t>
  </si>
  <si>
    <t>M. HOJALI</t>
  </si>
  <si>
    <t>002524</t>
  </si>
  <si>
    <t>KALUNG &amp; GELANG KESEHATAN</t>
  </si>
  <si>
    <t>BARFITTO</t>
  </si>
  <si>
    <t>964050</t>
  </si>
  <si>
    <t>002508</t>
  </si>
  <si>
    <t>STAF CSO BCA MANYAR</t>
  </si>
  <si>
    <t>002491</t>
  </si>
  <si>
    <t>PENSIUNAN BCA</t>
  </si>
  <si>
    <t>H. DANNY A</t>
  </si>
  <si>
    <t>962205</t>
  </si>
  <si>
    <t>DEND TAT'17 GGL DBT PIJ NOR DES'17</t>
  </si>
  <si>
    <t>RUDI KURNIAWAN</t>
  </si>
  <si>
    <t>973908</t>
  </si>
  <si>
    <t>DENDA GGL DBT PIJ POT THR JUNI 2016</t>
  </si>
  <si>
    <t>KOMARI</t>
  </si>
  <si>
    <t>976956</t>
  </si>
  <si>
    <t>DENDA PINJ TAT DES 2016</t>
  </si>
  <si>
    <t>DANI. H. TRISNA</t>
  </si>
  <si>
    <t>822021</t>
  </si>
  <si>
    <t>KCU JEMBER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</si>
  <si>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</si>
  <si>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</si>
  <si>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</si>
  <si>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</si>
  <si>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</si>
  <si>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</si>
  <si>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</si>
  <si>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</si>
  <si>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BUNGA POT TAT DES 2016</t>
  </si>
  <si>
    <t>BUNGA POT TAT JAN 2017</t>
  </si>
  <si>
    <t>BUNGA GGL DBT N PEB2017</t>
  </si>
  <si>
    <t>BUNGA PINJ TAT PEB 2017</t>
  </si>
  <si>
    <t>BUNGA PINJ TAT MRT 2017</t>
  </si>
  <si>
    <t>BUNGA PINJ TAT APRL 2017</t>
  </si>
  <si>
    <t>BUNGA GGL DBT N APRL2017</t>
  </si>
  <si>
    <t>BG GGL DBT POT TAT APRL2017</t>
  </si>
  <si>
    <t>BUNGA GGL DBT NOR MEI'17</t>
  </si>
  <si>
    <t>BG GGL DBT POT TAT JUNI'17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</si>
  <si>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</si>
  <si>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</si>
  <si>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</si>
  <si>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</si>
  <si>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</si>
  <si>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DENDA GGL DBT NOR AGTSI'17</t>
  </si>
  <si>
    <t>BG GGL DBT PIJ NOR SEPT'17</t>
  </si>
  <si>
    <t>BG GGL DBT POT PIJ TAT OKT'17</t>
  </si>
  <si>
    <t>BG GGL DBT PIJ NOR OKT'17</t>
  </si>
  <si>
    <t>BG GGL DBT POT PIJ TAT NOP'17</t>
  </si>
  <si>
    <t>BG GGL DBT POT PIJ TAT DES'17</t>
  </si>
  <si>
    <t>BG PIJ BRG NOR NOP'17</t>
  </si>
  <si>
    <t>BUNGA GGL DBT NORM DES2017</t>
  </si>
  <si>
    <t>BUNGA GGL DBT NORM JAN2018</t>
  </si>
  <si>
    <t>BUNGA TAT'17 PEB2018</t>
  </si>
  <si>
    <t>SUBANDI</t>
  </si>
  <si>
    <t>912025</t>
  </si>
  <si>
    <t>BUNGA BNS APRIL 17 PEB2018</t>
  </si>
  <si>
    <t>SULATIK</t>
  </si>
  <si>
    <t>920892</t>
  </si>
  <si>
    <t>BG GGL DBT PIJ POT BNS DES'17</t>
  </si>
  <si>
    <t>BUNGA APRIL'17 JAN2018</t>
  </si>
  <si>
    <t>BG PIJ BNS APRL SEPT 2016</t>
  </si>
  <si>
    <t>BUNGA POT THR NOP 2016</t>
  </si>
  <si>
    <t>BUNGA POT BNS APRL NOP 2016</t>
  </si>
  <si>
    <t>BUNGA POT THR DES 2016</t>
  </si>
  <si>
    <t>BUNGA POT BNS APRL DES 2016</t>
  </si>
  <si>
    <t>BUNGA POT THR JAN 2017</t>
  </si>
  <si>
    <t>BUNGA POT BNS APRIL JAN 2017</t>
  </si>
  <si>
    <t>BUNGA PINJ BNS APRL PEB 2017</t>
  </si>
  <si>
    <t>BUNGA PINJ THR PEB 2017</t>
  </si>
  <si>
    <t>BUNGA PINJ BNS APRL MRT 2017</t>
  </si>
  <si>
    <t>BUNGA PINJ THR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</si>
  <si>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</si>
  <si>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</si>
  <si>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</si>
  <si>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</si>
  <si>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</si>
  <si>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</si>
  <si>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</si>
  <si>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</si>
  <si>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BUNGA THR 2017 SEPT 2017</t>
  </si>
  <si>
    <t>BG GGL DBT POT PIJ THR OKT'17</t>
  </si>
  <si>
    <t>BG GGL DBT PIJ POT BNS OKT'17</t>
  </si>
  <si>
    <t>BG GGL DBT POT PIJ THR NOP'17</t>
  </si>
  <si>
    <t>BG GGL DBT PIJ POT BNS NOP'17</t>
  </si>
  <si>
    <t>BG GGL DBT POT PIJ THR DES'17</t>
  </si>
  <si>
    <t>BUNGA THR'17 JAN2018</t>
  </si>
  <si>
    <t>BUNGA THR'17 PEB2018</t>
  </si>
  <si>
    <t>AGUSTINA S</t>
  </si>
  <si>
    <t>976579</t>
  </si>
  <si>
    <t>AGUSTINA SUSANTI</t>
  </si>
  <si>
    <t>BUNGA PIJ KHS JAN2018</t>
  </si>
  <si>
    <t>BUNGA POT THR PEB 2016</t>
  </si>
  <si>
    <t>BUNGA PIJ POT TAT MRT 2016</t>
  </si>
  <si>
    <t>BUNGA POT THR APRL 2016</t>
  </si>
  <si>
    <t>BUNGA PIJ POT TAT APRL 2016</t>
  </si>
  <si>
    <t>BUNGA POT THR MEI 2016</t>
  </si>
  <si>
    <t>BUNGA POT THR JUNI 2016</t>
  </si>
  <si>
    <t>BUNGA PIJ POT TAT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</si>
  <si>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</si>
  <si>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</si>
  <si>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</si>
  <si>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</si>
  <si>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</si>
  <si>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</si>
  <si>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</si>
  <si>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GGL DBT THR NOR JULI'17</t>
  </si>
  <si>
    <t>BUNGA THR 2017 AGTS 2017</t>
  </si>
  <si>
    <t>BG GGL DBT PIJ TAT MRT'18</t>
  </si>
  <si>
    <t>MOCHAMAD YOSEP</t>
  </si>
  <si>
    <t>920079</t>
  </si>
  <si>
    <t>BG GGL DBT PIJ THR MRT'18</t>
  </si>
  <si>
    <t>BG GGL DBT PIJ BNS APRL MRT'18</t>
  </si>
  <si>
    <t>BG NORM GGL DBT BLN MRT 2014</t>
  </si>
  <si>
    <t>BG NORM GGL DBT BLN APRL 2014</t>
  </si>
  <si>
    <t>BG GGL DBT NORM MEI 2014</t>
  </si>
  <si>
    <t>KOPERASI KARYAWAN BCA "MITRA SEJAHTERA" SURABAYA</t>
  </si>
  <si>
    <t>UANG</t>
  </si>
  <si>
    <t>DAFTAR PINJAMAN NORMATIF BARU TGL 01-24 APRIL 2018 (UPLOAD)</t>
  </si>
  <si>
    <t>DAFTAR PINJAMAN NORMATIF TGL 01-24 APRIL 2018 (UPLOAD)</t>
  </si>
  <si>
    <t>DAFTAR PINJAMAN NORMATIF LAIN-LAIN TGL 01-24 APRIL 2018 (UPLOAD)</t>
  </si>
  <si>
    <t>DAFTAR PINJAMAN NORMATIF BARANG TGL 01-24 APRIL 2018 (UPLOAD)</t>
  </si>
  <si>
    <t>DAFTAR DENDA PINJAMAN NORMATIF TGL 01-24 APRIL 2018 (UPLOAD)</t>
  </si>
  <si>
    <t>DAFTAR DENDA LAIN-LAIN PINJAMAN NORMATIF TGL 01-24 APRIL 2018 (UPLOAD)</t>
  </si>
  <si>
    <t>DAFTAR BUNGA PINJAMAN NORMATIF TGL 01-24 APRIL 2018 (UPLOAD)</t>
  </si>
  <si>
    <t>DAFTAR PINJAMAN NORMATIF BUNGA LAIN-LAIN TGL 01-24 APRIL 2018 (UPLOAD)</t>
  </si>
  <si>
    <t>PELUNASAN PINJAMAN NORMATIF TGL 01-24 APRIL 2018 (UPLOAD)</t>
  </si>
  <si>
    <t>PELUNASAN PINJAMAN NORMATIF BARANG TGL 01-24 APRIL 2018 (UPLOAD)</t>
  </si>
  <si>
    <t>PELUNASAN DENDA PINJAMAN NORMATIF TGL 01-24 APRIL 2018 (UPLOAD)</t>
  </si>
  <si>
    <t>PELUNASAN BUNGA PINJAMAN NORMATIF TGL 01-24 APRIL 2018 (UPLOAD)</t>
  </si>
  <si>
    <t>DAFTAR PINJAMAN BARANG DAN SEPEDA MOTOR HONDA TGL 01-24 APRIL 2018 (UPLOAD)</t>
  </si>
  <si>
    <t>KALUNG+GELANG KESEHATAN</t>
  </si>
  <si>
    <t>BO BCA DARMO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</si>
</sst>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* #,##0_);_(* \(#,##0\);_(* &quot;-&quot;??_);_(@_)"/>
    <numFmt numFmtId="168" formatCode="[$-421]dd\ mmmm\ yyyy;@"/>
    <numFmt numFmtId="169" formatCode="_([$Rp-421]* #,##0_);_([$Rp-421]* \(#,##0\);_([$Rp-421]* &quot;-&quot;_);_(@_)"/>
    <numFmt numFmtId="170" formatCode="_([$Rp-421]* #,##0.00_);_([$Rp-421]* \(#,##0.00\);_([$Rp-421]* &quot;-&quot;_);_(@_)"/>
    <numFmt numFmtId="171" formatCode="d\-mmm\-yyyy"/>
  </numFmts>
  <fonts count="2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1"/>
      <name val="Calibri"/>
      <family val="2"/>
      <charset val="1"/>
      <scheme val="minor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6"/>
      <name val="Times New Roman"/>
      <family val="1"/>
    </font>
    <font>
      <sz val="12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6"/>
      <name val="Times New Roman"/>
      <family val="1"/>
    </font>
    <font>
      <sz val="9"/>
      <color theme="1"/>
      <name val="Times New Roman"/>
      <family val="1"/>
    </font>
    <font>
      <i/>
      <sz val="10"/>
      <name val="Times New Roman"/>
      <family val="1"/>
    </font>
    <font>
      <sz val="12"/>
      <color theme="1"/>
      <name val="Calibri"/>
      <family val="2"/>
      <charset val="1"/>
      <scheme val="minor"/>
    </font>
    <font>
      <i/>
      <sz val="11"/>
      <color theme="1"/>
      <name val="Times New Roman"/>
      <family val="1"/>
    </font>
    <font>
      <i/>
      <sz val="12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i/>
      <sz val="8"/>
      <name val="Times New Roman"/>
      <family val="1"/>
    </font>
    <font>
      <i/>
      <sz val="1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i/>
      <sz val="8"/>
      <name val="Calibri"/>
      <family val="2"/>
      <charset val="1"/>
      <scheme val="minor"/>
    </font>
    <font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5" fillId="0" borderId="0"/>
  </cellStyleXfs>
  <cellXfs count="429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43" fontId="2" fillId="0" borderId="0" xfId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2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43" fontId="4" fillId="0" borderId="3" xfId="1" quotePrefix="1" applyFont="1" applyFill="1" applyBorder="1" applyAlignment="1">
      <alignment horizontal="right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4" xfId="0" applyFont="1" applyFill="1" applyBorder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quotePrefix="1" applyFont="1" applyBorder="1"/>
    <xf numFmtId="164" fontId="2" fillId="0" borderId="5" xfId="1" quotePrefix="1" applyNumberFormat="1" applyFont="1" applyFill="1" applyBorder="1" applyAlignment="1">
      <alignment horizontal="center"/>
    </xf>
    <xf numFmtId="165" fontId="2" fillId="0" borderId="5" xfId="2" applyNumberFormat="1" applyFont="1" applyBorder="1"/>
    <xf numFmtId="165" fontId="2" fillId="0" borderId="5" xfId="2" applyNumberFormat="1" applyFont="1" applyBorder="1" applyAlignment="1">
      <alignment horizontal="right"/>
    </xf>
    <xf numFmtId="43" fontId="2" fillId="0" borderId="5" xfId="2" applyNumberFormat="1" applyFont="1" applyBorder="1"/>
    <xf numFmtId="0" fontId="2" fillId="0" borderId="5" xfId="0" applyFont="1" applyBorder="1" applyAlignment="1">
      <alignment horizontal="center"/>
    </xf>
    <xf numFmtId="165" fontId="2" fillId="0" borderId="5" xfId="2" applyNumberFormat="1" applyFont="1" applyFill="1" applyBorder="1" applyAlignment="1">
      <alignment horizontal="right"/>
    </xf>
    <xf numFmtId="0" fontId="6" fillId="0" borderId="5" xfId="0" applyFont="1" applyBorder="1"/>
    <xf numFmtId="0" fontId="2" fillId="0" borderId="0" xfId="0" applyFont="1"/>
    <xf numFmtId="0" fontId="2" fillId="0" borderId="5" xfId="0" applyFont="1" applyFill="1" applyBorder="1" applyAlignment="1">
      <alignment horizontal="center"/>
    </xf>
    <xf numFmtId="43" fontId="2" fillId="0" borderId="5" xfId="1" applyFont="1" applyBorder="1"/>
    <xf numFmtId="165" fontId="2" fillId="2" borderId="5" xfId="2" applyNumberFormat="1" applyFont="1" applyFill="1" applyBorder="1" applyAlignment="1">
      <alignment horizontal="right"/>
    </xf>
    <xf numFmtId="0" fontId="2" fillId="0" borderId="5" xfId="0" quotePrefix="1" applyFont="1" applyBorder="1" applyAlignment="1">
      <alignment horizontal="center"/>
    </xf>
    <xf numFmtId="43" fontId="2" fillId="0" borderId="5" xfId="1" quotePrefix="1" applyFont="1" applyBorder="1"/>
    <xf numFmtId="164" fontId="2" fillId="0" borderId="5" xfId="1" applyNumberFormat="1" applyFont="1" applyFill="1" applyBorder="1" applyAlignment="1">
      <alignment horizontal="center"/>
    </xf>
    <xf numFmtId="0" fontId="4" fillId="0" borderId="5" xfId="0" applyFont="1" applyBorder="1"/>
    <xf numFmtId="43" fontId="2" fillId="0" borderId="5" xfId="0" applyNumberFormat="1" applyFont="1" applyBorder="1"/>
    <xf numFmtId="0" fontId="7" fillId="0" borderId="0" xfId="0" applyFont="1"/>
    <xf numFmtId="43" fontId="0" fillId="0" borderId="0" xfId="0" applyNumberFormat="1"/>
    <xf numFmtId="0" fontId="2" fillId="0" borderId="0" xfId="0" applyFont="1" applyFill="1"/>
    <xf numFmtId="0" fontId="2" fillId="0" borderId="0" xfId="0" applyFont="1" applyAlignment="1">
      <alignment horizontal="center"/>
    </xf>
    <xf numFmtId="41" fontId="2" fillId="0" borderId="5" xfId="2" quotePrefix="1" applyFont="1" applyBorder="1" applyAlignment="1">
      <alignment horizontal="center"/>
    </xf>
    <xf numFmtId="165" fontId="0" fillId="0" borderId="0" xfId="0" applyNumberFormat="1"/>
    <xf numFmtId="43" fontId="8" fillId="0" borderId="0" xfId="1" applyFont="1" applyFill="1" applyBorder="1"/>
    <xf numFmtId="43" fontId="2" fillId="0" borderId="0" xfId="1" applyFont="1" applyFill="1" applyBorder="1" applyAlignment="1">
      <alignment horizontal="center"/>
    </xf>
    <xf numFmtId="49" fontId="2" fillId="0" borderId="0" xfId="1" applyNumberFormat="1" applyFont="1" applyFill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left"/>
    </xf>
    <xf numFmtId="49" fontId="4" fillId="0" borderId="2" xfId="1" applyNumberFormat="1" applyFont="1" applyFill="1" applyBorder="1" applyAlignment="1">
      <alignment horizontal="center"/>
    </xf>
    <xf numFmtId="43" fontId="4" fillId="0" borderId="2" xfId="1" applyFont="1" applyFill="1" applyBorder="1"/>
    <xf numFmtId="43" fontId="4" fillId="0" borderId="0" xfId="1" applyFont="1" applyFill="1" applyBorder="1"/>
    <xf numFmtId="49" fontId="4" fillId="0" borderId="3" xfId="1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left"/>
    </xf>
    <xf numFmtId="43" fontId="4" fillId="0" borderId="4" xfId="1" applyFont="1" applyFill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center"/>
    </xf>
    <xf numFmtId="165" fontId="9" fillId="0" borderId="5" xfId="2" applyNumberFormat="1" applyFont="1" applyBorder="1"/>
    <xf numFmtId="165" fontId="4" fillId="0" borderId="5" xfId="2" applyNumberFormat="1" applyFont="1" applyFill="1" applyBorder="1" applyAlignment="1">
      <alignment horizontal="center"/>
    </xf>
    <xf numFmtId="43" fontId="0" fillId="0" borderId="5" xfId="0" applyNumberFormat="1" applyBorder="1"/>
    <xf numFmtId="0" fontId="9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5" xfId="0" quotePrefix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0" fontId="10" fillId="0" borderId="5" xfId="0" applyFont="1" applyBorder="1"/>
    <xf numFmtId="0" fontId="9" fillId="0" borderId="5" xfId="0" applyFont="1" applyBorder="1"/>
    <xf numFmtId="0" fontId="0" fillId="0" borderId="5" xfId="0" applyBorder="1"/>
    <xf numFmtId="165" fontId="9" fillId="0" borderId="5" xfId="0" applyNumberFormat="1" applyFont="1" applyBorder="1"/>
    <xf numFmtId="0" fontId="0" fillId="0" borderId="0" xfId="0" applyAlignment="1">
      <alignment horizontal="center"/>
    </xf>
    <xf numFmtId="165" fontId="0" fillId="0" borderId="5" xfId="2" applyNumberFormat="1" applyFont="1" applyBorder="1"/>
    <xf numFmtId="0" fontId="11" fillId="0" borderId="0" xfId="0" applyFont="1" applyFill="1" applyBorder="1" applyAlignment="1">
      <alignment horizontal="left"/>
    </xf>
    <xf numFmtId="39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/>
    <xf numFmtId="43" fontId="2" fillId="0" borderId="0" xfId="1" applyFont="1" applyFill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43" fontId="2" fillId="0" borderId="0" xfId="1" applyFont="1" applyFill="1"/>
    <xf numFmtId="0" fontId="8" fillId="0" borderId="0" xfId="0" applyFont="1" applyFill="1" applyBorder="1"/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39" fontId="2" fillId="0" borderId="2" xfId="0" applyNumberFormat="1" applyFont="1" applyFill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center"/>
    </xf>
    <xf numFmtId="39" fontId="2" fillId="0" borderId="3" xfId="0" applyNumberFormat="1" applyFont="1" applyFill="1" applyBorder="1" applyAlignment="1">
      <alignment horizontal="center"/>
    </xf>
    <xf numFmtId="43" fontId="2" fillId="0" borderId="8" xfId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9" fontId="2" fillId="0" borderId="9" xfId="2" applyNumberFormat="1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5" xfId="0" quotePrefix="1" applyFont="1" applyFill="1" applyBorder="1"/>
    <xf numFmtId="0" fontId="2" fillId="0" borderId="5" xfId="0" quotePrefix="1" applyFont="1" applyFill="1" applyBorder="1" applyAlignment="1">
      <alignment horizontal="center"/>
    </xf>
    <xf numFmtId="43" fontId="2" fillId="0" borderId="5" xfId="1" applyFont="1" applyFill="1" applyBorder="1"/>
    <xf numFmtId="43" fontId="2" fillId="0" borderId="5" xfId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5" xfId="1" applyNumberFormat="1" applyFont="1" applyFill="1" applyBorder="1" applyAlignment="1">
      <alignment horizontal="center"/>
    </xf>
    <xf numFmtId="39" fontId="2" fillId="0" borderId="5" xfId="0" applyNumberFormat="1" applyFont="1" applyFill="1" applyBorder="1" applyAlignment="1">
      <alignment horizontal="right"/>
    </xf>
    <xf numFmtId="165" fontId="2" fillId="3" borderId="5" xfId="2" applyNumberFormat="1" applyFont="1" applyFill="1" applyBorder="1" applyAlignment="1">
      <alignment horizontal="right"/>
    </xf>
    <xf numFmtId="43" fontId="2" fillId="4" borderId="5" xfId="1" applyFont="1" applyFill="1" applyBorder="1"/>
    <xf numFmtId="43" fontId="2" fillId="4" borderId="5" xfId="1" quotePrefix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43" fontId="2" fillId="4" borderId="5" xfId="1" applyFont="1" applyFill="1" applyBorder="1" applyAlignment="1">
      <alignment horizontal="right"/>
    </xf>
    <xf numFmtId="43" fontId="6" fillId="0" borderId="5" xfId="1" applyFont="1" applyFill="1" applyBorder="1" applyAlignment="1">
      <alignment horizontal="left"/>
    </xf>
    <xf numFmtId="43" fontId="2" fillId="0" borderId="5" xfId="2" applyNumberFormat="1" applyFont="1" applyFill="1" applyBorder="1"/>
    <xf numFmtId="43" fontId="2" fillId="0" borderId="5" xfId="1" quotePrefix="1" applyFont="1" applyFill="1" applyBorder="1" applyAlignment="1">
      <alignment horizontal="center"/>
    </xf>
    <xf numFmtId="49" fontId="2" fillId="0" borderId="5" xfId="1" applyNumberFormat="1" applyFont="1" applyFill="1" applyBorder="1" applyAlignment="1">
      <alignment horizontal="center"/>
    </xf>
    <xf numFmtId="0" fontId="2" fillId="4" borderId="5" xfId="0" applyFont="1" applyFill="1" applyBorder="1"/>
    <xf numFmtId="0" fontId="2" fillId="4" borderId="5" xfId="0" quotePrefix="1" applyFont="1" applyFill="1" applyBorder="1" applyAlignment="1">
      <alignment horizontal="center"/>
    </xf>
    <xf numFmtId="15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5" fontId="2" fillId="0" borderId="5" xfId="0" applyNumberFormat="1" applyFont="1" applyFill="1" applyBorder="1" applyAlignment="1">
      <alignment horizontal="center"/>
    </xf>
    <xf numFmtId="165" fontId="2" fillId="0" borderId="5" xfId="2" applyNumberFormat="1" applyFont="1" applyFill="1" applyBorder="1"/>
    <xf numFmtId="15" fontId="5" fillId="0" borderId="5" xfId="0" applyNumberFormat="1" applyFont="1" applyFill="1" applyBorder="1" applyAlignment="1">
      <alignment horizontal="center"/>
    </xf>
    <xf numFmtId="43" fontId="12" fillId="0" borderId="5" xfId="1" applyFont="1" applyFill="1" applyBorder="1" applyAlignment="1">
      <alignment horizontal="right"/>
    </xf>
    <xf numFmtId="164" fontId="2" fillId="0" borderId="5" xfId="0" applyNumberFormat="1" applyFont="1" applyFill="1" applyBorder="1" applyAlignment="1">
      <alignment horizontal="center"/>
    </xf>
    <xf numFmtId="43" fontId="2" fillId="0" borderId="5" xfId="1" applyNumberFormat="1" applyFont="1" applyFill="1" applyBorder="1" applyAlignment="1">
      <alignment horizontal="right"/>
    </xf>
    <xf numFmtId="43" fontId="2" fillId="0" borderId="5" xfId="1" applyNumberFormat="1" applyFont="1" applyFill="1" applyBorder="1"/>
    <xf numFmtId="0" fontId="10" fillId="0" borderId="5" xfId="0" applyFont="1" applyFill="1" applyBorder="1"/>
    <xf numFmtId="39" fontId="6" fillId="0" borderId="5" xfId="2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43" fontId="14" fillId="0" borderId="5" xfId="1" applyFont="1" applyFill="1" applyBorder="1" applyAlignment="1">
      <alignment horizontal="right"/>
    </xf>
    <xf numFmtId="165" fontId="2" fillId="0" borderId="5" xfId="0" applyNumberFormat="1" applyFont="1" applyFill="1" applyBorder="1"/>
    <xf numFmtId="0" fontId="6" fillId="0" borderId="5" xfId="0" applyFont="1" applyFill="1" applyBorder="1"/>
    <xf numFmtId="0" fontId="5" fillId="0" borderId="5" xfId="0" applyFont="1" applyFill="1" applyBorder="1" applyAlignment="1">
      <alignment horizontal="left"/>
    </xf>
    <xf numFmtId="49" fontId="5" fillId="0" borderId="5" xfId="0" quotePrefix="1" applyNumberFormat="1" applyFont="1" applyFill="1" applyBorder="1" applyAlignment="1">
      <alignment horizontal="center"/>
    </xf>
    <xf numFmtId="41" fontId="2" fillId="0" borderId="5" xfId="2" applyFont="1" applyFill="1" applyBorder="1"/>
    <xf numFmtId="43" fontId="6" fillId="0" borderId="10" xfId="1" applyFont="1" applyFill="1" applyBorder="1" applyAlignment="1">
      <alignment horizontal="left"/>
    </xf>
    <xf numFmtId="15" fontId="2" fillId="0" borderId="5" xfId="3" applyNumberFormat="1" applyFont="1" applyFill="1" applyBorder="1" applyAlignment="1">
      <alignment horizontal="center"/>
    </xf>
    <xf numFmtId="39" fontId="12" fillId="0" borderId="5" xfId="0" applyNumberFormat="1" applyFont="1" applyFill="1" applyBorder="1" applyAlignment="1">
      <alignment horizontal="right"/>
    </xf>
    <xf numFmtId="0" fontId="2" fillId="0" borderId="5" xfId="0" applyNumberFormat="1" applyFont="1" applyFill="1" applyBorder="1" applyAlignment="1">
      <alignment horizontal="center"/>
    </xf>
    <xf numFmtId="43" fontId="2" fillId="0" borderId="5" xfId="1" applyFont="1" applyFill="1" applyBorder="1" applyAlignment="1"/>
    <xf numFmtId="165" fontId="2" fillId="0" borderId="5" xfId="2" applyNumberFormat="1" applyFont="1" applyFill="1" applyBorder="1" applyAlignment="1">
      <alignment horizontal="center"/>
    </xf>
    <xf numFmtId="0" fontId="2" fillId="0" borderId="5" xfId="0" applyNumberFormat="1" applyFont="1" applyFill="1" applyBorder="1"/>
    <xf numFmtId="43" fontId="3" fillId="0" borderId="5" xfId="1" applyFont="1" applyFill="1" applyBorder="1" applyAlignment="1">
      <alignment horizontal="right"/>
    </xf>
    <xf numFmtId="39" fontId="2" fillId="0" borderId="5" xfId="1" applyNumberFormat="1" applyFont="1" applyFill="1" applyBorder="1" applyAlignment="1">
      <alignment horizontal="right"/>
    </xf>
    <xf numFmtId="39" fontId="2" fillId="0" borderId="5" xfId="2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39" fontId="2" fillId="0" borderId="0" xfId="0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center"/>
    </xf>
    <xf numFmtId="39" fontId="2" fillId="6" borderId="2" xfId="2" applyNumberFormat="1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9" fontId="2" fillId="0" borderId="12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6" borderId="4" xfId="2" applyNumberFormat="1" applyFont="1" applyFill="1" applyBorder="1" applyAlignment="1">
      <alignment horizontal="center"/>
    </xf>
    <xf numFmtId="39" fontId="4" fillId="0" borderId="11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center"/>
    </xf>
    <xf numFmtId="43" fontId="2" fillId="0" borderId="5" xfId="0" applyNumberFormat="1" applyFont="1" applyFill="1" applyBorder="1"/>
    <xf numFmtId="39" fontId="2" fillId="0" borderId="5" xfId="0" applyNumberFormat="1" applyFont="1" applyFill="1" applyBorder="1" applyAlignment="1"/>
    <xf numFmtId="43" fontId="2" fillId="3" borderId="5" xfId="1" applyNumberFormat="1" applyFont="1" applyFill="1" applyBorder="1" applyAlignment="1">
      <alignment horizontal="right"/>
    </xf>
    <xf numFmtId="39" fontId="12" fillId="0" borderId="5" xfId="2" applyNumberFormat="1" applyFont="1" applyFill="1" applyBorder="1" applyAlignment="1">
      <alignment horizontal="right"/>
    </xf>
    <xf numFmtId="43" fontId="2" fillId="3" borderId="5" xfId="1" applyFont="1" applyFill="1" applyBorder="1"/>
    <xf numFmtId="43" fontId="2" fillId="3" borderId="5" xfId="1" applyFont="1" applyFill="1" applyBorder="1" applyAlignment="1">
      <alignment horizontal="right"/>
    </xf>
    <xf numFmtId="43" fontId="2" fillId="0" borderId="5" xfId="0" applyNumberFormat="1" applyFont="1" applyBorder="1" applyAlignment="1">
      <alignment horizontal="right"/>
    </xf>
    <xf numFmtId="39" fontId="2" fillId="0" borderId="5" xfId="2" applyNumberFormat="1" applyFont="1" applyFill="1" applyBorder="1" applyAlignment="1">
      <alignment horizontal="right"/>
    </xf>
    <xf numFmtId="43" fontId="2" fillId="5" borderId="5" xfId="1" applyFont="1" applyFill="1" applyBorder="1"/>
    <xf numFmtId="43" fontId="2" fillId="5" borderId="5" xfId="1" applyNumberFormat="1" applyFont="1" applyFill="1" applyBorder="1" applyAlignment="1">
      <alignment horizontal="right"/>
    </xf>
    <xf numFmtId="43" fontId="2" fillId="5" borderId="5" xfId="1" applyFont="1" applyFill="1" applyBorder="1" applyAlignment="1">
      <alignment horizontal="right"/>
    </xf>
    <xf numFmtId="0" fontId="3" fillId="0" borderId="5" xfId="0" applyFont="1" applyFill="1" applyBorder="1"/>
    <xf numFmtId="0" fontId="2" fillId="0" borderId="5" xfId="0" applyFont="1" applyFill="1" applyBorder="1" applyAlignment="1">
      <alignment horizontal="right"/>
    </xf>
    <xf numFmtId="39" fontId="2" fillId="0" borderId="5" xfId="0" applyNumberFormat="1" applyFont="1" applyFill="1" applyBorder="1"/>
    <xf numFmtId="0" fontId="16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15" fontId="2" fillId="0" borderId="0" xfId="3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43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0" fontId="14" fillId="0" borderId="5" xfId="0" applyFont="1" applyFill="1" applyBorder="1" applyAlignment="1">
      <alignment horizontal="center"/>
    </xf>
    <xf numFmtId="164" fontId="14" fillId="0" borderId="5" xfId="0" applyNumberFormat="1" applyFont="1" applyFill="1" applyBorder="1" applyAlignment="1">
      <alignment horizontal="center"/>
    </xf>
    <xf numFmtId="39" fontId="14" fillId="0" borderId="5" xfId="0" applyNumberFormat="1" applyFont="1" applyFill="1" applyBorder="1" applyAlignment="1">
      <alignment horizontal="center"/>
    </xf>
    <xf numFmtId="43" fontId="14" fillId="0" borderId="5" xfId="1" applyFont="1" applyFill="1" applyBorder="1" applyAlignment="1">
      <alignment horizontal="center"/>
    </xf>
    <xf numFmtId="39" fontId="2" fillId="6" borderId="0" xfId="2" applyNumberFormat="1" applyFont="1" applyFill="1" applyAlignment="1">
      <alignment horizontal="right"/>
    </xf>
    <xf numFmtId="0" fontId="2" fillId="6" borderId="0" xfId="0" applyFont="1" applyFill="1"/>
    <xf numFmtId="165" fontId="0" fillId="0" borderId="5" xfId="2" applyNumberFormat="1" applyFont="1" applyFill="1" applyBorder="1"/>
    <xf numFmtId="39" fontId="2" fillId="0" borderId="6" xfId="2" applyNumberFormat="1" applyFont="1" applyFill="1" applyBorder="1" applyAlignment="1">
      <alignment horizontal="center"/>
    </xf>
    <xf numFmtId="39" fontId="2" fillId="0" borderId="11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39" fontId="2" fillId="4" borderId="5" xfId="1" applyNumberFormat="1" applyFont="1" applyFill="1" applyBorder="1" applyAlignment="1">
      <alignment horizontal="right"/>
    </xf>
    <xf numFmtId="39" fontId="2" fillId="4" borderId="5" xfId="0" applyNumberFormat="1" applyFont="1" applyFill="1" applyBorder="1" applyAlignment="1"/>
    <xf numFmtId="43" fontId="14" fillId="0" borderId="5" xfId="1" applyFont="1" applyFill="1" applyBorder="1"/>
    <xf numFmtId="39" fontId="2" fillId="0" borderId="5" xfId="1" applyNumberFormat="1" applyFont="1" applyFill="1" applyBorder="1"/>
    <xf numFmtId="0" fontId="4" fillId="0" borderId="5" xfId="0" applyFont="1" applyFill="1" applyBorder="1"/>
    <xf numFmtId="167" fontId="2" fillId="0" borderId="5" xfId="1" applyNumberFormat="1" applyFont="1" applyFill="1" applyBorder="1"/>
    <xf numFmtId="0" fontId="4" fillId="0" borderId="10" xfId="0" applyFont="1" applyFill="1" applyBorder="1"/>
    <xf numFmtId="164" fontId="2" fillId="4" borderId="5" xfId="0" applyNumberFormat="1" applyFont="1" applyFill="1" applyBorder="1" applyAlignment="1">
      <alignment horizontal="center"/>
    </xf>
    <xf numFmtId="39" fontId="2" fillId="4" borderId="5" xfId="1" applyNumberFormat="1" applyFont="1" applyFill="1" applyBorder="1"/>
    <xf numFmtId="39" fontId="2" fillId="4" borderId="5" xfId="0" applyNumberFormat="1" applyFont="1" applyFill="1" applyBorder="1" applyAlignment="1">
      <alignment horizontal="right"/>
    </xf>
    <xf numFmtId="39" fontId="4" fillId="0" borderId="10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9" fillId="0" borderId="5" xfId="0" applyFont="1" applyFill="1" applyBorder="1"/>
    <xf numFmtId="0" fontId="9" fillId="0" borderId="5" xfId="0" quotePrefix="1" applyFont="1" applyFill="1" applyBorder="1" applyAlignment="1">
      <alignment horizontal="center"/>
    </xf>
    <xf numFmtId="165" fontId="9" fillId="0" borderId="5" xfId="2" applyNumberFormat="1" applyFont="1" applyFill="1" applyBorder="1"/>
    <xf numFmtId="165" fontId="9" fillId="2" borderId="5" xfId="2" applyNumberFormat="1" applyFont="1" applyFill="1" applyBorder="1"/>
    <xf numFmtId="0" fontId="10" fillId="0" borderId="10" xfId="0" applyFont="1" applyBorder="1"/>
    <xf numFmtId="0" fontId="2" fillId="4" borderId="5" xfId="0" applyNumberFormat="1" applyFont="1" applyFill="1" applyBorder="1" applyAlignment="1">
      <alignment horizontal="center"/>
    </xf>
    <xf numFmtId="1" fontId="2" fillId="7" borderId="5" xfId="0" applyNumberFormat="1" applyFont="1" applyFill="1" applyBorder="1"/>
    <xf numFmtId="1" fontId="2" fillId="7" borderId="5" xfId="0" applyNumberFormat="1" applyFont="1" applyFill="1" applyBorder="1" applyAlignment="1">
      <alignment horizontal="center"/>
    </xf>
    <xf numFmtId="15" fontId="2" fillId="7" borderId="5" xfId="3" applyNumberFormat="1" applyFont="1" applyFill="1" applyBorder="1" applyAlignment="1">
      <alignment horizontal="center"/>
    </xf>
    <xf numFmtId="43" fontId="2" fillId="7" borderId="5" xfId="1" applyFont="1" applyFill="1" applyBorder="1"/>
    <xf numFmtId="43" fontId="2" fillId="7" borderId="5" xfId="1" applyFont="1" applyFill="1" applyBorder="1" applyAlignment="1">
      <alignment horizontal="right"/>
    </xf>
    <xf numFmtId="43" fontId="2" fillId="7" borderId="5" xfId="1" quotePrefix="1" applyFont="1" applyFill="1" applyBorder="1" applyAlignment="1">
      <alignment horizontal="right"/>
    </xf>
    <xf numFmtId="0" fontId="2" fillId="7" borderId="5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0" fontId="4" fillId="0" borderId="5" xfId="0" applyNumberFormat="1" applyFont="1" applyFill="1" applyBorder="1" applyAlignment="1">
      <alignment horizontal="left"/>
    </xf>
    <xf numFmtId="0" fontId="2" fillId="7" borderId="5" xfId="0" applyFont="1" applyFill="1" applyBorder="1"/>
    <xf numFmtId="0" fontId="2" fillId="7" borderId="5" xfId="0" quotePrefix="1" applyFont="1" applyFill="1" applyBorder="1" applyAlignment="1">
      <alignment horizontal="center"/>
    </xf>
    <xf numFmtId="15" fontId="2" fillId="7" borderId="5" xfId="0" applyNumberFormat="1" applyFont="1" applyFill="1" applyBorder="1" applyAlignment="1">
      <alignment horizontal="center"/>
    </xf>
    <xf numFmtId="39" fontId="2" fillId="7" borderId="5" xfId="0" applyNumberFormat="1" applyFont="1" applyFill="1" applyBorder="1" applyAlignment="1">
      <alignment horizontal="right"/>
    </xf>
    <xf numFmtId="0" fontId="9" fillId="4" borderId="5" xfId="0" applyFont="1" applyFill="1" applyBorder="1"/>
    <xf numFmtId="0" fontId="9" fillId="4" borderId="5" xfId="0" quotePrefix="1" applyFont="1" applyFill="1" applyBorder="1" applyAlignment="1">
      <alignment horizontal="center"/>
    </xf>
    <xf numFmtId="165" fontId="9" fillId="4" borderId="5" xfId="2" applyNumberFormat="1" applyFont="1" applyFill="1" applyBorder="1"/>
    <xf numFmtId="0" fontId="9" fillId="4" borderId="5" xfId="0" applyFont="1" applyFill="1" applyBorder="1" applyAlignment="1">
      <alignment horizontal="center"/>
    </xf>
    <xf numFmtId="0" fontId="10" fillId="0" borderId="5" xfId="0" quotePrefix="1" applyFont="1" applyFill="1" applyBorder="1"/>
    <xf numFmtId="43" fontId="2" fillId="0" borderId="0" xfId="0" applyNumberFormat="1" applyFont="1" applyFill="1" applyBorder="1" applyAlignment="1">
      <alignment horizontal="right"/>
    </xf>
    <xf numFmtId="0" fontId="2" fillId="0" borderId="10" xfId="0" applyFont="1" applyFill="1" applyBorder="1"/>
    <xf numFmtId="39" fontId="2" fillId="0" borderId="10" xfId="2" applyNumberFormat="1" applyFont="1" applyFill="1" applyBorder="1" applyAlignment="1">
      <alignment horizontal="left"/>
    </xf>
    <xf numFmtId="39" fontId="2" fillId="4" borderId="5" xfId="0" quotePrefix="1" applyNumberFormat="1" applyFont="1" applyFill="1" applyBorder="1" applyAlignment="1">
      <alignment horizontal="right"/>
    </xf>
    <xf numFmtId="0" fontId="13" fillId="0" borderId="5" xfId="0" applyFont="1" applyFill="1" applyBorder="1" applyAlignment="1">
      <alignment horizontal="left"/>
    </xf>
    <xf numFmtId="1" fontId="2" fillId="4" borderId="5" xfId="0" applyNumberFormat="1" applyFont="1" applyFill="1" applyBorder="1"/>
    <xf numFmtId="0" fontId="13" fillId="0" borderId="2" xfId="0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/>
    </xf>
    <xf numFmtId="39" fontId="13" fillId="0" borderId="2" xfId="0" applyNumberFormat="1" applyFont="1" applyFill="1" applyBorder="1" applyAlignment="1">
      <alignment horizontal="center"/>
    </xf>
    <xf numFmtId="43" fontId="13" fillId="0" borderId="2" xfId="1" applyFont="1" applyFill="1" applyBorder="1" applyAlignment="1">
      <alignment horizontal="center"/>
    </xf>
    <xf numFmtId="43" fontId="13" fillId="0" borderId="6" xfId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39" fontId="13" fillId="0" borderId="7" xfId="2" applyNumberFormat="1" applyFont="1" applyFill="1" applyBorder="1" applyAlignment="1">
      <alignment horizontal="center"/>
    </xf>
    <xf numFmtId="39" fontId="13" fillId="0" borderId="2" xfId="2" applyNumberFormat="1" applyFont="1" applyFill="1" applyBorder="1" applyAlignment="1">
      <alignment horizontal="center"/>
    </xf>
    <xf numFmtId="39" fontId="13" fillId="0" borderId="6" xfId="2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3" fillId="0" borderId="3" xfId="0" applyNumberFormat="1" applyFont="1" applyFill="1" applyBorder="1" applyAlignment="1">
      <alignment horizontal="center"/>
    </xf>
    <xf numFmtId="39" fontId="13" fillId="0" borderId="3" xfId="0" quotePrefix="1" applyNumberFormat="1" applyFont="1" applyFill="1" applyBorder="1" applyAlignment="1">
      <alignment horizontal="center"/>
    </xf>
    <xf numFmtId="39" fontId="13" fillId="0" borderId="3" xfId="0" applyNumberFormat="1" applyFont="1" applyFill="1" applyBorder="1" applyAlignment="1">
      <alignment horizontal="center"/>
    </xf>
    <xf numFmtId="43" fontId="13" fillId="0" borderId="3" xfId="1" applyFont="1" applyFill="1" applyBorder="1" applyAlignment="1">
      <alignment horizontal="center"/>
    </xf>
    <xf numFmtId="43" fontId="13" fillId="0" borderId="8" xfId="1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39" fontId="13" fillId="0" borderId="9" xfId="2" applyNumberFormat="1" applyFont="1" applyFill="1" applyBorder="1" applyAlignment="1">
      <alignment horizontal="center"/>
    </xf>
    <xf numFmtId="39" fontId="13" fillId="0" borderId="3" xfId="2" applyNumberFormat="1" applyFont="1" applyFill="1" applyBorder="1" applyAlignment="1">
      <alignment horizontal="center"/>
    </xf>
    <xf numFmtId="39" fontId="13" fillId="0" borderId="8" xfId="2" applyNumberFormat="1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43" fontId="9" fillId="0" borderId="5" xfId="2" applyNumberFormat="1" applyFont="1" applyFill="1" applyBorder="1"/>
    <xf numFmtId="165" fontId="9" fillId="0" borderId="5" xfId="2" applyNumberFormat="1" applyFont="1" applyBorder="1" applyAlignment="1">
      <alignment horizontal="right"/>
    </xf>
    <xf numFmtId="0" fontId="10" fillId="0" borderId="5" xfId="0" quotePrefix="1" applyFont="1" applyBorder="1"/>
    <xf numFmtId="1" fontId="2" fillId="4" borderId="5" xfId="0" quotePrefix="1" applyNumberFormat="1" applyFont="1" applyFill="1" applyBorder="1" applyAlignment="1">
      <alignment horizontal="center"/>
    </xf>
    <xf numFmtId="39" fontId="13" fillId="0" borderId="5" xfId="0" applyNumberFormat="1" applyFont="1" applyFill="1" applyBorder="1" applyAlignment="1">
      <alignment horizontal="left"/>
    </xf>
    <xf numFmtId="43" fontId="9" fillId="2" borderId="5" xfId="0" applyNumberFormat="1" applyFont="1" applyFill="1" applyBorder="1"/>
    <xf numFmtId="165" fontId="9" fillId="2" borderId="5" xfId="2" applyNumberFormat="1" applyFont="1" applyFill="1" applyBorder="1" applyAlignment="1">
      <alignment horizontal="right"/>
    </xf>
    <xf numFmtId="43" fontId="9" fillId="0" borderId="5" xfId="1" applyFont="1" applyFill="1" applyBorder="1"/>
    <xf numFmtId="165" fontId="9" fillId="3" borderId="5" xfId="2" applyNumberFormat="1" applyFont="1" applyFill="1" applyBorder="1"/>
    <xf numFmtId="41" fontId="9" fillId="4" borderId="5" xfId="2" applyFont="1" applyFill="1" applyBorder="1"/>
    <xf numFmtId="41" fontId="9" fillId="0" borderId="5" xfId="2" applyFont="1" applyFill="1" applyBorder="1"/>
    <xf numFmtId="0" fontId="17" fillId="0" borderId="5" xfId="0" applyFont="1" applyBorder="1"/>
    <xf numFmtId="0" fontId="2" fillId="0" borderId="5" xfId="1" applyNumberFormat="1" applyFont="1" applyFill="1" applyBorder="1" applyAlignment="1">
      <alignment horizontal="right"/>
    </xf>
    <xf numFmtId="39" fontId="2" fillId="0" borderId="8" xfId="2" applyNumberFormat="1" applyFont="1" applyFill="1" applyBorder="1" applyAlignment="1">
      <alignment horizontal="left"/>
    </xf>
    <xf numFmtId="165" fontId="7" fillId="4" borderId="5" xfId="0" applyNumberFormat="1" applyFont="1" applyFill="1" applyBorder="1"/>
    <xf numFmtId="0" fontId="19" fillId="4" borderId="5" xfId="0" applyFont="1" applyFill="1" applyBorder="1" applyAlignment="1">
      <alignment horizontal="center"/>
    </xf>
    <xf numFmtId="0" fontId="7" fillId="0" borderId="5" xfId="0" applyFont="1" applyFill="1" applyBorder="1"/>
    <xf numFmtId="165" fontId="2" fillId="4" borderId="5" xfId="0" applyNumberFormat="1" applyFont="1" applyFill="1" applyBorder="1" applyAlignment="1">
      <alignment horizontal="right"/>
    </xf>
    <xf numFmtId="43" fontId="2" fillId="4" borderId="5" xfId="1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0" xfId="0" applyFont="1" applyFill="1"/>
    <xf numFmtId="43" fontId="0" fillId="4" borderId="5" xfId="0" applyNumberFormat="1" applyFill="1" applyBorder="1"/>
    <xf numFmtId="41" fontId="0" fillId="4" borderId="5" xfId="0" applyNumberFormat="1" applyFill="1" applyBorder="1"/>
    <xf numFmtId="41" fontId="0" fillId="4" borderId="5" xfId="2" applyFont="1" applyFill="1" applyBorder="1"/>
    <xf numFmtId="1" fontId="2" fillId="0" borderId="5" xfId="0" applyNumberFormat="1" applyFont="1" applyFill="1" applyBorder="1"/>
    <xf numFmtId="1" fontId="2" fillId="0" borderId="5" xfId="0" applyNumberFormat="1" applyFont="1" applyFill="1" applyBorder="1" applyAlignment="1">
      <alignment horizontal="center"/>
    </xf>
    <xf numFmtId="39" fontId="2" fillId="0" borderId="5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left"/>
    </xf>
    <xf numFmtId="39" fontId="2" fillId="0" borderId="4" xfId="2" applyNumberFormat="1" applyFont="1" applyFill="1" applyBorder="1" applyAlignment="1">
      <alignment horizontal="left"/>
    </xf>
    <xf numFmtId="0" fontId="20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43" fontId="21" fillId="0" borderId="5" xfId="0" applyNumberFormat="1" applyFont="1" applyFill="1" applyBorder="1"/>
    <xf numFmtId="41" fontId="3" fillId="0" borderId="5" xfId="2" applyFont="1" applyFill="1" applyBorder="1"/>
    <xf numFmtId="41" fontId="21" fillId="0" borderId="5" xfId="2" applyFont="1" applyFill="1" applyBorder="1"/>
    <xf numFmtId="165" fontId="3" fillId="0" borderId="5" xfId="1" applyNumberFormat="1" applyFont="1" applyFill="1" applyBorder="1" applyAlignment="1">
      <alignment horizontal="right"/>
    </xf>
    <xf numFmtId="0" fontId="21" fillId="0" borderId="5" xfId="0" applyFont="1" applyFill="1" applyBorder="1" applyAlignment="1">
      <alignment horizontal="center"/>
    </xf>
    <xf numFmtId="43" fontId="3" fillId="0" borderId="5" xfId="1" applyFont="1" applyFill="1" applyBorder="1"/>
    <xf numFmtId="39" fontId="3" fillId="0" borderId="5" xfId="0" applyNumberFormat="1" applyFont="1" applyFill="1" applyBorder="1" applyAlignment="1">
      <alignment horizontal="left"/>
    </xf>
    <xf numFmtId="0" fontId="18" fillId="0" borderId="5" xfId="0" applyFont="1" applyFill="1" applyBorder="1"/>
    <xf numFmtId="0" fontId="23" fillId="0" borderId="5" xfId="0" applyFont="1" applyFill="1" applyBorder="1"/>
    <xf numFmtId="165" fontId="7" fillId="0" borderId="5" xfId="0" applyNumberFormat="1" applyFont="1" applyFill="1" applyBorder="1"/>
    <xf numFmtId="43" fontId="0" fillId="0" borderId="5" xfId="0" applyNumberFormat="1" applyFill="1" applyBorder="1"/>
    <xf numFmtId="43" fontId="24" fillId="0" borderId="5" xfId="0" applyNumberFormat="1" applyFont="1" applyFill="1" applyBorder="1"/>
    <xf numFmtId="39" fontId="3" fillId="0" borderId="5" xfId="0" applyNumberFormat="1" applyFont="1" applyFill="1" applyBorder="1" applyAlignment="1">
      <alignment horizontal="right"/>
    </xf>
    <xf numFmtId="0" fontId="2" fillId="4" borderId="0" xfId="0" applyFont="1" applyFill="1" applyBorder="1"/>
    <xf numFmtId="0" fontId="2" fillId="4" borderId="0" xfId="0" quotePrefix="1" applyFont="1" applyFill="1" applyBorder="1" applyAlignment="1">
      <alignment horizontal="center"/>
    </xf>
    <xf numFmtId="168" fontId="2" fillId="7" borderId="5" xfId="3" applyNumberFormat="1" applyFont="1" applyFill="1" applyBorder="1" applyAlignment="1">
      <alignment horizontal="left"/>
    </xf>
    <xf numFmtId="49" fontId="2" fillId="7" borderId="5" xfId="3" applyNumberFormat="1" applyFont="1" applyFill="1" applyBorder="1" applyAlignment="1">
      <alignment horizontal="center"/>
    </xf>
    <xf numFmtId="43" fontId="2" fillId="7" borderId="5" xfId="0" applyNumberFormat="1" applyFont="1" applyFill="1" applyBorder="1"/>
    <xf numFmtId="169" fontId="2" fillId="0" borderId="5" xfId="2" applyNumberFormat="1" applyFont="1" applyFill="1" applyBorder="1"/>
    <xf numFmtId="43" fontId="2" fillId="7" borderId="0" xfId="1" applyFont="1" applyFill="1" applyBorder="1"/>
    <xf numFmtId="0" fontId="2" fillId="0" borderId="5" xfId="3" applyFont="1" applyFill="1" applyBorder="1"/>
    <xf numFmtId="169" fontId="2" fillId="0" borderId="4" xfId="2" applyNumberFormat="1" applyFont="1" applyFill="1" applyBorder="1"/>
    <xf numFmtId="43" fontId="2" fillId="0" borderId="4" xfId="1" applyFont="1" applyFill="1" applyBorder="1" applyAlignment="1">
      <alignment horizontal="right"/>
    </xf>
    <xf numFmtId="43" fontId="2" fillId="4" borderId="5" xfId="0" applyNumberFormat="1" applyFont="1" applyFill="1" applyBorder="1" applyAlignment="1">
      <alignment horizontal="right"/>
    </xf>
    <xf numFmtId="43" fontId="2" fillId="0" borderId="5" xfId="0" applyNumberFormat="1" applyFont="1" applyFill="1" applyBorder="1" applyAlignment="1">
      <alignment horizontal="center"/>
    </xf>
    <xf numFmtId="0" fontId="7" fillId="0" borderId="0" xfId="0" applyFont="1" applyFill="1"/>
    <xf numFmtId="169" fontId="2" fillId="4" borderId="5" xfId="0" applyNumberFormat="1" applyFont="1" applyFill="1" applyBorder="1" applyAlignment="1">
      <alignment horizontal="right"/>
    </xf>
    <xf numFmtId="49" fontId="2" fillId="4" borderId="5" xfId="3" quotePrefix="1" applyNumberFormat="1" applyFont="1" applyFill="1" applyBorder="1" applyAlignment="1">
      <alignment horizontal="center"/>
    </xf>
    <xf numFmtId="39" fontId="7" fillId="4" borderId="5" xfId="0" applyNumberFormat="1" applyFont="1" applyFill="1" applyBorder="1"/>
    <xf numFmtId="43" fontId="7" fillId="4" borderId="5" xfId="0" applyNumberFormat="1" applyFont="1" applyFill="1" applyBorder="1"/>
    <xf numFmtId="169" fontId="7" fillId="4" borderId="5" xfId="0" applyNumberFormat="1" applyFont="1" applyFill="1" applyBorder="1"/>
    <xf numFmtId="0" fontId="2" fillId="4" borderId="2" xfId="0" applyFont="1" applyFill="1" applyBorder="1"/>
    <xf numFmtId="0" fontId="2" fillId="4" borderId="2" xfId="0" quotePrefix="1" applyFont="1" applyFill="1" applyBorder="1" applyAlignment="1">
      <alignment horizontal="center"/>
    </xf>
    <xf numFmtId="169" fontId="2" fillId="4" borderId="5" xfId="1" applyNumberFormat="1" applyFont="1" applyFill="1" applyBorder="1" applyAlignment="1">
      <alignment horizontal="right"/>
    </xf>
    <xf numFmtId="170" fontId="7" fillId="4" borderId="5" xfId="0" applyNumberFormat="1" applyFont="1" applyFill="1" applyBorder="1"/>
    <xf numFmtId="0" fontId="25" fillId="0" borderId="5" xfId="0" applyFont="1" applyFill="1" applyBorder="1"/>
    <xf numFmtId="0" fontId="2" fillId="4" borderId="5" xfId="3" applyFont="1" applyFill="1" applyBorder="1"/>
    <xf numFmtId="0" fontId="2" fillId="4" borderId="5" xfId="3" quotePrefix="1" applyFont="1" applyFill="1" applyBorder="1" applyAlignment="1">
      <alignment horizontal="center"/>
    </xf>
    <xf numFmtId="169" fontId="5" fillId="4" borderId="5" xfId="0" applyNumberFormat="1" applyFont="1" applyFill="1" applyBorder="1" applyAlignment="1">
      <alignment horizontal="center"/>
    </xf>
    <xf numFmtId="43" fontId="7" fillId="4" borderId="0" xfId="0" applyNumberFormat="1" applyFont="1" applyFill="1" applyBorder="1"/>
    <xf numFmtId="39" fontId="2" fillId="4" borderId="2" xfId="0" applyNumberFormat="1" applyFont="1" applyFill="1" applyBorder="1" applyAlignment="1"/>
    <xf numFmtId="43" fontId="2" fillId="4" borderId="2" xfId="1" applyFont="1" applyFill="1" applyBorder="1"/>
    <xf numFmtId="39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6" fillId="8" borderId="5" xfId="0" applyFont="1" applyFill="1" applyBorder="1"/>
    <xf numFmtId="169" fontId="2" fillId="4" borderId="0" xfId="1" applyNumberFormat="1" applyFont="1" applyFill="1" applyBorder="1" applyAlignment="1">
      <alignment horizontal="right"/>
    </xf>
    <xf numFmtId="0" fontId="2" fillId="4" borderId="0" xfId="3" applyFont="1" applyFill="1" applyBorder="1"/>
    <xf numFmtId="0" fontId="2" fillId="4" borderId="0" xfId="3" quotePrefix="1" applyFont="1" applyFill="1" applyBorder="1" applyAlignment="1">
      <alignment horizontal="center"/>
    </xf>
    <xf numFmtId="43" fontId="2" fillId="0" borderId="2" xfId="1" applyFont="1" applyFill="1" applyBorder="1"/>
    <xf numFmtId="39" fontId="2" fillId="0" borderId="2" xfId="1" applyNumberFormat="1" applyFont="1" applyFill="1" applyBorder="1"/>
    <xf numFmtId="0" fontId="0" fillId="4" borderId="5" xfId="0" applyFill="1" applyBorder="1"/>
    <xf numFmtId="169" fontId="0" fillId="4" borderId="5" xfId="0" applyNumberFormat="1" applyFill="1" applyBorder="1"/>
    <xf numFmtId="39" fontId="0" fillId="4" borderId="5" xfId="0" applyNumberFormat="1" applyFill="1" applyBorder="1"/>
    <xf numFmtId="0" fontId="0" fillId="0" borderId="5" xfId="0" applyFill="1" applyBorder="1"/>
    <xf numFmtId="164" fontId="2" fillId="0" borderId="0" xfId="0" applyNumberFormat="1" applyFont="1" applyFill="1" applyBorder="1"/>
    <xf numFmtId="171" fontId="2" fillId="0" borderId="0" xfId="0" applyNumberFormat="1" applyFont="1" applyFill="1" applyBorder="1"/>
    <xf numFmtId="39" fontId="2" fillId="0" borderId="0" xfId="2" applyNumberFormat="1" applyFont="1" applyFill="1" applyBorder="1"/>
    <xf numFmtId="171" fontId="2" fillId="0" borderId="2" xfId="0" applyNumberFormat="1" applyFont="1" applyFill="1" applyBorder="1" applyAlignment="1">
      <alignment horizontal="center"/>
    </xf>
    <xf numFmtId="171" fontId="2" fillId="0" borderId="3" xfId="0" applyNumberFormat="1" applyFont="1" applyFill="1" applyBorder="1" applyAlignment="1">
      <alignment horizontal="center"/>
    </xf>
    <xf numFmtId="43" fontId="2" fillId="0" borderId="5" xfId="1" applyFont="1" applyFill="1" applyBorder="1" applyAlignment="1">
      <alignment horizontal="left"/>
    </xf>
    <xf numFmtId="171" fontId="2" fillId="0" borderId="2" xfId="0" applyNumberFormat="1" applyFont="1" applyFill="1" applyBorder="1"/>
    <xf numFmtId="165" fontId="9" fillId="0" borderId="5" xfId="2" applyNumberFormat="1" applyFont="1" applyFill="1" applyBorder="1" applyAlignment="1">
      <alignment horizontal="right"/>
    </xf>
    <xf numFmtId="0" fontId="9" fillId="0" borderId="5" xfId="0" applyFont="1" applyFill="1" applyBorder="1" applyAlignment="1">
      <alignment horizontal="left"/>
    </xf>
    <xf numFmtId="49" fontId="9" fillId="0" borderId="5" xfId="0" quotePrefix="1" applyNumberFormat="1" applyFont="1" applyFill="1" applyBorder="1" applyAlignment="1">
      <alignment horizontal="center"/>
    </xf>
    <xf numFmtId="15" fontId="9" fillId="0" borderId="5" xfId="0" applyNumberFormat="1" applyFont="1" applyFill="1" applyBorder="1" applyAlignment="1">
      <alignment horizontal="center"/>
    </xf>
    <xf numFmtId="167" fontId="12" fillId="0" borderId="5" xfId="1" applyNumberFormat="1" applyFont="1" applyFill="1" applyBorder="1" applyAlignment="1">
      <alignment horizontal="center"/>
    </xf>
    <xf numFmtId="0" fontId="12" fillId="0" borderId="5" xfId="1" applyNumberFormat="1" applyFont="1" applyFill="1" applyBorder="1" applyAlignment="1">
      <alignment horizontal="center"/>
    </xf>
    <xf numFmtId="39" fontId="12" fillId="0" borderId="5" xfId="2" applyNumberFormat="1" applyFont="1" applyFill="1" applyBorder="1" applyAlignment="1">
      <alignment horizontal="left"/>
    </xf>
    <xf numFmtId="0" fontId="2" fillId="0" borderId="5" xfId="3" quotePrefix="1" applyFont="1" applyFill="1" applyBorder="1" applyAlignment="1">
      <alignment horizontal="center"/>
    </xf>
    <xf numFmtId="41" fontId="21" fillId="0" borderId="5" xfId="0" applyNumberFormat="1" applyFont="1" applyFill="1" applyBorder="1"/>
    <xf numFmtId="0" fontId="21" fillId="0" borderId="5" xfId="0" applyFont="1" applyFill="1" applyBorder="1"/>
    <xf numFmtId="165" fontId="21" fillId="0" borderId="5" xfId="0" applyNumberFormat="1" applyFont="1" applyFill="1" applyBorder="1"/>
    <xf numFmtId="43" fontId="22" fillId="0" borderId="5" xfId="0" applyNumberFormat="1" applyFont="1" applyFill="1" applyBorder="1"/>
    <xf numFmtId="39" fontId="3" fillId="0" borderId="5" xfId="0" applyNumberFormat="1" applyFont="1" applyFill="1" applyBorder="1" applyAlignment="1"/>
    <xf numFmtId="165" fontId="24" fillId="0" borderId="5" xfId="0" applyNumberFormat="1" applyFont="1" applyFill="1" applyBorder="1"/>
    <xf numFmtId="39" fontId="3" fillId="0" borderId="5" xfId="1" applyNumberFormat="1" applyFont="1" applyFill="1" applyBorder="1"/>
    <xf numFmtId="0" fontId="19" fillId="0" borderId="5" xfId="0" applyFont="1" applyFill="1" applyBorder="1" applyAlignment="1">
      <alignment horizontal="center"/>
    </xf>
    <xf numFmtId="43" fontId="7" fillId="0" borderId="5" xfId="0" applyNumberFormat="1" applyFont="1" applyFill="1" applyBorder="1"/>
    <xf numFmtId="0" fontId="2" fillId="0" borderId="0" xfId="0" quotePrefix="1" applyFont="1" applyFill="1" applyBorder="1"/>
    <xf numFmtId="1" fontId="3" fillId="0" borderId="5" xfId="0" applyNumberFormat="1" applyFont="1" applyFill="1" applyBorder="1"/>
    <xf numFmtId="1" fontId="3" fillId="0" borderId="5" xfId="0" quotePrefix="1" applyNumberFormat="1" applyFont="1" applyFill="1" applyBorder="1" applyAlignment="1">
      <alignment horizontal="center"/>
    </xf>
    <xf numFmtId="1" fontId="2" fillId="0" borderId="5" xfId="0" quotePrefix="1" applyNumberFormat="1" applyFont="1" applyFill="1" applyBorder="1" applyAlignment="1">
      <alignment horizontal="center"/>
    </xf>
    <xf numFmtId="164" fontId="2" fillId="0" borderId="5" xfId="0" applyNumberFormat="1" applyFont="1" applyFill="1" applyBorder="1"/>
    <xf numFmtId="171" fontId="2" fillId="0" borderId="5" xfId="0" applyNumberFormat="1" applyFont="1" applyFill="1" applyBorder="1"/>
    <xf numFmtId="43" fontId="3" fillId="0" borderId="5" xfId="0" applyNumberFormat="1" applyFont="1" applyFill="1" applyBorder="1" applyAlignment="1">
      <alignment horizontal="right"/>
    </xf>
    <xf numFmtId="39" fontId="3" fillId="0" borderId="5" xfId="2" applyNumberFormat="1" applyFont="1" applyFill="1" applyBorder="1" applyAlignment="1">
      <alignment horizontal="left"/>
    </xf>
    <xf numFmtId="43" fontId="3" fillId="0" borderId="5" xfId="0" quotePrefix="1" applyNumberFormat="1" applyFont="1" applyFill="1" applyBorder="1" applyAlignment="1">
      <alignment horizontal="right"/>
    </xf>
    <xf numFmtId="0" fontId="24" fillId="0" borderId="5" xfId="0" applyFont="1" applyFill="1" applyBorder="1"/>
    <xf numFmtId="0" fontId="26" fillId="0" borderId="5" xfId="0" applyFont="1" applyFill="1" applyBorder="1"/>
    <xf numFmtId="39" fontId="27" fillId="0" borderId="5" xfId="0" applyNumberFormat="1" applyFont="1" applyFill="1" applyBorder="1" applyAlignment="1">
      <alignment horizontal="right"/>
    </xf>
    <xf numFmtId="43" fontId="3" fillId="0" borderId="5" xfId="1" quotePrefix="1" applyFont="1" applyFill="1" applyBorder="1" applyAlignment="1">
      <alignment horizontal="center"/>
    </xf>
    <xf numFmtId="39" fontId="24" fillId="0" borderId="5" xfId="0" applyNumberFormat="1" applyFont="1" applyFill="1" applyBorder="1"/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39" fontId="3" fillId="0" borderId="0" xfId="1" applyNumberFormat="1" applyFont="1" applyFill="1" applyBorder="1" applyAlignment="1">
      <alignment horizontal="right"/>
    </xf>
    <xf numFmtId="39" fontId="3" fillId="0" borderId="2" xfId="0" applyNumberFormat="1" applyFont="1" applyFill="1" applyBorder="1" applyAlignment="1"/>
    <xf numFmtId="43" fontId="3" fillId="0" borderId="2" xfId="1" applyFont="1" applyFill="1" applyBorder="1"/>
    <xf numFmtId="39" fontId="3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right"/>
    </xf>
    <xf numFmtId="0" fontId="3" fillId="0" borderId="5" xfId="3" applyFont="1" applyFill="1" applyBorder="1"/>
    <xf numFmtId="0" fontId="3" fillId="0" borderId="5" xfId="3" quotePrefix="1" applyFont="1" applyFill="1" applyBorder="1" applyAlignment="1">
      <alignment horizontal="center"/>
    </xf>
    <xf numFmtId="0" fontId="23" fillId="0" borderId="5" xfId="0" applyFont="1" applyFill="1" applyBorder="1" applyAlignment="1">
      <alignment horizontal="left"/>
    </xf>
    <xf numFmtId="170" fontId="2" fillId="0" borderId="5" xfId="0" applyNumberFormat="1" applyFont="1" applyFill="1" applyBorder="1" applyAlignment="1">
      <alignment horizontal="right"/>
    </xf>
    <xf numFmtId="169" fontId="2" fillId="0" borderId="5" xfId="0" applyNumberFormat="1" applyFont="1" applyFill="1" applyBorder="1" applyAlignment="1">
      <alignment horizontal="right"/>
    </xf>
    <xf numFmtId="164" fontId="2" fillId="0" borderId="0" xfId="0" applyNumberFormat="1" applyFont="1" applyFill="1"/>
    <xf numFmtId="171" fontId="2" fillId="0" borderId="0" xfId="0" applyNumberFormat="1" applyFont="1" applyFill="1"/>
    <xf numFmtId="39" fontId="2" fillId="0" borderId="0" xfId="2" applyNumberFormat="1" applyFont="1" applyFill="1"/>
    <xf numFmtId="0" fontId="9" fillId="0" borderId="5" xfId="0" quotePrefix="1" applyFont="1" applyFill="1" applyBorder="1"/>
    <xf numFmtId="0" fontId="5" fillId="0" borderId="5" xfId="0" quotePrefix="1" applyFont="1" applyBorder="1"/>
    <xf numFmtId="0" fontId="2" fillId="9" borderId="5" xfId="0" applyFont="1" applyFill="1" applyBorder="1" applyAlignment="1">
      <alignment horizontal="center"/>
    </xf>
    <xf numFmtId="0" fontId="2" fillId="9" borderId="5" xfId="0" applyFont="1" applyFill="1" applyBorder="1"/>
    <xf numFmtId="0" fontId="2" fillId="9" borderId="5" xfId="0" quotePrefix="1" applyFont="1" applyFill="1" applyBorder="1"/>
    <xf numFmtId="164" fontId="2" fillId="9" borderId="5" xfId="1" quotePrefix="1" applyNumberFormat="1" applyFont="1" applyFill="1" applyBorder="1" applyAlignment="1">
      <alignment horizontal="center"/>
    </xf>
    <xf numFmtId="165" fontId="2" fillId="9" borderId="5" xfId="2" applyNumberFormat="1" applyFont="1" applyFill="1" applyBorder="1"/>
    <xf numFmtId="165" fontId="2" fillId="9" borderId="5" xfId="2" applyNumberFormat="1" applyFont="1" applyFill="1" applyBorder="1" applyAlignment="1">
      <alignment horizontal="right"/>
    </xf>
    <xf numFmtId="43" fontId="2" fillId="9" borderId="5" xfId="2" applyNumberFormat="1" applyFont="1" applyFill="1" applyBorder="1"/>
    <xf numFmtId="0" fontId="6" fillId="9" borderId="5" xfId="0" applyFont="1" applyFill="1" applyBorder="1"/>
    <xf numFmtId="39" fontId="2" fillId="9" borderId="5" xfId="0" applyNumberFormat="1" applyFont="1" applyFill="1" applyBorder="1" applyAlignment="1">
      <alignment horizontal="right"/>
    </xf>
    <xf numFmtId="43" fontId="2" fillId="9" borderId="5" xfId="0" applyNumberFormat="1" applyFont="1" applyFill="1" applyBorder="1"/>
    <xf numFmtId="43" fontId="2" fillId="9" borderId="5" xfId="1" applyFont="1" applyFill="1" applyBorder="1"/>
    <xf numFmtId="0" fontId="2" fillId="9" borderId="0" xfId="0" applyFont="1" applyFill="1" applyBorder="1"/>
    <xf numFmtId="0" fontId="2" fillId="9" borderId="0" xfId="0" applyFont="1" applyFill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MARET%202018/normatif%20MRT2018/stlh%20uplod%20N%20MRT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PEBRUARI%202018/norm%20peb/UPLOD%20N%20PEB2018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flasdisk%20wiwid/tahun%202014/PINJAMAN'14/NOP%202014/norm%20nop'14/PIJ%20DEBET%20NOR%20NOP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t pij akhr"/>
      <sheetName val="N1"/>
      <sheetName val="N2"/>
      <sheetName val="LAIN N1"/>
      <sheetName val="LAIN N2"/>
      <sheetName val="BRG N1"/>
      <sheetName val="BRG N2"/>
      <sheetName val="dend n1"/>
      <sheetName val="dend n2"/>
      <sheetName val="LAIN DEND N1"/>
      <sheetName val="LAIN DEND N2"/>
      <sheetName val="BG N1"/>
      <sheetName val="BG N2"/>
      <sheetName val="BG LAIN N1"/>
      <sheetName val="BG LAIN N2"/>
      <sheetName val="pelnsn"/>
      <sheetName val="lunas"/>
    </sheetNames>
    <sheetDataSet>
      <sheetData sheetId="0"/>
      <sheetData sheetId="1"/>
      <sheetData sheetId="2">
        <row r="25">
          <cell r="AE25">
            <v>23324000</v>
          </cell>
        </row>
        <row r="26">
          <cell r="AE26">
            <v>6244000</v>
          </cell>
        </row>
        <row r="27">
          <cell r="AE27">
            <v>27498000</v>
          </cell>
        </row>
        <row r="28">
          <cell r="AE28">
            <v>13125000</v>
          </cell>
        </row>
        <row r="29">
          <cell r="AE29">
            <v>15822000</v>
          </cell>
        </row>
        <row r="30">
          <cell r="AE30">
            <v>27498000</v>
          </cell>
        </row>
        <row r="31">
          <cell r="AE31">
            <v>15822000</v>
          </cell>
        </row>
        <row r="32">
          <cell r="AE32">
            <v>8329000</v>
          </cell>
        </row>
        <row r="33">
          <cell r="AE33">
            <v>11652000</v>
          </cell>
        </row>
        <row r="34">
          <cell r="AE34">
            <v>27498000</v>
          </cell>
        </row>
        <row r="35">
          <cell r="AE35">
            <v>1658500</v>
          </cell>
        </row>
        <row r="36">
          <cell r="AE36">
            <v>8054000</v>
          </cell>
        </row>
        <row r="37">
          <cell r="AE37">
            <v>24162000</v>
          </cell>
        </row>
        <row r="38">
          <cell r="AE38">
            <v>3332000</v>
          </cell>
        </row>
        <row r="39">
          <cell r="AE39">
            <v>24162000</v>
          </cell>
        </row>
        <row r="40">
          <cell r="AE40">
            <v>28332000</v>
          </cell>
        </row>
        <row r="41">
          <cell r="AE41">
            <v>3003000</v>
          </cell>
        </row>
        <row r="42">
          <cell r="AE42">
            <v>6664000</v>
          </cell>
        </row>
        <row r="43">
          <cell r="AE43">
            <v>5554000</v>
          </cell>
        </row>
        <row r="44">
          <cell r="AE44">
            <v>28332000</v>
          </cell>
        </row>
        <row r="45">
          <cell r="AE45">
            <v>2497800</v>
          </cell>
        </row>
        <row r="46">
          <cell r="AE46">
            <v>17500000</v>
          </cell>
        </row>
        <row r="47">
          <cell r="AE47">
            <v>24162000</v>
          </cell>
        </row>
        <row r="48">
          <cell r="AE48">
            <v>2000000</v>
          </cell>
        </row>
        <row r="49">
          <cell r="AE49">
            <v>13500000</v>
          </cell>
        </row>
        <row r="50">
          <cell r="AE50">
            <v>11104000</v>
          </cell>
        </row>
        <row r="51">
          <cell r="AE51">
            <v>24162000</v>
          </cell>
        </row>
        <row r="52">
          <cell r="AE52">
            <v>1500000</v>
          </cell>
        </row>
        <row r="53">
          <cell r="AE53">
            <v>5170295</v>
          </cell>
        </row>
        <row r="54">
          <cell r="AE54">
            <v>24996000</v>
          </cell>
        </row>
        <row r="55">
          <cell r="AE55">
            <v>29166000</v>
          </cell>
        </row>
        <row r="56">
          <cell r="AE56">
            <v>14999000</v>
          </cell>
        </row>
        <row r="57">
          <cell r="AE57">
            <v>17490000</v>
          </cell>
        </row>
        <row r="58">
          <cell r="AE58">
            <v>6215000</v>
          </cell>
        </row>
        <row r="59">
          <cell r="AE59">
            <v>18324000</v>
          </cell>
        </row>
        <row r="60">
          <cell r="AE60">
            <v>21250000</v>
          </cell>
        </row>
        <row r="61">
          <cell r="AE61">
            <v>2500000</v>
          </cell>
        </row>
        <row r="62">
          <cell r="AE62">
            <v>21655000</v>
          </cell>
        </row>
        <row r="63">
          <cell r="AE63">
            <v>5826000</v>
          </cell>
        </row>
        <row r="64">
          <cell r="AE64">
            <v>19992000</v>
          </cell>
        </row>
        <row r="65">
          <cell r="AE65">
            <v>2915700</v>
          </cell>
        </row>
        <row r="66">
          <cell r="AE66">
            <v>4572500</v>
          </cell>
        </row>
        <row r="67">
          <cell r="AE67">
            <v>13749000</v>
          </cell>
        </row>
        <row r="68">
          <cell r="AE68">
            <v>13749000</v>
          </cell>
        </row>
        <row r="69">
          <cell r="AE69">
            <v>27498000</v>
          </cell>
        </row>
        <row r="70">
          <cell r="AE70">
            <v>14154000</v>
          </cell>
        </row>
        <row r="71">
          <cell r="AE71">
            <v>25830000</v>
          </cell>
        </row>
        <row r="72">
          <cell r="AE72">
            <v>16108000</v>
          </cell>
        </row>
        <row r="73">
          <cell r="AE73">
            <v>7494000</v>
          </cell>
        </row>
        <row r="74">
          <cell r="AE74">
            <v>12915000</v>
          </cell>
        </row>
        <row r="75">
          <cell r="AE75">
            <v>5625000</v>
          </cell>
        </row>
        <row r="76">
          <cell r="AE76">
            <v>8749000</v>
          </cell>
        </row>
        <row r="77">
          <cell r="AE77">
            <v>5825000</v>
          </cell>
        </row>
        <row r="78">
          <cell r="AE78">
            <v>7489500</v>
          </cell>
        </row>
        <row r="79">
          <cell r="AE79">
            <v>1243000</v>
          </cell>
        </row>
        <row r="80">
          <cell r="AE80">
            <v>832200</v>
          </cell>
        </row>
        <row r="81">
          <cell r="AE81">
            <v>11660000</v>
          </cell>
        </row>
        <row r="82">
          <cell r="AE82">
            <v>12500000</v>
          </cell>
        </row>
        <row r="83">
          <cell r="AE83">
            <v>7215000</v>
          </cell>
        </row>
        <row r="84">
          <cell r="AE84">
            <v>6242500</v>
          </cell>
        </row>
        <row r="85">
          <cell r="AE85">
            <v>12500000</v>
          </cell>
        </row>
        <row r="86">
          <cell r="AE86">
            <v>4162000</v>
          </cell>
        </row>
        <row r="87">
          <cell r="AE87">
            <v>19260000</v>
          </cell>
        </row>
        <row r="88">
          <cell r="AE88">
            <v>10825000</v>
          </cell>
        </row>
        <row r="89">
          <cell r="AE89">
            <v>10407500</v>
          </cell>
        </row>
        <row r="90">
          <cell r="AE90">
            <v>7498000</v>
          </cell>
        </row>
        <row r="91">
          <cell r="AE91">
            <v>4162000</v>
          </cell>
        </row>
        <row r="92">
          <cell r="AE92">
            <v>1660000</v>
          </cell>
        </row>
        <row r="93">
          <cell r="AE93">
            <v>12081000</v>
          </cell>
        </row>
        <row r="94">
          <cell r="AE94">
            <v>3324000</v>
          </cell>
        </row>
        <row r="95">
          <cell r="AE95">
            <v>8328000</v>
          </cell>
        </row>
        <row r="96">
          <cell r="AE96">
            <v>2500000</v>
          </cell>
        </row>
        <row r="97">
          <cell r="AE97">
            <v>14583000</v>
          </cell>
        </row>
        <row r="98">
          <cell r="AE98">
            <v>13000000</v>
          </cell>
        </row>
        <row r="99">
          <cell r="AE99">
            <v>9166000</v>
          </cell>
        </row>
        <row r="100">
          <cell r="AE100">
            <v>7498000</v>
          </cell>
        </row>
        <row r="101">
          <cell r="AE101">
            <v>3745000</v>
          </cell>
        </row>
        <row r="102">
          <cell r="AE102">
            <v>11660000</v>
          </cell>
        </row>
        <row r="103">
          <cell r="AE103">
            <v>12915000</v>
          </cell>
        </row>
        <row r="104">
          <cell r="AE104">
            <v>8745000</v>
          </cell>
        </row>
        <row r="105">
          <cell r="AE105">
            <v>2500000</v>
          </cell>
        </row>
        <row r="106">
          <cell r="AE106">
            <v>138500</v>
          </cell>
        </row>
        <row r="107">
          <cell r="AE107">
            <v>8888000</v>
          </cell>
        </row>
        <row r="108">
          <cell r="AE108">
            <v>9166000</v>
          </cell>
        </row>
        <row r="109">
          <cell r="AE109">
            <v>13198186</v>
          </cell>
        </row>
        <row r="110">
          <cell r="AE110">
            <v>3324000</v>
          </cell>
        </row>
        <row r="111">
          <cell r="AE111">
            <v>14166000</v>
          </cell>
        </row>
        <row r="112">
          <cell r="AE112">
            <v>1660000</v>
          </cell>
        </row>
        <row r="113">
          <cell r="AE113">
            <v>7498000</v>
          </cell>
        </row>
        <row r="114">
          <cell r="AE114">
            <v>11242500</v>
          </cell>
        </row>
        <row r="115">
          <cell r="AE115">
            <v>6660000</v>
          </cell>
        </row>
        <row r="116">
          <cell r="AE116">
            <v>6108000</v>
          </cell>
        </row>
        <row r="117">
          <cell r="AE117">
            <v>6658000</v>
          </cell>
        </row>
        <row r="118">
          <cell r="AE118">
            <v>6660000</v>
          </cell>
        </row>
        <row r="119">
          <cell r="AE119">
            <v>9583000</v>
          </cell>
        </row>
        <row r="120">
          <cell r="AE120">
            <v>5830000</v>
          </cell>
        </row>
        <row r="121">
          <cell r="AE121">
            <v>3000000</v>
          </cell>
        </row>
        <row r="122">
          <cell r="AE122">
            <v>2498000</v>
          </cell>
        </row>
        <row r="123">
          <cell r="AE123">
            <v>8500000</v>
          </cell>
        </row>
        <row r="124">
          <cell r="AE124">
            <v>1243000</v>
          </cell>
        </row>
        <row r="125">
          <cell r="AE125">
            <v>6660000</v>
          </cell>
        </row>
        <row r="126">
          <cell r="AE126">
            <v>300000</v>
          </cell>
        </row>
        <row r="127">
          <cell r="AE127">
            <v>2077000</v>
          </cell>
        </row>
        <row r="128">
          <cell r="AE128">
            <v>8750000</v>
          </cell>
        </row>
        <row r="129">
          <cell r="AE129">
            <v>6658000</v>
          </cell>
        </row>
        <row r="130">
          <cell r="AE130">
            <v>828000</v>
          </cell>
        </row>
        <row r="131">
          <cell r="AE131">
            <v>4440000</v>
          </cell>
        </row>
        <row r="132">
          <cell r="AE132">
            <v>2077000</v>
          </cell>
        </row>
        <row r="133">
          <cell r="AE133">
            <v>11660000</v>
          </cell>
        </row>
        <row r="134">
          <cell r="AE134">
            <v>7500000</v>
          </cell>
        </row>
        <row r="135">
          <cell r="AE135">
            <v>7915000</v>
          </cell>
        </row>
        <row r="136">
          <cell r="AE136">
            <v>820500</v>
          </cell>
        </row>
        <row r="137">
          <cell r="AE137">
            <v>7498000</v>
          </cell>
        </row>
        <row r="138">
          <cell r="AE138">
            <v>5407500</v>
          </cell>
        </row>
        <row r="139">
          <cell r="AE139">
            <v>15110000</v>
          </cell>
        </row>
        <row r="141">
          <cell r="AE141">
            <v>18750000</v>
          </cell>
        </row>
        <row r="142">
          <cell r="AE142">
            <v>19158000</v>
          </cell>
        </row>
        <row r="143">
          <cell r="AE143">
            <v>12486000</v>
          </cell>
        </row>
        <row r="144">
          <cell r="AE144">
            <v>5554400</v>
          </cell>
        </row>
        <row r="145">
          <cell r="AE145">
            <v>16250000</v>
          </cell>
        </row>
        <row r="146">
          <cell r="AE146">
            <v>25830000</v>
          </cell>
        </row>
        <row r="147">
          <cell r="AE147">
            <v>25830000</v>
          </cell>
        </row>
        <row r="148">
          <cell r="AE148">
            <v>4164600</v>
          </cell>
        </row>
        <row r="149">
          <cell r="AE149">
            <v>11652000</v>
          </cell>
        </row>
        <row r="150">
          <cell r="AE150">
            <v>20000000</v>
          </cell>
        </row>
        <row r="151">
          <cell r="AE151">
            <v>16656000</v>
          </cell>
        </row>
        <row r="152">
          <cell r="AE152">
            <v>28332000</v>
          </cell>
        </row>
        <row r="153">
          <cell r="AE153">
            <v>13324000</v>
          </cell>
        </row>
        <row r="154">
          <cell r="AE154">
            <v>22489500</v>
          </cell>
        </row>
        <row r="155">
          <cell r="AE155">
            <v>25568138</v>
          </cell>
        </row>
        <row r="156">
          <cell r="AE156">
            <v>21655000</v>
          </cell>
        </row>
        <row r="157">
          <cell r="AE157">
            <v>4066850</v>
          </cell>
        </row>
        <row r="158">
          <cell r="AE158">
            <v>16951943</v>
          </cell>
        </row>
        <row r="159">
          <cell r="AE159">
            <v>11652000</v>
          </cell>
        </row>
        <row r="160">
          <cell r="AE160">
            <v>24996000</v>
          </cell>
        </row>
        <row r="161">
          <cell r="AE161">
            <v>27498000</v>
          </cell>
        </row>
        <row r="162">
          <cell r="AE162">
            <v>6655000</v>
          </cell>
        </row>
        <row r="163">
          <cell r="AE163">
            <v>6994500</v>
          </cell>
        </row>
        <row r="164">
          <cell r="AE164">
            <v>24162000</v>
          </cell>
        </row>
        <row r="165">
          <cell r="AE165">
            <v>20000000</v>
          </cell>
        </row>
        <row r="166">
          <cell r="AE166">
            <v>15000000</v>
          </cell>
        </row>
        <row r="167">
          <cell r="AE167">
            <v>6656000</v>
          </cell>
        </row>
        <row r="168">
          <cell r="AE168">
            <v>28332000</v>
          </cell>
        </row>
        <row r="169">
          <cell r="AE169">
            <v>11652000</v>
          </cell>
        </row>
        <row r="170">
          <cell r="AE170">
            <v>11250000</v>
          </cell>
        </row>
        <row r="171">
          <cell r="AE171">
            <v>23324000</v>
          </cell>
        </row>
        <row r="172">
          <cell r="AE172">
            <v>29166000</v>
          </cell>
        </row>
        <row r="173">
          <cell r="AE173">
            <v>29166000</v>
          </cell>
        </row>
        <row r="174">
          <cell r="AE174">
            <v>13185000</v>
          </cell>
        </row>
        <row r="175">
          <cell r="AE175">
            <v>23750000</v>
          </cell>
        </row>
        <row r="176">
          <cell r="AE176">
            <v>24996000</v>
          </cell>
        </row>
        <row r="177">
          <cell r="AE177">
            <v>28332000</v>
          </cell>
        </row>
        <row r="178">
          <cell r="AE178">
            <v>18332000</v>
          </cell>
        </row>
        <row r="179">
          <cell r="AE179">
            <v>23324000</v>
          </cell>
        </row>
        <row r="180">
          <cell r="AE180">
            <v>11250000</v>
          </cell>
        </row>
        <row r="181">
          <cell r="AE181">
            <v>986000</v>
          </cell>
        </row>
        <row r="182">
          <cell r="AE182">
            <v>7915000</v>
          </cell>
        </row>
        <row r="183">
          <cell r="AE183">
            <v>23750000</v>
          </cell>
        </row>
        <row r="184">
          <cell r="AE184">
            <v>19158000</v>
          </cell>
        </row>
        <row r="185">
          <cell r="AE185">
            <v>18324000</v>
          </cell>
        </row>
        <row r="186">
          <cell r="AE186">
            <v>20820500</v>
          </cell>
        </row>
        <row r="187">
          <cell r="AE187">
            <v>8329000</v>
          </cell>
        </row>
        <row r="188">
          <cell r="AE188">
            <v>3320000</v>
          </cell>
        </row>
        <row r="189">
          <cell r="AE189">
            <v>16656000</v>
          </cell>
        </row>
        <row r="190">
          <cell r="AE190">
            <v>29166000</v>
          </cell>
        </row>
        <row r="191">
          <cell r="AE191">
            <v>4162000</v>
          </cell>
        </row>
        <row r="192">
          <cell r="AE192">
            <v>2081500</v>
          </cell>
        </row>
        <row r="193">
          <cell r="AE193">
            <v>4471900</v>
          </cell>
        </row>
        <row r="194">
          <cell r="AE194">
            <v>28332000</v>
          </cell>
        </row>
        <row r="195">
          <cell r="AE195">
            <v>9990000</v>
          </cell>
        </row>
        <row r="196">
          <cell r="AE196">
            <v>23324000</v>
          </cell>
        </row>
        <row r="197">
          <cell r="AE197">
            <v>27498000</v>
          </cell>
        </row>
        <row r="198">
          <cell r="AE198">
            <v>20830000</v>
          </cell>
        </row>
        <row r="199">
          <cell r="AE199">
            <v>20991304</v>
          </cell>
        </row>
        <row r="200">
          <cell r="AE200">
            <v>25830000</v>
          </cell>
        </row>
        <row r="201">
          <cell r="AE201">
            <v>28332000</v>
          </cell>
        </row>
        <row r="202">
          <cell r="AE202">
            <v>4859500</v>
          </cell>
        </row>
        <row r="203">
          <cell r="AE203">
            <v>19158000</v>
          </cell>
        </row>
        <row r="205">
          <cell r="AE205">
            <v>25830000</v>
          </cell>
        </row>
        <row r="206">
          <cell r="AE206">
            <v>10000000</v>
          </cell>
        </row>
        <row r="207">
          <cell r="AE207">
            <v>13750000</v>
          </cell>
        </row>
        <row r="208">
          <cell r="AE208">
            <v>16656000</v>
          </cell>
        </row>
        <row r="209">
          <cell r="AE209">
            <v>17490000</v>
          </cell>
        </row>
        <row r="210">
          <cell r="AE210">
            <v>1234000</v>
          </cell>
        </row>
        <row r="211">
          <cell r="AE211">
            <v>3746000</v>
          </cell>
        </row>
        <row r="212">
          <cell r="AE212">
            <v>12765500</v>
          </cell>
        </row>
        <row r="213">
          <cell r="AE213">
            <v>24162000</v>
          </cell>
        </row>
        <row r="214">
          <cell r="AE214">
            <v>19992000</v>
          </cell>
        </row>
        <row r="215">
          <cell r="AE215">
            <v>8324000</v>
          </cell>
        </row>
        <row r="216">
          <cell r="AE216">
            <v>19158000</v>
          </cell>
        </row>
        <row r="217">
          <cell r="AE217">
            <v>6660000</v>
          </cell>
        </row>
        <row r="218">
          <cell r="AE218">
            <v>18324000</v>
          </cell>
        </row>
        <row r="219">
          <cell r="AE219">
            <v>28332000</v>
          </cell>
        </row>
        <row r="220">
          <cell r="AE220">
            <v>500000</v>
          </cell>
        </row>
        <row r="221">
          <cell r="AE221">
            <v>20000000</v>
          </cell>
        </row>
        <row r="222">
          <cell r="AE222">
            <v>13320000</v>
          </cell>
        </row>
        <row r="224">
          <cell r="AE224">
            <v>24162000</v>
          </cell>
        </row>
        <row r="225">
          <cell r="AE225">
            <v>5324000</v>
          </cell>
        </row>
        <row r="226">
          <cell r="AE226">
            <v>12772000</v>
          </cell>
        </row>
        <row r="227">
          <cell r="AE227">
            <v>18324000</v>
          </cell>
        </row>
        <row r="228">
          <cell r="AE228">
            <v>1160592</v>
          </cell>
        </row>
        <row r="229">
          <cell r="AE229">
            <v>12500000</v>
          </cell>
        </row>
        <row r="230">
          <cell r="AE230">
            <v>19158000</v>
          </cell>
        </row>
        <row r="231">
          <cell r="AE231">
            <v>20820500</v>
          </cell>
        </row>
        <row r="232">
          <cell r="AE232">
            <v>16656000</v>
          </cell>
        </row>
        <row r="233">
          <cell r="AE233">
            <v>17490000</v>
          </cell>
        </row>
        <row r="234">
          <cell r="AE234">
            <v>19158000</v>
          </cell>
        </row>
        <row r="235">
          <cell r="AE235">
            <v>27000000</v>
          </cell>
        </row>
        <row r="236">
          <cell r="AE236">
            <v>29166000</v>
          </cell>
        </row>
        <row r="237">
          <cell r="AE237">
            <v>6250000</v>
          </cell>
        </row>
        <row r="238">
          <cell r="AE238">
            <v>23324000</v>
          </cell>
        </row>
        <row r="239">
          <cell r="AE239">
            <v>7500000</v>
          </cell>
        </row>
        <row r="240">
          <cell r="AE240">
            <v>20820500</v>
          </cell>
        </row>
        <row r="241">
          <cell r="AE241">
            <v>11077757</v>
          </cell>
        </row>
        <row r="242">
          <cell r="AE242">
            <v>26040000</v>
          </cell>
        </row>
        <row r="243">
          <cell r="AE243">
            <v>18250000</v>
          </cell>
        </row>
        <row r="244">
          <cell r="AE244">
            <v>21655000</v>
          </cell>
        </row>
        <row r="245">
          <cell r="AE245">
            <v>2220800</v>
          </cell>
        </row>
        <row r="246">
          <cell r="AE246">
            <v>2776400</v>
          </cell>
        </row>
        <row r="247">
          <cell r="AE247">
            <v>27498000</v>
          </cell>
        </row>
        <row r="248">
          <cell r="AE248">
            <v>17999000</v>
          </cell>
        </row>
        <row r="249">
          <cell r="AE249">
            <v>20000000</v>
          </cell>
        </row>
        <row r="250">
          <cell r="AE250">
            <v>13750000</v>
          </cell>
        </row>
        <row r="251">
          <cell r="AE251">
            <v>13750000</v>
          </cell>
        </row>
        <row r="252">
          <cell r="AE252">
            <v>12498000</v>
          </cell>
        </row>
        <row r="253">
          <cell r="AE253">
            <v>18740500</v>
          </cell>
        </row>
        <row r="254">
          <cell r="AE254">
            <v>23324000</v>
          </cell>
        </row>
        <row r="255">
          <cell r="AE255">
            <v>7495500</v>
          </cell>
        </row>
        <row r="256">
          <cell r="AE256">
            <v>15000000</v>
          </cell>
        </row>
        <row r="257">
          <cell r="AE257">
            <v>16656000</v>
          </cell>
        </row>
        <row r="258">
          <cell r="AE258">
            <v>3955000</v>
          </cell>
        </row>
        <row r="259">
          <cell r="AE259">
            <v>14162000</v>
          </cell>
        </row>
        <row r="260">
          <cell r="AE260">
            <v>3000000</v>
          </cell>
        </row>
        <row r="261">
          <cell r="AE261">
            <v>23324000</v>
          </cell>
        </row>
        <row r="262">
          <cell r="AE262">
            <v>5250000</v>
          </cell>
        </row>
        <row r="263">
          <cell r="AE263">
            <v>25830000</v>
          </cell>
        </row>
        <row r="264">
          <cell r="AE264">
            <v>4164600</v>
          </cell>
        </row>
        <row r="265">
          <cell r="AE265">
            <v>22489500</v>
          </cell>
        </row>
        <row r="266">
          <cell r="AE266">
            <v>22489500</v>
          </cell>
        </row>
        <row r="267">
          <cell r="AE267">
            <v>26250000</v>
          </cell>
        </row>
        <row r="268">
          <cell r="AE268">
            <v>16800000</v>
          </cell>
        </row>
        <row r="269">
          <cell r="AE269">
            <v>29166000</v>
          </cell>
        </row>
        <row r="270">
          <cell r="AE270">
            <v>829500</v>
          </cell>
        </row>
        <row r="271">
          <cell r="AE271">
            <v>25205500</v>
          </cell>
        </row>
        <row r="272">
          <cell r="AE272">
            <v>20663000</v>
          </cell>
        </row>
        <row r="273">
          <cell r="AE273">
            <v>8324000</v>
          </cell>
        </row>
        <row r="274">
          <cell r="AE274">
            <v>2489500</v>
          </cell>
        </row>
        <row r="275">
          <cell r="AE275">
            <v>8888000</v>
          </cell>
        </row>
        <row r="276">
          <cell r="AE276">
            <v>27498000</v>
          </cell>
        </row>
        <row r="277">
          <cell r="AE277">
            <v>20820500</v>
          </cell>
        </row>
        <row r="278">
          <cell r="AE278">
            <v>831000</v>
          </cell>
        </row>
        <row r="279">
          <cell r="AE279">
            <v>831000</v>
          </cell>
        </row>
        <row r="280">
          <cell r="AE280">
            <v>829500</v>
          </cell>
        </row>
        <row r="281">
          <cell r="AE281">
            <v>24162000</v>
          </cell>
        </row>
        <row r="282">
          <cell r="AE282">
            <v>3750000</v>
          </cell>
        </row>
        <row r="283">
          <cell r="AE283">
            <v>26664000</v>
          </cell>
        </row>
        <row r="284">
          <cell r="AE284">
            <v>22489500</v>
          </cell>
        </row>
        <row r="285">
          <cell r="AE285">
            <v>20820500</v>
          </cell>
        </row>
        <row r="286">
          <cell r="AE286">
            <v>27498000</v>
          </cell>
        </row>
        <row r="287">
          <cell r="AE287">
            <v>10820500</v>
          </cell>
        </row>
        <row r="288">
          <cell r="AE288">
            <v>8332000</v>
          </cell>
        </row>
        <row r="289">
          <cell r="AE289">
            <v>4164600</v>
          </cell>
        </row>
        <row r="290">
          <cell r="AE290">
            <v>24996000</v>
          </cell>
        </row>
        <row r="291">
          <cell r="AE291">
            <v>15830000</v>
          </cell>
        </row>
        <row r="292">
          <cell r="AE292">
            <v>14988000</v>
          </cell>
        </row>
        <row r="293">
          <cell r="AE293">
            <v>28332000</v>
          </cell>
        </row>
        <row r="294">
          <cell r="AE294">
            <v>15822000</v>
          </cell>
        </row>
        <row r="295">
          <cell r="AE295">
            <v>19158000</v>
          </cell>
        </row>
        <row r="296">
          <cell r="AE296">
            <v>9996000</v>
          </cell>
        </row>
        <row r="297">
          <cell r="AE297">
            <v>25830000</v>
          </cell>
        </row>
        <row r="298">
          <cell r="AE298">
            <v>11652000</v>
          </cell>
        </row>
        <row r="299">
          <cell r="AE299">
            <v>23750000</v>
          </cell>
        </row>
        <row r="300">
          <cell r="AE300">
            <v>1250000</v>
          </cell>
        </row>
        <row r="301">
          <cell r="AE301">
            <v>26664000</v>
          </cell>
        </row>
        <row r="302">
          <cell r="AE302">
            <v>22489500</v>
          </cell>
        </row>
        <row r="303">
          <cell r="AE303">
            <v>24996000</v>
          </cell>
        </row>
        <row r="304">
          <cell r="AE304">
            <v>20820500</v>
          </cell>
        </row>
        <row r="305">
          <cell r="AE305">
            <v>28332000</v>
          </cell>
        </row>
        <row r="306">
          <cell r="AE306">
            <v>26664000</v>
          </cell>
        </row>
        <row r="307">
          <cell r="AE307">
            <v>28332000</v>
          </cell>
        </row>
        <row r="308">
          <cell r="AE308">
            <v>12915000</v>
          </cell>
        </row>
        <row r="309">
          <cell r="AE309">
            <v>20000000</v>
          </cell>
        </row>
        <row r="310">
          <cell r="AE310">
            <v>23324000</v>
          </cell>
        </row>
        <row r="311">
          <cell r="AE311">
            <v>24996000</v>
          </cell>
        </row>
        <row r="312">
          <cell r="AE312">
            <v>25830000</v>
          </cell>
        </row>
        <row r="313">
          <cell r="AE313">
            <v>9990000</v>
          </cell>
        </row>
        <row r="314">
          <cell r="AE314">
            <v>15822000</v>
          </cell>
        </row>
        <row r="315">
          <cell r="AE315">
            <v>22489500</v>
          </cell>
        </row>
        <row r="316">
          <cell r="AE316">
            <v>21655000</v>
          </cell>
        </row>
        <row r="318">
          <cell r="AE318">
            <v>24996000</v>
          </cell>
        </row>
        <row r="319">
          <cell r="AE319">
            <v>16656000</v>
          </cell>
        </row>
        <row r="320">
          <cell r="AE320">
            <v>24162000</v>
          </cell>
        </row>
        <row r="321">
          <cell r="AE321">
            <v>5415900</v>
          </cell>
        </row>
        <row r="322">
          <cell r="AE322">
            <v>26664000</v>
          </cell>
        </row>
        <row r="323">
          <cell r="AE323">
            <v>9996000</v>
          </cell>
        </row>
        <row r="324">
          <cell r="AE324">
            <v>11250000</v>
          </cell>
        </row>
        <row r="325">
          <cell r="AE325">
            <v>15822000</v>
          </cell>
        </row>
        <row r="326">
          <cell r="AE326">
            <v>8332000</v>
          </cell>
        </row>
        <row r="327">
          <cell r="AE327">
            <v>4995000</v>
          </cell>
        </row>
        <row r="328">
          <cell r="AE328">
            <v>27498000</v>
          </cell>
        </row>
        <row r="329">
          <cell r="AE329">
            <v>1750000</v>
          </cell>
        </row>
        <row r="330">
          <cell r="AE330">
            <v>2250000</v>
          </cell>
        </row>
        <row r="331">
          <cell r="AE331">
            <v>7081000</v>
          </cell>
        </row>
        <row r="332">
          <cell r="AE332">
            <v>15822000</v>
          </cell>
        </row>
        <row r="333">
          <cell r="AE333">
            <v>8054000</v>
          </cell>
        </row>
        <row r="334">
          <cell r="AE334">
            <v>8331000</v>
          </cell>
        </row>
        <row r="335">
          <cell r="AE335">
            <v>23750000</v>
          </cell>
        </row>
        <row r="336">
          <cell r="AE336">
            <v>12486000</v>
          </cell>
        </row>
        <row r="337">
          <cell r="AE337">
            <v>1499000</v>
          </cell>
        </row>
        <row r="338">
          <cell r="AE338">
            <v>24082000</v>
          </cell>
        </row>
        <row r="339">
          <cell r="AE339">
            <v>14575000</v>
          </cell>
        </row>
        <row r="340">
          <cell r="AE340">
            <v>14988000</v>
          </cell>
        </row>
        <row r="341">
          <cell r="AE341">
            <v>12915000</v>
          </cell>
        </row>
        <row r="342">
          <cell r="AE342">
            <v>24162000</v>
          </cell>
        </row>
        <row r="343">
          <cell r="AE343">
            <v>25830000</v>
          </cell>
        </row>
        <row r="344">
          <cell r="AE344">
            <v>24996000</v>
          </cell>
        </row>
        <row r="345">
          <cell r="AE345">
            <v>23324000</v>
          </cell>
        </row>
        <row r="346">
          <cell r="AE346">
            <v>20820500</v>
          </cell>
        </row>
        <row r="347">
          <cell r="AE347">
            <v>17490000</v>
          </cell>
        </row>
        <row r="348">
          <cell r="AE348">
            <v>4995000</v>
          </cell>
        </row>
        <row r="349">
          <cell r="AE349">
            <v>9162500</v>
          </cell>
        </row>
        <row r="350">
          <cell r="AE350">
            <v>1717400</v>
          </cell>
        </row>
        <row r="351">
          <cell r="AE351">
            <v>21655000</v>
          </cell>
        </row>
        <row r="352">
          <cell r="AE352">
            <v>9000000</v>
          </cell>
        </row>
        <row r="353">
          <cell r="AE353">
            <v>21250000</v>
          </cell>
        </row>
        <row r="354">
          <cell r="AE354">
            <v>27498000</v>
          </cell>
        </row>
        <row r="355">
          <cell r="AE355">
            <v>4823946</v>
          </cell>
        </row>
        <row r="356">
          <cell r="AE356">
            <v>12382605</v>
          </cell>
        </row>
        <row r="357">
          <cell r="AE357">
            <v>19992000</v>
          </cell>
        </row>
        <row r="358">
          <cell r="AE358">
            <v>21250000</v>
          </cell>
        </row>
        <row r="359">
          <cell r="AE359">
            <v>4000000</v>
          </cell>
        </row>
        <row r="360">
          <cell r="AE360">
            <v>21655000</v>
          </cell>
        </row>
        <row r="361">
          <cell r="AE361">
            <v>5828500</v>
          </cell>
        </row>
        <row r="362">
          <cell r="AE362">
            <v>11875000</v>
          </cell>
        </row>
        <row r="363">
          <cell r="AE363">
            <v>19992000</v>
          </cell>
        </row>
        <row r="364">
          <cell r="AE364">
            <v>15822000</v>
          </cell>
        </row>
        <row r="365">
          <cell r="AE365">
            <v>11100000</v>
          </cell>
        </row>
        <row r="366">
          <cell r="AE366">
            <v>19696240</v>
          </cell>
        </row>
        <row r="367">
          <cell r="AE367">
            <v>24162000</v>
          </cell>
        </row>
        <row r="368">
          <cell r="AE368">
            <v>16656000</v>
          </cell>
        </row>
        <row r="369">
          <cell r="AE369">
            <v>7495500</v>
          </cell>
        </row>
        <row r="370">
          <cell r="AE370">
            <v>20832000</v>
          </cell>
        </row>
        <row r="371">
          <cell r="AE371">
            <v>12486000</v>
          </cell>
        </row>
        <row r="372">
          <cell r="AE372">
            <v>14154000</v>
          </cell>
        </row>
        <row r="373">
          <cell r="AE373">
            <v>25000000</v>
          </cell>
        </row>
        <row r="374">
          <cell r="AE374">
            <v>18324000</v>
          </cell>
        </row>
        <row r="375">
          <cell r="AE375">
            <v>4161500</v>
          </cell>
        </row>
        <row r="376">
          <cell r="AE376">
            <v>4443200</v>
          </cell>
        </row>
        <row r="377">
          <cell r="AE377">
            <v>3749000</v>
          </cell>
        </row>
        <row r="378">
          <cell r="AE378">
            <v>23324000</v>
          </cell>
        </row>
        <row r="379">
          <cell r="AE379">
            <v>13320000</v>
          </cell>
        </row>
        <row r="380">
          <cell r="AE380">
            <v>23324000</v>
          </cell>
        </row>
        <row r="381">
          <cell r="AE381">
            <v>25830000</v>
          </cell>
        </row>
        <row r="382">
          <cell r="AE382">
            <v>29166000</v>
          </cell>
        </row>
        <row r="383">
          <cell r="AE383">
            <v>1184000</v>
          </cell>
        </row>
        <row r="384">
          <cell r="AE384">
            <v>5828500</v>
          </cell>
        </row>
        <row r="385">
          <cell r="AE385">
            <v>21655000</v>
          </cell>
        </row>
        <row r="386">
          <cell r="AE386">
            <v>25830000</v>
          </cell>
        </row>
        <row r="387">
          <cell r="AE387">
            <v>19158000</v>
          </cell>
        </row>
        <row r="388">
          <cell r="AE388">
            <v>8125000</v>
          </cell>
        </row>
        <row r="389">
          <cell r="AE389">
            <v>29660000</v>
          </cell>
        </row>
        <row r="390">
          <cell r="AE390">
            <v>18750000</v>
          </cell>
        </row>
        <row r="392">
          <cell r="AE392">
            <v>19158000</v>
          </cell>
        </row>
        <row r="393">
          <cell r="AE393">
            <v>25830000</v>
          </cell>
        </row>
        <row r="394">
          <cell r="AE394">
            <v>14988000</v>
          </cell>
        </row>
        <row r="395">
          <cell r="AE395">
            <v>16250000</v>
          </cell>
        </row>
        <row r="396">
          <cell r="AE396">
            <v>28332000</v>
          </cell>
        </row>
        <row r="397">
          <cell r="AE397">
            <v>14988000</v>
          </cell>
        </row>
        <row r="398">
          <cell r="AE398">
            <v>16656000</v>
          </cell>
        </row>
        <row r="399">
          <cell r="AE399">
            <v>12486000</v>
          </cell>
        </row>
        <row r="400">
          <cell r="AE400">
            <v>647960</v>
          </cell>
        </row>
        <row r="401">
          <cell r="AE401">
            <v>24996000</v>
          </cell>
        </row>
        <row r="402">
          <cell r="AE402">
            <v>22489500</v>
          </cell>
        </row>
        <row r="403">
          <cell r="AE403">
            <v>6656000</v>
          </cell>
        </row>
        <row r="404">
          <cell r="AE404">
            <v>21655000</v>
          </cell>
        </row>
        <row r="405">
          <cell r="AE405">
            <v>11652000</v>
          </cell>
        </row>
        <row r="406">
          <cell r="AE406">
            <v>25830000</v>
          </cell>
        </row>
        <row r="407">
          <cell r="AE407">
            <v>17494000</v>
          </cell>
        </row>
        <row r="408">
          <cell r="AE408">
            <v>9990000</v>
          </cell>
        </row>
        <row r="409">
          <cell r="AE409">
            <v>4995000</v>
          </cell>
        </row>
        <row r="410">
          <cell r="AE410">
            <v>20820500</v>
          </cell>
        </row>
        <row r="411">
          <cell r="AE411">
            <v>24162000</v>
          </cell>
        </row>
        <row r="412">
          <cell r="AE412">
            <v>14375000</v>
          </cell>
        </row>
        <row r="413">
          <cell r="AE413">
            <v>9166500</v>
          </cell>
        </row>
        <row r="414">
          <cell r="AE414">
            <v>28750000</v>
          </cell>
        </row>
        <row r="415">
          <cell r="AE415">
            <v>18571428</v>
          </cell>
        </row>
        <row r="416">
          <cell r="AE416">
            <v>9722222</v>
          </cell>
        </row>
        <row r="417">
          <cell r="AE417">
            <v>1800000</v>
          </cell>
        </row>
        <row r="418">
          <cell r="AE418">
            <v>2500000</v>
          </cell>
        </row>
        <row r="419">
          <cell r="AE419">
            <v>20204800</v>
          </cell>
        </row>
        <row r="420">
          <cell r="AE420">
            <v>29166500</v>
          </cell>
        </row>
        <row r="421">
          <cell r="AE421">
            <v>24305500</v>
          </cell>
        </row>
        <row r="422">
          <cell r="AE422">
            <v>29166500</v>
          </cell>
        </row>
        <row r="423">
          <cell r="AE423">
            <v>30000000</v>
          </cell>
        </row>
        <row r="424">
          <cell r="AE424">
            <v>30000000</v>
          </cell>
        </row>
        <row r="425">
          <cell r="AE425">
            <v>20000000</v>
          </cell>
        </row>
        <row r="426">
          <cell r="AE426">
            <v>30000000</v>
          </cell>
        </row>
        <row r="427">
          <cell r="AE427">
            <v>7000000</v>
          </cell>
        </row>
        <row r="428">
          <cell r="AE428">
            <v>0</v>
          </cell>
        </row>
        <row r="429">
          <cell r="AE429">
            <v>5963013671</v>
          </cell>
        </row>
        <row r="430">
          <cell r="AE430">
            <v>5963013671</v>
          </cell>
        </row>
        <row r="431">
          <cell r="AE431">
            <v>0</v>
          </cell>
        </row>
        <row r="432">
          <cell r="AE432">
            <v>0</v>
          </cell>
        </row>
      </sheetData>
      <sheetData sheetId="3">
        <row r="17">
          <cell r="J17">
            <v>167</v>
          </cell>
        </row>
      </sheetData>
      <sheetData sheetId="4">
        <row r="9">
          <cell r="AF9">
            <v>345585</v>
          </cell>
        </row>
      </sheetData>
      <sheetData sheetId="5">
        <row r="81">
          <cell r="F81">
            <v>451153500</v>
          </cell>
        </row>
      </sheetData>
      <sheetData sheetId="6">
        <row r="12">
          <cell r="AA12">
            <v>462000</v>
          </cell>
        </row>
      </sheetData>
      <sheetData sheetId="7">
        <row r="10">
          <cell r="I10">
            <v>4</v>
          </cell>
        </row>
      </sheetData>
      <sheetData sheetId="8"/>
      <sheetData sheetId="9"/>
      <sheetData sheetId="10"/>
      <sheetData sheetId="11">
        <row r="127">
          <cell r="E127">
            <v>8962954</v>
          </cell>
        </row>
      </sheetData>
      <sheetData sheetId="12">
        <row r="38">
          <cell r="Z38">
            <v>23280</v>
          </cell>
        </row>
        <row r="39">
          <cell r="Z39">
            <v>90000</v>
          </cell>
        </row>
        <row r="40">
          <cell r="Z40">
            <v>66660</v>
          </cell>
        </row>
        <row r="41">
          <cell r="Z41">
            <v>90000</v>
          </cell>
        </row>
        <row r="42">
          <cell r="Z42">
            <v>66660</v>
          </cell>
        </row>
        <row r="43">
          <cell r="Z43">
            <v>90000</v>
          </cell>
        </row>
        <row r="44">
          <cell r="Z44">
            <v>90000</v>
          </cell>
        </row>
        <row r="45">
          <cell r="Z45">
            <v>66660</v>
          </cell>
        </row>
        <row r="46">
          <cell r="Z46">
            <v>90000</v>
          </cell>
        </row>
        <row r="47">
          <cell r="Z47">
            <v>66660</v>
          </cell>
        </row>
        <row r="48">
          <cell r="Z48">
            <v>90000</v>
          </cell>
        </row>
        <row r="49">
          <cell r="Z49">
            <v>66660</v>
          </cell>
        </row>
        <row r="50">
          <cell r="Z50">
            <v>90000</v>
          </cell>
        </row>
        <row r="51">
          <cell r="Z51">
            <v>66660</v>
          </cell>
        </row>
        <row r="52">
          <cell r="Z52">
            <v>90000</v>
          </cell>
        </row>
        <row r="53">
          <cell r="Z53">
            <v>90000</v>
          </cell>
        </row>
        <row r="54">
          <cell r="Z54">
            <v>66660</v>
          </cell>
        </row>
        <row r="55">
          <cell r="Z55">
            <v>66660</v>
          </cell>
        </row>
        <row r="56">
          <cell r="Z56">
            <v>90000</v>
          </cell>
        </row>
        <row r="57">
          <cell r="Z57">
            <v>66660</v>
          </cell>
        </row>
        <row r="58">
          <cell r="Z58">
            <v>90000</v>
          </cell>
        </row>
        <row r="59">
          <cell r="Z59">
            <v>90000</v>
          </cell>
        </row>
        <row r="60">
          <cell r="Z60">
            <v>66660</v>
          </cell>
        </row>
        <row r="61">
          <cell r="Z61">
            <v>66660</v>
          </cell>
        </row>
        <row r="62">
          <cell r="Z62">
            <v>66660</v>
          </cell>
        </row>
        <row r="63">
          <cell r="Z63">
            <v>90000</v>
          </cell>
        </row>
        <row r="64">
          <cell r="Z64">
            <v>269820</v>
          </cell>
        </row>
        <row r="65">
          <cell r="Z65">
            <v>84000</v>
          </cell>
        </row>
        <row r="66">
          <cell r="Z66">
            <v>24000</v>
          </cell>
        </row>
        <row r="67">
          <cell r="Z67">
            <v>24000</v>
          </cell>
        </row>
        <row r="68">
          <cell r="Z68">
            <v>24000</v>
          </cell>
        </row>
        <row r="69">
          <cell r="Z69">
            <v>60000</v>
          </cell>
        </row>
        <row r="70">
          <cell r="Z70">
            <v>60000</v>
          </cell>
        </row>
        <row r="71">
          <cell r="Z71">
            <v>60000</v>
          </cell>
        </row>
        <row r="72">
          <cell r="Z72">
            <v>60000</v>
          </cell>
        </row>
        <row r="73">
          <cell r="Z73">
            <v>60000</v>
          </cell>
        </row>
        <row r="74">
          <cell r="Z74">
            <v>60000</v>
          </cell>
        </row>
        <row r="75">
          <cell r="Z75">
            <v>60000</v>
          </cell>
        </row>
        <row r="76">
          <cell r="Z76">
            <v>60000</v>
          </cell>
        </row>
        <row r="77">
          <cell r="Z77">
            <v>60000</v>
          </cell>
        </row>
        <row r="78">
          <cell r="Z78">
            <v>60000</v>
          </cell>
        </row>
        <row r="79">
          <cell r="Z79">
            <v>60000</v>
          </cell>
        </row>
        <row r="80">
          <cell r="Z80">
            <v>60000</v>
          </cell>
        </row>
        <row r="81">
          <cell r="Z81">
            <v>60000</v>
          </cell>
        </row>
        <row r="82">
          <cell r="Z82">
            <v>60000</v>
          </cell>
        </row>
        <row r="83">
          <cell r="Z83">
            <v>60000</v>
          </cell>
        </row>
        <row r="84">
          <cell r="Z84">
            <v>60000</v>
          </cell>
        </row>
        <row r="85">
          <cell r="Z85">
            <v>30000</v>
          </cell>
        </row>
        <row r="86">
          <cell r="Z86">
            <v>60000</v>
          </cell>
        </row>
        <row r="87">
          <cell r="Z87">
            <v>60000</v>
          </cell>
        </row>
        <row r="88">
          <cell r="Z88">
            <v>60000</v>
          </cell>
        </row>
        <row r="89">
          <cell r="Z89">
            <v>30000</v>
          </cell>
        </row>
        <row r="90">
          <cell r="Z90">
            <v>60000</v>
          </cell>
        </row>
        <row r="91">
          <cell r="Z91">
            <v>30000</v>
          </cell>
        </row>
        <row r="92">
          <cell r="Z92">
            <v>60000</v>
          </cell>
        </row>
        <row r="93">
          <cell r="Z93">
            <v>30000</v>
          </cell>
        </row>
        <row r="94">
          <cell r="Z94">
            <v>60000</v>
          </cell>
        </row>
        <row r="95">
          <cell r="Z95">
            <v>30000</v>
          </cell>
        </row>
        <row r="96">
          <cell r="Z96">
            <v>60000</v>
          </cell>
        </row>
        <row r="97">
          <cell r="Z97">
            <v>30000</v>
          </cell>
        </row>
        <row r="98">
          <cell r="Z98">
            <v>60000</v>
          </cell>
        </row>
        <row r="99">
          <cell r="Z99">
            <v>48000</v>
          </cell>
        </row>
        <row r="100">
          <cell r="Z100">
            <v>48000</v>
          </cell>
        </row>
        <row r="101">
          <cell r="Z101">
            <v>201934</v>
          </cell>
        </row>
        <row r="102">
          <cell r="Z102">
            <v>48000</v>
          </cell>
        </row>
        <row r="103">
          <cell r="Z103">
            <v>12000</v>
          </cell>
        </row>
        <row r="104">
          <cell r="Z104">
            <v>90000</v>
          </cell>
        </row>
        <row r="105">
          <cell r="Z105">
            <v>90000</v>
          </cell>
        </row>
        <row r="106">
          <cell r="Z106">
            <v>90000</v>
          </cell>
        </row>
        <row r="107">
          <cell r="Z107">
            <v>90000</v>
          </cell>
        </row>
        <row r="108">
          <cell r="Z108">
            <v>90000</v>
          </cell>
        </row>
        <row r="109">
          <cell r="Z109">
            <v>90000</v>
          </cell>
        </row>
        <row r="110">
          <cell r="Z110">
            <v>90000</v>
          </cell>
        </row>
        <row r="111">
          <cell r="Z111">
            <v>90000</v>
          </cell>
        </row>
        <row r="112">
          <cell r="Z112">
            <v>90000</v>
          </cell>
        </row>
        <row r="113">
          <cell r="Z113">
            <v>90000</v>
          </cell>
        </row>
        <row r="114">
          <cell r="Z114">
            <v>90000</v>
          </cell>
        </row>
        <row r="115">
          <cell r="Z115">
            <v>90000</v>
          </cell>
        </row>
        <row r="116">
          <cell r="Z116">
            <v>90000</v>
          </cell>
        </row>
        <row r="117">
          <cell r="Z117">
            <v>90000</v>
          </cell>
        </row>
        <row r="118">
          <cell r="Z118">
            <v>90000</v>
          </cell>
        </row>
        <row r="119">
          <cell r="Z119">
            <v>90000</v>
          </cell>
        </row>
        <row r="120">
          <cell r="Z120">
            <v>90000</v>
          </cell>
        </row>
        <row r="121">
          <cell r="Z121">
            <v>90000</v>
          </cell>
        </row>
        <row r="122">
          <cell r="Z122">
            <v>90000</v>
          </cell>
        </row>
        <row r="123">
          <cell r="Z123">
            <v>90000</v>
          </cell>
        </row>
        <row r="124">
          <cell r="Z124">
            <v>90000</v>
          </cell>
        </row>
        <row r="125">
          <cell r="Z125">
            <v>90000</v>
          </cell>
        </row>
        <row r="126">
          <cell r="Z126">
            <v>90000</v>
          </cell>
        </row>
        <row r="127">
          <cell r="Z127">
            <v>90000</v>
          </cell>
        </row>
        <row r="128">
          <cell r="Z128">
            <v>90000</v>
          </cell>
        </row>
        <row r="129">
          <cell r="Z129">
            <v>90000</v>
          </cell>
        </row>
        <row r="130">
          <cell r="Z130">
            <v>90000</v>
          </cell>
        </row>
        <row r="131">
          <cell r="Z131">
            <v>90000</v>
          </cell>
        </row>
        <row r="132">
          <cell r="Z132">
            <v>90000</v>
          </cell>
        </row>
        <row r="133">
          <cell r="Z133">
            <v>90000</v>
          </cell>
        </row>
        <row r="134">
          <cell r="Z134">
            <v>90000</v>
          </cell>
        </row>
        <row r="135">
          <cell r="Z135">
            <v>90000</v>
          </cell>
        </row>
        <row r="136">
          <cell r="Z136">
            <v>90000</v>
          </cell>
        </row>
        <row r="137">
          <cell r="Z137">
            <v>90000</v>
          </cell>
        </row>
        <row r="138">
          <cell r="Z138">
            <v>90000</v>
          </cell>
        </row>
        <row r="139">
          <cell r="Z139">
            <v>90000</v>
          </cell>
        </row>
        <row r="140">
          <cell r="Z140">
            <v>90000</v>
          </cell>
        </row>
        <row r="141">
          <cell r="Z141">
            <v>90000</v>
          </cell>
        </row>
        <row r="142">
          <cell r="Z142">
            <v>90000</v>
          </cell>
        </row>
        <row r="143">
          <cell r="Z143">
            <v>90000</v>
          </cell>
        </row>
        <row r="144">
          <cell r="Z144">
            <v>90000</v>
          </cell>
        </row>
        <row r="145">
          <cell r="Z145">
            <v>90000</v>
          </cell>
        </row>
        <row r="146">
          <cell r="Z146">
            <v>90000</v>
          </cell>
        </row>
        <row r="147">
          <cell r="Z147">
            <v>90000</v>
          </cell>
        </row>
        <row r="148">
          <cell r="Z148">
            <v>90000</v>
          </cell>
        </row>
        <row r="149">
          <cell r="Z149">
            <v>90000</v>
          </cell>
        </row>
        <row r="150">
          <cell r="Z150">
            <v>90000</v>
          </cell>
        </row>
        <row r="151">
          <cell r="Z151">
            <v>12000</v>
          </cell>
        </row>
        <row r="152">
          <cell r="Z152">
            <v>24000</v>
          </cell>
        </row>
        <row r="153">
          <cell r="Z153">
            <v>30000</v>
          </cell>
        </row>
        <row r="154">
          <cell r="Z154">
            <v>12000</v>
          </cell>
        </row>
        <row r="155">
          <cell r="Z155">
            <v>90000</v>
          </cell>
        </row>
        <row r="156">
          <cell r="Z156">
            <v>60000</v>
          </cell>
        </row>
        <row r="157">
          <cell r="Z157">
            <v>84000</v>
          </cell>
        </row>
        <row r="158">
          <cell r="Z158">
            <v>24000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J AWL N PEB2018"/>
      <sheetName val="NORM1"/>
      <sheetName val="NORM2"/>
      <sheetName val="LAIN N1"/>
      <sheetName val="LAIN N2"/>
      <sheetName val="BRG N1"/>
      <sheetName val="BRG N2"/>
      <sheetName val="DEND N1"/>
      <sheetName val="DEND N2"/>
      <sheetName val="DEND LAIN1"/>
      <sheetName val="DEND LAIN2"/>
      <sheetName val="BG N1"/>
      <sheetName val="BG N2"/>
      <sheetName val="BG LAIN 1"/>
      <sheetName val="BG LAIN 2"/>
      <sheetName val="PEL"/>
    </sheetNames>
    <sheetDataSet>
      <sheetData sheetId="0"/>
      <sheetData sheetId="1">
        <row r="417">
          <cell r="F417">
            <v>9364154288</v>
          </cell>
        </row>
      </sheetData>
      <sheetData sheetId="2"/>
      <sheetData sheetId="3">
        <row r="18">
          <cell r="G18">
            <v>152613625</v>
          </cell>
        </row>
      </sheetData>
      <sheetData sheetId="4"/>
      <sheetData sheetId="5"/>
      <sheetData sheetId="6"/>
      <sheetData sheetId="7">
        <row r="55">
          <cell r="E55">
            <v>7381228</v>
          </cell>
        </row>
      </sheetData>
      <sheetData sheetId="8">
        <row r="10">
          <cell r="Z10">
            <v>29812</v>
          </cell>
        </row>
        <row r="51">
          <cell r="Z51">
            <v>100000</v>
          </cell>
        </row>
        <row r="52">
          <cell r="Z52">
            <v>500000</v>
          </cell>
        </row>
        <row r="53">
          <cell r="Z53">
            <v>750000</v>
          </cell>
        </row>
        <row r="54">
          <cell r="Z54">
            <v>750000</v>
          </cell>
        </row>
      </sheetData>
      <sheetData sheetId="9"/>
      <sheetData sheetId="10"/>
      <sheetData sheetId="11">
        <row r="208">
          <cell r="E208">
            <v>15351501</v>
          </cell>
        </row>
      </sheetData>
      <sheetData sheetId="12">
        <row r="20">
          <cell r="Z20">
            <v>90000</v>
          </cell>
        </row>
      </sheetData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T awal NOR"/>
      <sheetName val="NOR"/>
      <sheetName val="NOR2"/>
      <sheetName val="LAIN&quot; 1"/>
      <sheetName val="LAIN&quot; 2"/>
      <sheetName val="ANGTRESIGN 1"/>
      <sheetName val="ANGTRESIGN 2"/>
      <sheetName val="brg"/>
      <sheetName val="brg 2"/>
      <sheetName val="DEND NORM 1"/>
      <sheetName val="DEND NORM 2"/>
      <sheetName val="DEND LAIN&quot;"/>
      <sheetName val="DEND LAIN&quot;2"/>
      <sheetName val="DEND_ANGTRESGN 1"/>
      <sheetName val="DEND_ANGTRESGN 2"/>
      <sheetName val="bg_NORM 1"/>
      <sheetName val="bg_NORM 2"/>
      <sheetName val="BG_LAIN&quot; 1"/>
      <sheetName val="BG_LAIN&quot; 2"/>
      <sheetName val="BG_ANGTRESGN 1"/>
      <sheetName val="BG_ANGTRESGN 2"/>
      <sheetName val="PEL NOP"/>
      <sheetName val="LUNS N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Z7">
            <v>61168</v>
          </cell>
        </row>
        <row r="8">
          <cell r="Z8">
            <v>61168</v>
          </cell>
        </row>
        <row r="9">
          <cell r="Z9">
            <v>61168</v>
          </cell>
        </row>
        <row r="10">
          <cell r="Z10">
            <v>61168</v>
          </cell>
        </row>
        <row r="11">
          <cell r="Z11">
            <v>61168</v>
          </cell>
        </row>
        <row r="12">
          <cell r="Z12">
            <v>61168</v>
          </cell>
        </row>
        <row r="13">
          <cell r="Z13">
            <v>61168</v>
          </cell>
        </row>
        <row r="14">
          <cell r="Z14">
            <v>61168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8">
          <cell r="Z8">
            <v>112065</v>
          </cell>
        </row>
        <row r="9">
          <cell r="Z9">
            <v>195000.00000000003</v>
          </cell>
        </row>
        <row r="10">
          <cell r="Z10">
            <v>195000.00000000003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9.5703125" bestFit="1" customWidth="1"/>
    <col min="2" max="2" width="28.7109375" style="44" bestFit="1" customWidth="1"/>
    <col min="3" max="3" width="7.85546875" style="44" bestFit="1" customWidth="1"/>
    <col min="4" max="4" width="10.28515625" style="44" bestFit="1" customWidth="1"/>
    <col min="5" max="5" width="11.5703125" bestFit="1" customWidth="1"/>
    <col min="6" max="6" width="21.5703125" bestFit="1" customWidth="1"/>
    <col min="7" max="7" width="16.85546875" bestFit="1" customWidth="1"/>
    <col min="8" max="9" width="14.5703125" bestFit="1" customWidth="1"/>
    <col min="10" max="11" width="8.7109375" bestFit="1" customWidth="1"/>
    <col min="12" max="12" width="14.5703125" bestFit="1" customWidth="1"/>
    <col min="13" max="14" width="16.85546875" bestFit="1" customWidth="1"/>
    <col min="15" max="15" width="20.7109375" bestFit="1" customWidth="1"/>
    <col min="16" max="16" width="27.85546875" bestFit="1" customWidth="1"/>
    <col min="17" max="17" width="15.7109375" bestFit="1" customWidth="1"/>
    <col min="18" max="18" width="12.42578125" bestFit="1" customWidth="1"/>
  </cols>
  <sheetData>
    <row r="1" spans="1:17" s="2" customFormat="1" ht="15.7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7"/>
      <c r="M1" s="7"/>
      <c r="N1" s="7"/>
      <c r="O1" s="9"/>
      <c r="P1" s="1"/>
    </row>
    <row r="2" spans="1:17" s="2" customFormat="1" ht="15.75">
      <c r="A2" s="10" t="s">
        <v>1828</v>
      </c>
      <c r="C2" s="3"/>
      <c r="D2" s="4"/>
      <c r="E2" s="4"/>
      <c r="F2" s="5"/>
      <c r="G2" s="11"/>
      <c r="H2" s="12"/>
      <c r="I2" s="12"/>
      <c r="J2" s="8"/>
      <c r="K2" s="3"/>
      <c r="L2" s="7"/>
      <c r="M2" s="7"/>
      <c r="N2" s="7"/>
      <c r="O2" s="9"/>
      <c r="P2" s="1"/>
    </row>
    <row r="3" spans="1:17" s="2" customFormat="1" ht="15.75">
      <c r="A3" s="13" t="s">
        <v>1</v>
      </c>
      <c r="B3" s="13" t="s">
        <v>2</v>
      </c>
      <c r="C3" s="13" t="s">
        <v>3</v>
      </c>
      <c r="D3" s="14" t="s">
        <v>1</v>
      </c>
      <c r="E3" s="14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3" t="s">
        <v>9</v>
      </c>
      <c r="K3" s="13" t="s">
        <v>10</v>
      </c>
      <c r="L3" s="15" t="s">
        <v>11</v>
      </c>
      <c r="M3" s="15" t="s">
        <v>12</v>
      </c>
      <c r="N3" s="15" t="s">
        <v>13</v>
      </c>
      <c r="O3" s="16" t="s">
        <v>14</v>
      </c>
      <c r="P3" s="13" t="s">
        <v>15</v>
      </c>
      <c r="Q3" s="17"/>
    </row>
    <row r="4" spans="1:17" s="2" customFormat="1" ht="15.75">
      <c r="A4" s="18"/>
      <c r="B4" s="18"/>
      <c r="C4" s="18"/>
      <c r="D4" s="19" t="s">
        <v>16</v>
      </c>
      <c r="E4" s="19" t="s">
        <v>17</v>
      </c>
      <c r="F4" s="20"/>
      <c r="G4" s="21" t="s">
        <v>5</v>
      </c>
      <c r="H4" s="21"/>
      <c r="I4" s="21"/>
      <c r="J4" s="18"/>
      <c r="K4" s="18" t="s">
        <v>18</v>
      </c>
      <c r="L4" s="21" t="s">
        <v>19</v>
      </c>
      <c r="M4" s="21" t="s">
        <v>8</v>
      </c>
      <c r="N4" s="21"/>
      <c r="O4" s="22"/>
      <c r="P4" s="23"/>
      <c r="Q4" s="24"/>
    </row>
    <row r="5" spans="1:17" s="35" customFormat="1" ht="15.75">
      <c r="A5" s="25">
        <v>1</v>
      </c>
      <c r="B5" s="26" t="s">
        <v>28</v>
      </c>
      <c r="C5" s="27" t="s">
        <v>29</v>
      </c>
      <c r="D5" s="28" t="s">
        <v>30</v>
      </c>
      <c r="E5" s="28">
        <v>43200</v>
      </c>
      <c r="F5" s="29">
        <f>1299405+32485+14951+5000000</f>
        <v>6346841</v>
      </c>
      <c r="G5" s="30">
        <f>+J5*L5</f>
        <v>8175600</v>
      </c>
      <c r="H5" s="31">
        <v>264488</v>
      </c>
      <c r="I5" s="31">
        <v>76162</v>
      </c>
      <c r="J5" s="32">
        <v>24</v>
      </c>
      <c r="K5" s="32">
        <v>24</v>
      </c>
      <c r="L5" s="30">
        <f>+H5+I5</f>
        <v>340650</v>
      </c>
      <c r="M5" s="30">
        <f>+K5*L5</f>
        <v>8175600</v>
      </c>
      <c r="N5" s="38">
        <f t="shared" ref="N5:N11" si="0">F5-(H5*0)</f>
        <v>6346841</v>
      </c>
      <c r="O5" s="34" t="s">
        <v>32</v>
      </c>
      <c r="P5" s="34" t="s">
        <v>31</v>
      </c>
      <c r="Q5" s="29">
        <f>+F5-N5</f>
        <v>0</v>
      </c>
    </row>
    <row r="6" spans="1:17" s="35" customFormat="1" ht="15.75">
      <c r="A6" s="36">
        <f t="shared" ref="A6:A11" si="1">+A5+1</f>
        <v>2</v>
      </c>
      <c r="B6" s="26" t="s">
        <v>33</v>
      </c>
      <c r="C6" s="27" t="s">
        <v>34</v>
      </c>
      <c r="D6" s="28" t="s">
        <v>35</v>
      </c>
      <c r="E6" s="28">
        <v>43196</v>
      </c>
      <c r="F6" s="37">
        <f>10000000</f>
        <v>10000000</v>
      </c>
      <c r="G6" s="30">
        <f t="shared" ref="G6:G8" si="2">+J6*L6</f>
        <v>12880800</v>
      </c>
      <c r="H6" s="31">
        <f>536700-I6</f>
        <v>416700</v>
      </c>
      <c r="I6" s="31">
        <f t="shared" ref="I6:I8" si="3">+F6*1.2%</f>
        <v>120000</v>
      </c>
      <c r="J6" s="32">
        <v>24</v>
      </c>
      <c r="K6" s="32">
        <v>24</v>
      </c>
      <c r="L6" s="30">
        <f t="shared" ref="L6:L8" si="4">+H6+I6</f>
        <v>536700</v>
      </c>
      <c r="M6" s="30">
        <f t="shared" ref="M6:M8" si="5">+K6*L6</f>
        <v>12880800</v>
      </c>
      <c r="N6" s="38">
        <f t="shared" si="0"/>
        <v>10000000</v>
      </c>
      <c r="O6" s="34" t="s">
        <v>20</v>
      </c>
      <c r="P6" s="34" t="s">
        <v>36</v>
      </c>
      <c r="Q6" s="29">
        <f t="shared" ref="Q6:Q11" si="6">+F6-N6</f>
        <v>0</v>
      </c>
    </row>
    <row r="7" spans="1:17" s="35" customFormat="1" ht="15.75">
      <c r="A7" s="36">
        <f t="shared" si="1"/>
        <v>3</v>
      </c>
      <c r="B7" s="26" t="s">
        <v>37</v>
      </c>
      <c r="C7" s="27" t="s">
        <v>38</v>
      </c>
      <c r="D7" s="28" t="s">
        <v>39</v>
      </c>
      <c r="E7" s="28">
        <v>43196</v>
      </c>
      <c r="F7" s="37">
        <f>30000000</f>
        <v>30000000</v>
      </c>
      <c r="G7" s="30">
        <f t="shared" si="2"/>
        <v>34320000</v>
      </c>
      <c r="H7" s="31">
        <f>+F7/J7</f>
        <v>2500000</v>
      </c>
      <c r="I7" s="31">
        <f t="shared" si="3"/>
        <v>360000</v>
      </c>
      <c r="J7" s="32">
        <v>12</v>
      </c>
      <c r="K7" s="32">
        <v>12</v>
      </c>
      <c r="L7" s="30">
        <f t="shared" si="4"/>
        <v>2860000</v>
      </c>
      <c r="M7" s="30">
        <f t="shared" si="5"/>
        <v>34320000</v>
      </c>
      <c r="N7" s="33">
        <f>+H7*K7</f>
        <v>30000000</v>
      </c>
      <c r="O7" s="34" t="s">
        <v>40</v>
      </c>
      <c r="P7" s="34" t="s">
        <v>36</v>
      </c>
      <c r="Q7" s="29">
        <f t="shared" si="6"/>
        <v>0</v>
      </c>
    </row>
    <row r="8" spans="1:17" s="35" customFormat="1" ht="15.75">
      <c r="A8" s="36">
        <f t="shared" si="1"/>
        <v>4</v>
      </c>
      <c r="B8" s="26" t="s">
        <v>41</v>
      </c>
      <c r="C8" s="27" t="s">
        <v>43</v>
      </c>
      <c r="D8" s="39" t="s">
        <v>45</v>
      </c>
      <c r="E8" s="28">
        <v>43194</v>
      </c>
      <c r="F8" s="40">
        <f>22489500+562238+129290+6818972</f>
        <v>30000000</v>
      </c>
      <c r="G8" s="30">
        <f t="shared" si="2"/>
        <v>42962400</v>
      </c>
      <c r="H8" s="31">
        <f>1193400-I8</f>
        <v>833400</v>
      </c>
      <c r="I8" s="31">
        <f t="shared" si="3"/>
        <v>360000</v>
      </c>
      <c r="J8" s="32">
        <v>36</v>
      </c>
      <c r="K8" s="32">
        <v>36</v>
      </c>
      <c r="L8" s="30">
        <f t="shared" si="4"/>
        <v>1193400</v>
      </c>
      <c r="M8" s="30">
        <f t="shared" si="5"/>
        <v>42962400</v>
      </c>
      <c r="N8" s="38">
        <f t="shared" si="0"/>
        <v>30000000</v>
      </c>
      <c r="O8" s="34" t="s">
        <v>47</v>
      </c>
      <c r="P8" s="34" t="s">
        <v>31</v>
      </c>
      <c r="Q8" s="29">
        <f t="shared" si="6"/>
        <v>0</v>
      </c>
    </row>
    <row r="9" spans="1:17" s="35" customFormat="1" ht="15.75">
      <c r="A9" s="36">
        <f t="shared" si="1"/>
        <v>5</v>
      </c>
      <c r="B9" s="26" t="s">
        <v>42</v>
      </c>
      <c r="C9" s="27" t="s">
        <v>44</v>
      </c>
      <c r="D9" s="39" t="s">
        <v>46</v>
      </c>
      <c r="E9" s="28">
        <v>43194</v>
      </c>
      <c r="F9" s="40">
        <f>24162000+604050+129290+5104660</f>
        <v>30000000</v>
      </c>
      <c r="G9" s="30">
        <f t="shared" ref="G9:G11" si="7">+J9*L9</f>
        <v>42962400</v>
      </c>
      <c r="H9" s="31">
        <f>1193400-I9</f>
        <v>833400</v>
      </c>
      <c r="I9" s="31">
        <f t="shared" ref="I9:I11" si="8">+F9*1.2%</f>
        <v>360000</v>
      </c>
      <c r="J9" s="32">
        <v>36</v>
      </c>
      <c r="K9" s="32">
        <v>36</v>
      </c>
      <c r="L9" s="30">
        <f t="shared" ref="L9:L11" si="9">+H9+I9</f>
        <v>1193400</v>
      </c>
      <c r="M9" s="30">
        <f t="shared" ref="M9:M11" si="10">+K9*L9</f>
        <v>42962400</v>
      </c>
      <c r="N9" s="38">
        <f t="shared" si="0"/>
        <v>30000000</v>
      </c>
      <c r="O9" s="34" t="s">
        <v>48</v>
      </c>
      <c r="P9" s="34" t="s">
        <v>31</v>
      </c>
      <c r="Q9" s="29">
        <f t="shared" si="6"/>
        <v>0</v>
      </c>
    </row>
    <row r="10" spans="1:17" s="35" customFormat="1" ht="15.75">
      <c r="A10" s="36">
        <f t="shared" si="1"/>
        <v>6</v>
      </c>
      <c r="B10" s="26" t="s">
        <v>49</v>
      </c>
      <c r="C10" s="27" t="s">
        <v>50</v>
      </c>
      <c r="D10" s="39" t="s">
        <v>51</v>
      </c>
      <c r="E10" s="28">
        <v>43194</v>
      </c>
      <c r="F10" s="40">
        <f>13324000+333100+94194+16248706</f>
        <v>30000000</v>
      </c>
      <c r="G10" s="30">
        <f t="shared" si="7"/>
        <v>42962400</v>
      </c>
      <c r="H10" s="31">
        <f>1193400-I10</f>
        <v>833400</v>
      </c>
      <c r="I10" s="31">
        <f t="shared" si="8"/>
        <v>360000</v>
      </c>
      <c r="J10" s="32">
        <v>36</v>
      </c>
      <c r="K10" s="32">
        <v>36</v>
      </c>
      <c r="L10" s="30">
        <f t="shared" si="9"/>
        <v>1193400</v>
      </c>
      <c r="M10" s="30">
        <f t="shared" si="10"/>
        <v>42962400</v>
      </c>
      <c r="N10" s="38">
        <f t="shared" si="0"/>
        <v>30000000</v>
      </c>
      <c r="O10" s="34" t="s">
        <v>52</v>
      </c>
      <c r="P10" s="34" t="s">
        <v>31</v>
      </c>
      <c r="Q10" s="29">
        <f t="shared" si="6"/>
        <v>0</v>
      </c>
    </row>
    <row r="11" spans="1:17" s="35" customFormat="1" ht="15.75">
      <c r="A11" s="36">
        <f t="shared" si="1"/>
        <v>7</v>
      </c>
      <c r="B11" s="26" t="s">
        <v>53</v>
      </c>
      <c r="C11" s="27" t="s">
        <v>54</v>
      </c>
      <c r="D11" s="39" t="s">
        <v>55</v>
      </c>
      <c r="E11" s="28">
        <v>43194</v>
      </c>
      <c r="F11" s="40">
        <f>20000000</f>
        <v>20000000</v>
      </c>
      <c r="G11" s="30">
        <f t="shared" si="7"/>
        <v>22880400</v>
      </c>
      <c r="H11" s="31">
        <f>1906700-I11</f>
        <v>1666700</v>
      </c>
      <c r="I11" s="31">
        <f t="shared" si="8"/>
        <v>240000</v>
      </c>
      <c r="J11" s="32">
        <v>12</v>
      </c>
      <c r="K11" s="32">
        <v>12</v>
      </c>
      <c r="L11" s="30">
        <f t="shared" si="9"/>
        <v>1906700</v>
      </c>
      <c r="M11" s="30">
        <f t="shared" si="10"/>
        <v>22880400</v>
      </c>
      <c r="N11" s="38">
        <f t="shared" si="0"/>
        <v>20000000</v>
      </c>
      <c r="O11" s="34" t="s">
        <v>56</v>
      </c>
      <c r="P11" s="34" t="s">
        <v>36</v>
      </c>
      <c r="Q11" s="29">
        <f t="shared" si="6"/>
        <v>0</v>
      </c>
    </row>
    <row r="12" spans="1:17" s="35" customFormat="1" ht="15.75">
      <c r="A12" s="36"/>
      <c r="B12" s="26"/>
      <c r="C12" s="27"/>
      <c r="D12" s="39"/>
      <c r="E12" s="41"/>
      <c r="F12" s="37"/>
      <c r="G12" s="30"/>
      <c r="H12" s="37"/>
      <c r="I12" s="37"/>
      <c r="J12" s="32"/>
      <c r="K12" s="32"/>
      <c r="L12" s="30"/>
      <c r="M12" s="30"/>
      <c r="N12" s="33"/>
      <c r="O12" s="26"/>
      <c r="P12" s="42"/>
      <c r="Q12" s="43"/>
    </row>
    <row r="13" spans="1:17" s="35" customFormat="1" ht="15.75">
      <c r="A13" s="36"/>
      <c r="B13" s="26" t="s">
        <v>6</v>
      </c>
      <c r="C13" s="27"/>
      <c r="D13" s="27"/>
      <c r="E13" s="41"/>
      <c r="F13" s="29">
        <f>SUM(F5:F12)</f>
        <v>156346841</v>
      </c>
      <c r="G13" s="29">
        <f t="shared" ref="G13:N13" si="11">SUM(G5:G12)</f>
        <v>207144000</v>
      </c>
      <c r="H13" s="29">
        <f t="shared" si="11"/>
        <v>7348088</v>
      </c>
      <c r="I13" s="29">
        <f t="shared" si="11"/>
        <v>1876162</v>
      </c>
      <c r="J13" s="29">
        <f t="shared" si="11"/>
        <v>180</v>
      </c>
      <c r="K13" s="29">
        <f t="shared" si="11"/>
        <v>180</v>
      </c>
      <c r="L13" s="29">
        <f t="shared" si="11"/>
        <v>9224250</v>
      </c>
      <c r="M13" s="29">
        <f t="shared" si="11"/>
        <v>207144000</v>
      </c>
      <c r="N13" s="29">
        <f t="shared" si="11"/>
        <v>156346841</v>
      </c>
      <c r="O13" s="26"/>
      <c r="P13" s="42"/>
      <c r="Q13" s="29">
        <f t="shared" ref="Q13" si="12">SUM(Q5:Q12)</f>
        <v>0</v>
      </c>
    </row>
    <row r="14" spans="1:17">
      <c r="H14" s="45"/>
      <c r="I14" s="45"/>
    </row>
    <row r="15" spans="1:17" s="35" customFormat="1" ht="15.75">
      <c r="A15" s="46"/>
      <c r="F15" s="47" t="s">
        <v>21</v>
      </c>
      <c r="G15" s="47" t="s">
        <v>22</v>
      </c>
      <c r="H15" s="47" t="s">
        <v>23</v>
      </c>
    </row>
    <row r="16" spans="1:17" s="35" customFormat="1" ht="15.75">
      <c r="A16" s="25"/>
      <c r="B16" s="26"/>
      <c r="C16" s="27"/>
      <c r="D16" s="28"/>
      <c r="E16" s="28"/>
      <c r="F16" s="30">
        <v>0</v>
      </c>
      <c r="G16" s="30">
        <v>0</v>
      </c>
      <c r="H16" s="30">
        <v>0</v>
      </c>
      <c r="I16" s="48"/>
    </row>
    <row r="17" spans="1:18" s="35" customFormat="1" ht="15.75">
      <c r="A17" s="25"/>
      <c r="B17" s="26"/>
      <c r="C17" s="27"/>
      <c r="D17" s="28"/>
      <c r="E17" s="41"/>
      <c r="F17" s="30">
        <v>0</v>
      </c>
      <c r="G17" s="30">
        <v>0</v>
      </c>
      <c r="H17" s="30">
        <v>0</v>
      </c>
      <c r="I17" s="48"/>
    </row>
    <row r="18" spans="1:18" s="35" customFormat="1" ht="15.75">
      <c r="A18" s="36"/>
      <c r="B18" s="26"/>
      <c r="C18" s="27"/>
      <c r="D18" s="28"/>
      <c r="E18" s="41"/>
      <c r="F18" s="30">
        <v>0</v>
      </c>
      <c r="G18" s="30">
        <v>0</v>
      </c>
      <c r="H18" s="30">
        <v>0</v>
      </c>
      <c r="I18" s="48"/>
    </row>
    <row r="19" spans="1:18">
      <c r="H19" s="49"/>
    </row>
    <row r="20" spans="1:18" s="7" customFormat="1" ht="20.25">
      <c r="A20" s="50" t="s">
        <v>1840</v>
      </c>
      <c r="C20" s="51"/>
      <c r="D20" s="51"/>
      <c r="E20" s="51"/>
      <c r="F20" s="5"/>
      <c r="G20" s="11"/>
      <c r="I20" s="5"/>
      <c r="J20" s="52"/>
      <c r="K20" s="53"/>
      <c r="O20" s="54"/>
      <c r="P20" s="54"/>
    </row>
    <row r="21" spans="1:18" s="57" customFormat="1" ht="12.75">
      <c r="A21" s="15" t="s">
        <v>1</v>
      </c>
      <c r="B21" s="15" t="s">
        <v>2</v>
      </c>
      <c r="C21" s="15" t="s">
        <v>3</v>
      </c>
      <c r="D21" s="15" t="s">
        <v>24</v>
      </c>
      <c r="E21" s="15" t="s">
        <v>4</v>
      </c>
      <c r="F21" s="15" t="s">
        <v>5</v>
      </c>
      <c r="G21" s="15" t="s">
        <v>6</v>
      </c>
      <c r="H21" s="15" t="s">
        <v>7</v>
      </c>
      <c r="I21" s="15" t="s">
        <v>8</v>
      </c>
      <c r="J21" s="55" t="s">
        <v>9</v>
      </c>
      <c r="K21" s="55" t="s">
        <v>10</v>
      </c>
      <c r="L21" s="15" t="s">
        <v>11</v>
      </c>
      <c r="M21" s="15" t="s">
        <v>12</v>
      </c>
      <c r="N21" s="15" t="s">
        <v>13</v>
      </c>
      <c r="O21" s="15" t="s">
        <v>14</v>
      </c>
      <c r="P21" s="15" t="s">
        <v>15</v>
      </c>
      <c r="Q21" s="56"/>
    </row>
    <row r="22" spans="1:18" s="57" customFormat="1" ht="12.75">
      <c r="A22" s="21"/>
      <c r="B22" s="21"/>
      <c r="C22" s="21"/>
      <c r="D22" s="21"/>
      <c r="E22" s="21" t="s">
        <v>17</v>
      </c>
      <c r="F22" s="20"/>
      <c r="G22" s="21" t="s">
        <v>5</v>
      </c>
      <c r="H22" s="21"/>
      <c r="I22" s="21"/>
      <c r="J22" s="58"/>
      <c r="K22" s="58" t="s">
        <v>18</v>
      </c>
      <c r="L22" s="21" t="s">
        <v>19</v>
      </c>
      <c r="M22" s="21" t="s">
        <v>8</v>
      </c>
      <c r="N22" s="21"/>
      <c r="O22" s="59"/>
      <c r="P22" s="59"/>
      <c r="Q22" s="60"/>
    </row>
    <row r="23" spans="1:18" ht="15.75">
      <c r="A23" s="61">
        <f t="shared" ref="A23:A25" si="13">+A22+1</f>
        <v>1</v>
      </c>
      <c r="B23" s="62" t="s">
        <v>57</v>
      </c>
      <c r="C23" s="63" t="s">
        <v>59</v>
      </c>
      <c r="D23" s="63" t="s">
        <v>61</v>
      </c>
      <c r="E23" s="41">
        <v>43194</v>
      </c>
      <c r="F23" s="64">
        <f>17910000+100000</f>
        <v>18010000</v>
      </c>
      <c r="G23" s="64">
        <f t="shared" ref="G23:G25" si="14">+J23*L23</f>
        <v>28387200</v>
      </c>
      <c r="H23" s="31">
        <v>375280</v>
      </c>
      <c r="I23" s="31">
        <f t="shared" ref="I23:I25" si="15">+F23*1.2%</f>
        <v>216120</v>
      </c>
      <c r="J23" s="61">
        <v>48</v>
      </c>
      <c r="K23" s="61">
        <v>48</v>
      </c>
      <c r="L23" s="65">
        <f t="shared" ref="L23:L25" si="16">+H23+I23</f>
        <v>591400</v>
      </c>
      <c r="M23" s="64">
        <f t="shared" ref="M23:M25" si="17">+K23*L23</f>
        <v>28387200</v>
      </c>
      <c r="N23" s="38">
        <f t="shared" ref="N23:N24" si="18">F23-(H23*0)</f>
        <v>18010000</v>
      </c>
      <c r="O23" s="72" t="s">
        <v>64</v>
      </c>
      <c r="P23" s="72" t="s">
        <v>63</v>
      </c>
      <c r="Q23" s="66">
        <f t="shared" ref="Q23:Q25" si="19">+F23-N23</f>
        <v>0</v>
      </c>
    </row>
    <row r="24" spans="1:18" s="71" customFormat="1" ht="15.75">
      <c r="A24" s="67">
        <f t="shared" si="13"/>
        <v>2</v>
      </c>
      <c r="B24" s="68" t="s">
        <v>58</v>
      </c>
      <c r="C24" s="69" t="s">
        <v>60</v>
      </c>
      <c r="D24" s="69" t="s">
        <v>62</v>
      </c>
      <c r="E24" s="41">
        <v>43194</v>
      </c>
      <c r="F24" s="64">
        <f>18250000+100000</f>
        <v>18350000</v>
      </c>
      <c r="G24" s="64">
        <f t="shared" si="14"/>
        <v>26057500</v>
      </c>
      <c r="H24" s="31">
        <v>524300</v>
      </c>
      <c r="I24" s="31">
        <f t="shared" si="15"/>
        <v>220200</v>
      </c>
      <c r="J24" s="61">
        <v>35</v>
      </c>
      <c r="K24" s="61">
        <v>35</v>
      </c>
      <c r="L24" s="65">
        <f t="shared" si="16"/>
        <v>744500</v>
      </c>
      <c r="M24" s="64">
        <f t="shared" si="17"/>
        <v>26057500</v>
      </c>
      <c r="N24" s="38">
        <f t="shared" si="18"/>
        <v>18350000</v>
      </c>
      <c r="O24" s="72" t="s">
        <v>65</v>
      </c>
      <c r="P24" s="72" t="s">
        <v>63</v>
      </c>
      <c r="Q24" s="66">
        <f t="shared" si="19"/>
        <v>0</v>
      </c>
      <c r="R24" s="70"/>
    </row>
    <row r="25" spans="1:18" ht="15.75">
      <c r="A25" s="67">
        <f t="shared" si="13"/>
        <v>3</v>
      </c>
      <c r="B25" s="62" t="s">
        <v>759</v>
      </c>
      <c r="C25" s="415" t="s">
        <v>760</v>
      </c>
      <c r="D25" s="63" t="s">
        <v>760</v>
      </c>
      <c r="E25" s="41">
        <v>43194</v>
      </c>
      <c r="F25" s="64">
        <f>330000</f>
        <v>330000</v>
      </c>
      <c r="G25" s="64">
        <f t="shared" si="14"/>
        <v>349800</v>
      </c>
      <c r="H25" s="64">
        <f>+F25/J25</f>
        <v>66000</v>
      </c>
      <c r="I25" s="31">
        <f t="shared" si="15"/>
        <v>3960</v>
      </c>
      <c r="J25" s="61">
        <v>5</v>
      </c>
      <c r="K25" s="61">
        <v>5</v>
      </c>
      <c r="L25" s="65">
        <f t="shared" si="16"/>
        <v>69960</v>
      </c>
      <c r="M25" s="64">
        <f t="shared" si="17"/>
        <v>349800</v>
      </c>
      <c r="N25" s="64">
        <f>+H25*K25</f>
        <v>330000</v>
      </c>
      <c r="O25" s="72" t="s">
        <v>1842</v>
      </c>
      <c r="P25" s="72" t="s">
        <v>1841</v>
      </c>
      <c r="Q25" s="66">
        <f t="shared" si="19"/>
        <v>0</v>
      </c>
    </row>
    <row r="26" spans="1:18">
      <c r="A26" s="73"/>
      <c r="B26" s="62"/>
      <c r="C26" s="62"/>
      <c r="D26" s="62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2"/>
      <c r="Q26" s="74"/>
    </row>
    <row r="27" spans="1:18">
      <c r="A27" s="73"/>
      <c r="B27" s="62" t="s">
        <v>6</v>
      </c>
      <c r="C27" s="62"/>
      <c r="D27" s="62"/>
      <c r="E27" s="73"/>
      <c r="F27" s="75">
        <f>SUM(F23:F26)</f>
        <v>36690000</v>
      </c>
      <c r="G27" s="75">
        <f t="shared" ref="G27:N27" si="20">SUM(G23:G26)</f>
        <v>54794500</v>
      </c>
      <c r="H27" s="75">
        <f t="shared" si="20"/>
        <v>965580</v>
      </c>
      <c r="I27" s="75">
        <f t="shared" si="20"/>
        <v>440280</v>
      </c>
      <c r="J27" s="75">
        <f t="shared" si="20"/>
        <v>88</v>
      </c>
      <c r="K27" s="75">
        <f t="shared" si="20"/>
        <v>88</v>
      </c>
      <c r="L27" s="75">
        <f t="shared" si="20"/>
        <v>1405860</v>
      </c>
      <c r="M27" s="75">
        <f t="shared" si="20"/>
        <v>54794500</v>
      </c>
      <c r="N27" s="75">
        <f t="shared" si="20"/>
        <v>36690000</v>
      </c>
      <c r="O27" s="73"/>
      <c r="P27" s="73"/>
      <c r="Q27" s="75">
        <f t="shared" ref="Q27" si="21">SUM(Q23:Q25)</f>
        <v>0</v>
      </c>
    </row>
    <row r="30" spans="1:18">
      <c r="F30" s="76" t="s">
        <v>25</v>
      </c>
      <c r="G30" s="76" t="s">
        <v>26</v>
      </c>
      <c r="H30" s="76" t="s">
        <v>27</v>
      </c>
    </row>
    <row r="31" spans="1:18" ht="15.75">
      <c r="A31" s="36">
        <f t="shared" ref="A31" si="22">+A30+1</f>
        <v>1</v>
      </c>
      <c r="B31" s="26"/>
      <c r="C31" s="27"/>
      <c r="D31" s="28"/>
      <c r="E31" s="28"/>
      <c r="F31" s="77">
        <v>0</v>
      </c>
      <c r="G31" s="77">
        <v>0</v>
      </c>
      <c r="H31" s="77">
        <v>0</v>
      </c>
    </row>
  </sheetData>
  <pageMargins left="0.11811023622047245" right="0.70866141732283472" top="0.74803149606299213" bottom="0.74803149606299213" header="0.31496062992125984" footer="0.31496062992125984"/>
  <pageSetup paperSize="5" scale="65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36"/>
  <sheetViews>
    <sheetView showGridLines="0" tabSelected="1" view="pageBreakPreview" zoomScaleSheetLayoutView="100" workbookViewId="0">
      <pane ySplit="4" topLeftCell="A389" activePane="bottomLeft" state="frozen"/>
      <selection pane="bottomLeft" activeCell="A398" sqref="A398:XFD398"/>
    </sheetView>
  </sheetViews>
  <sheetFormatPr defaultRowHeight="15.75"/>
  <cols>
    <col min="1" max="1" width="10.7109375" style="8" bestFit="1" customWidth="1"/>
    <col min="2" max="2" width="33.42578125" style="46" bestFit="1" customWidth="1"/>
    <col min="3" max="4" width="9.28515625" style="8" bestFit="1" customWidth="1"/>
    <col min="5" max="5" width="13.85546875" style="152" bestFit="1" customWidth="1"/>
    <col min="6" max="6" width="19.5703125" style="154" bestFit="1" customWidth="1"/>
    <col min="7" max="7" width="20.140625" style="154" bestFit="1" customWidth="1"/>
    <col min="8" max="8" width="17.7109375" style="192" bestFit="1" customWidth="1"/>
    <col min="9" max="9" width="17.140625" style="82" bestFit="1" customWidth="1"/>
    <col min="10" max="10" width="10.7109375" style="8" bestFit="1" customWidth="1"/>
    <col min="11" max="11" width="10.7109375" style="46" bestFit="1" customWidth="1"/>
    <col min="12" max="12" width="17.7109375" style="194" bestFit="1" customWidth="1"/>
    <col min="13" max="13" width="19.42578125" style="194" bestFit="1" customWidth="1"/>
    <col min="14" max="14" width="18.7109375" style="199" bestFit="1" customWidth="1"/>
    <col min="15" max="15" width="28.28515625" style="155" bestFit="1" customWidth="1"/>
    <col min="16" max="16" width="28" style="153" customWidth="1"/>
    <col min="17" max="17" width="18.7109375" style="2" bestFit="1" customWidth="1"/>
    <col min="18" max="18" width="19.85546875" style="2" bestFit="1" customWidth="1"/>
    <col min="19" max="19" width="20.7109375" style="7" bestFit="1" customWidth="1"/>
    <col min="20" max="28" width="9.140625" style="2"/>
    <col min="29" max="30" width="9.140625" style="46"/>
    <col min="31" max="16384" width="9.140625" style="200"/>
  </cols>
  <sheetData>
    <row r="1" spans="1:30" s="46" customFormat="1" ht="20.25">
      <c r="A1" s="78" t="s">
        <v>0</v>
      </c>
      <c r="B1" s="2"/>
      <c r="C1" s="3"/>
      <c r="D1" s="3"/>
      <c r="E1" s="4"/>
      <c r="F1" s="79"/>
      <c r="G1" s="79"/>
      <c r="H1" s="156"/>
      <c r="I1" s="5"/>
      <c r="J1" s="8"/>
      <c r="L1" s="157"/>
      <c r="M1" s="157"/>
      <c r="N1" s="157"/>
      <c r="O1" s="83"/>
      <c r="P1" s="1"/>
      <c r="Q1" s="2"/>
      <c r="R1" s="2"/>
      <c r="S1" s="7"/>
      <c r="T1" s="2"/>
      <c r="U1" s="2"/>
      <c r="V1" s="2"/>
      <c r="W1" s="2"/>
      <c r="X1" s="2"/>
      <c r="Y1" s="2"/>
      <c r="Z1" s="2"/>
      <c r="AA1" s="2"/>
      <c r="AB1" s="2"/>
    </row>
    <row r="2" spans="1:30" s="46" customFormat="1" ht="20.25">
      <c r="A2" s="85" t="s">
        <v>1829</v>
      </c>
      <c r="B2" s="2"/>
      <c r="C2" s="3"/>
      <c r="D2" s="3"/>
      <c r="E2" s="4"/>
      <c r="F2" s="79"/>
      <c r="G2" s="79"/>
      <c r="H2" s="156"/>
      <c r="I2" s="5"/>
      <c r="J2" s="8"/>
      <c r="L2" s="157"/>
      <c r="M2" s="157"/>
      <c r="N2" s="157"/>
      <c r="O2" s="83"/>
      <c r="P2" s="1"/>
      <c r="Q2" s="2"/>
      <c r="R2" s="2"/>
      <c r="S2" s="7"/>
      <c r="T2" s="2"/>
      <c r="U2" s="2"/>
      <c r="V2" s="2"/>
      <c r="W2" s="2"/>
      <c r="X2" s="2"/>
      <c r="Y2" s="2"/>
      <c r="Z2" s="2"/>
      <c r="AA2" s="2"/>
      <c r="AB2" s="2"/>
    </row>
    <row r="3" spans="1:30" s="161" customFormat="1">
      <c r="A3" s="86" t="s">
        <v>1</v>
      </c>
      <c r="B3" s="86" t="s">
        <v>2</v>
      </c>
      <c r="C3" s="86" t="s">
        <v>3</v>
      </c>
      <c r="D3" s="158" t="s">
        <v>24</v>
      </c>
      <c r="E3" s="87" t="s">
        <v>4</v>
      </c>
      <c r="F3" s="88" t="s">
        <v>5</v>
      </c>
      <c r="G3" s="88" t="s">
        <v>6</v>
      </c>
      <c r="H3" s="86" t="s">
        <v>7</v>
      </c>
      <c r="I3" s="89" t="s">
        <v>8</v>
      </c>
      <c r="J3" s="91" t="s">
        <v>1404</v>
      </c>
      <c r="K3" s="86" t="s">
        <v>10</v>
      </c>
      <c r="L3" s="92" t="s">
        <v>11</v>
      </c>
      <c r="M3" s="93" t="s">
        <v>12</v>
      </c>
      <c r="N3" s="159" t="s">
        <v>13</v>
      </c>
      <c r="O3" s="160" t="s">
        <v>67</v>
      </c>
      <c r="P3" s="13" t="s">
        <v>68</v>
      </c>
      <c r="Q3" s="86"/>
      <c r="R3" s="86"/>
      <c r="S3" s="90"/>
      <c r="T3" s="3"/>
      <c r="U3" s="3"/>
      <c r="V3" s="3"/>
      <c r="W3" s="3"/>
      <c r="X3" s="3"/>
      <c r="Y3" s="3"/>
      <c r="Z3" s="3"/>
      <c r="AA3" s="3"/>
      <c r="AB3" s="3"/>
      <c r="AC3" s="8"/>
      <c r="AD3" s="8"/>
    </row>
    <row r="4" spans="1:30" s="161" customFormat="1">
      <c r="A4" s="162"/>
      <c r="B4" s="162"/>
      <c r="C4" s="162"/>
      <c r="D4" s="163"/>
      <c r="E4" s="164" t="s">
        <v>17</v>
      </c>
      <c r="F4" s="165"/>
      <c r="G4" s="166" t="s">
        <v>5</v>
      </c>
      <c r="H4" s="162"/>
      <c r="I4" s="167"/>
      <c r="J4" s="168" t="s">
        <v>1405</v>
      </c>
      <c r="K4" s="162" t="s">
        <v>18</v>
      </c>
      <c r="L4" s="169" t="s">
        <v>19</v>
      </c>
      <c r="M4" s="170" t="s">
        <v>8</v>
      </c>
      <c r="N4" s="171"/>
      <c r="O4" s="172"/>
      <c r="P4" s="173"/>
      <c r="Q4" s="162"/>
      <c r="R4" s="162"/>
      <c r="S4" s="174"/>
      <c r="T4" s="3"/>
      <c r="U4" s="3"/>
      <c r="V4" s="3"/>
      <c r="W4" s="3"/>
      <c r="X4" s="3"/>
      <c r="Y4" s="3"/>
      <c r="Z4" s="3"/>
      <c r="AA4" s="3"/>
      <c r="AB4" s="3"/>
      <c r="AC4" s="8"/>
      <c r="AD4" s="8"/>
    </row>
    <row r="5" spans="1:30" s="46" customFormat="1">
      <c r="A5" s="36">
        <v>1</v>
      </c>
      <c r="B5" s="104" t="s">
        <v>102</v>
      </c>
      <c r="C5" s="105" t="s">
        <v>103</v>
      </c>
      <c r="D5" s="106" t="s">
        <v>104</v>
      </c>
      <c r="E5" s="41">
        <v>42944</v>
      </c>
      <c r="F5" s="107">
        <f>30000000</f>
        <v>30000000</v>
      </c>
      <c r="G5" s="33">
        <f t="shared" ref="G5:G68" si="0">+J5*L5</f>
        <v>43002000</v>
      </c>
      <c r="H5" s="118">
        <v>834500</v>
      </c>
      <c r="I5" s="107">
        <f t="shared" ref="I5:I14" si="1">+F5*1.2%</f>
        <v>360000</v>
      </c>
      <c r="J5" s="36">
        <v>36</v>
      </c>
      <c r="K5" s="110">
        <v>28</v>
      </c>
      <c r="L5" s="30">
        <f t="shared" ref="L5:L68" si="2">+H5+I5</f>
        <v>1194500</v>
      </c>
      <c r="M5" s="30">
        <f t="shared" ref="M5:M68" si="3">+K5*L5</f>
        <v>33446000</v>
      </c>
      <c r="N5" s="112">
        <f>F5-(H5*8)</f>
        <v>23324000</v>
      </c>
      <c r="O5" s="34" t="s">
        <v>105</v>
      </c>
      <c r="P5" s="34" t="s">
        <v>36</v>
      </c>
      <c r="Q5" s="111">
        <f>+N5</f>
        <v>23324000</v>
      </c>
      <c r="R5" s="175">
        <f>+[1]N2!AE25</f>
        <v>23324000</v>
      </c>
      <c r="S5" s="107">
        <f>+Q5-R5</f>
        <v>0</v>
      </c>
      <c r="T5" s="2"/>
      <c r="U5" s="2"/>
      <c r="V5" s="2"/>
      <c r="W5" s="2"/>
      <c r="X5" s="2"/>
      <c r="Y5" s="2"/>
      <c r="Z5" s="2"/>
      <c r="AA5" s="2"/>
      <c r="AB5" s="2"/>
    </row>
    <row r="6" spans="1:30" s="46" customFormat="1">
      <c r="A6" s="36">
        <f t="shared" ref="A6:A69" si="4">+A5+1</f>
        <v>2</v>
      </c>
      <c r="B6" s="107" t="s">
        <v>106</v>
      </c>
      <c r="C6" s="119" t="s">
        <v>107</v>
      </c>
      <c r="D6" s="119"/>
      <c r="E6" s="41">
        <v>42655</v>
      </c>
      <c r="F6" s="108">
        <f>25000000</f>
        <v>25000000</v>
      </c>
      <c r="G6" s="111">
        <f t="shared" si="0"/>
        <v>32208000</v>
      </c>
      <c r="H6" s="107">
        <v>1042000</v>
      </c>
      <c r="I6" s="107">
        <f t="shared" si="1"/>
        <v>300000</v>
      </c>
      <c r="J6" s="120" t="s">
        <v>72</v>
      </c>
      <c r="K6" s="110">
        <v>6</v>
      </c>
      <c r="L6" s="30">
        <f t="shared" si="2"/>
        <v>1342000</v>
      </c>
      <c r="M6" s="107">
        <f t="shared" si="3"/>
        <v>8052000</v>
      </c>
      <c r="N6" s="112">
        <f>F6-(H6*18)</f>
        <v>6244000</v>
      </c>
      <c r="O6" s="117" t="s">
        <v>105</v>
      </c>
      <c r="P6" s="34" t="s">
        <v>36</v>
      </c>
      <c r="Q6" s="111">
        <f t="shared" ref="Q6:Q69" si="5">+N6</f>
        <v>6244000</v>
      </c>
      <c r="R6" s="175">
        <f>+[1]N2!AE26</f>
        <v>6244000</v>
      </c>
      <c r="S6" s="107">
        <f t="shared" ref="S6:S69" si="6">+Q6-R6</f>
        <v>0</v>
      </c>
      <c r="T6" s="2"/>
      <c r="U6" s="2"/>
      <c r="V6" s="2"/>
      <c r="W6" s="2"/>
      <c r="X6" s="2"/>
      <c r="Y6" s="2"/>
      <c r="Z6" s="2"/>
      <c r="AA6" s="2"/>
      <c r="AB6" s="2"/>
    </row>
    <row r="7" spans="1:30" s="46" customFormat="1">
      <c r="A7" s="36">
        <f t="shared" si="4"/>
        <v>3</v>
      </c>
      <c r="B7" s="104" t="s">
        <v>108</v>
      </c>
      <c r="C7" s="105" t="s">
        <v>109</v>
      </c>
      <c r="D7" s="106" t="s">
        <v>110</v>
      </c>
      <c r="E7" s="28">
        <v>43111</v>
      </c>
      <c r="F7" s="107">
        <f>24158500+603963+255484+4982053</f>
        <v>30000000</v>
      </c>
      <c r="G7" s="33">
        <f t="shared" si="0"/>
        <v>42984000</v>
      </c>
      <c r="H7" s="118">
        <v>834000</v>
      </c>
      <c r="I7" s="118">
        <f t="shared" si="1"/>
        <v>360000</v>
      </c>
      <c r="J7" s="36">
        <v>36</v>
      </c>
      <c r="K7" s="110">
        <v>33</v>
      </c>
      <c r="L7" s="30">
        <f t="shared" si="2"/>
        <v>1194000</v>
      </c>
      <c r="M7" s="30">
        <f t="shared" si="3"/>
        <v>39402000</v>
      </c>
      <c r="N7" s="38">
        <f>F7-(H7*3)</f>
        <v>27498000</v>
      </c>
      <c r="O7" s="34" t="s">
        <v>111</v>
      </c>
      <c r="P7" s="34" t="s">
        <v>75</v>
      </c>
      <c r="Q7" s="111">
        <f t="shared" si="5"/>
        <v>27498000</v>
      </c>
      <c r="R7" s="175">
        <f>+[1]N2!AE27</f>
        <v>27498000</v>
      </c>
      <c r="S7" s="107">
        <f t="shared" si="6"/>
        <v>0</v>
      </c>
      <c r="T7" s="2"/>
      <c r="U7" s="2"/>
      <c r="V7" s="2"/>
      <c r="W7" s="2"/>
      <c r="X7" s="2"/>
      <c r="Y7" s="2"/>
      <c r="Z7" s="2"/>
      <c r="AA7" s="2"/>
      <c r="AB7" s="2"/>
    </row>
    <row r="8" spans="1:30" s="46" customFormat="1">
      <c r="A8" s="36">
        <f t="shared" si="4"/>
        <v>4</v>
      </c>
      <c r="B8" s="104" t="s">
        <v>112</v>
      </c>
      <c r="C8" s="105" t="s">
        <v>113</v>
      </c>
      <c r="D8" s="106" t="s">
        <v>113</v>
      </c>
      <c r="E8" s="28">
        <v>43111</v>
      </c>
      <c r="F8" s="107">
        <f>15000000</f>
        <v>15000000</v>
      </c>
      <c r="G8" s="33">
        <f t="shared" si="0"/>
        <v>19320000</v>
      </c>
      <c r="H8" s="118">
        <f>+F8/J8</f>
        <v>625000</v>
      </c>
      <c r="I8" s="118">
        <f t="shared" si="1"/>
        <v>180000</v>
      </c>
      <c r="J8" s="36">
        <v>24</v>
      </c>
      <c r="K8" s="110">
        <v>21</v>
      </c>
      <c r="L8" s="30">
        <f t="shared" si="2"/>
        <v>805000</v>
      </c>
      <c r="M8" s="30">
        <f t="shared" si="3"/>
        <v>16905000</v>
      </c>
      <c r="N8" s="33">
        <f>+H8*K8</f>
        <v>13125000</v>
      </c>
      <c r="O8" s="34" t="s">
        <v>114</v>
      </c>
      <c r="P8" s="34" t="s">
        <v>36</v>
      </c>
      <c r="Q8" s="111">
        <f t="shared" si="5"/>
        <v>13125000</v>
      </c>
      <c r="R8" s="175">
        <f>+[1]N2!AE28</f>
        <v>13125000</v>
      </c>
      <c r="S8" s="107">
        <f t="shared" si="6"/>
        <v>0</v>
      </c>
      <c r="T8" s="2"/>
      <c r="U8" s="2"/>
      <c r="V8" s="2"/>
      <c r="W8" s="2"/>
      <c r="X8" s="2"/>
      <c r="Y8" s="2"/>
      <c r="Z8" s="2"/>
      <c r="AA8" s="2"/>
      <c r="AB8" s="2"/>
    </row>
    <row r="9" spans="1:30" s="46" customFormat="1">
      <c r="A9" s="36">
        <f t="shared" si="4"/>
        <v>5</v>
      </c>
      <c r="B9" s="107" t="s">
        <v>115</v>
      </c>
      <c r="C9" s="119" t="s">
        <v>116</v>
      </c>
      <c r="D9" s="119"/>
      <c r="E9" s="41">
        <v>42674</v>
      </c>
      <c r="F9" s="108">
        <f>9167400+229185+20603415</f>
        <v>30000000</v>
      </c>
      <c r="G9" s="111">
        <f t="shared" si="0"/>
        <v>42984000</v>
      </c>
      <c r="H9" s="107">
        <f>1194000-I9</f>
        <v>834000</v>
      </c>
      <c r="I9" s="107">
        <f t="shared" si="1"/>
        <v>360000</v>
      </c>
      <c r="J9" s="120" t="s">
        <v>82</v>
      </c>
      <c r="K9" s="110">
        <v>19</v>
      </c>
      <c r="L9" s="30">
        <f t="shared" si="2"/>
        <v>1194000</v>
      </c>
      <c r="M9" s="107">
        <f t="shared" si="3"/>
        <v>22686000</v>
      </c>
      <c r="N9" s="112">
        <f>F9-(H9*17)</f>
        <v>15822000</v>
      </c>
      <c r="O9" s="117" t="s">
        <v>117</v>
      </c>
      <c r="P9" s="117" t="s">
        <v>84</v>
      </c>
      <c r="Q9" s="111">
        <f t="shared" si="5"/>
        <v>15822000</v>
      </c>
      <c r="R9" s="175">
        <f>+[1]N2!AE29</f>
        <v>15822000</v>
      </c>
      <c r="S9" s="107">
        <f t="shared" si="6"/>
        <v>0</v>
      </c>
      <c r="T9" s="2"/>
      <c r="U9" s="2"/>
      <c r="V9" s="2"/>
      <c r="W9" s="2"/>
      <c r="X9" s="2"/>
      <c r="Y9" s="2"/>
      <c r="Z9" s="2"/>
      <c r="AA9" s="2"/>
      <c r="AB9" s="2"/>
    </row>
    <row r="10" spans="1:30" s="46" customFormat="1">
      <c r="A10" s="36">
        <f t="shared" si="4"/>
        <v>6</v>
      </c>
      <c r="B10" s="104" t="s">
        <v>118</v>
      </c>
      <c r="C10" s="105" t="s">
        <v>119</v>
      </c>
      <c r="D10" s="106" t="s">
        <v>120</v>
      </c>
      <c r="E10" s="28">
        <v>43111</v>
      </c>
      <c r="F10" s="107">
        <f>11579932+289498+193534+17937036</f>
        <v>30000000</v>
      </c>
      <c r="G10" s="33">
        <f t="shared" si="0"/>
        <v>42984000</v>
      </c>
      <c r="H10" s="118">
        <v>834000</v>
      </c>
      <c r="I10" s="118">
        <f t="shared" si="1"/>
        <v>360000</v>
      </c>
      <c r="J10" s="36">
        <v>36</v>
      </c>
      <c r="K10" s="110">
        <v>33</v>
      </c>
      <c r="L10" s="30">
        <f t="shared" si="2"/>
        <v>1194000</v>
      </c>
      <c r="M10" s="30">
        <f t="shared" si="3"/>
        <v>39402000</v>
      </c>
      <c r="N10" s="38">
        <f>F10-(H10*3)</f>
        <v>27498000</v>
      </c>
      <c r="O10" s="34" t="s">
        <v>121</v>
      </c>
      <c r="P10" s="34" t="s">
        <v>75</v>
      </c>
      <c r="Q10" s="111">
        <f t="shared" si="5"/>
        <v>27498000</v>
      </c>
      <c r="R10" s="175">
        <f>+[1]N2!AE30</f>
        <v>27498000</v>
      </c>
      <c r="S10" s="107">
        <f t="shared" si="6"/>
        <v>0</v>
      </c>
      <c r="T10" s="2"/>
      <c r="U10" s="2"/>
      <c r="V10" s="2"/>
      <c r="W10" s="2"/>
      <c r="X10" s="2"/>
      <c r="Y10" s="2"/>
      <c r="Z10" s="2"/>
      <c r="AA10" s="2"/>
      <c r="AB10" s="2"/>
    </row>
    <row r="11" spans="1:30" s="46" customFormat="1">
      <c r="A11" s="36">
        <f t="shared" si="4"/>
        <v>7</v>
      </c>
      <c r="B11" s="107" t="s">
        <v>122</v>
      </c>
      <c r="C11" s="119" t="s">
        <v>123</v>
      </c>
      <c r="D11" s="119"/>
      <c r="E11" s="41">
        <v>42669</v>
      </c>
      <c r="F11" s="108">
        <f>30000000</f>
        <v>30000000</v>
      </c>
      <c r="G11" s="111">
        <f t="shared" si="0"/>
        <v>42984000</v>
      </c>
      <c r="H11" s="107">
        <v>834000</v>
      </c>
      <c r="I11" s="107">
        <f t="shared" si="1"/>
        <v>360000</v>
      </c>
      <c r="J11" s="36">
        <v>36</v>
      </c>
      <c r="K11" s="110">
        <v>19</v>
      </c>
      <c r="L11" s="30">
        <f t="shared" si="2"/>
        <v>1194000</v>
      </c>
      <c r="M11" s="107">
        <f t="shared" si="3"/>
        <v>22686000</v>
      </c>
      <c r="N11" s="112">
        <f>F11-(H11*17)</f>
        <v>15822000</v>
      </c>
      <c r="O11" s="117" t="s">
        <v>124</v>
      </c>
      <c r="P11" s="34" t="s">
        <v>36</v>
      </c>
      <c r="Q11" s="111">
        <f t="shared" si="5"/>
        <v>15822000</v>
      </c>
      <c r="R11" s="175">
        <f>+[1]N2!AE31</f>
        <v>15822000</v>
      </c>
      <c r="S11" s="107">
        <f t="shared" si="6"/>
        <v>0</v>
      </c>
      <c r="T11" s="2"/>
      <c r="U11" s="2"/>
      <c r="V11" s="2"/>
      <c r="W11" s="2"/>
      <c r="X11" s="2"/>
      <c r="Y11" s="2"/>
      <c r="Z11" s="2"/>
      <c r="AA11" s="2"/>
      <c r="AB11" s="2"/>
    </row>
    <row r="12" spans="1:30" s="46" customFormat="1">
      <c r="A12" s="36">
        <f t="shared" si="4"/>
        <v>8</v>
      </c>
      <c r="B12" s="107" t="s">
        <v>125</v>
      </c>
      <c r="C12" s="119" t="s">
        <v>126</v>
      </c>
      <c r="D12" s="119"/>
      <c r="E12" s="125">
        <v>42394</v>
      </c>
      <c r="F12" s="108">
        <f>30000000</f>
        <v>30000000</v>
      </c>
      <c r="G12" s="176">
        <f t="shared" si="0"/>
        <v>42966000</v>
      </c>
      <c r="H12" s="107">
        <f>1193500-I12</f>
        <v>833500</v>
      </c>
      <c r="I12" s="108">
        <f t="shared" si="1"/>
        <v>360000</v>
      </c>
      <c r="J12" s="120" t="s">
        <v>82</v>
      </c>
      <c r="K12" s="110">
        <v>10</v>
      </c>
      <c r="L12" s="107">
        <f t="shared" si="2"/>
        <v>1193500</v>
      </c>
      <c r="M12" s="107">
        <f t="shared" si="3"/>
        <v>11935000</v>
      </c>
      <c r="N12" s="177">
        <f>F12-(H12*26)</f>
        <v>8329000</v>
      </c>
      <c r="O12" s="117" t="s">
        <v>127</v>
      </c>
      <c r="P12" s="117" t="s">
        <v>31</v>
      </c>
      <c r="Q12" s="111">
        <f t="shared" si="5"/>
        <v>8329000</v>
      </c>
      <c r="R12" s="175">
        <f>+[1]N2!AE32</f>
        <v>8329000</v>
      </c>
      <c r="S12" s="107">
        <f t="shared" si="6"/>
        <v>0</v>
      </c>
      <c r="T12" s="2"/>
      <c r="U12" s="2"/>
      <c r="V12" s="2"/>
      <c r="W12" s="2"/>
      <c r="X12" s="2"/>
      <c r="Y12" s="2"/>
      <c r="Z12" s="2"/>
      <c r="AA12" s="2"/>
      <c r="AB12" s="2"/>
    </row>
    <row r="13" spans="1:30" s="46" customFormat="1">
      <c r="A13" s="36">
        <f t="shared" si="4"/>
        <v>9</v>
      </c>
      <c r="B13" s="107" t="s">
        <v>128</v>
      </c>
      <c r="C13" s="119" t="s">
        <v>129</v>
      </c>
      <c r="D13" s="119"/>
      <c r="E13" s="125">
        <v>42522</v>
      </c>
      <c r="F13" s="108">
        <f>11666300+291658+117290+17924752</f>
        <v>30000000</v>
      </c>
      <c r="G13" s="143">
        <f t="shared" si="0"/>
        <v>42984000</v>
      </c>
      <c r="H13" s="126">
        <v>834000</v>
      </c>
      <c r="I13" s="33">
        <f t="shared" si="1"/>
        <v>360000</v>
      </c>
      <c r="J13" s="120" t="s">
        <v>82</v>
      </c>
      <c r="K13" s="110">
        <v>14</v>
      </c>
      <c r="L13" s="178">
        <f t="shared" si="2"/>
        <v>1194000</v>
      </c>
      <c r="M13" s="107">
        <f t="shared" si="3"/>
        <v>16716000</v>
      </c>
      <c r="N13" s="179">
        <f>F13-(H13*22)</f>
        <v>11652000</v>
      </c>
      <c r="O13" s="117" t="s">
        <v>130</v>
      </c>
      <c r="P13" s="117" t="s">
        <v>31</v>
      </c>
      <c r="Q13" s="111">
        <f t="shared" si="5"/>
        <v>11652000</v>
      </c>
      <c r="R13" s="175">
        <f>+[1]N2!AE33</f>
        <v>11652000</v>
      </c>
      <c r="S13" s="107">
        <f t="shared" si="6"/>
        <v>0</v>
      </c>
      <c r="T13" s="2"/>
      <c r="U13" s="2"/>
      <c r="V13" s="2"/>
      <c r="W13" s="2"/>
      <c r="X13" s="2"/>
      <c r="Y13" s="2"/>
      <c r="Z13" s="2"/>
      <c r="AA13" s="2"/>
      <c r="AB13" s="2"/>
    </row>
    <row r="14" spans="1:30" s="46" customFormat="1">
      <c r="A14" s="36">
        <f t="shared" si="4"/>
        <v>10</v>
      </c>
      <c r="B14" s="104" t="s">
        <v>131</v>
      </c>
      <c r="C14" s="105" t="s">
        <v>132</v>
      </c>
      <c r="D14" s="106" t="s">
        <v>133</v>
      </c>
      <c r="E14" s="28">
        <v>43102</v>
      </c>
      <c r="F14" s="107">
        <f>19158000+478950+104516+10258534</f>
        <v>30000000</v>
      </c>
      <c r="G14" s="33">
        <f t="shared" si="0"/>
        <v>42984000</v>
      </c>
      <c r="H14" s="118">
        <v>834000</v>
      </c>
      <c r="I14" s="118">
        <f t="shared" si="1"/>
        <v>360000</v>
      </c>
      <c r="J14" s="36">
        <v>36</v>
      </c>
      <c r="K14" s="110">
        <v>33</v>
      </c>
      <c r="L14" s="30">
        <f t="shared" si="2"/>
        <v>1194000</v>
      </c>
      <c r="M14" s="30">
        <f t="shared" si="3"/>
        <v>39402000</v>
      </c>
      <c r="N14" s="38">
        <f>F14-(H14*3)</f>
        <v>27498000</v>
      </c>
      <c r="O14" s="34" t="s">
        <v>134</v>
      </c>
      <c r="P14" s="34" t="s">
        <v>75</v>
      </c>
      <c r="Q14" s="111">
        <f t="shared" si="5"/>
        <v>27498000</v>
      </c>
      <c r="R14" s="175">
        <f>+[1]N2!AE34</f>
        <v>27498000</v>
      </c>
      <c r="S14" s="107">
        <f t="shared" si="6"/>
        <v>0</v>
      </c>
      <c r="T14" s="2"/>
      <c r="U14" s="2"/>
      <c r="V14" s="2"/>
      <c r="W14" s="2"/>
      <c r="X14" s="2"/>
      <c r="Y14" s="2"/>
      <c r="Z14" s="2"/>
      <c r="AA14" s="2"/>
      <c r="AB14" s="2"/>
    </row>
    <row r="15" spans="1:30" s="46" customFormat="1">
      <c r="A15" s="36">
        <f t="shared" si="4"/>
        <v>11</v>
      </c>
      <c r="B15" s="104" t="s">
        <v>80</v>
      </c>
      <c r="C15" s="105" t="s">
        <v>81</v>
      </c>
      <c r="D15" s="106" t="s">
        <v>135</v>
      </c>
      <c r="E15" s="41">
        <v>42992</v>
      </c>
      <c r="F15" s="107">
        <f>4000000</f>
        <v>4000000</v>
      </c>
      <c r="G15" s="33">
        <f t="shared" si="0"/>
        <v>4590000</v>
      </c>
      <c r="H15" s="126">
        <f>382500-I15</f>
        <v>334500</v>
      </c>
      <c r="I15" s="118">
        <f>F15*1.2%</f>
        <v>48000</v>
      </c>
      <c r="J15" s="36">
        <v>12</v>
      </c>
      <c r="K15" s="110">
        <v>5</v>
      </c>
      <c r="L15" s="30">
        <f t="shared" si="2"/>
        <v>382500</v>
      </c>
      <c r="M15" s="30">
        <f t="shared" si="3"/>
        <v>1912500</v>
      </c>
      <c r="N15" s="112">
        <f>F15-(H15*7)</f>
        <v>1658500</v>
      </c>
      <c r="O15" s="34" t="s">
        <v>83</v>
      </c>
      <c r="P15" s="34" t="s">
        <v>136</v>
      </c>
      <c r="Q15" s="111">
        <f t="shared" si="5"/>
        <v>1658500</v>
      </c>
      <c r="R15" s="175">
        <f>+[1]N2!AE35</f>
        <v>1658500</v>
      </c>
      <c r="S15" s="107">
        <f t="shared" si="6"/>
        <v>0</v>
      </c>
      <c r="T15" s="2"/>
      <c r="U15" s="2"/>
      <c r="V15" s="2"/>
      <c r="W15" s="2"/>
      <c r="X15" s="2"/>
      <c r="Y15" s="2"/>
      <c r="Z15" s="2"/>
      <c r="AA15" s="2"/>
      <c r="AB15" s="2"/>
    </row>
    <row r="16" spans="1:30" s="46" customFormat="1">
      <c r="A16" s="36">
        <f t="shared" si="4"/>
        <v>12</v>
      </c>
      <c r="B16" s="104" t="s">
        <v>80</v>
      </c>
      <c r="C16" s="105" t="s">
        <v>81</v>
      </c>
      <c r="D16" s="106" t="s">
        <v>137</v>
      </c>
      <c r="E16" s="41">
        <v>42983</v>
      </c>
      <c r="F16" s="107">
        <f>3610600+90265+102194+6196941</f>
        <v>10000000</v>
      </c>
      <c r="G16" s="33">
        <f t="shared" si="0"/>
        <v>14328000</v>
      </c>
      <c r="H16" s="126">
        <f>398000-I16</f>
        <v>278000</v>
      </c>
      <c r="I16" s="118">
        <f>F16*1.2%</f>
        <v>120000</v>
      </c>
      <c r="J16" s="36">
        <v>36</v>
      </c>
      <c r="K16" s="110">
        <v>29</v>
      </c>
      <c r="L16" s="30">
        <f t="shared" si="2"/>
        <v>398000</v>
      </c>
      <c r="M16" s="30">
        <f t="shared" si="3"/>
        <v>11542000</v>
      </c>
      <c r="N16" s="112">
        <f>F16-(H16*7)</f>
        <v>8054000</v>
      </c>
      <c r="O16" s="34" t="s">
        <v>83</v>
      </c>
      <c r="P16" s="34" t="s">
        <v>93</v>
      </c>
      <c r="Q16" s="111">
        <f t="shared" si="5"/>
        <v>8054000</v>
      </c>
      <c r="R16" s="175">
        <f>+[1]N2!AE36</f>
        <v>8054000</v>
      </c>
      <c r="S16" s="107">
        <f t="shared" si="6"/>
        <v>0</v>
      </c>
      <c r="T16" s="2"/>
      <c r="U16" s="2"/>
      <c r="V16" s="2"/>
      <c r="W16" s="2"/>
      <c r="X16" s="2"/>
      <c r="Y16" s="2"/>
      <c r="Z16" s="2"/>
      <c r="AA16" s="2"/>
      <c r="AB16" s="2"/>
    </row>
    <row r="17" spans="1:28" s="46" customFormat="1">
      <c r="A17" s="36">
        <f t="shared" si="4"/>
        <v>13</v>
      </c>
      <c r="B17" s="104" t="s">
        <v>138</v>
      </c>
      <c r="C17" s="105" t="s">
        <v>139</v>
      </c>
      <c r="D17" s="106" t="s">
        <v>140</v>
      </c>
      <c r="E17" s="41">
        <v>42972</v>
      </c>
      <c r="F17" s="107">
        <f>8444100+211103+21344797</f>
        <v>30000000</v>
      </c>
      <c r="G17" s="33">
        <f t="shared" si="0"/>
        <v>42984000</v>
      </c>
      <c r="H17" s="126">
        <v>834000</v>
      </c>
      <c r="I17" s="118">
        <f>F17*1.2%</f>
        <v>360000</v>
      </c>
      <c r="J17" s="36">
        <v>36</v>
      </c>
      <c r="K17" s="110">
        <v>29</v>
      </c>
      <c r="L17" s="30">
        <f t="shared" si="2"/>
        <v>1194000</v>
      </c>
      <c r="M17" s="30">
        <f t="shared" si="3"/>
        <v>34626000</v>
      </c>
      <c r="N17" s="112">
        <f>F17-(H17*7)</f>
        <v>24162000</v>
      </c>
      <c r="O17" s="34" t="s">
        <v>141</v>
      </c>
      <c r="P17" s="34" t="s">
        <v>31</v>
      </c>
      <c r="Q17" s="111">
        <f t="shared" si="5"/>
        <v>24162000</v>
      </c>
      <c r="R17" s="175">
        <f>+[1]N2!AE37</f>
        <v>24162000</v>
      </c>
      <c r="S17" s="107">
        <f t="shared" si="6"/>
        <v>0</v>
      </c>
      <c r="T17" s="2"/>
      <c r="U17" s="2"/>
      <c r="V17" s="2"/>
      <c r="W17" s="2"/>
      <c r="X17" s="2"/>
      <c r="Y17" s="2"/>
      <c r="Z17" s="2"/>
      <c r="AA17" s="2"/>
      <c r="AB17" s="2"/>
    </row>
    <row r="18" spans="1:28" s="46" customFormat="1">
      <c r="A18" s="36">
        <f t="shared" si="4"/>
        <v>14</v>
      </c>
      <c r="B18" s="104" t="s">
        <v>142</v>
      </c>
      <c r="C18" s="105" t="s">
        <v>143</v>
      </c>
      <c r="D18" s="28" t="s">
        <v>144</v>
      </c>
      <c r="E18" s="28">
        <v>43133</v>
      </c>
      <c r="F18" s="126">
        <f>4000000</f>
        <v>4000000</v>
      </c>
      <c r="G18" s="33">
        <f t="shared" si="0"/>
        <v>4584000</v>
      </c>
      <c r="H18" s="118">
        <f>382000-I18</f>
        <v>334000</v>
      </c>
      <c r="I18" s="118">
        <f>+F18*1.2%</f>
        <v>48000</v>
      </c>
      <c r="J18" s="36">
        <v>12</v>
      </c>
      <c r="K18" s="110">
        <v>10</v>
      </c>
      <c r="L18" s="30">
        <f t="shared" si="2"/>
        <v>382000</v>
      </c>
      <c r="M18" s="30">
        <f t="shared" si="3"/>
        <v>3820000</v>
      </c>
      <c r="N18" s="38">
        <f>F18-(H18*2)</f>
        <v>3332000</v>
      </c>
      <c r="O18" s="34" t="s">
        <v>124</v>
      </c>
      <c r="P18" s="34" t="s">
        <v>145</v>
      </c>
      <c r="Q18" s="111">
        <f t="shared" si="5"/>
        <v>3332000</v>
      </c>
      <c r="R18" s="175">
        <f>+[1]N2!AE38</f>
        <v>3332000</v>
      </c>
      <c r="S18" s="107">
        <f t="shared" si="6"/>
        <v>0</v>
      </c>
      <c r="T18" s="2"/>
      <c r="U18" s="2"/>
      <c r="V18" s="2"/>
      <c r="W18" s="2"/>
      <c r="X18" s="2"/>
      <c r="Y18" s="2"/>
      <c r="Z18" s="2"/>
      <c r="AA18" s="2"/>
      <c r="AB18" s="2"/>
    </row>
    <row r="19" spans="1:28" s="46" customFormat="1">
      <c r="A19" s="36">
        <f t="shared" si="4"/>
        <v>15</v>
      </c>
      <c r="B19" s="104" t="s">
        <v>146</v>
      </c>
      <c r="C19" s="105" t="s">
        <v>147</v>
      </c>
      <c r="D19" s="106" t="s">
        <v>148</v>
      </c>
      <c r="E19" s="41">
        <v>42972</v>
      </c>
      <c r="F19" s="107">
        <f>30000000</f>
        <v>30000000</v>
      </c>
      <c r="G19" s="33">
        <f t="shared" si="0"/>
        <v>42984000</v>
      </c>
      <c r="H19" s="126">
        <v>834000</v>
      </c>
      <c r="I19" s="118">
        <f>F19*1.2%</f>
        <v>360000</v>
      </c>
      <c r="J19" s="36">
        <v>36</v>
      </c>
      <c r="K19" s="110">
        <v>29</v>
      </c>
      <c r="L19" s="30">
        <f t="shared" si="2"/>
        <v>1194000</v>
      </c>
      <c r="M19" s="30">
        <f t="shared" si="3"/>
        <v>34626000</v>
      </c>
      <c r="N19" s="112">
        <f>F19-(H19*7)</f>
        <v>24162000</v>
      </c>
      <c r="O19" s="34" t="s">
        <v>149</v>
      </c>
      <c r="P19" s="34" t="s">
        <v>36</v>
      </c>
      <c r="Q19" s="111">
        <f t="shared" si="5"/>
        <v>24162000</v>
      </c>
      <c r="R19" s="175">
        <f>+[1]N2!AE39</f>
        <v>24162000</v>
      </c>
      <c r="S19" s="107">
        <f t="shared" si="6"/>
        <v>0</v>
      </c>
      <c r="T19" s="2"/>
      <c r="U19" s="2"/>
      <c r="V19" s="2"/>
      <c r="W19" s="2"/>
      <c r="X19" s="2"/>
      <c r="Y19" s="2"/>
      <c r="Z19" s="2"/>
      <c r="AA19" s="2"/>
      <c r="AB19" s="2"/>
    </row>
    <row r="20" spans="1:28" s="46" customFormat="1">
      <c r="A20" s="36">
        <f t="shared" si="4"/>
        <v>16</v>
      </c>
      <c r="B20" s="104" t="s">
        <v>150</v>
      </c>
      <c r="C20" s="105" t="s">
        <v>151</v>
      </c>
      <c r="D20" s="106" t="s">
        <v>152</v>
      </c>
      <c r="E20" s="28">
        <v>43129</v>
      </c>
      <c r="F20" s="107">
        <f>24993000+624825+4382175</f>
        <v>30000000</v>
      </c>
      <c r="G20" s="33">
        <f t="shared" si="0"/>
        <v>42984000</v>
      </c>
      <c r="H20" s="118">
        <f>1194000-I20</f>
        <v>834000</v>
      </c>
      <c r="I20" s="118">
        <f t="shared" ref="I20:I26" si="7">+F20*1.2%</f>
        <v>360000</v>
      </c>
      <c r="J20" s="36">
        <v>36</v>
      </c>
      <c r="K20" s="110">
        <v>34</v>
      </c>
      <c r="L20" s="30">
        <f t="shared" si="2"/>
        <v>1194000</v>
      </c>
      <c r="M20" s="30">
        <f t="shared" si="3"/>
        <v>40596000</v>
      </c>
      <c r="N20" s="38">
        <f>F20-(H20*2)</f>
        <v>28332000</v>
      </c>
      <c r="O20" s="34" t="s">
        <v>153</v>
      </c>
      <c r="P20" s="34" t="s">
        <v>31</v>
      </c>
      <c r="Q20" s="111">
        <f t="shared" si="5"/>
        <v>28332000</v>
      </c>
      <c r="R20" s="175">
        <f>+[1]N2!AE40</f>
        <v>28332000</v>
      </c>
      <c r="S20" s="107">
        <f t="shared" si="6"/>
        <v>0</v>
      </c>
      <c r="T20" s="2"/>
      <c r="U20" s="2"/>
      <c r="V20" s="2"/>
      <c r="W20" s="2"/>
      <c r="X20" s="2"/>
      <c r="Y20" s="2"/>
      <c r="Z20" s="2"/>
      <c r="AA20" s="2"/>
      <c r="AB20" s="2"/>
    </row>
    <row r="21" spans="1:28" s="46" customFormat="1">
      <c r="A21" s="36">
        <f t="shared" si="4"/>
        <v>17</v>
      </c>
      <c r="B21" s="107" t="s">
        <v>154</v>
      </c>
      <c r="C21" s="119" t="s">
        <v>155</v>
      </c>
      <c r="D21" s="119"/>
      <c r="E21" s="125">
        <v>42486</v>
      </c>
      <c r="F21" s="108">
        <f>2800000+70000+10000000</f>
        <v>12870000</v>
      </c>
      <c r="G21" s="108">
        <f t="shared" si="0"/>
        <v>17503200</v>
      </c>
      <c r="H21" s="107">
        <f>+F21/J21</f>
        <v>429000</v>
      </c>
      <c r="I21" s="108">
        <f t="shared" si="7"/>
        <v>154440</v>
      </c>
      <c r="J21" s="120" t="s">
        <v>156</v>
      </c>
      <c r="K21" s="110">
        <v>7</v>
      </c>
      <c r="L21" s="107">
        <f t="shared" si="2"/>
        <v>583440</v>
      </c>
      <c r="M21" s="107">
        <f t="shared" si="3"/>
        <v>4084080</v>
      </c>
      <c r="N21" s="108">
        <f>+H21*K21</f>
        <v>3003000</v>
      </c>
      <c r="O21" s="117" t="s">
        <v>157</v>
      </c>
      <c r="P21" s="117" t="s">
        <v>31</v>
      </c>
      <c r="Q21" s="111">
        <f t="shared" si="5"/>
        <v>3003000</v>
      </c>
      <c r="R21" s="175">
        <f>+[1]N2!AE41</f>
        <v>3003000</v>
      </c>
      <c r="S21" s="107">
        <f t="shared" si="6"/>
        <v>0</v>
      </c>
      <c r="T21" s="2"/>
      <c r="U21" s="2"/>
      <c r="V21" s="2"/>
      <c r="W21" s="2"/>
      <c r="X21" s="2"/>
      <c r="Y21" s="2"/>
      <c r="Z21" s="2"/>
      <c r="AA21" s="2"/>
      <c r="AB21" s="2"/>
    </row>
    <row r="22" spans="1:28" s="46" customFormat="1">
      <c r="A22" s="36">
        <f t="shared" si="4"/>
        <v>18</v>
      </c>
      <c r="B22" s="104" t="s">
        <v>154</v>
      </c>
      <c r="C22" s="105" t="s">
        <v>155</v>
      </c>
      <c r="D22" s="28" t="s">
        <v>158</v>
      </c>
      <c r="E22" s="41">
        <v>43063</v>
      </c>
      <c r="F22" s="107">
        <f>10000000</f>
        <v>10000000</v>
      </c>
      <c r="G22" s="33">
        <f t="shared" si="0"/>
        <v>11448000</v>
      </c>
      <c r="H22" s="118">
        <v>834000</v>
      </c>
      <c r="I22" s="118">
        <f t="shared" si="7"/>
        <v>120000</v>
      </c>
      <c r="J22" s="36">
        <v>12</v>
      </c>
      <c r="K22" s="110">
        <v>8</v>
      </c>
      <c r="L22" s="30">
        <f t="shared" si="2"/>
        <v>954000</v>
      </c>
      <c r="M22" s="30">
        <f t="shared" si="3"/>
        <v>7632000</v>
      </c>
      <c r="N22" s="38">
        <f>F22-(H22*4)</f>
        <v>6664000</v>
      </c>
      <c r="O22" s="34" t="s">
        <v>159</v>
      </c>
      <c r="P22" s="34" t="s">
        <v>160</v>
      </c>
      <c r="Q22" s="111">
        <f t="shared" si="5"/>
        <v>6664000</v>
      </c>
      <c r="R22" s="175">
        <f>+[1]N2!AE42</f>
        <v>6664000</v>
      </c>
      <c r="S22" s="107">
        <f t="shared" si="6"/>
        <v>0</v>
      </c>
      <c r="T22" s="2"/>
      <c r="U22" s="2"/>
      <c r="V22" s="2"/>
      <c r="W22" s="2"/>
      <c r="X22" s="2"/>
      <c r="Y22" s="2"/>
      <c r="Z22" s="2"/>
      <c r="AA22" s="2"/>
      <c r="AB22" s="2"/>
    </row>
    <row r="23" spans="1:28" s="46" customFormat="1">
      <c r="A23" s="36">
        <f t="shared" si="4"/>
        <v>19</v>
      </c>
      <c r="B23" s="107" t="s">
        <v>161</v>
      </c>
      <c r="C23" s="119" t="s">
        <v>162</v>
      </c>
      <c r="D23" s="119"/>
      <c r="E23" s="41">
        <v>42333</v>
      </c>
      <c r="F23" s="108">
        <f>1944460+48612+23006928</f>
        <v>25000000</v>
      </c>
      <c r="G23" s="176">
        <f t="shared" si="0"/>
        <v>35802000</v>
      </c>
      <c r="H23" s="107">
        <v>694500</v>
      </c>
      <c r="I23" s="108">
        <f t="shared" si="7"/>
        <v>300000</v>
      </c>
      <c r="J23" s="120" t="s">
        <v>82</v>
      </c>
      <c r="K23" s="110">
        <v>8</v>
      </c>
      <c r="L23" s="107">
        <f t="shared" si="2"/>
        <v>994500</v>
      </c>
      <c r="M23" s="107">
        <f t="shared" si="3"/>
        <v>7956000</v>
      </c>
      <c r="N23" s="180">
        <f>F23-(H23*28)</f>
        <v>5554000</v>
      </c>
      <c r="O23" s="117" t="s">
        <v>163</v>
      </c>
      <c r="P23" s="117" t="s">
        <v>93</v>
      </c>
      <c r="Q23" s="111">
        <f t="shared" si="5"/>
        <v>5554000</v>
      </c>
      <c r="R23" s="175">
        <f>+[1]N2!AE43</f>
        <v>5554000</v>
      </c>
      <c r="S23" s="107">
        <f t="shared" si="6"/>
        <v>0</v>
      </c>
      <c r="T23" s="2"/>
      <c r="U23" s="2"/>
      <c r="V23" s="2"/>
      <c r="W23" s="2"/>
      <c r="X23" s="2"/>
      <c r="Y23" s="2"/>
      <c r="Z23" s="2"/>
      <c r="AA23" s="2"/>
      <c r="AB23" s="2"/>
    </row>
    <row r="24" spans="1:28" s="46" customFormat="1">
      <c r="A24" s="36">
        <f t="shared" si="4"/>
        <v>20</v>
      </c>
      <c r="B24" s="104" t="s">
        <v>164</v>
      </c>
      <c r="C24" s="105" t="s">
        <v>165</v>
      </c>
      <c r="D24" s="106" t="s">
        <v>166</v>
      </c>
      <c r="E24" s="28">
        <v>43140</v>
      </c>
      <c r="F24" s="107">
        <f>18324000+458100+197005+11020895</f>
        <v>30000000</v>
      </c>
      <c r="G24" s="33">
        <f t="shared" si="0"/>
        <v>42984000</v>
      </c>
      <c r="H24" s="118">
        <f>1194000-I24</f>
        <v>834000</v>
      </c>
      <c r="I24" s="118">
        <f t="shared" si="7"/>
        <v>360000</v>
      </c>
      <c r="J24" s="36">
        <v>36</v>
      </c>
      <c r="K24" s="110">
        <v>34</v>
      </c>
      <c r="L24" s="30">
        <f t="shared" si="2"/>
        <v>1194000</v>
      </c>
      <c r="M24" s="30">
        <f t="shared" si="3"/>
        <v>40596000</v>
      </c>
      <c r="N24" s="38">
        <f>F24-(H24*2)</f>
        <v>28332000</v>
      </c>
      <c r="O24" s="34" t="s">
        <v>167</v>
      </c>
      <c r="P24" s="34" t="s">
        <v>75</v>
      </c>
      <c r="Q24" s="111">
        <f t="shared" si="5"/>
        <v>28332000</v>
      </c>
      <c r="R24" s="175">
        <f>+[1]N2!AE44</f>
        <v>28332000</v>
      </c>
      <c r="S24" s="107">
        <f t="shared" si="6"/>
        <v>0</v>
      </c>
      <c r="T24" s="2"/>
      <c r="U24" s="2"/>
      <c r="V24" s="2"/>
      <c r="W24" s="2"/>
      <c r="X24" s="2"/>
      <c r="Y24" s="2"/>
      <c r="Z24" s="2"/>
      <c r="AA24" s="2"/>
      <c r="AB24" s="2"/>
    </row>
    <row r="25" spans="1:28" s="46" customFormat="1">
      <c r="A25" s="36">
        <f t="shared" si="4"/>
        <v>21</v>
      </c>
      <c r="B25" s="107" t="s">
        <v>168</v>
      </c>
      <c r="C25" s="119" t="s">
        <v>169</v>
      </c>
      <c r="D25" s="119"/>
      <c r="E25" s="41">
        <v>42191</v>
      </c>
      <c r="F25" s="108">
        <f>3076420+76911+164876+26681793</f>
        <v>30000000</v>
      </c>
      <c r="G25" s="176">
        <f t="shared" si="0"/>
        <v>42962400</v>
      </c>
      <c r="H25" s="107">
        <v>833400</v>
      </c>
      <c r="I25" s="108">
        <f t="shared" si="7"/>
        <v>360000</v>
      </c>
      <c r="J25" s="120" t="s">
        <v>82</v>
      </c>
      <c r="K25" s="110">
        <v>3</v>
      </c>
      <c r="L25" s="107">
        <f t="shared" si="2"/>
        <v>1193400</v>
      </c>
      <c r="M25" s="107">
        <f t="shared" si="3"/>
        <v>3580200</v>
      </c>
      <c r="N25" s="179">
        <f>F25-(H25*33)</f>
        <v>2497800</v>
      </c>
      <c r="O25" s="117" t="s">
        <v>170</v>
      </c>
      <c r="P25" s="117" t="s">
        <v>31</v>
      </c>
      <c r="Q25" s="111">
        <f t="shared" si="5"/>
        <v>2497800</v>
      </c>
      <c r="R25" s="175">
        <f>+[1]N2!AE45</f>
        <v>2497800</v>
      </c>
      <c r="S25" s="107">
        <f t="shared" si="6"/>
        <v>0</v>
      </c>
      <c r="T25" s="2"/>
      <c r="U25" s="2"/>
      <c r="V25" s="2"/>
      <c r="W25" s="2"/>
      <c r="X25" s="2"/>
      <c r="Y25" s="2"/>
      <c r="Z25" s="2"/>
      <c r="AA25" s="2"/>
      <c r="AB25" s="2"/>
    </row>
    <row r="26" spans="1:28" s="46" customFormat="1">
      <c r="A26" s="36">
        <f t="shared" si="4"/>
        <v>22</v>
      </c>
      <c r="B26" s="107" t="s">
        <v>171</v>
      </c>
      <c r="C26" s="119" t="s">
        <v>172</v>
      </c>
      <c r="D26" s="106" t="s">
        <v>173</v>
      </c>
      <c r="E26" s="41">
        <v>42881</v>
      </c>
      <c r="F26" s="126">
        <f>8750000+218750+21031250</f>
        <v>30000000</v>
      </c>
      <c r="G26" s="33">
        <f t="shared" si="0"/>
        <v>38640000</v>
      </c>
      <c r="H26" s="107">
        <f>+F26/J26</f>
        <v>1250000</v>
      </c>
      <c r="I26" s="107">
        <f t="shared" si="7"/>
        <v>360000</v>
      </c>
      <c r="J26" s="36">
        <v>24</v>
      </c>
      <c r="K26" s="110">
        <v>14</v>
      </c>
      <c r="L26" s="181">
        <f t="shared" si="2"/>
        <v>1610000</v>
      </c>
      <c r="M26" s="30">
        <f t="shared" si="3"/>
        <v>22540000</v>
      </c>
      <c r="N26" s="33">
        <f>+H26*K26</f>
        <v>17500000</v>
      </c>
      <c r="O26" s="34" t="s">
        <v>174</v>
      </c>
      <c r="P26" s="34" t="s">
        <v>31</v>
      </c>
      <c r="Q26" s="111">
        <f t="shared" si="5"/>
        <v>17500000</v>
      </c>
      <c r="R26" s="175">
        <f>+[1]N2!AE46</f>
        <v>17500000</v>
      </c>
      <c r="S26" s="107">
        <f t="shared" si="6"/>
        <v>0</v>
      </c>
      <c r="T26" s="2"/>
      <c r="U26" s="2"/>
      <c r="V26" s="2"/>
      <c r="W26" s="2"/>
      <c r="X26" s="2"/>
      <c r="Y26" s="2"/>
      <c r="Z26" s="2"/>
      <c r="AA26" s="2"/>
      <c r="AB26" s="2"/>
    </row>
    <row r="27" spans="1:28" s="46" customFormat="1">
      <c r="A27" s="36">
        <f t="shared" si="4"/>
        <v>23</v>
      </c>
      <c r="B27" s="104" t="s">
        <v>175</v>
      </c>
      <c r="C27" s="105" t="s">
        <v>176</v>
      </c>
      <c r="D27" s="106" t="s">
        <v>177</v>
      </c>
      <c r="E27" s="41">
        <v>42972</v>
      </c>
      <c r="F27" s="107">
        <f>15830500+395763+13773737</f>
        <v>30000000</v>
      </c>
      <c r="G27" s="33">
        <f t="shared" si="0"/>
        <v>42984000</v>
      </c>
      <c r="H27" s="126">
        <v>834000</v>
      </c>
      <c r="I27" s="118">
        <f>F27*1.2%</f>
        <v>360000</v>
      </c>
      <c r="J27" s="36">
        <v>36</v>
      </c>
      <c r="K27" s="110">
        <v>29</v>
      </c>
      <c r="L27" s="30">
        <f t="shared" si="2"/>
        <v>1194000</v>
      </c>
      <c r="M27" s="30">
        <f t="shared" si="3"/>
        <v>34626000</v>
      </c>
      <c r="N27" s="112">
        <f>F27-(H27*7)</f>
        <v>24162000</v>
      </c>
      <c r="O27" s="34" t="s">
        <v>87</v>
      </c>
      <c r="P27" s="34" t="s">
        <v>31</v>
      </c>
      <c r="Q27" s="111">
        <f t="shared" si="5"/>
        <v>24162000</v>
      </c>
      <c r="R27" s="175">
        <f>+[1]N2!AE47</f>
        <v>24162000</v>
      </c>
      <c r="S27" s="107">
        <f t="shared" si="6"/>
        <v>0</v>
      </c>
      <c r="T27" s="2"/>
      <c r="U27" s="2"/>
      <c r="V27" s="2"/>
      <c r="W27" s="2"/>
      <c r="X27" s="2"/>
      <c r="Y27" s="2"/>
      <c r="Z27" s="2"/>
      <c r="AA27" s="2"/>
      <c r="AB27" s="2"/>
    </row>
    <row r="28" spans="1:28" s="46" customFormat="1">
      <c r="A28" s="36">
        <f t="shared" si="4"/>
        <v>24</v>
      </c>
      <c r="B28" s="104" t="s">
        <v>178</v>
      </c>
      <c r="C28" s="105" t="s">
        <v>179</v>
      </c>
      <c r="D28" s="106" t="s">
        <v>180</v>
      </c>
      <c r="E28" s="41">
        <v>42968</v>
      </c>
      <c r="F28" s="107">
        <f>6000000</f>
        <v>6000000</v>
      </c>
      <c r="G28" s="33">
        <f t="shared" si="0"/>
        <v>6864000</v>
      </c>
      <c r="H28" s="107">
        <f>+F28/J28</f>
        <v>500000</v>
      </c>
      <c r="I28" s="107">
        <f>+F28*1.2%</f>
        <v>72000</v>
      </c>
      <c r="J28" s="36">
        <v>12</v>
      </c>
      <c r="K28" s="110">
        <v>4</v>
      </c>
      <c r="L28" s="30">
        <f t="shared" si="2"/>
        <v>572000</v>
      </c>
      <c r="M28" s="30">
        <f t="shared" si="3"/>
        <v>2288000</v>
      </c>
      <c r="N28" s="33">
        <f>+H28*K28</f>
        <v>2000000</v>
      </c>
      <c r="O28" s="34" t="s">
        <v>181</v>
      </c>
      <c r="P28" s="34" t="s">
        <v>36</v>
      </c>
      <c r="Q28" s="111">
        <f t="shared" si="5"/>
        <v>2000000</v>
      </c>
      <c r="R28" s="175">
        <f>+[1]N2!AE48</f>
        <v>2000000</v>
      </c>
      <c r="S28" s="107">
        <f t="shared" si="6"/>
        <v>0</v>
      </c>
      <c r="T28" s="2"/>
      <c r="U28" s="2"/>
      <c r="V28" s="2"/>
      <c r="W28" s="2"/>
      <c r="X28" s="2"/>
      <c r="Y28" s="2"/>
      <c r="Z28" s="2"/>
      <c r="AA28" s="2"/>
      <c r="AB28" s="2"/>
    </row>
    <row r="29" spans="1:28" s="46" customFormat="1">
      <c r="A29" s="36">
        <f t="shared" si="4"/>
        <v>25</v>
      </c>
      <c r="B29" s="104" t="s">
        <v>178</v>
      </c>
      <c r="C29" s="105" t="s">
        <v>179</v>
      </c>
      <c r="D29" s="106" t="s">
        <v>182</v>
      </c>
      <c r="E29" s="28">
        <v>43084</v>
      </c>
      <c r="F29" s="107">
        <f>18000000</f>
        <v>18000000</v>
      </c>
      <c r="G29" s="33">
        <f t="shared" si="0"/>
        <v>20592000</v>
      </c>
      <c r="H29" s="118">
        <f>+F29/J29</f>
        <v>1500000</v>
      </c>
      <c r="I29" s="118">
        <f>+F29*1.2%</f>
        <v>216000</v>
      </c>
      <c r="J29" s="36">
        <v>12</v>
      </c>
      <c r="K29" s="110">
        <v>9</v>
      </c>
      <c r="L29" s="30">
        <f t="shared" si="2"/>
        <v>1716000</v>
      </c>
      <c r="M29" s="30">
        <f t="shared" si="3"/>
        <v>15444000</v>
      </c>
      <c r="N29" s="33">
        <f>+H29*K29</f>
        <v>13500000</v>
      </c>
      <c r="O29" s="34" t="s">
        <v>64</v>
      </c>
      <c r="P29" s="42" t="s">
        <v>183</v>
      </c>
      <c r="Q29" s="111">
        <f t="shared" si="5"/>
        <v>13500000</v>
      </c>
      <c r="R29" s="175">
        <f>+[1]N2!AE49</f>
        <v>13500000</v>
      </c>
      <c r="S29" s="107">
        <f t="shared" si="6"/>
        <v>0</v>
      </c>
      <c r="T29" s="2"/>
      <c r="U29" s="2"/>
      <c r="V29" s="2"/>
      <c r="W29" s="2"/>
      <c r="X29" s="2"/>
      <c r="Y29" s="2"/>
      <c r="Z29" s="2"/>
      <c r="AA29" s="2"/>
      <c r="AB29" s="2"/>
    </row>
    <row r="30" spans="1:28" s="46" customFormat="1">
      <c r="A30" s="36">
        <f t="shared" si="4"/>
        <v>26</v>
      </c>
      <c r="B30" s="107" t="s">
        <v>184</v>
      </c>
      <c r="C30" s="119" t="s">
        <v>185</v>
      </c>
      <c r="D30" s="28" t="s">
        <v>186</v>
      </c>
      <c r="E30" s="41">
        <v>42702</v>
      </c>
      <c r="F30" s="108">
        <f>7221200+180530+12598270</f>
        <v>20000000</v>
      </c>
      <c r="G30" s="33">
        <f t="shared" si="0"/>
        <v>28656000</v>
      </c>
      <c r="H30" s="107">
        <v>556000</v>
      </c>
      <c r="I30" s="107">
        <f>+F30*1.2%</f>
        <v>240000</v>
      </c>
      <c r="J30" s="120" t="s">
        <v>82</v>
      </c>
      <c r="K30" s="110">
        <v>20</v>
      </c>
      <c r="L30" s="30">
        <f t="shared" si="2"/>
        <v>796000</v>
      </c>
      <c r="M30" s="107">
        <f t="shared" si="3"/>
        <v>15920000</v>
      </c>
      <c r="N30" s="112">
        <f>F30-(H30*16)</f>
        <v>11104000</v>
      </c>
      <c r="O30" s="117" t="s">
        <v>187</v>
      </c>
      <c r="P30" s="34" t="s">
        <v>93</v>
      </c>
      <c r="Q30" s="111">
        <f t="shared" si="5"/>
        <v>11104000</v>
      </c>
      <c r="R30" s="175">
        <f>+[1]N2!AE50</f>
        <v>11104000</v>
      </c>
      <c r="S30" s="107">
        <f t="shared" si="6"/>
        <v>0</v>
      </c>
      <c r="T30" s="2"/>
      <c r="U30" s="2"/>
      <c r="V30" s="2"/>
      <c r="W30" s="2"/>
      <c r="X30" s="2"/>
      <c r="Y30" s="2"/>
      <c r="Z30" s="2"/>
      <c r="AA30" s="2"/>
      <c r="AB30" s="2"/>
    </row>
    <row r="31" spans="1:28" s="46" customFormat="1">
      <c r="A31" s="36">
        <f t="shared" si="4"/>
        <v>27</v>
      </c>
      <c r="B31" s="104" t="s">
        <v>188</v>
      </c>
      <c r="C31" s="105" t="s">
        <v>189</v>
      </c>
      <c r="D31" s="106" t="s">
        <v>190</v>
      </c>
      <c r="E31" s="41">
        <v>42972</v>
      </c>
      <c r="F31" s="107">
        <f>30000000</f>
        <v>30000000</v>
      </c>
      <c r="G31" s="33">
        <f t="shared" si="0"/>
        <v>42984000</v>
      </c>
      <c r="H31" s="126">
        <v>834000</v>
      </c>
      <c r="I31" s="118">
        <f>F31*1.2%</f>
        <v>360000</v>
      </c>
      <c r="J31" s="36">
        <v>36</v>
      </c>
      <c r="K31" s="110">
        <v>29</v>
      </c>
      <c r="L31" s="30">
        <f t="shared" si="2"/>
        <v>1194000</v>
      </c>
      <c r="M31" s="30">
        <f t="shared" si="3"/>
        <v>34626000</v>
      </c>
      <c r="N31" s="112">
        <f>F31-(H31*7)</f>
        <v>24162000</v>
      </c>
      <c r="O31" s="34" t="s">
        <v>191</v>
      </c>
      <c r="P31" s="34" t="s">
        <v>36</v>
      </c>
      <c r="Q31" s="111">
        <f t="shared" si="5"/>
        <v>24162000</v>
      </c>
      <c r="R31" s="175">
        <f>+[1]N2!AE51</f>
        <v>24162000</v>
      </c>
      <c r="S31" s="107">
        <f t="shared" si="6"/>
        <v>0</v>
      </c>
      <c r="T31" s="2"/>
      <c r="U31" s="2"/>
      <c r="V31" s="2"/>
      <c r="W31" s="2"/>
      <c r="X31" s="2"/>
      <c r="Y31" s="2"/>
      <c r="Z31" s="2"/>
      <c r="AA31" s="2"/>
      <c r="AB31" s="2"/>
    </row>
    <row r="32" spans="1:28" s="46" customFormat="1">
      <c r="A32" s="36">
        <f t="shared" si="4"/>
        <v>28</v>
      </c>
      <c r="B32" s="104" t="s">
        <v>192</v>
      </c>
      <c r="C32" s="105" t="s">
        <v>193</v>
      </c>
      <c r="D32" s="106" t="s">
        <v>194</v>
      </c>
      <c r="E32" s="41">
        <v>42928</v>
      </c>
      <c r="F32" s="107">
        <f>6000000</f>
        <v>6000000</v>
      </c>
      <c r="G32" s="33">
        <f t="shared" si="0"/>
        <v>6864000</v>
      </c>
      <c r="H32" s="126">
        <f>F32/J32</f>
        <v>500000</v>
      </c>
      <c r="I32" s="107">
        <f>+F32*1.2%</f>
        <v>72000</v>
      </c>
      <c r="J32" s="36">
        <v>12</v>
      </c>
      <c r="K32" s="110">
        <v>3</v>
      </c>
      <c r="L32" s="30">
        <f t="shared" si="2"/>
        <v>572000</v>
      </c>
      <c r="M32" s="30">
        <f t="shared" si="3"/>
        <v>1716000</v>
      </c>
      <c r="N32" s="33">
        <f>+H32*K32</f>
        <v>1500000</v>
      </c>
      <c r="O32" s="34" t="s">
        <v>149</v>
      </c>
      <c r="P32" s="34" t="s">
        <v>195</v>
      </c>
      <c r="Q32" s="111">
        <f t="shared" si="5"/>
        <v>1500000</v>
      </c>
      <c r="R32" s="175">
        <f>+[1]N2!AE52</f>
        <v>1500000</v>
      </c>
      <c r="S32" s="107">
        <f t="shared" si="6"/>
        <v>0</v>
      </c>
      <c r="T32" s="2"/>
      <c r="U32" s="2"/>
      <c r="V32" s="2"/>
      <c r="W32" s="2"/>
      <c r="X32" s="2"/>
      <c r="Y32" s="2"/>
      <c r="Z32" s="2"/>
      <c r="AA32" s="2"/>
      <c r="AB32" s="2"/>
    </row>
    <row r="33" spans="1:28" s="46" customFormat="1">
      <c r="A33" s="36">
        <f t="shared" si="4"/>
        <v>29</v>
      </c>
      <c r="B33" s="107" t="s">
        <v>192</v>
      </c>
      <c r="C33" s="119" t="s">
        <v>193</v>
      </c>
      <c r="D33" s="119"/>
      <c r="E33" s="125">
        <v>42612</v>
      </c>
      <c r="F33" s="108">
        <f>24244293+606107+0</f>
        <v>24850400</v>
      </c>
      <c r="G33" s="111">
        <f t="shared" si="0"/>
        <v>32016000</v>
      </c>
      <c r="H33" s="108">
        <f>1334000-I33</f>
        <v>1035795</v>
      </c>
      <c r="I33" s="108">
        <v>298205</v>
      </c>
      <c r="J33" s="120" t="s">
        <v>72</v>
      </c>
      <c r="K33" s="110">
        <v>5</v>
      </c>
      <c r="L33" s="182">
        <f t="shared" si="2"/>
        <v>1334000</v>
      </c>
      <c r="M33" s="107">
        <f t="shared" si="3"/>
        <v>6670000</v>
      </c>
      <c r="N33" s="180">
        <f>F33-(H33*19)</f>
        <v>5170295</v>
      </c>
      <c r="O33" s="117" t="s">
        <v>149</v>
      </c>
      <c r="P33" s="117" t="s">
        <v>196</v>
      </c>
      <c r="Q33" s="111">
        <f t="shared" si="5"/>
        <v>5170295</v>
      </c>
      <c r="R33" s="175">
        <f>+[1]N2!AE53</f>
        <v>5170295</v>
      </c>
      <c r="S33" s="107">
        <f t="shared" si="6"/>
        <v>0</v>
      </c>
      <c r="T33" s="2"/>
      <c r="U33" s="2"/>
      <c r="V33" s="2"/>
      <c r="W33" s="2"/>
      <c r="X33" s="2"/>
      <c r="Y33" s="2"/>
      <c r="Z33" s="2"/>
      <c r="AA33" s="2"/>
      <c r="AB33" s="2"/>
    </row>
    <row r="34" spans="1:28" s="46" customFormat="1">
      <c r="A34" s="36">
        <f t="shared" si="4"/>
        <v>30</v>
      </c>
      <c r="B34" s="104" t="s">
        <v>197</v>
      </c>
      <c r="C34" s="105" t="s">
        <v>198</v>
      </c>
      <c r="D34" s="106" t="s">
        <v>199</v>
      </c>
      <c r="E34" s="41">
        <v>43018</v>
      </c>
      <c r="F34" s="107">
        <f>30000000</f>
        <v>30000000</v>
      </c>
      <c r="G34" s="33">
        <f t="shared" si="0"/>
        <v>42984000</v>
      </c>
      <c r="H34" s="118">
        <f>1194000-I34</f>
        <v>834000</v>
      </c>
      <c r="I34" s="118">
        <f>F34*1.2%</f>
        <v>360000</v>
      </c>
      <c r="J34" s="36">
        <v>36</v>
      </c>
      <c r="K34" s="110">
        <v>30</v>
      </c>
      <c r="L34" s="30">
        <f t="shared" si="2"/>
        <v>1194000</v>
      </c>
      <c r="M34" s="30">
        <f t="shared" si="3"/>
        <v>35820000</v>
      </c>
      <c r="N34" s="112">
        <f>F34-(H34*6)</f>
        <v>24996000</v>
      </c>
      <c r="O34" s="34" t="s">
        <v>124</v>
      </c>
      <c r="P34" s="34" t="s">
        <v>73</v>
      </c>
      <c r="Q34" s="111">
        <f t="shared" si="5"/>
        <v>24996000</v>
      </c>
      <c r="R34" s="175">
        <f>+[1]N2!AE54</f>
        <v>24996000</v>
      </c>
      <c r="S34" s="107">
        <f t="shared" si="6"/>
        <v>0</v>
      </c>
      <c r="T34" s="2"/>
      <c r="U34" s="2"/>
      <c r="V34" s="2"/>
      <c r="W34" s="2"/>
      <c r="X34" s="2"/>
      <c r="Y34" s="2"/>
      <c r="Z34" s="2"/>
      <c r="AA34" s="2"/>
      <c r="AB34" s="2"/>
    </row>
    <row r="35" spans="1:28" s="46" customFormat="1">
      <c r="A35" s="36">
        <f t="shared" si="4"/>
        <v>31</v>
      </c>
      <c r="B35" s="104" t="s">
        <v>200</v>
      </c>
      <c r="C35" s="105" t="s">
        <v>201</v>
      </c>
      <c r="D35" s="28" t="s">
        <v>202</v>
      </c>
      <c r="E35" s="28">
        <v>43154</v>
      </c>
      <c r="F35" s="107">
        <f>24158500+603963+5237537</f>
        <v>30000000</v>
      </c>
      <c r="G35" s="33">
        <f t="shared" si="0"/>
        <v>42984000</v>
      </c>
      <c r="H35" s="118">
        <f>1194000-I35</f>
        <v>834000</v>
      </c>
      <c r="I35" s="118">
        <f>+F35*1.2%</f>
        <v>360000</v>
      </c>
      <c r="J35" s="36">
        <v>36</v>
      </c>
      <c r="K35" s="110">
        <v>35</v>
      </c>
      <c r="L35" s="30">
        <f t="shared" si="2"/>
        <v>1194000</v>
      </c>
      <c r="M35" s="30">
        <f t="shared" si="3"/>
        <v>41790000</v>
      </c>
      <c r="N35" s="38">
        <f>F35-(H35*1)</f>
        <v>29166000</v>
      </c>
      <c r="O35" s="34" t="s">
        <v>203</v>
      </c>
      <c r="P35" s="34" t="s">
        <v>93</v>
      </c>
      <c r="Q35" s="111">
        <f t="shared" si="5"/>
        <v>29166000</v>
      </c>
      <c r="R35" s="175">
        <f>+[1]N2!AE55</f>
        <v>29166000</v>
      </c>
      <c r="S35" s="107">
        <f t="shared" si="6"/>
        <v>0</v>
      </c>
      <c r="T35" s="2"/>
      <c r="U35" s="2"/>
      <c r="V35" s="2"/>
      <c r="W35" s="2"/>
      <c r="X35" s="2"/>
      <c r="Y35" s="2"/>
      <c r="Z35" s="2"/>
      <c r="AA35" s="2"/>
      <c r="AB35" s="2"/>
    </row>
    <row r="36" spans="1:28" s="46" customFormat="1">
      <c r="A36" s="36">
        <f t="shared" si="4"/>
        <v>32</v>
      </c>
      <c r="B36" s="104" t="s">
        <v>204</v>
      </c>
      <c r="C36" s="105" t="s">
        <v>205</v>
      </c>
      <c r="D36" s="106" t="s">
        <v>206</v>
      </c>
      <c r="E36" s="28">
        <v>43097</v>
      </c>
      <c r="F36" s="107">
        <f>20000000</f>
        <v>20000000</v>
      </c>
      <c r="G36" s="33">
        <f t="shared" si="0"/>
        <v>22884000</v>
      </c>
      <c r="H36" s="118">
        <v>1667000</v>
      </c>
      <c r="I36" s="118">
        <f>+F36*1.2%</f>
        <v>240000</v>
      </c>
      <c r="J36" s="36">
        <v>12</v>
      </c>
      <c r="K36" s="110">
        <v>9</v>
      </c>
      <c r="L36" s="30">
        <f t="shared" si="2"/>
        <v>1907000</v>
      </c>
      <c r="M36" s="30">
        <f t="shared" si="3"/>
        <v>17163000</v>
      </c>
      <c r="N36" s="38">
        <f>F36-(H36*3)</f>
        <v>14999000</v>
      </c>
      <c r="O36" s="34" t="s">
        <v>79</v>
      </c>
      <c r="P36" s="34" t="s">
        <v>36</v>
      </c>
      <c r="Q36" s="111">
        <f t="shared" si="5"/>
        <v>14999000</v>
      </c>
      <c r="R36" s="175">
        <f>+[1]N2!AE56</f>
        <v>14999000</v>
      </c>
      <c r="S36" s="107">
        <f t="shared" si="6"/>
        <v>0</v>
      </c>
      <c r="T36" s="2"/>
      <c r="U36" s="2"/>
      <c r="V36" s="2"/>
      <c r="W36" s="2"/>
      <c r="X36" s="2"/>
      <c r="Y36" s="2"/>
      <c r="Z36" s="2"/>
      <c r="AA36" s="2"/>
      <c r="AB36" s="2"/>
    </row>
    <row r="37" spans="1:28" s="46" customFormat="1">
      <c r="A37" s="36">
        <f t="shared" si="4"/>
        <v>33</v>
      </c>
      <c r="B37" s="107" t="s">
        <v>207</v>
      </c>
      <c r="C37" s="119" t="s">
        <v>208</v>
      </c>
      <c r="D37" s="28" t="s">
        <v>209</v>
      </c>
      <c r="E37" s="41">
        <v>42723</v>
      </c>
      <c r="F37" s="108">
        <f>23332000+583300+6084700</f>
        <v>30000000</v>
      </c>
      <c r="G37" s="33">
        <f t="shared" si="0"/>
        <v>42984000</v>
      </c>
      <c r="H37" s="107">
        <v>834000</v>
      </c>
      <c r="I37" s="107">
        <f>+F37*1.2%</f>
        <v>360000</v>
      </c>
      <c r="J37" s="36">
        <v>36</v>
      </c>
      <c r="K37" s="110">
        <v>21</v>
      </c>
      <c r="L37" s="30">
        <f t="shared" si="2"/>
        <v>1194000</v>
      </c>
      <c r="M37" s="107">
        <f t="shared" si="3"/>
        <v>25074000</v>
      </c>
      <c r="N37" s="112">
        <f>F37-(H37*15)</f>
        <v>17490000</v>
      </c>
      <c r="O37" s="117" t="s">
        <v>210</v>
      </c>
      <c r="P37" s="34" t="s">
        <v>31</v>
      </c>
      <c r="Q37" s="111">
        <f t="shared" si="5"/>
        <v>17490000</v>
      </c>
      <c r="R37" s="175">
        <f>+[1]N2!AE57</f>
        <v>17490000</v>
      </c>
      <c r="S37" s="107">
        <f t="shared" si="6"/>
        <v>0</v>
      </c>
      <c r="T37" s="2"/>
      <c r="U37" s="2"/>
      <c r="V37" s="2"/>
      <c r="W37" s="2"/>
      <c r="X37" s="2"/>
      <c r="Y37" s="2"/>
      <c r="Z37" s="2"/>
      <c r="AA37" s="2"/>
      <c r="AB37" s="2"/>
    </row>
    <row r="38" spans="1:28" s="46" customFormat="1">
      <c r="A38" s="36">
        <f t="shared" si="4"/>
        <v>34</v>
      </c>
      <c r="B38" s="104" t="s">
        <v>211</v>
      </c>
      <c r="C38" s="105" t="s">
        <v>212</v>
      </c>
      <c r="D38" s="28" t="s">
        <v>213</v>
      </c>
      <c r="E38" s="41">
        <v>42886</v>
      </c>
      <c r="F38" s="107">
        <f>14000000</f>
        <v>14000000</v>
      </c>
      <c r="G38" s="33">
        <f t="shared" si="0"/>
        <v>17037000</v>
      </c>
      <c r="H38" s="107">
        <f>946500-I38</f>
        <v>778500</v>
      </c>
      <c r="I38" s="107">
        <f>+F38*1.2%</f>
        <v>168000</v>
      </c>
      <c r="J38" s="36">
        <v>18</v>
      </c>
      <c r="K38" s="110">
        <v>8</v>
      </c>
      <c r="L38" s="30">
        <f t="shared" si="2"/>
        <v>946500</v>
      </c>
      <c r="M38" s="30">
        <f t="shared" si="3"/>
        <v>7572000</v>
      </c>
      <c r="N38" s="112">
        <f>F38-(H38*10)</f>
        <v>6215000</v>
      </c>
      <c r="O38" s="34" t="s">
        <v>214</v>
      </c>
      <c r="P38" s="34" t="s">
        <v>36</v>
      </c>
      <c r="Q38" s="111">
        <f t="shared" si="5"/>
        <v>6215000</v>
      </c>
      <c r="R38" s="175">
        <f>+[1]N2!AE58</f>
        <v>6215000</v>
      </c>
      <c r="S38" s="107">
        <f t="shared" si="6"/>
        <v>0</v>
      </c>
      <c r="T38" s="2"/>
      <c r="U38" s="2"/>
      <c r="V38" s="2"/>
      <c r="W38" s="2"/>
      <c r="X38" s="2"/>
      <c r="Y38" s="2"/>
      <c r="Z38" s="2"/>
      <c r="AA38" s="2"/>
      <c r="AB38" s="2"/>
    </row>
    <row r="39" spans="1:28" s="46" customFormat="1">
      <c r="A39" s="36">
        <f t="shared" si="4"/>
        <v>35</v>
      </c>
      <c r="B39" s="104" t="s">
        <v>215</v>
      </c>
      <c r="C39" s="105" t="s">
        <v>216</v>
      </c>
      <c r="D39" s="105" t="s">
        <v>217</v>
      </c>
      <c r="E39" s="41">
        <v>42779</v>
      </c>
      <c r="F39" s="107">
        <f>13332000+333300+261290+16073410</f>
        <v>30000000</v>
      </c>
      <c r="G39" s="33">
        <f t="shared" si="0"/>
        <v>42984000</v>
      </c>
      <c r="H39" s="107">
        <f>1194000-I39</f>
        <v>834000</v>
      </c>
      <c r="I39" s="107">
        <f>+F39*1.2%</f>
        <v>360000</v>
      </c>
      <c r="J39" s="36">
        <v>36</v>
      </c>
      <c r="K39" s="110">
        <v>22</v>
      </c>
      <c r="L39" s="30">
        <f t="shared" si="2"/>
        <v>1194000</v>
      </c>
      <c r="M39" s="30">
        <f t="shared" si="3"/>
        <v>26268000</v>
      </c>
      <c r="N39" s="112">
        <f>F39-(H39*14)</f>
        <v>18324000</v>
      </c>
      <c r="O39" s="34" t="s">
        <v>95</v>
      </c>
      <c r="P39" s="34" t="s">
        <v>31</v>
      </c>
      <c r="Q39" s="111">
        <f t="shared" si="5"/>
        <v>18324000</v>
      </c>
      <c r="R39" s="175">
        <f>+[1]N2!AE59</f>
        <v>18324000</v>
      </c>
      <c r="S39" s="107">
        <f t="shared" si="6"/>
        <v>0</v>
      </c>
      <c r="T39" s="2"/>
      <c r="U39" s="2"/>
      <c r="V39" s="2"/>
      <c r="W39" s="2"/>
      <c r="X39" s="2"/>
      <c r="Y39" s="2"/>
      <c r="Z39" s="2"/>
      <c r="AA39" s="2"/>
      <c r="AB39" s="2"/>
    </row>
    <row r="40" spans="1:28" s="46" customFormat="1">
      <c r="A40" s="36">
        <f t="shared" si="4"/>
        <v>36</v>
      </c>
      <c r="B40" s="104" t="s">
        <v>218</v>
      </c>
      <c r="C40" s="105" t="s">
        <v>219</v>
      </c>
      <c r="D40" s="106" t="s">
        <v>220</v>
      </c>
      <c r="E40" s="41">
        <v>42991</v>
      </c>
      <c r="F40" s="107">
        <f>30000000</f>
        <v>30000000</v>
      </c>
      <c r="G40" s="33">
        <f t="shared" si="0"/>
        <v>38640000</v>
      </c>
      <c r="H40" s="126">
        <f>+F40/J40</f>
        <v>1250000</v>
      </c>
      <c r="I40" s="118">
        <f>F40*1.2%</f>
        <v>360000</v>
      </c>
      <c r="J40" s="36">
        <v>24</v>
      </c>
      <c r="K40" s="110">
        <v>17</v>
      </c>
      <c r="L40" s="30">
        <f t="shared" si="2"/>
        <v>1610000</v>
      </c>
      <c r="M40" s="30">
        <f t="shared" si="3"/>
        <v>27370000</v>
      </c>
      <c r="N40" s="33">
        <f>+H40*K40</f>
        <v>21250000</v>
      </c>
      <c r="O40" s="34" t="s">
        <v>221</v>
      </c>
      <c r="P40" s="34" t="s">
        <v>36</v>
      </c>
      <c r="Q40" s="111">
        <f t="shared" si="5"/>
        <v>21250000</v>
      </c>
      <c r="R40" s="175">
        <f>+[1]N2!AE60</f>
        <v>21250000</v>
      </c>
      <c r="S40" s="107">
        <f t="shared" si="6"/>
        <v>0</v>
      </c>
      <c r="T40" s="2"/>
      <c r="U40" s="2"/>
      <c r="V40" s="2"/>
      <c r="W40" s="2"/>
      <c r="X40" s="2"/>
      <c r="Y40" s="2"/>
      <c r="Z40" s="2"/>
      <c r="AA40" s="2"/>
      <c r="AB40" s="2"/>
    </row>
    <row r="41" spans="1:28" s="46" customFormat="1">
      <c r="A41" s="36">
        <f t="shared" si="4"/>
        <v>37</v>
      </c>
      <c r="B41" s="107" t="s">
        <v>222</v>
      </c>
      <c r="C41" s="119" t="s">
        <v>223</v>
      </c>
      <c r="D41" s="119"/>
      <c r="E41" s="125">
        <v>42517</v>
      </c>
      <c r="F41" s="108">
        <f>19244592+481115+10274293</f>
        <v>30000000</v>
      </c>
      <c r="G41" s="108">
        <f t="shared" si="0"/>
        <v>38640000</v>
      </c>
      <c r="H41" s="107">
        <f>+F41/J41</f>
        <v>1250000</v>
      </c>
      <c r="I41" s="108">
        <f t="shared" ref="I41:I51" si="8">+F41*1.2%</f>
        <v>360000</v>
      </c>
      <c r="J41" s="120" t="s">
        <v>72</v>
      </c>
      <c r="K41" s="110">
        <v>2</v>
      </c>
      <c r="L41" s="107">
        <f t="shared" si="2"/>
        <v>1610000</v>
      </c>
      <c r="M41" s="107">
        <f t="shared" si="3"/>
        <v>3220000</v>
      </c>
      <c r="N41" s="107">
        <f>+H41*K41</f>
        <v>2500000</v>
      </c>
      <c r="O41" s="117" t="s">
        <v>224</v>
      </c>
      <c r="P41" s="117" t="s">
        <v>225</v>
      </c>
      <c r="Q41" s="111">
        <f t="shared" si="5"/>
        <v>2500000</v>
      </c>
      <c r="R41" s="175">
        <f>+[1]N2!AE61</f>
        <v>2500000</v>
      </c>
      <c r="S41" s="107">
        <f t="shared" si="6"/>
        <v>0</v>
      </c>
      <c r="T41" s="2"/>
      <c r="U41" s="2"/>
      <c r="V41" s="2"/>
      <c r="W41" s="2"/>
      <c r="X41" s="2"/>
      <c r="Y41" s="2"/>
      <c r="Z41" s="2"/>
      <c r="AA41" s="2"/>
      <c r="AB41" s="2"/>
    </row>
    <row r="42" spans="1:28" s="46" customFormat="1">
      <c r="A42" s="36">
        <f t="shared" si="4"/>
        <v>38</v>
      </c>
      <c r="B42" s="104" t="s">
        <v>226</v>
      </c>
      <c r="C42" s="105" t="s">
        <v>227</v>
      </c>
      <c r="D42" s="106" t="s">
        <v>228</v>
      </c>
      <c r="E42" s="41">
        <v>42879</v>
      </c>
      <c r="F42" s="107">
        <f>1666700+41668+28291632</f>
        <v>30000000</v>
      </c>
      <c r="G42" s="33">
        <f t="shared" si="0"/>
        <v>43002000</v>
      </c>
      <c r="H42" s="107">
        <v>834500</v>
      </c>
      <c r="I42" s="107">
        <f t="shared" si="8"/>
        <v>360000</v>
      </c>
      <c r="J42" s="36">
        <v>36</v>
      </c>
      <c r="K42" s="110">
        <v>26</v>
      </c>
      <c r="L42" s="30">
        <f t="shared" si="2"/>
        <v>1194500</v>
      </c>
      <c r="M42" s="30">
        <f t="shared" si="3"/>
        <v>31057000</v>
      </c>
      <c r="N42" s="112">
        <f>F42-(H42*10)</f>
        <v>21655000</v>
      </c>
      <c r="O42" s="34" t="s">
        <v>229</v>
      </c>
      <c r="P42" s="34" t="s">
        <v>31</v>
      </c>
      <c r="Q42" s="111">
        <f t="shared" si="5"/>
        <v>21655000</v>
      </c>
      <c r="R42" s="175">
        <f>+[1]N2!AE62</f>
        <v>21655000</v>
      </c>
      <c r="S42" s="107">
        <f t="shared" si="6"/>
        <v>0</v>
      </c>
      <c r="T42" s="2"/>
      <c r="U42" s="2"/>
      <c r="V42" s="2"/>
      <c r="W42" s="2"/>
      <c r="X42" s="2"/>
      <c r="Y42" s="2"/>
      <c r="Z42" s="2"/>
      <c r="AA42" s="2"/>
      <c r="AB42" s="2"/>
    </row>
    <row r="43" spans="1:28" s="46" customFormat="1">
      <c r="A43" s="36">
        <f t="shared" si="4"/>
        <v>39</v>
      </c>
      <c r="B43" s="107" t="s">
        <v>230</v>
      </c>
      <c r="C43" s="119" t="s">
        <v>231</v>
      </c>
      <c r="D43" s="119"/>
      <c r="E43" s="125">
        <v>42516</v>
      </c>
      <c r="F43" s="108">
        <f>130000+3250+14866750</f>
        <v>15000000</v>
      </c>
      <c r="G43" s="108">
        <f t="shared" si="0"/>
        <v>21492000</v>
      </c>
      <c r="H43" s="131">
        <f>597000-I43</f>
        <v>417000</v>
      </c>
      <c r="I43" s="108">
        <f t="shared" si="8"/>
        <v>180000</v>
      </c>
      <c r="J43" s="120" t="s">
        <v>82</v>
      </c>
      <c r="K43" s="110">
        <v>14</v>
      </c>
      <c r="L43" s="107">
        <f t="shared" si="2"/>
        <v>597000</v>
      </c>
      <c r="M43" s="107">
        <f t="shared" si="3"/>
        <v>8358000</v>
      </c>
      <c r="N43" s="179">
        <f>F43-(H43*22)</f>
        <v>5826000</v>
      </c>
      <c r="O43" s="117" t="s">
        <v>224</v>
      </c>
      <c r="P43" s="117" t="s">
        <v>225</v>
      </c>
      <c r="Q43" s="111">
        <f t="shared" si="5"/>
        <v>5826000</v>
      </c>
      <c r="R43" s="175">
        <f>+[1]N2!AE63</f>
        <v>5826000</v>
      </c>
      <c r="S43" s="107">
        <f t="shared" si="6"/>
        <v>0</v>
      </c>
      <c r="T43" s="2"/>
      <c r="U43" s="2"/>
      <c r="V43" s="2"/>
      <c r="W43" s="2"/>
      <c r="X43" s="2"/>
      <c r="Y43" s="2"/>
      <c r="Z43" s="2"/>
      <c r="AA43" s="2"/>
      <c r="AB43" s="2"/>
    </row>
    <row r="44" spans="1:28" s="46" customFormat="1">
      <c r="A44" s="36">
        <f t="shared" si="4"/>
        <v>40</v>
      </c>
      <c r="B44" s="104" t="s">
        <v>232</v>
      </c>
      <c r="C44" s="105" t="s">
        <v>233</v>
      </c>
      <c r="D44" s="28" t="s">
        <v>234</v>
      </c>
      <c r="E44" s="41">
        <v>42818</v>
      </c>
      <c r="F44" s="107">
        <f>13332000+333300+16334700</f>
        <v>30000000</v>
      </c>
      <c r="G44" s="33">
        <f t="shared" si="0"/>
        <v>42984000</v>
      </c>
      <c r="H44" s="107">
        <v>834000</v>
      </c>
      <c r="I44" s="107">
        <f t="shared" si="8"/>
        <v>360000</v>
      </c>
      <c r="J44" s="36">
        <v>36</v>
      </c>
      <c r="K44" s="110">
        <v>24</v>
      </c>
      <c r="L44" s="30">
        <f t="shared" si="2"/>
        <v>1194000</v>
      </c>
      <c r="M44" s="30">
        <f t="shared" si="3"/>
        <v>28656000</v>
      </c>
      <c r="N44" s="112">
        <f>F44-(H44*12)</f>
        <v>19992000</v>
      </c>
      <c r="O44" s="34" t="s">
        <v>235</v>
      </c>
      <c r="P44" s="34" t="s">
        <v>31</v>
      </c>
      <c r="Q44" s="111">
        <f t="shared" si="5"/>
        <v>19992000</v>
      </c>
      <c r="R44" s="175">
        <f>+[1]N2!AE64</f>
        <v>19992000</v>
      </c>
      <c r="S44" s="107">
        <f t="shared" si="6"/>
        <v>0</v>
      </c>
      <c r="T44" s="2"/>
      <c r="U44" s="2"/>
      <c r="V44" s="2"/>
      <c r="W44" s="2"/>
      <c r="X44" s="2"/>
      <c r="Y44" s="2"/>
      <c r="Z44" s="2"/>
      <c r="AA44" s="2"/>
      <c r="AB44" s="2"/>
    </row>
    <row r="45" spans="1:28" s="46" customFormat="1">
      <c r="A45" s="36">
        <f t="shared" si="4"/>
        <v>41</v>
      </c>
      <c r="B45" s="104" t="s">
        <v>236</v>
      </c>
      <c r="C45" s="106" t="s">
        <v>237</v>
      </c>
      <c r="D45" s="106"/>
      <c r="E45" s="41">
        <v>42307</v>
      </c>
      <c r="F45" s="107">
        <f>15000000</f>
        <v>15000000</v>
      </c>
      <c r="G45" s="176">
        <f t="shared" si="0"/>
        <v>21481200</v>
      </c>
      <c r="H45" s="107">
        <v>416700</v>
      </c>
      <c r="I45" s="108">
        <f t="shared" si="8"/>
        <v>180000</v>
      </c>
      <c r="J45" s="36">
        <v>36</v>
      </c>
      <c r="K45" s="110">
        <v>7</v>
      </c>
      <c r="L45" s="107">
        <f t="shared" si="2"/>
        <v>596700</v>
      </c>
      <c r="M45" s="107">
        <f t="shared" si="3"/>
        <v>4176900</v>
      </c>
      <c r="N45" s="180">
        <f>F45-(H45*29)</f>
        <v>2915700</v>
      </c>
      <c r="O45" s="137" t="s">
        <v>99</v>
      </c>
      <c r="P45" s="117" t="s">
        <v>36</v>
      </c>
      <c r="Q45" s="111">
        <f t="shared" si="5"/>
        <v>2915700</v>
      </c>
      <c r="R45" s="175">
        <f>+[1]N2!AE65</f>
        <v>2915700</v>
      </c>
      <c r="S45" s="107">
        <f t="shared" si="6"/>
        <v>0</v>
      </c>
      <c r="T45" s="2"/>
      <c r="U45" s="2"/>
      <c r="V45" s="2"/>
      <c r="W45" s="2"/>
      <c r="X45" s="2"/>
      <c r="Y45" s="2"/>
      <c r="Z45" s="2"/>
      <c r="AA45" s="2"/>
      <c r="AB45" s="2"/>
    </row>
    <row r="46" spans="1:28" s="46" customFormat="1">
      <c r="A46" s="36">
        <f t="shared" si="4"/>
        <v>42</v>
      </c>
      <c r="B46" s="104" t="s">
        <v>238</v>
      </c>
      <c r="C46" s="105" t="s">
        <v>239</v>
      </c>
      <c r="D46" s="105" t="s">
        <v>240</v>
      </c>
      <c r="E46" s="41">
        <v>42810</v>
      </c>
      <c r="F46" s="107">
        <f>10000000</f>
        <v>10000000</v>
      </c>
      <c r="G46" s="33">
        <f t="shared" si="0"/>
        <v>12900000</v>
      </c>
      <c r="H46" s="107">
        <f>537500-I46</f>
        <v>417500</v>
      </c>
      <c r="I46" s="107">
        <f t="shared" si="8"/>
        <v>120000</v>
      </c>
      <c r="J46" s="36">
        <v>24</v>
      </c>
      <c r="K46" s="110">
        <v>11</v>
      </c>
      <c r="L46" s="30">
        <f t="shared" si="2"/>
        <v>537500</v>
      </c>
      <c r="M46" s="30">
        <f t="shared" si="3"/>
        <v>5912500</v>
      </c>
      <c r="N46" s="112">
        <f>F46-(H46*13)</f>
        <v>4572500</v>
      </c>
      <c r="O46" s="34" t="s">
        <v>241</v>
      </c>
      <c r="P46" s="34" t="s">
        <v>36</v>
      </c>
      <c r="Q46" s="111">
        <f t="shared" si="5"/>
        <v>4572500</v>
      </c>
      <c r="R46" s="175">
        <f>+[1]N2!AE66</f>
        <v>4572500</v>
      </c>
      <c r="S46" s="107">
        <f t="shared" si="6"/>
        <v>0</v>
      </c>
      <c r="T46" s="2"/>
      <c r="U46" s="2"/>
      <c r="V46" s="2"/>
      <c r="W46" s="2"/>
      <c r="X46" s="2"/>
      <c r="Y46" s="2"/>
      <c r="Z46" s="2"/>
      <c r="AA46" s="2"/>
      <c r="AB46" s="2"/>
    </row>
    <row r="47" spans="1:28" s="46" customFormat="1">
      <c r="A47" s="36">
        <f t="shared" si="4"/>
        <v>43</v>
      </c>
      <c r="B47" s="104" t="s">
        <v>242</v>
      </c>
      <c r="C47" s="105" t="s">
        <v>243</v>
      </c>
      <c r="D47" s="28" t="s">
        <v>244</v>
      </c>
      <c r="E47" s="28">
        <v>43103</v>
      </c>
      <c r="F47" s="126">
        <f>9162000+229050+87097+5521853</f>
        <v>15000000</v>
      </c>
      <c r="G47" s="33">
        <f t="shared" si="0"/>
        <v>21492000</v>
      </c>
      <c r="H47" s="118">
        <f>597000-I47</f>
        <v>417000</v>
      </c>
      <c r="I47" s="118">
        <f t="shared" si="8"/>
        <v>180000</v>
      </c>
      <c r="J47" s="36">
        <v>36</v>
      </c>
      <c r="K47" s="110">
        <v>33</v>
      </c>
      <c r="L47" s="30">
        <f t="shared" si="2"/>
        <v>597000</v>
      </c>
      <c r="M47" s="30">
        <f t="shared" si="3"/>
        <v>19701000</v>
      </c>
      <c r="N47" s="38">
        <f>F47-(H47*3)</f>
        <v>13749000</v>
      </c>
      <c r="O47" s="34" t="s">
        <v>245</v>
      </c>
      <c r="P47" s="34" t="s">
        <v>75</v>
      </c>
      <c r="Q47" s="111">
        <f t="shared" si="5"/>
        <v>13749000</v>
      </c>
      <c r="R47" s="175">
        <f>+[1]N2!AE67</f>
        <v>13749000</v>
      </c>
      <c r="S47" s="107">
        <f t="shared" si="6"/>
        <v>0</v>
      </c>
      <c r="T47" s="2"/>
      <c r="U47" s="2"/>
      <c r="V47" s="2"/>
      <c r="W47" s="2"/>
      <c r="X47" s="2"/>
      <c r="Y47" s="2"/>
      <c r="Z47" s="2"/>
      <c r="AA47" s="2"/>
      <c r="AB47" s="2"/>
    </row>
    <row r="48" spans="1:28" s="46" customFormat="1">
      <c r="A48" s="36">
        <f t="shared" si="4"/>
        <v>44</v>
      </c>
      <c r="B48" s="104" t="s">
        <v>246</v>
      </c>
      <c r="C48" s="105" t="s">
        <v>247</v>
      </c>
      <c r="D48" s="106" t="s">
        <v>248</v>
      </c>
      <c r="E48" s="28">
        <v>43108</v>
      </c>
      <c r="F48" s="107">
        <f>15000000</f>
        <v>15000000</v>
      </c>
      <c r="G48" s="33">
        <f t="shared" si="0"/>
        <v>21492000</v>
      </c>
      <c r="H48" s="118">
        <f>597000-I48</f>
        <v>417000</v>
      </c>
      <c r="I48" s="118">
        <f t="shared" si="8"/>
        <v>180000</v>
      </c>
      <c r="J48" s="36">
        <v>36</v>
      </c>
      <c r="K48" s="110">
        <v>33</v>
      </c>
      <c r="L48" s="30">
        <f t="shared" si="2"/>
        <v>597000</v>
      </c>
      <c r="M48" s="30">
        <f t="shared" si="3"/>
        <v>19701000</v>
      </c>
      <c r="N48" s="38">
        <f>F48-(H48*3)</f>
        <v>13749000</v>
      </c>
      <c r="O48" s="34" t="s">
        <v>249</v>
      </c>
      <c r="P48" s="34" t="s">
        <v>36</v>
      </c>
      <c r="Q48" s="111">
        <f t="shared" si="5"/>
        <v>13749000</v>
      </c>
      <c r="R48" s="175">
        <f>+[1]N2!AE68</f>
        <v>13749000</v>
      </c>
      <c r="S48" s="107">
        <f t="shared" si="6"/>
        <v>0</v>
      </c>
      <c r="T48" s="2"/>
      <c r="U48" s="2"/>
      <c r="V48" s="2"/>
      <c r="W48" s="2"/>
      <c r="X48" s="2"/>
      <c r="Y48" s="2"/>
      <c r="Z48" s="2"/>
      <c r="AA48" s="2"/>
      <c r="AB48" s="2"/>
    </row>
    <row r="49" spans="1:28" s="46" customFormat="1">
      <c r="A49" s="36">
        <f t="shared" si="4"/>
        <v>45</v>
      </c>
      <c r="B49" s="104" t="s">
        <v>250</v>
      </c>
      <c r="C49" s="105" t="s">
        <v>251</v>
      </c>
      <c r="D49" s="28" t="s">
        <v>252</v>
      </c>
      <c r="E49" s="28">
        <v>43102</v>
      </c>
      <c r="F49" s="107">
        <f>16656000+416400+139355+12788245</f>
        <v>30000000</v>
      </c>
      <c r="G49" s="33">
        <f t="shared" si="0"/>
        <v>42984000</v>
      </c>
      <c r="H49" s="118">
        <f>1194000-I49</f>
        <v>834000</v>
      </c>
      <c r="I49" s="118">
        <f t="shared" si="8"/>
        <v>360000</v>
      </c>
      <c r="J49" s="36">
        <v>36</v>
      </c>
      <c r="K49" s="110">
        <v>33</v>
      </c>
      <c r="L49" s="30">
        <f t="shared" si="2"/>
        <v>1194000</v>
      </c>
      <c r="M49" s="30">
        <f t="shared" si="3"/>
        <v>39402000</v>
      </c>
      <c r="N49" s="38">
        <f>F49-(H49*3)</f>
        <v>27498000</v>
      </c>
      <c r="O49" s="34" t="s">
        <v>95</v>
      </c>
      <c r="P49" s="34" t="s">
        <v>75</v>
      </c>
      <c r="Q49" s="111">
        <f t="shared" si="5"/>
        <v>27498000</v>
      </c>
      <c r="R49" s="175">
        <f>+[1]N2!AE69</f>
        <v>27498000</v>
      </c>
      <c r="S49" s="107">
        <f t="shared" si="6"/>
        <v>0</v>
      </c>
      <c r="T49" s="2"/>
      <c r="U49" s="2"/>
      <c r="V49" s="2"/>
      <c r="W49" s="2"/>
      <c r="X49" s="2"/>
      <c r="Y49" s="2"/>
      <c r="Z49" s="2"/>
      <c r="AA49" s="2"/>
      <c r="AB49" s="2"/>
    </row>
    <row r="50" spans="1:28" s="46" customFormat="1">
      <c r="A50" s="36">
        <f t="shared" si="4"/>
        <v>46</v>
      </c>
      <c r="B50" s="107" t="s">
        <v>253</v>
      </c>
      <c r="C50" s="119" t="s">
        <v>254</v>
      </c>
      <c r="D50" s="119"/>
      <c r="E50" s="125">
        <v>42615</v>
      </c>
      <c r="F50" s="108">
        <f>23332000+583300+141290+5943410</f>
        <v>30000000</v>
      </c>
      <c r="G50" s="111">
        <f t="shared" si="0"/>
        <v>42984000</v>
      </c>
      <c r="H50" s="107">
        <v>834000</v>
      </c>
      <c r="I50" s="108">
        <f t="shared" si="8"/>
        <v>360000</v>
      </c>
      <c r="J50" s="120" t="s">
        <v>82</v>
      </c>
      <c r="K50" s="110">
        <v>17</v>
      </c>
      <c r="L50" s="182">
        <f t="shared" si="2"/>
        <v>1194000</v>
      </c>
      <c r="M50" s="107">
        <f t="shared" si="3"/>
        <v>20298000</v>
      </c>
      <c r="N50" s="179">
        <f>F50-(H50*19)</f>
        <v>14154000</v>
      </c>
      <c r="O50" s="117" t="s">
        <v>255</v>
      </c>
      <c r="P50" s="117" t="s">
        <v>31</v>
      </c>
      <c r="Q50" s="111">
        <f t="shared" si="5"/>
        <v>14154000</v>
      </c>
      <c r="R50" s="175">
        <f>+[1]N2!AE70</f>
        <v>14154000</v>
      </c>
      <c r="S50" s="107">
        <f t="shared" si="6"/>
        <v>0</v>
      </c>
      <c r="T50" s="2"/>
      <c r="U50" s="2"/>
      <c r="V50" s="2"/>
      <c r="W50" s="2"/>
      <c r="X50" s="2"/>
      <c r="Y50" s="2"/>
      <c r="Z50" s="2"/>
      <c r="AA50" s="2"/>
      <c r="AB50" s="2"/>
    </row>
    <row r="51" spans="1:28" s="46" customFormat="1">
      <c r="A51" s="36">
        <f t="shared" si="4"/>
        <v>47</v>
      </c>
      <c r="B51" s="104" t="s">
        <v>256</v>
      </c>
      <c r="C51" s="105" t="s">
        <v>257</v>
      </c>
      <c r="D51" s="106" t="s">
        <v>258</v>
      </c>
      <c r="E51" s="41">
        <v>43034</v>
      </c>
      <c r="F51" s="107">
        <f>24162000+604050+5233950</f>
        <v>30000000</v>
      </c>
      <c r="G51" s="33">
        <f t="shared" si="0"/>
        <v>42984000</v>
      </c>
      <c r="H51" s="118">
        <v>834000</v>
      </c>
      <c r="I51" s="118">
        <f t="shared" si="8"/>
        <v>360000</v>
      </c>
      <c r="J51" s="36">
        <v>36</v>
      </c>
      <c r="K51" s="110">
        <v>31</v>
      </c>
      <c r="L51" s="30">
        <f t="shared" si="2"/>
        <v>1194000</v>
      </c>
      <c r="M51" s="30">
        <f t="shared" si="3"/>
        <v>37014000</v>
      </c>
      <c r="N51" s="38">
        <f>F51-(H51*5)</f>
        <v>25830000</v>
      </c>
      <c r="O51" s="34" t="s">
        <v>249</v>
      </c>
      <c r="P51" s="34" t="s">
        <v>31</v>
      </c>
      <c r="Q51" s="111">
        <f t="shared" si="5"/>
        <v>25830000</v>
      </c>
      <c r="R51" s="175">
        <f>+[1]N2!AE71</f>
        <v>25830000</v>
      </c>
      <c r="S51" s="107">
        <f t="shared" si="6"/>
        <v>0</v>
      </c>
      <c r="T51" s="2"/>
      <c r="U51" s="2"/>
      <c r="V51" s="2"/>
      <c r="W51" s="2"/>
      <c r="X51" s="2"/>
      <c r="Y51" s="2"/>
      <c r="Z51" s="2"/>
      <c r="AA51" s="2"/>
      <c r="AB51" s="2"/>
    </row>
    <row r="52" spans="1:28" s="46" customFormat="1">
      <c r="A52" s="36">
        <f t="shared" si="4"/>
        <v>48</v>
      </c>
      <c r="B52" s="104" t="s">
        <v>259</v>
      </c>
      <c r="C52" s="105" t="s">
        <v>260</v>
      </c>
      <c r="D52" s="106" t="s">
        <v>261</v>
      </c>
      <c r="E52" s="41">
        <v>42982</v>
      </c>
      <c r="F52" s="107">
        <f>6110000+152750+118194+13619056</f>
        <v>20000000</v>
      </c>
      <c r="G52" s="33">
        <f t="shared" si="0"/>
        <v>28656000</v>
      </c>
      <c r="H52" s="126">
        <f>796000-I52</f>
        <v>556000</v>
      </c>
      <c r="I52" s="118">
        <f>F52*1.2%</f>
        <v>240000</v>
      </c>
      <c r="J52" s="36">
        <v>36</v>
      </c>
      <c r="K52" s="110">
        <v>29</v>
      </c>
      <c r="L52" s="30">
        <f t="shared" si="2"/>
        <v>796000</v>
      </c>
      <c r="M52" s="30">
        <f t="shared" si="3"/>
        <v>23084000</v>
      </c>
      <c r="N52" s="112">
        <f>F52-(H52*7)</f>
        <v>16108000</v>
      </c>
      <c r="O52" s="34" t="s">
        <v>262</v>
      </c>
      <c r="P52" s="34" t="s">
        <v>93</v>
      </c>
      <c r="Q52" s="111">
        <f t="shared" si="5"/>
        <v>16108000</v>
      </c>
      <c r="R52" s="175">
        <f>+[1]N2!AE72</f>
        <v>16108000</v>
      </c>
      <c r="S52" s="107">
        <f t="shared" si="6"/>
        <v>0</v>
      </c>
      <c r="T52" s="2"/>
      <c r="U52" s="2"/>
      <c r="V52" s="2"/>
      <c r="W52" s="2"/>
      <c r="X52" s="2"/>
      <c r="Y52" s="2"/>
      <c r="Z52" s="2"/>
      <c r="AA52" s="2"/>
      <c r="AB52" s="2"/>
    </row>
    <row r="53" spans="1:28" s="46" customFormat="1">
      <c r="A53" s="36">
        <f t="shared" si="4"/>
        <v>49</v>
      </c>
      <c r="B53" s="107" t="s">
        <v>263</v>
      </c>
      <c r="C53" s="119" t="s">
        <v>264</v>
      </c>
      <c r="D53" s="119"/>
      <c r="E53" s="41">
        <v>42636</v>
      </c>
      <c r="F53" s="108">
        <f>8750000+218750+6031250</f>
        <v>15000000</v>
      </c>
      <c r="G53" s="111">
        <f t="shared" si="0"/>
        <v>21492000</v>
      </c>
      <c r="H53" s="107">
        <v>417000</v>
      </c>
      <c r="I53" s="108">
        <f t="shared" ref="I53:I70" si="9">+F53*1.2%</f>
        <v>180000</v>
      </c>
      <c r="J53" s="120" t="s">
        <v>82</v>
      </c>
      <c r="K53" s="110">
        <v>18</v>
      </c>
      <c r="L53" s="30">
        <f t="shared" si="2"/>
        <v>597000</v>
      </c>
      <c r="M53" s="107">
        <f t="shared" si="3"/>
        <v>10746000</v>
      </c>
      <c r="N53" s="112">
        <f>F53-(H53*18)</f>
        <v>7494000</v>
      </c>
      <c r="O53" s="117" t="s">
        <v>265</v>
      </c>
      <c r="P53" s="117" t="s">
        <v>31</v>
      </c>
      <c r="Q53" s="111">
        <f t="shared" si="5"/>
        <v>7494000</v>
      </c>
      <c r="R53" s="175">
        <f>+[1]N2!AE73</f>
        <v>7494000</v>
      </c>
      <c r="S53" s="107">
        <f t="shared" si="6"/>
        <v>0</v>
      </c>
      <c r="T53" s="2"/>
      <c r="U53" s="2"/>
      <c r="V53" s="2"/>
      <c r="W53" s="2"/>
      <c r="X53" s="2"/>
      <c r="Y53" s="2"/>
      <c r="Z53" s="2"/>
      <c r="AA53" s="2"/>
      <c r="AB53" s="2"/>
    </row>
    <row r="54" spans="1:28" s="46" customFormat="1">
      <c r="A54" s="36">
        <f t="shared" si="4"/>
        <v>50</v>
      </c>
      <c r="B54" s="104" t="s">
        <v>266</v>
      </c>
      <c r="C54" s="105" t="s">
        <v>267</v>
      </c>
      <c r="D54" s="106" t="s">
        <v>268</v>
      </c>
      <c r="E54" s="41">
        <v>43039</v>
      </c>
      <c r="F54" s="107">
        <f>15000000</f>
        <v>15000000</v>
      </c>
      <c r="G54" s="33">
        <f t="shared" si="0"/>
        <v>21492000</v>
      </c>
      <c r="H54" s="118">
        <f>597000-I54</f>
        <v>417000</v>
      </c>
      <c r="I54" s="118">
        <f t="shared" si="9"/>
        <v>180000</v>
      </c>
      <c r="J54" s="36">
        <v>36</v>
      </c>
      <c r="K54" s="110">
        <v>31</v>
      </c>
      <c r="L54" s="30">
        <f t="shared" si="2"/>
        <v>597000</v>
      </c>
      <c r="M54" s="30">
        <f t="shared" si="3"/>
        <v>18507000</v>
      </c>
      <c r="N54" s="38">
        <f>F54-(H54*5)</f>
        <v>12915000</v>
      </c>
      <c r="O54" s="34" t="s">
        <v>191</v>
      </c>
      <c r="P54" s="34" t="s">
        <v>36</v>
      </c>
      <c r="Q54" s="111">
        <f t="shared" si="5"/>
        <v>12915000</v>
      </c>
      <c r="R54" s="175">
        <f>+[1]N2!AE74</f>
        <v>12915000</v>
      </c>
      <c r="S54" s="107">
        <f t="shared" si="6"/>
        <v>0</v>
      </c>
      <c r="T54" s="2"/>
      <c r="U54" s="2"/>
      <c r="V54" s="2"/>
      <c r="W54" s="2"/>
      <c r="X54" s="2"/>
      <c r="Y54" s="2"/>
      <c r="Z54" s="2"/>
      <c r="AA54" s="2"/>
      <c r="AB54" s="2"/>
    </row>
    <row r="55" spans="1:28" s="46" customFormat="1">
      <c r="A55" s="36">
        <f t="shared" si="4"/>
        <v>51</v>
      </c>
      <c r="B55" s="107" t="s">
        <v>269</v>
      </c>
      <c r="C55" s="119" t="s">
        <v>270</v>
      </c>
      <c r="D55" s="28" t="s">
        <v>271</v>
      </c>
      <c r="E55" s="41">
        <v>42725</v>
      </c>
      <c r="F55" s="108">
        <f>3125000+78125+11796875</f>
        <v>15000000</v>
      </c>
      <c r="G55" s="33">
        <f t="shared" si="0"/>
        <v>19320000</v>
      </c>
      <c r="H55" s="107">
        <f>+F55/J55</f>
        <v>625000</v>
      </c>
      <c r="I55" s="107">
        <f t="shared" si="9"/>
        <v>180000</v>
      </c>
      <c r="J55" s="120" t="s">
        <v>72</v>
      </c>
      <c r="K55" s="110">
        <v>9</v>
      </c>
      <c r="L55" s="30">
        <f t="shared" si="2"/>
        <v>805000</v>
      </c>
      <c r="M55" s="107">
        <f t="shared" si="3"/>
        <v>7245000</v>
      </c>
      <c r="N55" s="33">
        <f>+H55*K55</f>
        <v>5625000</v>
      </c>
      <c r="O55" s="117" t="s">
        <v>191</v>
      </c>
      <c r="P55" s="34" t="s">
        <v>31</v>
      </c>
      <c r="Q55" s="111">
        <f t="shared" si="5"/>
        <v>5625000</v>
      </c>
      <c r="R55" s="175">
        <f>+[1]N2!AE75</f>
        <v>5625000</v>
      </c>
      <c r="S55" s="107">
        <f t="shared" si="6"/>
        <v>0</v>
      </c>
      <c r="T55" s="2"/>
      <c r="U55" s="2"/>
      <c r="V55" s="2"/>
      <c r="W55" s="2"/>
      <c r="X55" s="2"/>
      <c r="Y55" s="2"/>
      <c r="Z55" s="2"/>
      <c r="AA55" s="2"/>
      <c r="AB55" s="2"/>
    </row>
    <row r="56" spans="1:28" s="46" customFormat="1">
      <c r="A56" s="36">
        <f t="shared" si="4"/>
        <v>52</v>
      </c>
      <c r="B56" s="104" t="s">
        <v>272</v>
      </c>
      <c r="C56" s="105" t="s">
        <v>273</v>
      </c>
      <c r="D56" s="106" t="s">
        <v>274</v>
      </c>
      <c r="E56" s="28">
        <v>43087</v>
      </c>
      <c r="F56" s="107">
        <v>10000000</v>
      </c>
      <c r="G56" s="33">
        <f t="shared" si="0"/>
        <v>12888000</v>
      </c>
      <c r="H56" s="118">
        <f>537000-I56</f>
        <v>417000</v>
      </c>
      <c r="I56" s="118">
        <f t="shared" si="9"/>
        <v>120000</v>
      </c>
      <c r="J56" s="36">
        <v>24</v>
      </c>
      <c r="K56" s="110">
        <v>21</v>
      </c>
      <c r="L56" s="30">
        <f t="shared" si="2"/>
        <v>537000</v>
      </c>
      <c r="M56" s="30">
        <f t="shared" si="3"/>
        <v>11277000</v>
      </c>
      <c r="N56" s="38">
        <f>F56-(H56*3)</f>
        <v>8749000</v>
      </c>
      <c r="O56" s="34" t="s">
        <v>47</v>
      </c>
      <c r="P56" s="34" t="s">
        <v>36</v>
      </c>
      <c r="Q56" s="111">
        <f t="shared" si="5"/>
        <v>8749000</v>
      </c>
      <c r="R56" s="175">
        <f>+[1]N2!AE76</f>
        <v>8749000</v>
      </c>
      <c r="S56" s="107">
        <f t="shared" si="6"/>
        <v>0</v>
      </c>
      <c r="T56" s="2"/>
      <c r="U56" s="2"/>
      <c r="V56" s="2"/>
      <c r="W56" s="2"/>
      <c r="X56" s="2"/>
      <c r="Y56" s="2"/>
      <c r="Z56" s="2"/>
      <c r="AA56" s="2"/>
      <c r="AB56" s="2"/>
    </row>
    <row r="57" spans="1:28" s="46" customFormat="1">
      <c r="A57" s="36">
        <f t="shared" si="4"/>
        <v>53</v>
      </c>
      <c r="B57" s="104" t="s">
        <v>275</v>
      </c>
      <c r="C57" s="105" t="s">
        <v>276</v>
      </c>
      <c r="D57" s="28" t="s">
        <v>277</v>
      </c>
      <c r="E57" s="41">
        <v>42888</v>
      </c>
      <c r="F57" s="107">
        <f>10000000</f>
        <v>10000000</v>
      </c>
      <c r="G57" s="33">
        <f t="shared" si="0"/>
        <v>12900000</v>
      </c>
      <c r="H57" s="107">
        <f>537500-I57</f>
        <v>417500</v>
      </c>
      <c r="I57" s="107">
        <f t="shared" si="9"/>
        <v>120000</v>
      </c>
      <c r="J57" s="36">
        <v>24</v>
      </c>
      <c r="K57" s="110">
        <v>14</v>
      </c>
      <c r="L57" s="30">
        <f t="shared" si="2"/>
        <v>537500</v>
      </c>
      <c r="M57" s="30">
        <f t="shared" si="3"/>
        <v>7525000</v>
      </c>
      <c r="N57" s="112">
        <f>F57-(H57*10)</f>
        <v>5825000</v>
      </c>
      <c r="O57" s="34" t="s">
        <v>278</v>
      </c>
      <c r="P57" s="34" t="s">
        <v>36</v>
      </c>
      <c r="Q57" s="111">
        <f t="shared" si="5"/>
        <v>5825000</v>
      </c>
      <c r="R57" s="175">
        <f>+[1]N2!AE77</f>
        <v>5825000</v>
      </c>
      <c r="S57" s="107">
        <f t="shared" si="6"/>
        <v>0</v>
      </c>
      <c r="T57" s="2"/>
      <c r="U57" s="2"/>
      <c r="V57" s="2"/>
      <c r="W57" s="2"/>
      <c r="X57" s="2"/>
      <c r="Y57" s="2"/>
      <c r="Z57" s="2"/>
      <c r="AA57" s="2"/>
      <c r="AB57" s="2"/>
    </row>
    <row r="58" spans="1:28" s="46" customFormat="1">
      <c r="A58" s="36">
        <f t="shared" si="4"/>
        <v>54</v>
      </c>
      <c r="B58" s="104" t="s">
        <v>279</v>
      </c>
      <c r="C58" s="105" t="s">
        <v>280</v>
      </c>
      <c r="D58" s="106" t="s">
        <v>281</v>
      </c>
      <c r="E58" s="41">
        <v>42933</v>
      </c>
      <c r="F58" s="107">
        <f>7494000+187350+140710+7177940</f>
        <v>15000000</v>
      </c>
      <c r="G58" s="33">
        <f t="shared" si="0"/>
        <v>18261000</v>
      </c>
      <c r="H58" s="126">
        <f>1014500-I58</f>
        <v>834500</v>
      </c>
      <c r="I58" s="107">
        <f t="shared" si="9"/>
        <v>180000</v>
      </c>
      <c r="J58" s="36">
        <v>18</v>
      </c>
      <c r="K58" s="110">
        <v>9</v>
      </c>
      <c r="L58" s="30">
        <f t="shared" si="2"/>
        <v>1014500</v>
      </c>
      <c r="M58" s="30">
        <f t="shared" si="3"/>
        <v>9130500</v>
      </c>
      <c r="N58" s="112">
        <f>F58-(H58*9)</f>
        <v>7489500</v>
      </c>
      <c r="O58" s="34" t="s">
        <v>282</v>
      </c>
      <c r="P58" s="34" t="s">
        <v>31</v>
      </c>
      <c r="Q58" s="111">
        <f t="shared" si="5"/>
        <v>7489500</v>
      </c>
      <c r="R58" s="175">
        <f>+[1]N2!AE78</f>
        <v>7489500</v>
      </c>
      <c r="S58" s="107">
        <f t="shared" si="6"/>
        <v>0</v>
      </c>
      <c r="T58" s="2"/>
      <c r="U58" s="2"/>
      <c r="V58" s="2"/>
      <c r="W58" s="2"/>
      <c r="X58" s="2"/>
      <c r="Y58" s="2"/>
      <c r="Z58" s="2"/>
      <c r="AA58" s="2"/>
      <c r="AB58" s="2"/>
    </row>
    <row r="59" spans="1:28" s="46" customFormat="1">
      <c r="A59" s="36">
        <f t="shared" si="4"/>
        <v>55</v>
      </c>
      <c r="B59" s="104" t="s">
        <v>283</v>
      </c>
      <c r="C59" s="106" t="s">
        <v>284</v>
      </c>
      <c r="D59" s="106"/>
      <c r="E59" s="125">
        <v>42566</v>
      </c>
      <c r="F59" s="111">
        <f>10000000</f>
        <v>10000000</v>
      </c>
      <c r="G59" s="111">
        <f t="shared" si="0"/>
        <v>12888000</v>
      </c>
      <c r="H59" s="108">
        <v>417000</v>
      </c>
      <c r="I59" s="108">
        <f t="shared" si="9"/>
        <v>120000</v>
      </c>
      <c r="J59" s="36">
        <v>24</v>
      </c>
      <c r="K59" s="110">
        <v>3</v>
      </c>
      <c r="L59" s="182">
        <f t="shared" si="2"/>
        <v>537000</v>
      </c>
      <c r="M59" s="107">
        <f t="shared" si="3"/>
        <v>1611000</v>
      </c>
      <c r="N59" s="179">
        <f>F59-(H59*21)</f>
        <v>1243000</v>
      </c>
      <c r="O59" s="133" t="s">
        <v>285</v>
      </c>
      <c r="P59" s="134" t="s">
        <v>195</v>
      </c>
      <c r="Q59" s="111">
        <f t="shared" si="5"/>
        <v>1243000</v>
      </c>
      <c r="R59" s="175">
        <f>+[1]N2!AE79</f>
        <v>1243000</v>
      </c>
      <c r="S59" s="107">
        <f t="shared" si="6"/>
        <v>0</v>
      </c>
      <c r="T59" s="2"/>
      <c r="U59" s="2"/>
      <c r="V59" s="2"/>
      <c r="W59" s="2"/>
      <c r="X59" s="2"/>
      <c r="Y59" s="2"/>
      <c r="Z59" s="2"/>
      <c r="AA59" s="2"/>
      <c r="AB59" s="2"/>
    </row>
    <row r="60" spans="1:28" s="46" customFormat="1">
      <c r="A60" s="36">
        <f t="shared" si="4"/>
        <v>56</v>
      </c>
      <c r="B60" s="107" t="s">
        <v>286</v>
      </c>
      <c r="C60" s="119" t="s">
        <v>287</v>
      </c>
      <c r="D60" s="119"/>
      <c r="E60" s="41">
        <v>42149</v>
      </c>
      <c r="F60" s="108">
        <f>15000000</f>
        <v>15000000</v>
      </c>
      <c r="G60" s="176">
        <f t="shared" si="0"/>
        <v>21481200</v>
      </c>
      <c r="H60" s="107">
        <v>416700</v>
      </c>
      <c r="I60" s="108">
        <f t="shared" si="9"/>
        <v>180000</v>
      </c>
      <c r="J60" s="120" t="s">
        <v>82</v>
      </c>
      <c r="K60" s="110">
        <v>2</v>
      </c>
      <c r="L60" s="107">
        <f t="shared" si="2"/>
        <v>596700</v>
      </c>
      <c r="M60" s="107">
        <f t="shared" si="3"/>
        <v>1193400</v>
      </c>
      <c r="N60" s="179">
        <f>F60-(H60*34)</f>
        <v>832200</v>
      </c>
      <c r="O60" s="117" t="s">
        <v>163</v>
      </c>
      <c r="P60" s="117" t="s">
        <v>73</v>
      </c>
      <c r="Q60" s="111">
        <f t="shared" si="5"/>
        <v>832200</v>
      </c>
      <c r="R60" s="175">
        <f>+[1]N2!AE80</f>
        <v>832200</v>
      </c>
      <c r="S60" s="107">
        <f t="shared" si="6"/>
        <v>0</v>
      </c>
      <c r="T60" s="2"/>
      <c r="U60" s="2"/>
      <c r="V60" s="2"/>
      <c r="W60" s="2"/>
      <c r="X60" s="2"/>
      <c r="Y60" s="2"/>
      <c r="Z60" s="2"/>
      <c r="AA60" s="2"/>
      <c r="AB60" s="2"/>
    </row>
    <row r="61" spans="1:28" s="46" customFormat="1">
      <c r="A61" s="36">
        <f t="shared" si="4"/>
        <v>57</v>
      </c>
      <c r="B61" s="104" t="s">
        <v>288</v>
      </c>
      <c r="C61" s="105" t="s">
        <v>289</v>
      </c>
      <c r="D61" s="106" t="s">
        <v>290</v>
      </c>
      <c r="E61" s="41">
        <v>42944</v>
      </c>
      <c r="F61" s="107">
        <f>6250000+156250+8593750</f>
        <v>15000000</v>
      </c>
      <c r="G61" s="33">
        <f t="shared" si="0"/>
        <v>21510000</v>
      </c>
      <c r="H61" s="126">
        <f>597500-I61</f>
        <v>417500</v>
      </c>
      <c r="I61" s="107">
        <f t="shared" si="9"/>
        <v>180000</v>
      </c>
      <c r="J61" s="36">
        <v>36</v>
      </c>
      <c r="K61" s="110">
        <v>28</v>
      </c>
      <c r="L61" s="30">
        <f t="shared" si="2"/>
        <v>597500</v>
      </c>
      <c r="M61" s="30">
        <f t="shared" si="3"/>
        <v>16730000</v>
      </c>
      <c r="N61" s="112">
        <f>F61-(H61*8)</f>
        <v>11660000</v>
      </c>
      <c r="O61" s="34" t="s">
        <v>291</v>
      </c>
      <c r="P61" s="34" t="s">
        <v>31</v>
      </c>
      <c r="Q61" s="111">
        <f t="shared" si="5"/>
        <v>11660000</v>
      </c>
      <c r="R61" s="175">
        <f>+[1]N2!AE81</f>
        <v>11660000</v>
      </c>
      <c r="S61" s="107">
        <f t="shared" si="6"/>
        <v>0</v>
      </c>
      <c r="T61" s="2"/>
      <c r="U61" s="2"/>
      <c r="V61" s="2"/>
      <c r="W61" s="2"/>
      <c r="X61" s="2"/>
      <c r="Y61" s="2"/>
      <c r="Z61" s="2"/>
      <c r="AA61" s="2"/>
      <c r="AB61" s="2"/>
    </row>
    <row r="62" spans="1:28" s="46" customFormat="1">
      <c r="A62" s="36">
        <f t="shared" si="4"/>
        <v>58</v>
      </c>
      <c r="B62" s="104" t="s">
        <v>292</v>
      </c>
      <c r="C62" s="105" t="s">
        <v>293</v>
      </c>
      <c r="D62" s="106" t="s">
        <v>294</v>
      </c>
      <c r="E62" s="41">
        <v>43063</v>
      </c>
      <c r="F62" s="107">
        <f>826000+20650+14153350</f>
        <v>15000000</v>
      </c>
      <c r="G62" s="33">
        <f t="shared" si="0"/>
        <v>19320000</v>
      </c>
      <c r="H62" s="118">
        <f>+F62/J62</f>
        <v>625000</v>
      </c>
      <c r="I62" s="118">
        <f t="shared" si="9"/>
        <v>180000</v>
      </c>
      <c r="J62" s="36">
        <v>24</v>
      </c>
      <c r="K62" s="110">
        <v>20</v>
      </c>
      <c r="L62" s="30">
        <f t="shared" si="2"/>
        <v>805000</v>
      </c>
      <c r="M62" s="30">
        <f t="shared" si="3"/>
        <v>16100000</v>
      </c>
      <c r="N62" s="33">
        <f>+H62*K62</f>
        <v>12500000</v>
      </c>
      <c r="O62" s="34" t="s">
        <v>235</v>
      </c>
      <c r="P62" s="42" t="s">
        <v>31</v>
      </c>
      <c r="Q62" s="111">
        <f t="shared" si="5"/>
        <v>12500000</v>
      </c>
      <c r="R62" s="175">
        <f>+[1]N2!AE82</f>
        <v>12500000</v>
      </c>
      <c r="S62" s="107">
        <f t="shared" si="6"/>
        <v>0</v>
      </c>
      <c r="T62" s="2"/>
      <c r="U62" s="2"/>
      <c r="V62" s="2"/>
      <c r="W62" s="2"/>
      <c r="X62" s="2"/>
      <c r="Y62" s="2"/>
      <c r="Z62" s="2"/>
      <c r="AA62" s="2"/>
      <c r="AB62" s="2"/>
    </row>
    <row r="63" spans="1:28" s="46" customFormat="1">
      <c r="A63" s="36">
        <f t="shared" si="4"/>
        <v>59</v>
      </c>
      <c r="B63" s="104" t="s">
        <v>295</v>
      </c>
      <c r="C63" s="105" t="s">
        <v>296</v>
      </c>
      <c r="D63" s="106" t="s">
        <v>297</v>
      </c>
      <c r="E63" s="41">
        <v>42888</v>
      </c>
      <c r="F63" s="107">
        <f>10000000</f>
        <v>10000000</v>
      </c>
      <c r="G63" s="33">
        <f t="shared" si="0"/>
        <v>14346000</v>
      </c>
      <c r="H63" s="107">
        <f>398500-I63</f>
        <v>278500</v>
      </c>
      <c r="I63" s="107">
        <f t="shared" si="9"/>
        <v>120000</v>
      </c>
      <c r="J63" s="36">
        <v>36</v>
      </c>
      <c r="K63" s="110">
        <v>26</v>
      </c>
      <c r="L63" s="30">
        <f t="shared" si="2"/>
        <v>398500</v>
      </c>
      <c r="M63" s="30">
        <f t="shared" si="3"/>
        <v>10361000</v>
      </c>
      <c r="N63" s="112">
        <f>F63-(H63*10)</f>
        <v>7215000</v>
      </c>
      <c r="O63" s="34" t="s">
        <v>298</v>
      </c>
      <c r="P63" s="34" t="s">
        <v>36</v>
      </c>
      <c r="Q63" s="111">
        <f t="shared" si="5"/>
        <v>7215000</v>
      </c>
      <c r="R63" s="175">
        <f>+[1]N2!AE83</f>
        <v>7215000</v>
      </c>
      <c r="S63" s="107">
        <f t="shared" si="6"/>
        <v>0</v>
      </c>
      <c r="T63" s="2"/>
      <c r="U63" s="2"/>
      <c r="V63" s="2"/>
      <c r="W63" s="2"/>
      <c r="X63" s="2"/>
      <c r="Y63" s="2"/>
      <c r="Z63" s="2"/>
      <c r="AA63" s="2"/>
      <c r="AB63" s="2"/>
    </row>
    <row r="64" spans="1:28" s="46" customFormat="1">
      <c r="A64" s="36">
        <f t="shared" si="4"/>
        <v>60</v>
      </c>
      <c r="B64" s="104" t="s">
        <v>299</v>
      </c>
      <c r="C64" s="105" t="s">
        <v>300</v>
      </c>
      <c r="D64" s="106" t="s">
        <v>301</v>
      </c>
      <c r="E64" s="41">
        <v>42926</v>
      </c>
      <c r="F64" s="107">
        <f>1666000+41650+82194+8210156</f>
        <v>10000000</v>
      </c>
      <c r="G64" s="33">
        <f t="shared" si="0"/>
        <v>12900000</v>
      </c>
      <c r="H64" s="107">
        <v>417500</v>
      </c>
      <c r="I64" s="107">
        <f t="shared" si="9"/>
        <v>120000</v>
      </c>
      <c r="J64" s="36">
        <v>24</v>
      </c>
      <c r="K64" s="110">
        <v>15</v>
      </c>
      <c r="L64" s="30">
        <f t="shared" si="2"/>
        <v>537500</v>
      </c>
      <c r="M64" s="30">
        <f t="shared" si="3"/>
        <v>8062500</v>
      </c>
      <c r="N64" s="112">
        <f>F64-(H64*9)</f>
        <v>6242500</v>
      </c>
      <c r="O64" s="34" t="s">
        <v>302</v>
      </c>
      <c r="P64" s="34" t="s">
        <v>31</v>
      </c>
      <c r="Q64" s="111">
        <f t="shared" si="5"/>
        <v>6242500</v>
      </c>
      <c r="R64" s="175">
        <f>+[1]N2!AE84</f>
        <v>6242500</v>
      </c>
      <c r="S64" s="107">
        <f t="shared" si="6"/>
        <v>0</v>
      </c>
      <c r="T64" s="2"/>
      <c r="U64" s="2"/>
      <c r="V64" s="2"/>
      <c r="W64" s="2"/>
      <c r="X64" s="2"/>
      <c r="Y64" s="2"/>
      <c r="Z64" s="2"/>
      <c r="AA64" s="2"/>
      <c r="AB64" s="2"/>
    </row>
    <row r="65" spans="1:28" s="46" customFormat="1">
      <c r="A65" s="36">
        <f t="shared" si="4"/>
        <v>61</v>
      </c>
      <c r="B65" s="104" t="s">
        <v>303</v>
      </c>
      <c r="C65" s="105" t="s">
        <v>304</v>
      </c>
      <c r="D65" s="106" t="s">
        <v>305</v>
      </c>
      <c r="E65" s="41">
        <v>43063</v>
      </c>
      <c r="F65" s="107">
        <f>10412000+260300+4327700</f>
        <v>15000000</v>
      </c>
      <c r="G65" s="33">
        <f t="shared" si="0"/>
        <v>19320000</v>
      </c>
      <c r="H65" s="118">
        <f>+F65/J65</f>
        <v>625000</v>
      </c>
      <c r="I65" s="118">
        <f t="shared" si="9"/>
        <v>180000</v>
      </c>
      <c r="J65" s="36">
        <v>24</v>
      </c>
      <c r="K65" s="110">
        <v>20</v>
      </c>
      <c r="L65" s="30">
        <f t="shared" si="2"/>
        <v>805000</v>
      </c>
      <c r="M65" s="30">
        <f t="shared" si="3"/>
        <v>16100000</v>
      </c>
      <c r="N65" s="33">
        <f>+H65*K65</f>
        <v>12500000</v>
      </c>
      <c r="O65" s="34" t="s">
        <v>306</v>
      </c>
      <c r="P65" s="42" t="s">
        <v>31</v>
      </c>
      <c r="Q65" s="111">
        <f t="shared" si="5"/>
        <v>12500000</v>
      </c>
      <c r="R65" s="175">
        <f>+[1]N2!AE85</f>
        <v>12500000</v>
      </c>
      <c r="S65" s="107">
        <f t="shared" si="6"/>
        <v>0</v>
      </c>
      <c r="T65" s="2"/>
      <c r="U65" s="2"/>
      <c r="V65" s="2"/>
      <c r="W65" s="2"/>
      <c r="X65" s="2"/>
      <c r="Y65" s="2"/>
      <c r="Z65" s="2"/>
      <c r="AA65" s="2"/>
      <c r="AB65" s="2"/>
    </row>
    <row r="66" spans="1:28" s="46" customFormat="1">
      <c r="A66" s="36">
        <f t="shared" si="4"/>
        <v>62</v>
      </c>
      <c r="B66" s="104" t="s">
        <v>307</v>
      </c>
      <c r="C66" s="105" t="s">
        <v>308</v>
      </c>
      <c r="D66" s="105" t="s">
        <v>309</v>
      </c>
      <c r="E66" s="41">
        <v>42775</v>
      </c>
      <c r="F66" s="126">
        <f>10000000</f>
        <v>10000000</v>
      </c>
      <c r="G66" s="33">
        <f t="shared" si="0"/>
        <v>12888000</v>
      </c>
      <c r="H66" s="107">
        <f>537000-I66</f>
        <v>417000</v>
      </c>
      <c r="I66" s="107">
        <f t="shared" si="9"/>
        <v>120000</v>
      </c>
      <c r="J66" s="36">
        <v>24</v>
      </c>
      <c r="K66" s="110">
        <v>10</v>
      </c>
      <c r="L66" s="30">
        <f t="shared" si="2"/>
        <v>537000</v>
      </c>
      <c r="M66" s="30">
        <f t="shared" si="3"/>
        <v>5370000</v>
      </c>
      <c r="N66" s="112">
        <f>F66-(H66*14)</f>
        <v>4162000</v>
      </c>
      <c r="O66" s="34" t="s">
        <v>235</v>
      </c>
      <c r="P66" s="34" t="s">
        <v>36</v>
      </c>
      <c r="Q66" s="111">
        <f t="shared" si="5"/>
        <v>4162000</v>
      </c>
      <c r="R66" s="175">
        <f>+[1]N2!AE86</f>
        <v>4162000</v>
      </c>
      <c r="S66" s="107">
        <f t="shared" si="6"/>
        <v>0</v>
      </c>
      <c r="T66" s="2"/>
      <c r="U66" s="2"/>
      <c r="V66" s="2"/>
      <c r="W66" s="2"/>
      <c r="X66" s="2"/>
      <c r="Y66" s="2"/>
      <c r="Z66" s="2"/>
      <c r="AA66" s="2"/>
      <c r="AB66" s="2"/>
    </row>
    <row r="67" spans="1:28" s="46" customFormat="1">
      <c r="A67" s="36">
        <f t="shared" si="4"/>
        <v>63</v>
      </c>
      <c r="B67" s="107" t="s">
        <v>310</v>
      </c>
      <c r="C67" s="119" t="s">
        <v>311</v>
      </c>
      <c r="D67" s="41"/>
      <c r="E67" s="41">
        <v>42699</v>
      </c>
      <c r="F67" s="108">
        <f>3331000+83275+26585725</f>
        <v>30000000</v>
      </c>
      <c r="G67" s="33">
        <f t="shared" si="0"/>
        <v>16000000</v>
      </c>
      <c r="H67" s="107">
        <v>140000</v>
      </c>
      <c r="I67" s="107">
        <f t="shared" si="9"/>
        <v>360000</v>
      </c>
      <c r="J67" s="36">
        <v>32</v>
      </c>
      <c r="K67" s="110">
        <v>16</v>
      </c>
      <c r="L67" s="30">
        <f t="shared" si="2"/>
        <v>500000</v>
      </c>
      <c r="M67" s="107">
        <f t="shared" si="3"/>
        <v>8000000</v>
      </c>
      <c r="N67" s="112">
        <f>F67-(H67*16)-6500000-2000000</f>
        <v>19260000</v>
      </c>
      <c r="O67" s="117" t="s">
        <v>312</v>
      </c>
      <c r="P67" s="34" t="s">
        <v>93</v>
      </c>
      <c r="Q67" s="111">
        <f t="shared" si="5"/>
        <v>19260000</v>
      </c>
      <c r="R67" s="175">
        <f>+[1]N2!AE87</f>
        <v>19260000</v>
      </c>
      <c r="S67" s="107">
        <f t="shared" si="6"/>
        <v>0</v>
      </c>
      <c r="T67" s="2"/>
      <c r="U67" s="2"/>
      <c r="V67" s="2"/>
      <c r="W67" s="2"/>
      <c r="X67" s="2"/>
      <c r="Y67" s="2"/>
      <c r="Z67" s="2"/>
      <c r="AA67" s="2"/>
      <c r="AB67" s="2"/>
    </row>
    <row r="68" spans="1:28" s="46" customFormat="1">
      <c r="A68" s="36">
        <f t="shared" si="4"/>
        <v>64</v>
      </c>
      <c r="B68" s="107" t="s">
        <v>313</v>
      </c>
      <c r="C68" s="119" t="s">
        <v>314</v>
      </c>
      <c r="D68" s="106" t="s">
        <v>315</v>
      </c>
      <c r="E68" s="41">
        <v>42881</v>
      </c>
      <c r="F68" s="126">
        <f>7082700+177068+7740232</f>
        <v>15000000</v>
      </c>
      <c r="G68" s="33">
        <f t="shared" si="0"/>
        <v>21510000</v>
      </c>
      <c r="H68" s="107">
        <f>597500-I68</f>
        <v>417500</v>
      </c>
      <c r="I68" s="107">
        <f t="shared" si="9"/>
        <v>180000</v>
      </c>
      <c r="J68" s="36">
        <v>36</v>
      </c>
      <c r="K68" s="110">
        <v>26</v>
      </c>
      <c r="L68" s="181">
        <f t="shared" si="2"/>
        <v>597500</v>
      </c>
      <c r="M68" s="30">
        <f t="shared" si="3"/>
        <v>15535000</v>
      </c>
      <c r="N68" s="112">
        <f>F68-(H68*10)</f>
        <v>10825000</v>
      </c>
      <c r="O68" s="34" t="s">
        <v>191</v>
      </c>
      <c r="P68" s="34" t="s">
        <v>31</v>
      </c>
      <c r="Q68" s="111">
        <f t="shared" si="5"/>
        <v>10825000</v>
      </c>
      <c r="R68" s="175">
        <f>+[1]N2!AE88</f>
        <v>10825000</v>
      </c>
      <c r="S68" s="107">
        <f t="shared" si="6"/>
        <v>0</v>
      </c>
      <c r="T68" s="2"/>
      <c r="U68" s="2"/>
      <c r="V68" s="2"/>
      <c r="W68" s="2"/>
      <c r="X68" s="2"/>
      <c r="Y68" s="2"/>
      <c r="Z68" s="2"/>
      <c r="AA68" s="2"/>
      <c r="AB68" s="2"/>
    </row>
    <row r="69" spans="1:28" s="46" customFormat="1">
      <c r="A69" s="36">
        <f t="shared" si="4"/>
        <v>65</v>
      </c>
      <c r="B69" s="104" t="s">
        <v>316</v>
      </c>
      <c r="C69" s="105" t="s">
        <v>317</v>
      </c>
      <c r="D69" s="28" t="s">
        <v>318</v>
      </c>
      <c r="E69" s="41">
        <v>42850</v>
      </c>
      <c r="F69" s="107">
        <f>6666000+166650+8167350</f>
        <v>15000000</v>
      </c>
      <c r="G69" s="33">
        <f t="shared" ref="G69:G131" si="10">+J69*L69</f>
        <v>21510000</v>
      </c>
      <c r="H69" s="107">
        <f>597500-I69</f>
        <v>417500</v>
      </c>
      <c r="I69" s="107">
        <f t="shared" si="9"/>
        <v>180000</v>
      </c>
      <c r="J69" s="36">
        <v>36</v>
      </c>
      <c r="K69" s="110">
        <v>25</v>
      </c>
      <c r="L69" s="30">
        <f t="shared" ref="L69:L131" si="11">+H69+I69</f>
        <v>597500</v>
      </c>
      <c r="M69" s="30">
        <f t="shared" ref="M69:M131" si="12">+K69*L69</f>
        <v>14937500</v>
      </c>
      <c r="N69" s="112">
        <f>F69-(H69*11)</f>
        <v>10407500</v>
      </c>
      <c r="O69" s="34" t="s">
        <v>95</v>
      </c>
      <c r="P69" s="34" t="s">
        <v>31</v>
      </c>
      <c r="Q69" s="111">
        <f t="shared" si="5"/>
        <v>10407500</v>
      </c>
      <c r="R69" s="175">
        <f>+[1]N2!AE89</f>
        <v>10407500</v>
      </c>
      <c r="S69" s="107">
        <f t="shared" si="6"/>
        <v>0</v>
      </c>
      <c r="T69" s="2"/>
      <c r="U69" s="2"/>
      <c r="V69" s="2"/>
      <c r="W69" s="2"/>
      <c r="X69" s="2"/>
      <c r="Y69" s="2"/>
      <c r="Z69" s="2"/>
      <c r="AA69" s="2"/>
      <c r="AB69" s="2"/>
    </row>
    <row r="70" spans="1:28" s="46" customFormat="1">
      <c r="A70" s="36">
        <f t="shared" ref="A70:A132" si="13">+A69+1</f>
        <v>66</v>
      </c>
      <c r="B70" s="104" t="s">
        <v>319</v>
      </c>
      <c r="C70" s="105" t="s">
        <v>320</v>
      </c>
      <c r="D70" s="106" t="s">
        <v>321</v>
      </c>
      <c r="E70" s="28">
        <v>43087</v>
      </c>
      <c r="F70" s="107">
        <v>10000000</v>
      </c>
      <c r="G70" s="33">
        <f t="shared" si="10"/>
        <v>11448000</v>
      </c>
      <c r="H70" s="118">
        <f>954000-I70</f>
        <v>834000</v>
      </c>
      <c r="I70" s="118">
        <f t="shared" si="9"/>
        <v>120000</v>
      </c>
      <c r="J70" s="36">
        <v>12</v>
      </c>
      <c r="K70" s="110">
        <v>9</v>
      </c>
      <c r="L70" s="30">
        <f t="shared" si="11"/>
        <v>954000</v>
      </c>
      <c r="M70" s="30">
        <f t="shared" si="12"/>
        <v>8586000</v>
      </c>
      <c r="N70" s="38">
        <f>F70-(H70*3)</f>
        <v>7498000</v>
      </c>
      <c r="O70" s="34" t="s">
        <v>20</v>
      </c>
      <c r="P70" s="34" t="s">
        <v>36</v>
      </c>
      <c r="Q70" s="111">
        <f t="shared" ref="Q70:Q132" si="14">+N70</f>
        <v>7498000</v>
      </c>
      <c r="R70" s="175">
        <f>+[1]N2!AE90</f>
        <v>7498000</v>
      </c>
      <c r="S70" s="107">
        <f t="shared" ref="S70:S132" si="15">+Q70-R70</f>
        <v>0</v>
      </c>
      <c r="T70" s="2"/>
      <c r="U70" s="2"/>
      <c r="V70" s="2"/>
      <c r="W70" s="2"/>
      <c r="X70" s="2"/>
      <c r="Y70" s="2"/>
      <c r="Z70" s="2"/>
      <c r="AA70" s="2"/>
      <c r="AB70" s="2"/>
    </row>
    <row r="71" spans="1:28" s="46" customFormat="1">
      <c r="A71" s="36">
        <f t="shared" si="13"/>
        <v>67</v>
      </c>
      <c r="B71" s="104" t="s">
        <v>322</v>
      </c>
      <c r="C71" s="105" t="s">
        <v>323</v>
      </c>
      <c r="D71" s="28" t="s">
        <v>324</v>
      </c>
      <c r="E71" s="41">
        <v>42972</v>
      </c>
      <c r="F71" s="126">
        <f>4996000+124900+4879100</f>
        <v>10000000</v>
      </c>
      <c r="G71" s="33">
        <f t="shared" si="10"/>
        <v>11448000</v>
      </c>
      <c r="H71" s="126">
        <v>834000</v>
      </c>
      <c r="I71" s="118">
        <f>F71*1.2%</f>
        <v>120000</v>
      </c>
      <c r="J71" s="36">
        <v>12</v>
      </c>
      <c r="K71" s="110">
        <v>5</v>
      </c>
      <c r="L71" s="30">
        <f t="shared" si="11"/>
        <v>954000</v>
      </c>
      <c r="M71" s="30">
        <f t="shared" si="12"/>
        <v>4770000</v>
      </c>
      <c r="N71" s="112">
        <f>F71-(H71*7)</f>
        <v>4162000</v>
      </c>
      <c r="O71" s="34" t="s">
        <v>47</v>
      </c>
      <c r="P71" s="34" t="s">
        <v>31</v>
      </c>
      <c r="Q71" s="111">
        <f t="shared" si="14"/>
        <v>4162000</v>
      </c>
      <c r="R71" s="175">
        <f>+[1]N2!AE91</f>
        <v>4162000</v>
      </c>
      <c r="S71" s="107">
        <f t="shared" si="15"/>
        <v>0</v>
      </c>
      <c r="T71" s="2"/>
      <c r="U71" s="2"/>
      <c r="V71" s="2"/>
      <c r="W71" s="2"/>
      <c r="X71" s="2"/>
      <c r="Y71" s="2"/>
      <c r="Z71" s="2"/>
      <c r="AA71" s="2"/>
      <c r="AB71" s="2"/>
    </row>
    <row r="72" spans="1:28" s="46" customFormat="1">
      <c r="A72" s="36">
        <f t="shared" si="13"/>
        <v>68</v>
      </c>
      <c r="B72" s="107" t="s">
        <v>325</v>
      </c>
      <c r="C72" s="119" t="s">
        <v>326</v>
      </c>
      <c r="D72" s="119"/>
      <c r="E72" s="125">
        <v>42583</v>
      </c>
      <c r="F72" s="108">
        <f>10000000</f>
        <v>10000000</v>
      </c>
      <c r="G72" s="111">
        <f t="shared" si="10"/>
        <v>12888000</v>
      </c>
      <c r="H72" s="107">
        <f>537000-I72</f>
        <v>417000</v>
      </c>
      <c r="I72" s="108">
        <f>+F72*1.2%</f>
        <v>120000</v>
      </c>
      <c r="J72" s="120" t="s">
        <v>72</v>
      </c>
      <c r="K72" s="110">
        <v>4</v>
      </c>
      <c r="L72" s="182">
        <f t="shared" si="11"/>
        <v>537000</v>
      </c>
      <c r="M72" s="107">
        <f t="shared" si="12"/>
        <v>2148000</v>
      </c>
      <c r="N72" s="180">
        <f>F72-(H72*20)</f>
        <v>1660000</v>
      </c>
      <c r="O72" s="117" t="s">
        <v>327</v>
      </c>
      <c r="P72" s="117" t="s">
        <v>36</v>
      </c>
      <c r="Q72" s="111">
        <f t="shared" si="14"/>
        <v>1660000</v>
      </c>
      <c r="R72" s="175">
        <f>+[1]N2!AE92</f>
        <v>1660000</v>
      </c>
      <c r="S72" s="107">
        <f t="shared" si="15"/>
        <v>0</v>
      </c>
      <c r="T72" s="2"/>
      <c r="U72" s="2"/>
      <c r="V72" s="2"/>
      <c r="W72" s="2"/>
      <c r="X72" s="2"/>
      <c r="Y72" s="2"/>
      <c r="Z72" s="2"/>
      <c r="AA72" s="2"/>
      <c r="AB72" s="2"/>
    </row>
    <row r="73" spans="1:28" s="46" customFormat="1">
      <c r="A73" s="36">
        <f t="shared" si="13"/>
        <v>69</v>
      </c>
      <c r="B73" s="104" t="s">
        <v>328</v>
      </c>
      <c r="C73" s="106" t="s">
        <v>329</v>
      </c>
      <c r="D73" s="106" t="s">
        <v>330</v>
      </c>
      <c r="E73" s="41">
        <v>42978</v>
      </c>
      <c r="F73" s="136">
        <f>7081000+177025+87097+7654878</f>
        <v>15000000</v>
      </c>
      <c r="G73" s="33">
        <f t="shared" si="10"/>
        <v>21492000</v>
      </c>
      <c r="H73" s="118">
        <f>597000-I73</f>
        <v>417000</v>
      </c>
      <c r="I73" s="118">
        <f>+F73*1.2%</f>
        <v>180000</v>
      </c>
      <c r="J73" s="36">
        <v>36</v>
      </c>
      <c r="K73" s="110">
        <v>29</v>
      </c>
      <c r="L73" s="30">
        <f t="shared" si="11"/>
        <v>597000</v>
      </c>
      <c r="M73" s="29">
        <f t="shared" si="12"/>
        <v>17313000</v>
      </c>
      <c r="N73" s="112">
        <f>F73-(H73*7)</f>
        <v>12081000</v>
      </c>
      <c r="O73" s="137" t="s">
        <v>87</v>
      </c>
      <c r="P73" s="34" t="s">
        <v>331</v>
      </c>
      <c r="Q73" s="111">
        <f t="shared" si="14"/>
        <v>12081000</v>
      </c>
      <c r="R73" s="175">
        <f>+[1]N2!AE93</f>
        <v>12081000</v>
      </c>
      <c r="S73" s="107">
        <f t="shared" si="15"/>
        <v>0</v>
      </c>
      <c r="T73" s="2"/>
      <c r="U73" s="2"/>
      <c r="V73" s="2"/>
      <c r="W73" s="2"/>
      <c r="X73" s="2"/>
      <c r="Y73" s="2"/>
      <c r="Z73" s="2"/>
      <c r="AA73" s="2"/>
      <c r="AB73" s="2"/>
    </row>
    <row r="74" spans="1:28" s="46" customFormat="1">
      <c r="A74" s="36">
        <f t="shared" si="13"/>
        <v>70</v>
      </c>
      <c r="B74" s="104" t="s">
        <v>332</v>
      </c>
      <c r="C74" s="105" t="s">
        <v>333</v>
      </c>
      <c r="D74" s="28" t="s">
        <v>334</v>
      </c>
      <c r="E74" s="41">
        <v>42941</v>
      </c>
      <c r="F74" s="126">
        <f>1660000+41500+8298500</f>
        <v>10000000</v>
      </c>
      <c r="G74" s="33">
        <f t="shared" si="10"/>
        <v>11454000</v>
      </c>
      <c r="H74" s="126">
        <f>954500-I74</f>
        <v>834500</v>
      </c>
      <c r="I74" s="118">
        <f>F74*1.2%</f>
        <v>120000</v>
      </c>
      <c r="J74" s="36">
        <v>12</v>
      </c>
      <c r="K74" s="110">
        <v>4</v>
      </c>
      <c r="L74" s="30">
        <f t="shared" si="11"/>
        <v>954500</v>
      </c>
      <c r="M74" s="29">
        <f t="shared" si="12"/>
        <v>3818000</v>
      </c>
      <c r="N74" s="112">
        <f>F74-(H74*8)</f>
        <v>3324000</v>
      </c>
      <c r="O74" s="34" t="s">
        <v>335</v>
      </c>
      <c r="P74" s="34" t="s">
        <v>31</v>
      </c>
      <c r="Q74" s="111">
        <f t="shared" si="14"/>
        <v>3324000</v>
      </c>
      <c r="R74" s="175">
        <f>+[1]N2!AE94</f>
        <v>3324000</v>
      </c>
      <c r="S74" s="107">
        <f t="shared" si="15"/>
        <v>0</v>
      </c>
      <c r="T74" s="2"/>
      <c r="U74" s="2"/>
      <c r="V74" s="2"/>
      <c r="W74" s="2"/>
      <c r="X74" s="2"/>
      <c r="Y74" s="2"/>
      <c r="Z74" s="2"/>
      <c r="AA74" s="2"/>
      <c r="AB74" s="2"/>
    </row>
    <row r="75" spans="1:28" s="46" customFormat="1">
      <c r="A75" s="36">
        <f t="shared" si="13"/>
        <v>71</v>
      </c>
      <c r="B75" s="107" t="s">
        <v>336</v>
      </c>
      <c r="C75" s="119" t="s">
        <v>337</v>
      </c>
      <c r="D75" s="28" t="s">
        <v>338</v>
      </c>
      <c r="E75" s="41">
        <v>42702</v>
      </c>
      <c r="F75" s="108">
        <f>3750300+93758+11155942</f>
        <v>15000000</v>
      </c>
      <c r="G75" s="33">
        <f t="shared" si="10"/>
        <v>21492000</v>
      </c>
      <c r="H75" s="107">
        <v>417000</v>
      </c>
      <c r="I75" s="107">
        <f>+F75*1.2%</f>
        <v>180000</v>
      </c>
      <c r="J75" s="120" t="s">
        <v>82</v>
      </c>
      <c r="K75" s="110">
        <v>20</v>
      </c>
      <c r="L75" s="30">
        <f t="shared" si="11"/>
        <v>597000</v>
      </c>
      <c r="M75" s="107">
        <f t="shared" si="12"/>
        <v>11940000</v>
      </c>
      <c r="N75" s="112">
        <f>F75-(H75*16)</f>
        <v>8328000</v>
      </c>
      <c r="O75" s="117" t="s">
        <v>339</v>
      </c>
      <c r="P75" s="34" t="s">
        <v>93</v>
      </c>
      <c r="Q75" s="111">
        <f t="shared" si="14"/>
        <v>8328000</v>
      </c>
      <c r="R75" s="175">
        <f>+[1]N2!AE95</f>
        <v>8328000</v>
      </c>
      <c r="S75" s="107">
        <f t="shared" si="15"/>
        <v>0</v>
      </c>
      <c r="T75" s="2"/>
      <c r="U75" s="2"/>
      <c r="V75" s="2"/>
      <c r="W75" s="2"/>
      <c r="X75" s="2"/>
      <c r="Y75" s="2"/>
      <c r="Z75" s="2"/>
      <c r="AA75" s="2"/>
      <c r="AB75" s="2"/>
    </row>
    <row r="76" spans="1:28" s="46" customFormat="1">
      <c r="A76" s="36">
        <f t="shared" si="13"/>
        <v>72</v>
      </c>
      <c r="B76" s="104" t="s">
        <v>340</v>
      </c>
      <c r="C76" s="105" t="s">
        <v>341</v>
      </c>
      <c r="D76" s="106" t="s">
        <v>342</v>
      </c>
      <c r="E76" s="41">
        <v>42892</v>
      </c>
      <c r="F76" s="107">
        <v>15000000</v>
      </c>
      <c r="G76" s="33">
        <f t="shared" si="10"/>
        <v>17160000</v>
      </c>
      <c r="H76" s="107">
        <f>+F76/J76</f>
        <v>1250000</v>
      </c>
      <c r="I76" s="107">
        <f>+F76*1.2%</f>
        <v>180000</v>
      </c>
      <c r="J76" s="36">
        <v>12</v>
      </c>
      <c r="K76" s="110">
        <v>2</v>
      </c>
      <c r="L76" s="30">
        <f t="shared" si="11"/>
        <v>1430000</v>
      </c>
      <c r="M76" s="30">
        <f t="shared" si="12"/>
        <v>2860000</v>
      </c>
      <c r="N76" s="33">
        <f>+H76*K76</f>
        <v>2500000</v>
      </c>
      <c r="O76" s="34" t="s">
        <v>343</v>
      </c>
      <c r="P76" s="34" t="s">
        <v>36</v>
      </c>
      <c r="Q76" s="111">
        <f t="shared" si="14"/>
        <v>2500000</v>
      </c>
      <c r="R76" s="175">
        <f>+[1]N2!AE96</f>
        <v>2500000</v>
      </c>
      <c r="S76" s="107">
        <f t="shared" si="15"/>
        <v>0</v>
      </c>
      <c r="T76" s="2"/>
      <c r="U76" s="2"/>
      <c r="V76" s="2"/>
      <c r="W76" s="2"/>
      <c r="X76" s="2"/>
      <c r="Y76" s="2"/>
      <c r="Z76" s="2"/>
      <c r="AA76" s="2"/>
      <c r="AB76" s="2"/>
    </row>
    <row r="77" spans="1:28" s="46" customFormat="1">
      <c r="A77" s="36">
        <f t="shared" si="13"/>
        <v>73</v>
      </c>
      <c r="B77" s="104" t="s">
        <v>344</v>
      </c>
      <c r="C77" s="105" t="s">
        <v>345</v>
      </c>
      <c r="D77" s="106" t="s">
        <v>346</v>
      </c>
      <c r="E77" s="28">
        <v>43158</v>
      </c>
      <c r="F77" s="107">
        <f>12077500+301938+2620562</f>
        <v>15000000</v>
      </c>
      <c r="G77" s="33">
        <f t="shared" si="10"/>
        <v>21492000</v>
      </c>
      <c r="H77" s="118">
        <v>417000</v>
      </c>
      <c r="I77" s="118">
        <f>+F77*1.2%</f>
        <v>180000</v>
      </c>
      <c r="J77" s="36">
        <v>36</v>
      </c>
      <c r="K77" s="110">
        <v>35</v>
      </c>
      <c r="L77" s="30">
        <f t="shared" si="11"/>
        <v>597000</v>
      </c>
      <c r="M77" s="30">
        <f t="shared" si="12"/>
        <v>20895000</v>
      </c>
      <c r="N77" s="38">
        <f>F77-(H77*1)</f>
        <v>14583000</v>
      </c>
      <c r="O77" s="137" t="s">
        <v>149</v>
      </c>
      <c r="P77" s="137" t="s">
        <v>93</v>
      </c>
      <c r="Q77" s="111">
        <f t="shared" si="14"/>
        <v>14583000</v>
      </c>
      <c r="R77" s="175">
        <f>+[1]N2!AE97</f>
        <v>14583000</v>
      </c>
      <c r="S77" s="107">
        <f t="shared" si="15"/>
        <v>0</v>
      </c>
      <c r="T77" s="2"/>
      <c r="U77" s="2"/>
      <c r="V77" s="2"/>
      <c r="W77" s="2"/>
      <c r="X77" s="2"/>
      <c r="Y77" s="2"/>
      <c r="Z77" s="2"/>
      <c r="AA77" s="2"/>
      <c r="AB77" s="2"/>
    </row>
    <row r="78" spans="1:28" s="46" customFormat="1">
      <c r="A78" s="36">
        <f t="shared" si="13"/>
        <v>74</v>
      </c>
      <c r="B78" s="104" t="s">
        <v>347</v>
      </c>
      <c r="C78" s="105" t="s">
        <v>348</v>
      </c>
      <c r="D78" s="28" t="s">
        <v>349</v>
      </c>
      <c r="E78" s="41">
        <v>42983</v>
      </c>
      <c r="F78" s="126">
        <f>7000000+175000+94194+12730806</f>
        <v>20000000</v>
      </c>
      <c r="G78" s="33">
        <f t="shared" si="10"/>
        <v>24800000</v>
      </c>
      <c r="H78" s="126">
        <f>+F78/J78</f>
        <v>1000000</v>
      </c>
      <c r="I78" s="118">
        <f>F78*1.2%</f>
        <v>240000</v>
      </c>
      <c r="J78" s="36">
        <v>20</v>
      </c>
      <c r="K78" s="110">
        <v>13</v>
      </c>
      <c r="L78" s="30">
        <f t="shared" si="11"/>
        <v>1240000</v>
      </c>
      <c r="M78" s="30">
        <f t="shared" si="12"/>
        <v>16120000</v>
      </c>
      <c r="N78" s="33">
        <f>+H78*K78</f>
        <v>13000000</v>
      </c>
      <c r="O78" s="34" t="s">
        <v>350</v>
      </c>
      <c r="P78" s="34" t="s">
        <v>93</v>
      </c>
      <c r="Q78" s="111">
        <f t="shared" si="14"/>
        <v>13000000</v>
      </c>
      <c r="R78" s="175">
        <f>+[1]N2!AE98</f>
        <v>13000000</v>
      </c>
      <c r="S78" s="107">
        <f t="shared" si="15"/>
        <v>0</v>
      </c>
      <c r="T78" s="2"/>
      <c r="U78" s="2"/>
      <c r="V78" s="2"/>
      <c r="W78" s="2"/>
      <c r="X78" s="2"/>
      <c r="Y78" s="2"/>
      <c r="Z78" s="2"/>
      <c r="AA78" s="2"/>
      <c r="AB78" s="2"/>
    </row>
    <row r="79" spans="1:28" s="46" customFormat="1">
      <c r="A79" s="36">
        <f t="shared" si="13"/>
        <v>75</v>
      </c>
      <c r="B79" s="104" t="s">
        <v>351</v>
      </c>
      <c r="C79" s="105" t="s">
        <v>352</v>
      </c>
      <c r="D79" s="106" t="s">
        <v>353</v>
      </c>
      <c r="E79" s="28">
        <v>43131</v>
      </c>
      <c r="F79" s="107">
        <f>10000000</f>
        <v>10000000</v>
      </c>
      <c r="G79" s="33">
        <f t="shared" si="10"/>
        <v>12888000</v>
      </c>
      <c r="H79" s="118">
        <v>417000</v>
      </c>
      <c r="I79" s="118">
        <f>+F79*1.2%</f>
        <v>120000</v>
      </c>
      <c r="J79" s="36">
        <v>24</v>
      </c>
      <c r="K79" s="110">
        <v>22</v>
      </c>
      <c r="L79" s="30">
        <f t="shared" si="11"/>
        <v>537000</v>
      </c>
      <c r="M79" s="30">
        <f t="shared" si="12"/>
        <v>11814000</v>
      </c>
      <c r="N79" s="38">
        <f>F79-(H79*2)</f>
        <v>9166000</v>
      </c>
      <c r="O79" s="34" t="s">
        <v>354</v>
      </c>
      <c r="P79" s="34" t="s">
        <v>36</v>
      </c>
      <c r="Q79" s="111">
        <f t="shared" si="14"/>
        <v>9166000</v>
      </c>
      <c r="R79" s="175">
        <f>+[1]N2!AE99</f>
        <v>9166000</v>
      </c>
      <c r="S79" s="107">
        <f t="shared" si="15"/>
        <v>0</v>
      </c>
      <c r="T79" s="2"/>
      <c r="U79" s="2"/>
      <c r="V79" s="2"/>
      <c r="W79" s="2"/>
      <c r="X79" s="2"/>
      <c r="Y79" s="2"/>
      <c r="Z79" s="2"/>
      <c r="AA79" s="2"/>
      <c r="AB79" s="2"/>
    </row>
    <row r="80" spans="1:28" s="46" customFormat="1">
      <c r="A80" s="36">
        <f t="shared" si="13"/>
        <v>76</v>
      </c>
      <c r="B80" s="104" t="s">
        <v>355</v>
      </c>
      <c r="C80" s="105" t="s">
        <v>356</v>
      </c>
      <c r="D80" s="106" t="s">
        <v>357</v>
      </c>
      <c r="E80" s="41">
        <v>43003</v>
      </c>
      <c r="F80" s="107">
        <f>832600+20815+9146585</f>
        <v>10000000</v>
      </c>
      <c r="G80" s="33">
        <f t="shared" si="10"/>
        <v>12888000</v>
      </c>
      <c r="H80" s="126">
        <f>537000-I80</f>
        <v>417000</v>
      </c>
      <c r="I80" s="118">
        <f>F80*1.2%</f>
        <v>120000</v>
      </c>
      <c r="J80" s="36">
        <v>24</v>
      </c>
      <c r="K80" s="110">
        <v>18</v>
      </c>
      <c r="L80" s="30">
        <f t="shared" si="11"/>
        <v>537000</v>
      </c>
      <c r="M80" s="30">
        <f t="shared" si="12"/>
        <v>9666000</v>
      </c>
      <c r="N80" s="112">
        <f>F80-(H80*6)</f>
        <v>7498000</v>
      </c>
      <c r="O80" s="34" t="s">
        <v>358</v>
      </c>
      <c r="P80" s="34" t="s">
        <v>75</v>
      </c>
      <c r="Q80" s="111">
        <f t="shared" si="14"/>
        <v>7498000</v>
      </c>
      <c r="R80" s="175">
        <f>+[1]N2!AE100</f>
        <v>7498000</v>
      </c>
      <c r="S80" s="107">
        <f t="shared" si="15"/>
        <v>0</v>
      </c>
      <c r="T80" s="2"/>
      <c r="U80" s="2"/>
      <c r="V80" s="2"/>
      <c r="W80" s="2"/>
      <c r="X80" s="2"/>
      <c r="Y80" s="2"/>
      <c r="Z80" s="2"/>
      <c r="AA80" s="2"/>
      <c r="AB80" s="2"/>
    </row>
    <row r="81" spans="1:28" s="46" customFormat="1">
      <c r="A81" s="36">
        <f t="shared" si="13"/>
        <v>77</v>
      </c>
      <c r="B81" s="104" t="s">
        <v>359</v>
      </c>
      <c r="C81" s="105" t="s">
        <v>360</v>
      </c>
      <c r="D81" s="28" t="s">
        <v>361</v>
      </c>
      <c r="E81" s="41">
        <v>42747</v>
      </c>
      <c r="F81" s="107">
        <f>10000000</f>
        <v>10000000</v>
      </c>
      <c r="G81" s="33">
        <f t="shared" si="10"/>
        <v>12888000</v>
      </c>
      <c r="H81" s="107">
        <v>417000</v>
      </c>
      <c r="I81" s="107">
        <f t="shared" ref="I81:I88" si="16">+F81*1.2%</f>
        <v>120000</v>
      </c>
      <c r="J81" s="36">
        <v>24</v>
      </c>
      <c r="K81" s="110">
        <v>9</v>
      </c>
      <c r="L81" s="30">
        <f t="shared" si="11"/>
        <v>537000</v>
      </c>
      <c r="M81" s="30">
        <f t="shared" si="12"/>
        <v>4833000</v>
      </c>
      <c r="N81" s="112">
        <f>F81-(H81*15)</f>
        <v>3745000</v>
      </c>
      <c r="O81" s="34" t="s">
        <v>362</v>
      </c>
      <c r="P81" s="34" t="s">
        <v>363</v>
      </c>
      <c r="Q81" s="111">
        <f t="shared" si="14"/>
        <v>3745000</v>
      </c>
      <c r="R81" s="175">
        <f>+[1]N2!AE101</f>
        <v>3745000</v>
      </c>
      <c r="S81" s="107">
        <f t="shared" si="15"/>
        <v>0</v>
      </c>
      <c r="T81" s="2"/>
      <c r="U81" s="2"/>
      <c r="V81" s="2"/>
      <c r="W81" s="2"/>
      <c r="X81" s="2"/>
      <c r="Y81" s="2"/>
      <c r="Z81" s="2"/>
      <c r="AA81" s="2"/>
      <c r="AB81" s="2"/>
    </row>
    <row r="82" spans="1:28" s="46" customFormat="1">
      <c r="A82" s="36">
        <f t="shared" si="13"/>
        <v>78</v>
      </c>
      <c r="B82" s="104" t="s">
        <v>364</v>
      </c>
      <c r="C82" s="105" t="s">
        <v>365</v>
      </c>
      <c r="D82" s="106" t="s">
        <v>366</v>
      </c>
      <c r="E82" s="41">
        <v>42950</v>
      </c>
      <c r="F82" s="107">
        <f>4582500+114563+63871+10239066</f>
        <v>15000000</v>
      </c>
      <c r="G82" s="33">
        <f t="shared" si="10"/>
        <v>21510000</v>
      </c>
      <c r="H82" s="126">
        <v>417500</v>
      </c>
      <c r="I82" s="107">
        <f t="shared" si="16"/>
        <v>180000</v>
      </c>
      <c r="J82" s="36">
        <v>36</v>
      </c>
      <c r="K82" s="110">
        <v>28</v>
      </c>
      <c r="L82" s="30">
        <f t="shared" si="11"/>
        <v>597500</v>
      </c>
      <c r="M82" s="30">
        <f t="shared" si="12"/>
        <v>16730000</v>
      </c>
      <c r="N82" s="112">
        <f>F82-(H82*8)</f>
        <v>11660000</v>
      </c>
      <c r="O82" s="34" t="s">
        <v>52</v>
      </c>
      <c r="P82" s="34" t="s">
        <v>31</v>
      </c>
      <c r="Q82" s="111">
        <f t="shared" si="14"/>
        <v>11660000</v>
      </c>
      <c r="R82" s="175">
        <f>+[1]N2!AE102</f>
        <v>11660000</v>
      </c>
      <c r="S82" s="107">
        <f t="shared" si="15"/>
        <v>0</v>
      </c>
      <c r="T82" s="2"/>
      <c r="U82" s="2"/>
      <c r="V82" s="2"/>
      <c r="W82" s="2"/>
      <c r="X82" s="2"/>
      <c r="Y82" s="2"/>
      <c r="Z82" s="2"/>
      <c r="AA82" s="2"/>
      <c r="AB82" s="2"/>
    </row>
    <row r="83" spans="1:28" s="46" customFormat="1">
      <c r="A83" s="36">
        <f t="shared" si="13"/>
        <v>79</v>
      </c>
      <c r="B83" s="104" t="s">
        <v>367</v>
      </c>
      <c r="C83" s="105" t="s">
        <v>368</v>
      </c>
      <c r="D83" s="106" t="s">
        <v>369</v>
      </c>
      <c r="E83" s="41">
        <v>43035</v>
      </c>
      <c r="F83" s="107">
        <f>6249300+156233+8594467</f>
        <v>15000000</v>
      </c>
      <c r="G83" s="33">
        <f t="shared" si="10"/>
        <v>21492000</v>
      </c>
      <c r="H83" s="118">
        <f>597000-I83</f>
        <v>417000</v>
      </c>
      <c r="I83" s="118">
        <f t="shared" si="16"/>
        <v>180000</v>
      </c>
      <c r="J83" s="36">
        <v>36</v>
      </c>
      <c r="K83" s="110">
        <v>31</v>
      </c>
      <c r="L83" s="30">
        <f t="shared" si="11"/>
        <v>597000</v>
      </c>
      <c r="M83" s="30">
        <f t="shared" si="12"/>
        <v>18507000</v>
      </c>
      <c r="N83" s="38">
        <f>F83-(H83*5)</f>
        <v>12915000</v>
      </c>
      <c r="O83" s="34" t="s">
        <v>370</v>
      </c>
      <c r="P83" s="34" t="s">
        <v>75</v>
      </c>
      <c r="Q83" s="111">
        <f t="shared" si="14"/>
        <v>12915000</v>
      </c>
      <c r="R83" s="175">
        <f>+[1]N2!AE103</f>
        <v>12915000</v>
      </c>
      <c r="S83" s="107">
        <f t="shared" si="15"/>
        <v>0</v>
      </c>
      <c r="T83" s="2"/>
      <c r="U83" s="2"/>
      <c r="V83" s="2"/>
      <c r="W83" s="2"/>
      <c r="X83" s="2"/>
      <c r="Y83" s="2"/>
      <c r="Z83" s="2"/>
      <c r="AA83" s="2"/>
      <c r="AB83" s="2"/>
    </row>
    <row r="84" spans="1:28" s="46" customFormat="1">
      <c r="A84" s="36">
        <f t="shared" si="13"/>
        <v>80</v>
      </c>
      <c r="B84" s="104" t="s">
        <v>371</v>
      </c>
      <c r="C84" s="105" t="s">
        <v>372</v>
      </c>
      <c r="D84" s="105" t="s">
        <v>373</v>
      </c>
      <c r="E84" s="41">
        <v>42747</v>
      </c>
      <c r="F84" s="126">
        <f>50000+14950000</f>
        <v>15000000</v>
      </c>
      <c r="G84" s="33">
        <f t="shared" si="10"/>
        <v>21492000</v>
      </c>
      <c r="H84" s="107">
        <v>417000</v>
      </c>
      <c r="I84" s="107">
        <f t="shared" si="16"/>
        <v>180000</v>
      </c>
      <c r="J84" s="36">
        <v>36</v>
      </c>
      <c r="K84" s="110">
        <v>21</v>
      </c>
      <c r="L84" s="30">
        <f t="shared" si="11"/>
        <v>597000</v>
      </c>
      <c r="M84" s="30">
        <f t="shared" si="12"/>
        <v>12537000</v>
      </c>
      <c r="N84" s="112">
        <f>F84-(H84*15)</f>
        <v>8745000</v>
      </c>
      <c r="O84" s="34" t="s">
        <v>374</v>
      </c>
      <c r="P84" s="34" t="s">
        <v>363</v>
      </c>
      <c r="Q84" s="111">
        <f t="shared" si="14"/>
        <v>8745000</v>
      </c>
      <c r="R84" s="175">
        <f>+[1]N2!AE104</f>
        <v>8745000</v>
      </c>
      <c r="S84" s="107">
        <f t="shared" si="15"/>
        <v>0</v>
      </c>
      <c r="T84" s="2"/>
      <c r="U84" s="2"/>
      <c r="V84" s="2"/>
      <c r="W84" s="2"/>
      <c r="X84" s="2"/>
      <c r="Y84" s="2"/>
      <c r="Z84" s="2"/>
      <c r="AA84" s="2"/>
      <c r="AB84" s="2"/>
    </row>
    <row r="85" spans="1:28" s="46" customFormat="1">
      <c r="A85" s="36">
        <f t="shared" si="13"/>
        <v>81</v>
      </c>
      <c r="B85" s="107" t="s">
        <v>375</v>
      </c>
      <c r="C85" s="119" t="s">
        <v>376</v>
      </c>
      <c r="D85" s="119"/>
      <c r="E85" s="125">
        <v>42583</v>
      </c>
      <c r="F85" s="108">
        <f>15000000</f>
        <v>15000000</v>
      </c>
      <c r="G85" s="111">
        <f t="shared" si="10"/>
        <v>19320000</v>
      </c>
      <c r="H85" s="107">
        <f>+F85/J85</f>
        <v>625000</v>
      </c>
      <c r="I85" s="108">
        <f t="shared" si="16"/>
        <v>180000</v>
      </c>
      <c r="J85" s="120" t="s">
        <v>72</v>
      </c>
      <c r="K85" s="110">
        <v>4</v>
      </c>
      <c r="L85" s="182">
        <f t="shared" si="11"/>
        <v>805000</v>
      </c>
      <c r="M85" s="107">
        <f t="shared" si="12"/>
        <v>3220000</v>
      </c>
      <c r="N85" s="107">
        <f>+H85*K85</f>
        <v>2500000</v>
      </c>
      <c r="O85" s="117" t="s">
        <v>377</v>
      </c>
      <c r="P85" s="117" t="s">
        <v>36</v>
      </c>
      <c r="Q85" s="111">
        <f t="shared" si="14"/>
        <v>2500000</v>
      </c>
      <c r="R85" s="175">
        <f>+[1]N2!AE105</f>
        <v>2500000</v>
      </c>
      <c r="S85" s="107">
        <f t="shared" si="15"/>
        <v>0</v>
      </c>
      <c r="T85" s="2"/>
      <c r="U85" s="2"/>
      <c r="V85" s="2"/>
      <c r="W85" s="2"/>
      <c r="X85" s="2"/>
      <c r="Y85" s="2"/>
      <c r="Z85" s="2"/>
      <c r="AA85" s="2"/>
      <c r="AB85" s="2"/>
    </row>
    <row r="86" spans="1:28" s="46" customFormat="1">
      <c r="A86" s="36">
        <f t="shared" si="13"/>
        <v>82</v>
      </c>
      <c r="B86" s="107" t="s">
        <v>378</v>
      </c>
      <c r="C86" s="119" t="s">
        <v>379</v>
      </c>
      <c r="D86" s="119"/>
      <c r="E86" s="41">
        <v>42118</v>
      </c>
      <c r="F86" s="108">
        <f>5000000</f>
        <v>5000000</v>
      </c>
      <c r="G86" s="176">
        <f t="shared" si="10"/>
        <v>7160400</v>
      </c>
      <c r="H86" s="107">
        <v>138900</v>
      </c>
      <c r="I86" s="108">
        <f t="shared" si="16"/>
        <v>60000</v>
      </c>
      <c r="J86" s="120" t="s">
        <v>82</v>
      </c>
      <c r="K86" s="110">
        <v>1</v>
      </c>
      <c r="L86" s="107">
        <f t="shared" si="11"/>
        <v>198900</v>
      </c>
      <c r="M86" s="107">
        <f t="shared" si="12"/>
        <v>198900</v>
      </c>
      <c r="N86" s="183">
        <f>F86-(H86*35)</f>
        <v>138500</v>
      </c>
      <c r="O86" s="117" t="s">
        <v>380</v>
      </c>
      <c r="P86" s="117" t="s">
        <v>31</v>
      </c>
      <c r="Q86" s="111">
        <f t="shared" si="14"/>
        <v>138500</v>
      </c>
      <c r="R86" s="175">
        <f>+[1]N2!AE106</f>
        <v>138500</v>
      </c>
      <c r="S86" s="107">
        <f t="shared" si="15"/>
        <v>0</v>
      </c>
      <c r="T86" s="2"/>
      <c r="U86" s="2"/>
      <c r="V86" s="2"/>
      <c r="W86" s="2"/>
      <c r="X86" s="2"/>
      <c r="Y86" s="2"/>
      <c r="Z86" s="2"/>
      <c r="AA86" s="2"/>
      <c r="AB86" s="2"/>
    </row>
    <row r="87" spans="1:28" s="46" customFormat="1">
      <c r="A87" s="36">
        <f t="shared" si="13"/>
        <v>83</v>
      </c>
      <c r="B87" s="104" t="s">
        <v>381</v>
      </c>
      <c r="C87" s="105" t="s">
        <v>382</v>
      </c>
      <c r="D87" s="106" t="s">
        <v>383</v>
      </c>
      <c r="E87" s="41">
        <v>43063</v>
      </c>
      <c r="F87" s="107">
        <f>10000000</f>
        <v>10000000</v>
      </c>
      <c r="G87" s="33">
        <f t="shared" si="10"/>
        <v>14328000</v>
      </c>
      <c r="H87" s="118">
        <v>278000</v>
      </c>
      <c r="I87" s="118">
        <f t="shared" si="16"/>
        <v>120000</v>
      </c>
      <c r="J87" s="36">
        <v>36</v>
      </c>
      <c r="K87" s="110">
        <v>32</v>
      </c>
      <c r="L87" s="30">
        <f t="shared" si="11"/>
        <v>398000</v>
      </c>
      <c r="M87" s="30">
        <f t="shared" si="12"/>
        <v>12736000</v>
      </c>
      <c r="N87" s="38">
        <f>F87-(H87*4)</f>
        <v>8888000</v>
      </c>
      <c r="O87" s="34" t="s">
        <v>358</v>
      </c>
      <c r="P87" s="34" t="s">
        <v>36</v>
      </c>
      <c r="Q87" s="111">
        <f t="shared" si="14"/>
        <v>8888000</v>
      </c>
      <c r="R87" s="175">
        <f>+[1]N2!AE107</f>
        <v>8888000</v>
      </c>
      <c r="S87" s="107">
        <f t="shared" si="15"/>
        <v>0</v>
      </c>
      <c r="T87" s="2"/>
      <c r="U87" s="2"/>
      <c r="V87" s="2"/>
      <c r="W87" s="2"/>
      <c r="X87" s="2"/>
      <c r="Y87" s="2"/>
      <c r="Z87" s="2"/>
      <c r="AA87" s="2"/>
      <c r="AB87" s="2"/>
    </row>
    <row r="88" spans="1:28" s="46" customFormat="1">
      <c r="A88" s="36">
        <f t="shared" si="13"/>
        <v>84</v>
      </c>
      <c r="B88" s="104" t="s">
        <v>384</v>
      </c>
      <c r="C88" s="105" t="s">
        <v>385</v>
      </c>
      <c r="D88" s="106" t="s">
        <v>386</v>
      </c>
      <c r="E88" s="28">
        <v>43087</v>
      </c>
      <c r="F88" s="107">
        <v>10000000</v>
      </c>
      <c r="G88" s="33">
        <f t="shared" si="10"/>
        <v>14328000</v>
      </c>
      <c r="H88" s="118">
        <v>278000</v>
      </c>
      <c r="I88" s="118">
        <f t="shared" si="16"/>
        <v>120000</v>
      </c>
      <c r="J88" s="36">
        <v>36</v>
      </c>
      <c r="K88" s="110">
        <v>33</v>
      </c>
      <c r="L88" s="30">
        <f t="shared" si="11"/>
        <v>398000</v>
      </c>
      <c r="M88" s="30">
        <f t="shared" si="12"/>
        <v>13134000</v>
      </c>
      <c r="N88" s="38">
        <f>F88-(H88*3)</f>
        <v>9166000</v>
      </c>
      <c r="O88" s="34" t="s">
        <v>387</v>
      </c>
      <c r="P88" s="34" t="s">
        <v>36</v>
      </c>
      <c r="Q88" s="111">
        <f t="shared" si="14"/>
        <v>9166000</v>
      </c>
      <c r="R88" s="175">
        <f>+[1]N2!AE108</f>
        <v>9166000</v>
      </c>
      <c r="S88" s="107">
        <f t="shared" si="15"/>
        <v>0</v>
      </c>
      <c r="T88" s="2"/>
      <c r="U88" s="2"/>
      <c r="V88" s="2"/>
      <c r="W88" s="2"/>
      <c r="X88" s="2"/>
      <c r="Y88" s="2"/>
      <c r="Z88" s="2"/>
      <c r="AA88" s="2"/>
      <c r="AB88" s="2"/>
    </row>
    <row r="89" spans="1:28" s="46" customFormat="1">
      <c r="A89" s="36">
        <f t="shared" si="13"/>
        <v>85</v>
      </c>
      <c r="B89" s="104" t="s">
        <v>388</v>
      </c>
      <c r="C89" s="105" t="s">
        <v>389</v>
      </c>
      <c r="D89" s="105" t="s">
        <v>390</v>
      </c>
      <c r="E89" s="41">
        <v>42811</v>
      </c>
      <c r="F89" s="107">
        <f>7222000+180550+87235+15000000</f>
        <v>22489785</v>
      </c>
      <c r="G89" s="33">
        <f t="shared" si="10"/>
        <v>15600000</v>
      </c>
      <c r="H89" s="107">
        <v>330123</v>
      </c>
      <c r="I89" s="107">
        <v>269877</v>
      </c>
      <c r="J89" s="36">
        <v>26</v>
      </c>
      <c r="K89" s="110">
        <v>13</v>
      </c>
      <c r="L89" s="30">
        <f t="shared" si="11"/>
        <v>600000</v>
      </c>
      <c r="M89" s="30">
        <f t="shared" si="12"/>
        <v>7800000</v>
      </c>
      <c r="N89" s="112">
        <f>F89-(H89*13)-5000000</f>
        <v>13198186</v>
      </c>
      <c r="O89" s="34" t="s">
        <v>391</v>
      </c>
      <c r="P89" s="34" t="s">
        <v>31</v>
      </c>
      <c r="Q89" s="111">
        <f t="shared" si="14"/>
        <v>13198186</v>
      </c>
      <c r="R89" s="175">
        <f>+[1]N2!AE109</f>
        <v>13198186</v>
      </c>
      <c r="S89" s="107">
        <f t="shared" si="15"/>
        <v>0</v>
      </c>
      <c r="T89" s="2"/>
      <c r="U89" s="2"/>
      <c r="V89" s="2"/>
      <c r="W89" s="2"/>
      <c r="X89" s="2"/>
      <c r="Y89" s="2"/>
      <c r="Z89" s="2"/>
      <c r="AA89" s="2"/>
      <c r="AB89" s="2"/>
    </row>
    <row r="90" spans="1:28" s="46" customFormat="1">
      <c r="A90" s="36">
        <f t="shared" si="13"/>
        <v>86</v>
      </c>
      <c r="B90" s="104" t="s">
        <v>392</v>
      </c>
      <c r="C90" s="105" t="s">
        <v>393</v>
      </c>
      <c r="D90" s="106" t="s">
        <v>394</v>
      </c>
      <c r="E90" s="41">
        <v>42961</v>
      </c>
      <c r="F90" s="107">
        <f>1660000+41500+81290+8217210</f>
        <v>10000000</v>
      </c>
      <c r="G90" s="33">
        <f t="shared" si="10"/>
        <v>11454000</v>
      </c>
      <c r="H90" s="126">
        <f>954500-I90</f>
        <v>834500</v>
      </c>
      <c r="I90" s="107">
        <f t="shared" ref="I90:I116" si="17">+F90*1.2%</f>
        <v>120000</v>
      </c>
      <c r="J90" s="36">
        <v>12</v>
      </c>
      <c r="K90" s="110">
        <v>4</v>
      </c>
      <c r="L90" s="30">
        <f t="shared" si="11"/>
        <v>954500</v>
      </c>
      <c r="M90" s="30">
        <f t="shared" si="12"/>
        <v>3818000</v>
      </c>
      <c r="N90" s="112">
        <f>F90-(H90*8)</f>
        <v>3324000</v>
      </c>
      <c r="O90" s="34" t="s">
        <v>306</v>
      </c>
      <c r="P90" s="34" t="s">
        <v>31</v>
      </c>
      <c r="Q90" s="111">
        <f t="shared" si="14"/>
        <v>3324000</v>
      </c>
      <c r="R90" s="175">
        <f>+[1]N2!AE110</f>
        <v>3324000</v>
      </c>
      <c r="S90" s="107">
        <f t="shared" si="15"/>
        <v>0</v>
      </c>
      <c r="T90" s="2"/>
      <c r="U90" s="2"/>
      <c r="V90" s="2"/>
      <c r="W90" s="2"/>
      <c r="X90" s="2"/>
      <c r="Y90" s="2"/>
      <c r="Z90" s="2"/>
      <c r="AA90" s="2"/>
      <c r="AB90" s="2"/>
    </row>
    <row r="91" spans="1:28" s="46" customFormat="1">
      <c r="A91" s="36">
        <f t="shared" si="13"/>
        <v>87</v>
      </c>
      <c r="B91" s="104" t="s">
        <v>395</v>
      </c>
      <c r="C91" s="105" t="s">
        <v>396</v>
      </c>
      <c r="D91" s="106" t="s">
        <v>397</v>
      </c>
      <c r="E91" s="28">
        <v>43138</v>
      </c>
      <c r="F91" s="107">
        <f>4996000+124900+61382+9817718</f>
        <v>15000000</v>
      </c>
      <c r="G91" s="33">
        <f t="shared" si="10"/>
        <v>21492000</v>
      </c>
      <c r="H91" s="118">
        <f>597000-I91</f>
        <v>417000</v>
      </c>
      <c r="I91" s="118">
        <f t="shared" si="17"/>
        <v>180000</v>
      </c>
      <c r="J91" s="36">
        <v>36</v>
      </c>
      <c r="K91" s="110">
        <v>34</v>
      </c>
      <c r="L91" s="30">
        <f t="shared" si="11"/>
        <v>597000</v>
      </c>
      <c r="M91" s="30">
        <f t="shared" si="12"/>
        <v>20298000</v>
      </c>
      <c r="N91" s="38">
        <f>F91-(H91*2)</f>
        <v>14166000</v>
      </c>
      <c r="O91" s="34" t="s">
        <v>398</v>
      </c>
      <c r="P91" s="34" t="s">
        <v>75</v>
      </c>
      <c r="Q91" s="111">
        <f t="shared" si="14"/>
        <v>14166000</v>
      </c>
      <c r="R91" s="175">
        <f>+[1]N2!AE111</f>
        <v>14166000</v>
      </c>
      <c r="S91" s="107">
        <f t="shared" si="15"/>
        <v>0</v>
      </c>
      <c r="T91" s="2"/>
      <c r="U91" s="2"/>
      <c r="V91" s="2"/>
      <c r="W91" s="2"/>
      <c r="X91" s="2"/>
      <c r="Y91" s="2"/>
      <c r="Z91" s="2"/>
      <c r="AA91" s="2"/>
      <c r="AB91" s="2"/>
    </row>
    <row r="92" spans="1:28" s="46" customFormat="1">
      <c r="A92" s="36">
        <f t="shared" si="13"/>
        <v>88</v>
      </c>
      <c r="B92" s="104" t="s">
        <v>399</v>
      </c>
      <c r="C92" s="106" t="s">
        <v>400</v>
      </c>
      <c r="D92" s="106"/>
      <c r="E92" s="125">
        <v>42580</v>
      </c>
      <c r="F92" s="111">
        <f>10000000</f>
        <v>10000000</v>
      </c>
      <c r="G92" s="111">
        <f t="shared" si="10"/>
        <v>12888000</v>
      </c>
      <c r="H92" s="108">
        <f>537000-I92</f>
        <v>417000</v>
      </c>
      <c r="I92" s="108">
        <f t="shared" si="17"/>
        <v>120000</v>
      </c>
      <c r="J92" s="36">
        <v>24</v>
      </c>
      <c r="K92" s="110">
        <v>4</v>
      </c>
      <c r="L92" s="182">
        <f t="shared" si="11"/>
        <v>537000</v>
      </c>
      <c r="M92" s="107">
        <f t="shared" si="12"/>
        <v>2148000</v>
      </c>
      <c r="N92" s="180">
        <f>F92-(H92*20)</f>
        <v>1660000</v>
      </c>
      <c r="O92" s="133" t="s">
        <v>401</v>
      </c>
      <c r="P92" s="134" t="s">
        <v>36</v>
      </c>
      <c r="Q92" s="111">
        <f t="shared" si="14"/>
        <v>1660000</v>
      </c>
      <c r="R92" s="175">
        <f>+[1]N2!AE112</f>
        <v>1660000</v>
      </c>
      <c r="S92" s="107">
        <f t="shared" si="15"/>
        <v>0</v>
      </c>
      <c r="T92" s="2"/>
      <c r="U92" s="2"/>
      <c r="V92" s="2"/>
      <c r="W92" s="2"/>
      <c r="X92" s="2"/>
      <c r="Y92" s="2"/>
      <c r="Z92" s="2"/>
      <c r="AA92" s="2"/>
      <c r="AB92" s="2"/>
    </row>
    <row r="93" spans="1:28" s="46" customFormat="1">
      <c r="A93" s="36">
        <f t="shared" si="13"/>
        <v>89</v>
      </c>
      <c r="B93" s="104" t="s">
        <v>402</v>
      </c>
      <c r="C93" s="105" t="s">
        <v>400</v>
      </c>
      <c r="D93" s="106" t="s">
        <v>403</v>
      </c>
      <c r="E93" s="28">
        <v>43111</v>
      </c>
      <c r="F93" s="107">
        <v>10000000</v>
      </c>
      <c r="G93" s="33">
        <f t="shared" si="10"/>
        <v>11448000</v>
      </c>
      <c r="H93" s="118">
        <f>954000-I93</f>
        <v>834000</v>
      </c>
      <c r="I93" s="118">
        <f t="shared" si="17"/>
        <v>120000</v>
      </c>
      <c r="J93" s="36">
        <v>12</v>
      </c>
      <c r="K93" s="110">
        <v>9</v>
      </c>
      <c r="L93" s="30">
        <f t="shared" si="11"/>
        <v>954000</v>
      </c>
      <c r="M93" s="30">
        <f t="shared" si="12"/>
        <v>8586000</v>
      </c>
      <c r="N93" s="38">
        <f>F93-(H93*3)</f>
        <v>7498000</v>
      </c>
      <c r="O93" s="34" t="s">
        <v>404</v>
      </c>
      <c r="P93" s="34" t="s">
        <v>36</v>
      </c>
      <c r="Q93" s="111">
        <f t="shared" si="14"/>
        <v>7498000</v>
      </c>
      <c r="R93" s="175">
        <f>+[1]N2!AE113</f>
        <v>7498000</v>
      </c>
      <c r="S93" s="107">
        <f t="shared" si="15"/>
        <v>0</v>
      </c>
      <c r="T93" s="2"/>
      <c r="U93" s="2"/>
      <c r="V93" s="2"/>
      <c r="W93" s="2"/>
      <c r="X93" s="2"/>
      <c r="Y93" s="2"/>
      <c r="Z93" s="2"/>
      <c r="AA93" s="2"/>
      <c r="AB93" s="2"/>
    </row>
    <row r="94" spans="1:28" s="46" customFormat="1">
      <c r="A94" s="36">
        <f t="shared" si="13"/>
        <v>90</v>
      </c>
      <c r="B94" s="104" t="s">
        <v>405</v>
      </c>
      <c r="C94" s="105" t="s">
        <v>406</v>
      </c>
      <c r="D94" s="106" t="s">
        <v>407</v>
      </c>
      <c r="E94" s="41">
        <v>42908</v>
      </c>
      <c r="F94" s="107">
        <f>15000000</f>
        <v>15000000</v>
      </c>
      <c r="G94" s="33">
        <f t="shared" si="10"/>
        <v>21510000</v>
      </c>
      <c r="H94" s="126">
        <v>417500</v>
      </c>
      <c r="I94" s="107">
        <f t="shared" si="17"/>
        <v>180000</v>
      </c>
      <c r="J94" s="36">
        <v>36</v>
      </c>
      <c r="K94" s="110">
        <v>27</v>
      </c>
      <c r="L94" s="30">
        <f t="shared" si="11"/>
        <v>597500</v>
      </c>
      <c r="M94" s="30">
        <f t="shared" si="12"/>
        <v>16132500</v>
      </c>
      <c r="N94" s="112">
        <f>F94-(H94*9)</f>
        <v>11242500</v>
      </c>
      <c r="O94" s="34" t="s">
        <v>408</v>
      </c>
      <c r="P94" s="34" t="s">
        <v>36</v>
      </c>
      <c r="Q94" s="111">
        <f t="shared" si="14"/>
        <v>11242500</v>
      </c>
      <c r="R94" s="175">
        <f>+[1]N2!AE114</f>
        <v>11242500</v>
      </c>
      <c r="S94" s="107">
        <f t="shared" si="15"/>
        <v>0</v>
      </c>
      <c r="T94" s="2"/>
      <c r="U94" s="2"/>
      <c r="V94" s="2"/>
      <c r="W94" s="2"/>
      <c r="X94" s="2"/>
      <c r="Y94" s="2"/>
      <c r="Z94" s="2"/>
      <c r="AA94" s="2"/>
      <c r="AB94" s="2"/>
    </row>
    <row r="95" spans="1:28" s="46" customFormat="1">
      <c r="A95" s="36">
        <f t="shared" si="13"/>
        <v>91</v>
      </c>
      <c r="B95" s="104" t="s">
        <v>409</v>
      </c>
      <c r="C95" s="105" t="s">
        <v>410</v>
      </c>
      <c r="D95" s="106" t="s">
        <v>411</v>
      </c>
      <c r="E95" s="41">
        <v>42961</v>
      </c>
      <c r="F95" s="107">
        <f>5413000+135325+85161+4366514</f>
        <v>10000000</v>
      </c>
      <c r="G95" s="33">
        <f t="shared" si="10"/>
        <v>12900000</v>
      </c>
      <c r="H95" s="126">
        <f>537500-I95</f>
        <v>417500</v>
      </c>
      <c r="I95" s="107">
        <f t="shared" si="17"/>
        <v>120000</v>
      </c>
      <c r="J95" s="36">
        <v>24</v>
      </c>
      <c r="K95" s="110">
        <v>16</v>
      </c>
      <c r="L95" s="30">
        <f t="shared" si="11"/>
        <v>537500</v>
      </c>
      <c r="M95" s="30">
        <f t="shared" si="12"/>
        <v>8600000</v>
      </c>
      <c r="N95" s="112">
        <f>F95-(H95*8)</f>
        <v>6660000</v>
      </c>
      <c r="O95" s="34" t="s">
        <v>362</v>
      </c>
      <c r="P95" s="34" t="s">
        <v>31</v>
      </c>
      <c r="Q95" s="111">
        <f t="shared" si="14"/>
        <v>6660000</v>
      </c>
      <c r="R95" s="175">
        <f>+[1]N2!AE115</f>
        <v>6660000</v>
      </c>
      <c r="S95" s="107">
        <f t="shared" si="15"/>
        <v>0</v>
      </c>
      <c r="T95" s="2"/>
      <c r="U95" s="2"/>
      <c r="V95" s="2"/>
      <c r="W95" s="2"/>
      <c r="X95" s="2"/>
      <c r="Y95" s="2"/>
      <c r="Z95" s="2"/>
      <c r="AA95" s="2"/>
      <c r="AB95" s="2"/>
    </row>
    <row r="96" spans="1:28" s="46" customFormat="1">
      <c r="A96" s="36">
        <f t="shared" si="13"/>
        <v>92</v>
      </c>
      <c r="B96" s="104" t="s">
        <v>412</v>
      </c>
      <c r="C96" s="105" t="s">
        <v>413</v>
      </c>
      <c r="D96" s="28" t="s">
        <v>414</v>
      </c>
      <c r="E96" s="41">
        <v>42774</v>
      </c>
      <c r="F96" s="107">
        <f>10000000</f>
        <v>10000000</v>
      </c>
      <c r="G96" s="33">
        <f t="shared" si="10"/>
        <v>14328000</v>
      </c>
      <c r="H96" s="107">
        <f>398000-I96</f>
        <v>278000</v>
      </c>
      <c r="I96" s="107">
        <f t="shared" si="17"/>
        <v>120000</v>
      </c>
      <c r="J96" s="36">
        <v>36</v>
      </c>
      <c r="K96" s="110">
        <v>22</v>
      </c>
      <c r="L96" s="30">
        <f t="shared" si="11"/>
        <v>398000</v>
      </c>
      <c r="M96" s="30">
        <f t="shared" si="12"/>
        <v>8756000</v>
      </c>
      <c r="N96" s="112">
        <f>F96-(H96*14)</f>
        <v>6108000</v>
      </c>
      <c r="O96" s="34" t="s">
        <v>415</v>
      </c>
      <c r="P96" s="34" t="s">
        <v>36</v>
      </c>
      <c r="Q96" s="111">
        <f t="shared" si="14"/>
        <v>6108000</v>
      </c>
      <c r="R96" s="175">
        <f>+[1]N2!AE116</f>
        <v>6108000</v>
      </c>
      <c r="S96" s="107">
        <f t="shared" si="15"/>
        <v>0</v>
      </c>
      <c r="T96" s="2"/>
      <c r="U96" s="2"/>
      <c r="V96" s="2"/>
      <c r="W96" s="2"/>
      <c r="X96" s="2"/>
      <c r="Y96" s="2"/>
      <c r="Z96" s="2"/>
      <c r="AA96" s="2"/>
      <c r="AB96" s="2"/>
    </row>
    <row r="97" spans="1:28" s="46" customFormat="1">
      <c r="A97" s="36">
        <f t="shared" si="13"/>
        <v>93</v>
      </c>
      <c r="B97" s="107" t="s">
        <v>416</v>
      </c>
      <c r="C97" s="119" t="s">
        <v>417</v>
      </c>
      <c r="D97" s="106" t="s">
        <v>418</v>
      </c>
      <c r="E97" s="41">
        <v>42837</v>
      </c>
      <c r="F97" s="126">
        <f>10000000</f>
        <v>10000000</v>
      </c>
      <c r="G97" s="126">
        <f t="shared" si="10"/>
        <v>14346000</v>
      </c>
      <c r="H97" s="107">
        <f>398500-I97</f>
        <v>278500</v>
      </c>
      <c r="I97" s="126">
        <f t="shared" si="17"/>
        <v>120000</v>
      </c>
      <c r="J97" s="36">
        <v>36</v>
      </c>
      <c r="K97" s="110">
        <v>24</v>
      </c>
      <c r="L97" s="43">
        <f t="shared" si="11"/>
        <v>398500</v>
      </c>
      <c r="M97" s="29">
        <f t="shared" si="12"/>
        <v>9564000</v>
      </c>
      <c r="N97" s="112">
        <f>F97-(H97*12)</f>
        <v>6658000</v>
      </c>
      <c r="O97" s="34" t="s">
        <v>95</v>
      </c>
      <c r="P97" s="34" t="s">
        <v>36</v>
      </c>
      <c r="Q97" s="111">
        <f t="shared" si="14"/>
        <v>6658000</v>
      </c>
      <c r="R97" s="175">
        <f>+[1]N2!AE117</f>
        <v>6658000</v>
      </c>
      <c r="S97" s="107">
        <f t="shared" si="15"/>
        <v>0</v>
      </c>
      <c r="T97" s="2"/>
      <c r="U97" s="2"/>
      <c r="V97" s="2"/>
      <c r="W97" s="2"/>
      <c r="X97" s="2"/>
      <c r="Y97" s="2"/>
      <c r="Z97" s="2"/>
      <c r="AA97" s="2"/>
      <c r="AB97" s="2"/>
    </row>
    <row r="98" spans="1:28" s="46" customFormat="1">
      <c r="A98" s="36">
        <f t="shared" si="13"/>
        <v>94</v>
      </c>
      <c r="B98" s="104" t="s">
        <v>419</v>
      </c>
      <c r="C98" s="105" t="s">
        <v>420</v>
      </c>
      <c r="D98" s="106" t="s">
        <v>421</v>
      </c>
      <c r="E98" s="41">
        <v>42950</v>
      </c>
      <c r="F98" s="107">
        <f>10000000</f>
        <v>10000000</v>
      </c>
      <c r="G98" s="33">
        <f t="shared" si="10"/>
        <v>12900000</v>
      </c>
      <c r="H98" s="118">
        <v>417500</v>
      </c>
      <c r="I98" s="107">
        <f t="shared" si="17"/>
        <v>120000</v>
      </c>
      <c r="J98" s="36">
        <v>24</v>
      </c>
      <c r="K98" s="110">
        <v>16</v>
      </c>
      <c r="L98" s="30">
        <f t="shared" si="11"/>
        <v>537500</v>
      </c>
      <c r="M98" s="30">
        <f t="shared" si="12"/>
        <v>8600000</v>
      </c>
      <c r="N98" s="112">
        <f>F98-(H98*8)</f>
        <v>6660000</v>
      </c>
      <c r="O98" s="34" t="s">
        <v>422</v>
      </c>
      <c r="P98" s="34" t="s">
        <v>36</v>
      </c>
      <c r="Q98" s="111">
        <f t="shared" si="14"/>
        <v>6660000</v>
      </c>
      <c r="R98" s="175">
        <f>+[1]N2!AE118</f>
        <v>6660000</v>
      </c>
      <c r="S98" s="107">
        <f t="shared" si="15"/>
        <v>0</v>
      </c>
      <c r="T98" s="2"/>
      <c r="U98" s="2"/>
      <c r="V98" s="2"/>
      <c r="W98" s="2"/>
      <c r="X98" s="2"/>
      <c r="Y98" s="2"/>
      <c r="Z98" s="2"/>
      <c r="AA98" s="2"/>
      <c r="AB98" s="2"/>
    </row>
    <row r="99" spans="1:28" s="46" customFormat="1">
      <c r="A99" s="36">
        <f t="shared" si="13"/>
        <v>95</v>
      </c>
      <c r="B99" s="104" t="s">
        <v>423</v>
      </c>
      <c r="C99" s="105" t="s">
        <v>424</v>
      </c>
      <c r="D99" s="106" t="s">
        <v>425</v>
      </c>
      <c r="E99" s="28">
        <v>43159</v>
      </c>
      <c r="F99" s="107">
        <f>10000000</f>
        <v>10000000</v>
      </c>
      <c r="G99" s="33">
        <f t="shared" si="10"/>
        <v>12888000</v>
      </c>
      <c r="H99" s="118">
        <v>417000</v>
      </c>
      <c r="I99" s="118">
        <f t="shared" si="17"/>
        <v>120000</v>
      </c>
      <c r="J99" s="36">
        <v>24</v>
      </c>
      <c r="K99" s="110">
        <v>23</v>
      </c>
      <c r="L99" s="30">
        <f t="shared" si="11"/>
        <v>537000</v>
      </c>
      <c r="M99" s="30">
        <f t="shared" si="12"/>
        <v>12351000</v>
      </c>
      <c r="N99" s="38">
        <f>F99-(H99*1)</f>
        <v>9583000</v>
      </c>
      <c r="O99" s="34" t="s">
        <v>426</v>
      </c>
      <c r="P99" s="34" t="s">
        <v>145</v>
      </c>
      <c r="Q99" s="111">
        <f t="shared" si="14"/>
        <v>9583000</v>
      </c>
      <c r="R99" s="175">
        <f>+[1]N2!AE119</f>
        <v>9583000</v>
      </c>
      <c r="S99" s="107">
        <f t="shared" si="15"/>
        <v>0</v>
      </c>
      <c r="T99" s="2"/>
      <c r="U99" s="2"/>
      <c r="V99" s="2"/>
      <c r="W99" s="2"/>
      <c r="X99" s="2"/>
      <c r="Y99" s="2"/>
      <c r="Z99" s="2"/>
      <c r="AA99" s="2"/>
      <c r="AB99" s="2"/>
    </row>
    <row r="100" spans="1:28" s="46" customFormat="1">
      <c r="A100" s="36">
        <f t="shared" si="13"/>
        <v>96</v>
      </c>
      <c r="B100" s="104" t="s">
        <v>427</v>
      </c>
      <c r="C100" s="105" t="s">
        <v>428</v>
      </c>
      <c r="D100" s="28" t="s">
        <v>429</v>
      </c>
      <c r="E100" s="41">
        <v>42746</v>
      </c>
      <c r="F100" s="107">
        <f>5416300+135408+77419+4370873</f>
        <v>10000000</v>
      </c>
      <c r="G100" s="33">
        <f t="shared" si="10"/>
        <v>14328000</v>
      </c>
      <c r="H100" s="107">
        <v>278000</v>
      </c>
      <c r="I100" s="107">
        <f t="shared" si="17"/>
        <v>120000</v>
      </c>
      <c r="J100" s="36">
        <v>36</v>
      </c>
      <c r="K100" s="110">
        <v>21</v>
      </c>
      <c r="L100" s="30">
        <f t="shared" si="11"/>
        <v>398000</v>
      </c>
      <c r="M100" s="30">
        <f t="shared" si="12"/>
        <v>8358000</v>
      </c>
      <c r="N100" s="112">
        <f>F100-(H100*15)</f>
        <v>5830000</v>
      </c>
      <c r="O100" s="34" t="s">
        <v>430</v>
      </c>
      <c r="P100" s="34" t="s">
        <v>431</v>
      </c>
      <c r="Q100" s="111">
        <f t="shared" si="14"/>
        <v>5830000</v>
      </c>
      <c r="R100" s="175">
        <f>+[1]N2!AE120</f>
        <v>5830000</v>
      </c>
      <c r="S100" s="107">
        <f t="shared" si="15"/>
        <v>0</v>
      </c>
      <c r="T100" s="2"/>
      <c r="U100" s="2"/>
      <c r="V100" s="2"/>
      <c r="W100" s="2"/>
      <c r="X100" s="2"/>
      <c r="Y100" s="2"/>
      <c r="Z100" s="2"/>
      <c r="AA100" s="2"/>
      <c r="AB100" s="2"/>
    </row>
    <row r="101" spans="1:28" s="46" customFormat="1">
      <c r="A101" s="36">
        <f t="shared" si="13"/>
        <v>97</v>
      </c>
      <c r="B101" s="104" t="s">
        <v>432</v>
      </c>
      <c r="C101" s="105" t="s">
        <v>433</v>
      </c>
      <c r="D101" s="106" t="s">
        <v>434</v>
      </c>
      <c r="E101" s="41">
        <v>43063</v>
      </c>
      <c r="F101" s="107">
        <f>9000000</f>
        <v>9000000</v>
      </c>
      <c r="G101" s="33">
        <f t="shared" si="10"/>
        <v>9648000</v>
      </c>
      <c r="H101" s="118">
        <f>+F101/J101</f>
        <v>1500000</v>
      </c>
      <c r="I101" s="118">
        <f t="shared" si="17"/>
        <v>108000</v>
      </c>
      <c r="J101" s="36">
        <v>6</v>
      </c>
      <c r="K101" s="110">
        <v>2</v>
      </c>
      <c r="L101" s="30">
        <f t="shared" si="11"/>
        <v>1608000</v>
      </c>
      <c r="M101" s="30">
        <f t="shared" si="12"/>
        <v>3216000</v>
      </c>
      <c r="N101" s="33">
        <f>+H101*K101</f>
        <v>3000000</v>
      </c>
      <c r="O101" s="34" t="s">
        <v>435</v>
      </c>
      <c r="P101" s="34" t="s">
        <v>36</v>
      </c>
      <c r="Q101" s="111">
        <f t="shared" si="14"/>
        <v>3000000</v>
      </c>
      <c r="R101" s="175">
        <f>+[1]N2!AE121</f>
        <v>3000000</v>
      </c>
      <c r="S101" s="107">
        <f t="shared" si="15"/>
        <v>0</v>
      </c>
      <c r="T101" s="2"/>
      <c r="U101" s="2"/>
      <c r="V101" s="2"/>
      <c r="W101" s="2"/>
      <c r="X101" s="2"/>
      <c r="Y101" s="2"/>
      <c r="Z101" s="2"/>
      <c r="AA101" s="2"/>
      <c r="AB101" s="2"/>
    </row>
    <row r="102" spans="1:28" s="46" customFormat="1">
      <c r="A102" s="36">
        <f t="shared" si="13"/>
        <v>98</v>
      </c>
      <c r="B102" s="107" t="s">
        <v>436</v>
      </c>
      <c r="C102" s="119" t="s">
        <v>437</v>
      </c>
      <c r="D102" s="119"/>
      <c r="E102" s="41">
        <v>42639</v>
      </c>
      <c r="F102" s="108">
        <f>5000000</f>
        <v>5000000</v>
      </c>
      <c r="G102" s="111">
        <f t="shared" si="10"/>
        <v>7164000</v>
      </c>
      <c r="H102" s="107">
        <v>139000</v>
      </c>
      <c r="I102" s="108">
        <f t="shared" si="17"/>
        <v>60000</v>
      </c>
      <c r="J102" s="120" t="s">
        <v>82</v>
      </c>
      <c r="K102" s="110">
        <v>18</v>
      </c>
      <c r="L102" s="30">
        <f t="shared" si="11"/>
        <v>199000</v>
      </c>
      <c r="M102" s="107">
        <f t="shared" si="12"/>
        <v>3582000</v>
      </c>
      <c r="N102" s="112">
        <f>F102-(H102*18)</f>
        <v>2498000</v>
      </c>
      <c r="O102" s="117" t="s">
        <v>235</v>
      </c>
      <c r="P102" s="117" t="s">
        <v>36</v>
      </c>
      <c r="Q102" s="111">
        <f t="shared" si="14"/>
        <v>2498000</v>
      </c>
      <c r="R102" s="175">
        <f>+[1]N2!AE122</f>
        <v>2498000</v>
      </c>
      <c r="S102" s="107">
        <f t="shared" si="15"/>
        <v>0</v>
      </c>
      <c r="T102" s="2"/>
      <c r="U102" s="2"/>
      <c r="V102" s="2"/>
      <c r="W102" s="2"/>
      <c r="X102" s="2"/>
      <c r="Y102" s="2"/>
      <c r="Z102" s="2"/>
      <c r="AA102" s="2"/>
      <c r="AB102" s="2"/>
    </row>
    <row r="103" spans="1:28" s="46" customFormat="1">
      <c r="A103" s="36">
        <f t="shared" si="13"/>
        <v>99</v>
      </c>
      <c r="B103" s="104" t="s">
        <v>438</v>
      </c>
      <c r="C103" s="105" t="s">
        <v>439</v>
      </c>
      <c r="D103" s="106" t="s">
        <v>440</v>
      </c>
      <c r="E103" s="28">
        <v>43089</v>
      </c>
      <c r="F103" s="107">
        <f>10000000</f>
        <v>10000000</v>
      </c>
      <c r="G103" s="33">
        <f t="shared" si="10"/>
        <v>12400000</v>
      </c>
      <c r="H103" s="118">
        <f>+F103/J103</f>
        <v>500000</v>
      </c>
      <c r="I103" s="118">
        <f t="shared" si="17"/>
        <v>120000</v>
      </c>
      <c r="J103" s="36">
        <v>20</v>
      </c>
      <c r="K103" s="110">
        <v>17</v>
      </c>
      <c r="L103" s="30">
        <f t="shared" si="11"/>
        <v>620000</v>
      </c>
      <c r="M103" s="30">
        <f t="shared" si="12"/>
        <v>10540000</v>
      </c>
      <c r="N103" s="33">
        <f>+H103*K103</f>
        <v>8500000</v>
      </c>
      <c r="O103" s="34" t="s">
        <v>174</v>
      </c>
      <c r="P103" s="34" t="s">
        <v>36</v>
      </c>
      <c r="Q103" s="111">
        <f t="shared" si="14"/>
        <v>8500000</v>
      </c>
      <c r="R103" s="175">
        <f>+[1]N2!AE123</f>
        <v>8500000</v>
      </c>
      <c r="S103" s="107">
        <f t="shared" si="15"/>
        <v>0</v>
      </c>
      <c r="T103" s="2"/>
      <c r="U103" s="2"/>
      <c r="V103" s="2"/>
      <c r="W103" s="2"/>
      <c r="X103" s="2"/>
      <c r="Y103" s="2"/>
      <c r="Z103" s="2"/>
      <c r="AA103" s="2"/>
      <c r="AB103" s="2"/>
    </row>
    <row r="104" spans="1:28" s="46" customFormat="1">
      <c r="A104" s="36">
        <f t="shared" si="13"/>
        <v>100</v>
      </c>
      <c r="B104" s="107" t="s">
        <v>441</v>
      </c>
      <c r="C104" s="119" t="s">
        <v>442</v>
      </c>
      <c r="D104" s="119"/>
      <c r="E104" s="125">
        <v>42543</v>
      </c>
      <c r="F104" s="108">
        <f>10000000</f>
        <v>10000000</v>
      </c>
      <c r="G104" s="111">
        <f t="shared" si="10"/>
        <v>12888000</v>
      </c>
      <c r="H104" s="126">
        <v>417000</v>
      </c>
      <c r="I104" s="33">
        <f t="shared" si="17"/>
        <v>120000</v>
      </c>
      <c r="J104" s="120" t="s">
        <v>72</v>
      </c>
      <c r="K104" s="110">
        <v>3</v>
      </c>
      <c r="L104" s="182">
        <f t="shared" si="11"/>
        <v>537000</v>
      </c>
      <c r="M104" s="107">
        <f t="shared" si="12"/>
        <v>1611000</v>
      </c>
      <c r="N104" s="183">
        <f>F104-(H104*21)</f>
        <v>1243000</v>
      </c>
      <c r="O104" s="117" t="s">
        <v>443</v>
      </c>
      <c r="P104" s="117" t="s">
        <v>444</v>
      </c>
      <c r="Q104" s="111">
        <f t="shared" si="14"/>
        <v>1243000</v>
      </c>
      <c r="R104" s="175">
        <f>+[1]N2!AE124</f>
        <v>1243000</v>
      </c>
      <c r="S104" s="107">
        <f t="shared" si="15"/>
        <v>0</v>
      </c>
      <c r="T104" s="2"/>
      <c r="U104" s="2"/>
      <c r="V104" s="2"/>
      <c r="W104" s="2"/>
      <c r="X104" s="2"/>
      <c r="Y104" s="2"/>
      <c r="Z104" s="2"/>
      <c r="AA104" s="2"/>
      <c r="AB104" s="2"/>
    </row>
    <row r="105" spans="1:28" s="46" customFormat="1">
      <c r="A105" s="36">
        <f t="shared" si="13"/>
        <v>101</v>
      </c>
      <c r="B105" s="104" t="s">
        <v>445</v>
      </c>
      <c r="C105" s="105" t="s">
        <v>446</v>
      </c>
      <c r="D105" s="106" t="s">
        <v>447</v>
      </c>
      <c r="E105" s="41">
        <v>42950</v>
      </c>
      <c r="F105" s="107">
        <f>10000000</f>
        <v>10000000</v>
      </c>
      <c r="G105" s="33">
        <f t="shared" si="10"/>
        <v>12900000</v>
      </c>
      <c r="H105" s="118">
        <v>417500</v>
      </c>
      <c r="I105" s="107">
        <f t="shared" si="17"/>
        <v>120000</v>
      </c>
      <c r="J105" s="36">
        <v>24</v>
      </c>
      <c r="K105" s="110">
        <v>16</v>
      </c>
      <c r="L105" s="30">
        <f t="shared" si="11"/>
        <v>537500</v>
      </c>
      <c r="M105" s="30">
        <f t="shared" si="12"/>
        <v>8600000</v>
      </c>
      <c r="N105" s="112">
        <f>F105-(H105*8)</f>
        <v>6660000</v>
      </c>
      <c r="O105" s="34" t="s">
        <v>422</v>
      </c>
      <c r="P105" s="34" t="s">
        <v>36</v>
      </c>
      <c r="Q105" s="111">
        <f t="shared" si="14"/>
        <v>6660000</v>
      </c>
      <c r="R105" s="175">
        <f>+[1]N2!AE125</f>
        <v>6660000</v>
      </c>
      <c r="S105" s="107">
        <f t="shared" si="15"/>
        <v>0</v>
      </c>
      <c r="T105" s="2"/>
      <c r="U105" s="2"/>
      <c r="V105" s="2"/>
      <c r="W105" s="2"/>
      <c r="X105" s="2"/>
      <c r="Y105" s="2"/>
      <c r="Z105" s="2"/>
      <c r="AA105" s="2"/>
      <c r="AB105" s="2"/>
    </row>
    <row r="106" spans="1:28" s="46" customFormat="1">
      <c r="A106" s="36">
        <f t="shared" si="13"/>
        <v>102</v>
      </c>
      <c r="B106" s="104" t="s">
        <v>448</v>
      </c>
      <c r="C106" s="105" t="s">
        <v>449</v>
      </c>
      <c r="D106" s="106" t="s">
        <v>450</v>
      </c>
      <c r="E106" s="41">
        <v>42907</v>
      </c>
      <c r="F106" s="107">
        <f>3000000</f>
        <v>3000000</v>
      </c>
      <c r="G106" s="33">
        <f t="shared" si="10"/>
        <v>3360000</v>
      </c>
      <c r="H106" s="126">
        <f>F106/J106</f>
        <v>300000</v>
      </c>
      <c r="I106" s="107">
        <f t="shared" si="17"/>
        <v>36000</v>
      </c>
      <c r="J106" s="36">
        <v>10</v>
      </c>
      <c r="K106" s="110">
        <v>1</v>
      </c>
      <c r="L106" s="30">
        <f t="shared" si="11"/>
        <v>336000</v>
      </c>
      <c r="M106" s="30">
        <f t="shared" si="12"/>
        <v>336000</v>
      </c>
      <c r="N106" s="33">
        <f>+H106*K106</f>
        <v>300000</v>
      </c>
      <c r="O106" s="34" t="s">
        <v>32</v>
      </c>
      <c r="P106" s="34" t="s">
        <v>36</v>
      </c>
      <c r="Q106" s="111">
        <f t="shared" si="14"/>
        <v>300000</v>
      </c>
      <c r="R106" s="175">
        <f>+[1]N2!AE126</f>
        <v>300000</v>
      </c>
      <c r="S106" s="107">
        <f t="shared" si="15"/>
        <v>0</v>
      </c>
      <c r="T106" s="2"/>
      <c r="U106" s="2"/>
      <c r="V106" s="2"/>
      <c r="W106" s="2"/>
      <c r="X106" s="2"/>
      <c r="Y106" s="2"/>
      <c r="Z106" s="2"/>
      <c r="AA106" s="2"/>
      <c r="AB106" s="2"/>
    </row>
    <row r="107" spans="1:28" s="46" customFormat="1">
      <c r="A107" s="36">
        <f t="shared" si="13"/>
        <v>103</v>
      </c>
      <c r="B107" s="107" t="s">
        <v>451</v>
      </c>
      <c r="C107" s="119" t="s">
        <v>452</v>
      </c>
      <c r="D107" s="119"/>
      <c r="E107" s="125">
        <v>42614</v>
      </c>
      <c r="F107" s="108">
        <f>10000000</f>
        <v>10000000</v>
      </c>
      <c r="G107" s="111">
        <f t="shared" si="10"/>
        <v>12888000</v>
      </c>
      <c r="H107" s="107">
        <v>417000</v>
      </c>
      <c r="I107" s="108">
        <f t="shared" si="17"/>
        <v>120000</v>
      </c>
      <c r="J107" s="120" t="s">
        <v>72</v>
      </c>
      <c r="K107" s="110">
        <v>5</v>
      </c>
      <c r="L107" s="182">
        <f t="shared" si="11"/>
        <v>537000</v>
      </c>
      <c r="M107" s="107">
        <f t="shared" si="12"/>
        <v>2685000</v>
      </c>
      <c r="N107" s="179">
        <f>F107-(H107*19)</f>
        <v>2077000</v>
      </c>
      <c r="O107" s="117" t="s">
        <v>79</v>
      </c>
      <c r="P107" s="117" t="s">
        <v>36</v>
      </c>
      <c r="Q107" s="111">
        <f t="shared" si="14"/>
        <v>2077000</v>
      </c>
      <c r="R107" s="175">
        <f>+[1]N2!AE127</f>
        <v>2077000</v>
      </c>
      <c r="S107" s="107">
        <f t="shared" si="15"/>
        <v>0</v>
      </c>
      <c r="T107" s="2"/>
      <c r="U107" s="2"/>
      <c r="V107" s="2"/>
      <c r="W107" s="2"/>
      <c r="X107" s="2"/>
      <c r="Y107" s="2"/>
      <c r="Z107" s="2"/>
      <c r="AA107" s="2"/>
      <c r="AB107" s="2"/>
    </row>
    <row r="108" spans="1:28" s="46" customFormat="1">
      <c r="A108" s="36">
        <f t="shared" si="13"/>
        <v>104</v>
      </c>
      <c r="B108" s="104" t="s">
        <v>453</v>
      </c>
      <c r="C108" s="105" t="s">
        <v>454</v>
      </c>
      <c r="D108" s="106" t="s">
        <v>455</v>
      </c>
      <c r="E108" s="41">
        <v>43042</v>
      </c>
      <c r="F108" s="107">
        <f>3328000+83200+51097+11537703</f>
        <v>15000000</v>
      </c>
      <c r="G108" s="33">
        <f t="shared" si="10"/>
        <v>17160000</v>
      </c>
      <c r="H108" s="118">
        <f>+F108/J108</f>
        <v>1250000</v>
      </c>
      <c r="I108" s="118">
        <f t="shared" si="17"/>
        <v>180000</v>
      </c>
      <c r="J108" s="36">
        <v>12</v>
      </c>
      <c r="K108" s="110">
        <v>7</v>
      </c>
      <c r="L108" s="30">
        <f t="shared" si="11"/>
        <v>1430000</v>
      </c>
      <c r="M108" s="30">
        <f t="shared" si="12"/>
        <v>10010000</v>
      </c>
      <c r="N108" s="33">
        <f>+H108*K108</f>
        <v>8750000</v>
      </c>
      <c r="O108" s="34" t="s">
        <v>456</v>
      </c>
      <c r="P108" s="34" t="s">
        <v>75</v>
      </c>
      <c r="Q108" s="111">
        <f t="shared" si="14"/>
        <v>8750000</v>
      </c>
      <c r="R108" s="175">
        <f>+[1]N2!AE128</f>
        <v>8750000</v>
      </c>
      <c r="S108" s="107">
        <f t="shared" si="15"/>
        <v>0</v>
      </c>
      <c r="T108" s="2"/>
      <c r="U108" s="2"/>
      <c r="V108" s="2"/>
      <c r="W108" s="2"/>
      <c r="X108" s="2"/>
      <c r="Y108" s="2"/>
      <c r="Z108" s="2"/>
      <c r="AA108" s="2"/>
      <c r="AB108" s="2"/>
    </row>
    <row r="109" spans="1:28" s="46" customFormat="1">
      <c r="A109" s="36">
        <f t="shared" si="13"/>
        <v>105</v>
      </c>
      <c r="B109" s="104" t="s">
        <v>457</v>
      </c>
      <c r="C109" s="105" t="s">
        <v>458</v>
      </c>
      <c r="D109" s="28" t="s">
        <v>459</v>
      </c>
      <c r="E109" s="41">
        <v>42824</v>
      </c>
      <c r="F109" s="107">
        <f>10000000</f>
        <v>10000000</v>
      </c>
      <c r="G109" s="33">
        <f t="shared" si="10"/>
        <v>14346000</v>
      </c>
      <c r="H109" s="107">
        <v>278500</v>
      </c>
      <c r="I109" s="107">
        <f t="shared" si="17"/>
        <v>120000</v>
      </c>
      <c r="J109" s="36">
        <v>36</v>
      </c>
      <c r="K109" s="110">
        <v>24</v>
      </c>
      <c r="L109" s="30">
        <f t="shared" si="11"/>
        <v>398500</v>
      </c>
      <c r="M109" s="30">
        <f t="shared" si="12"/>
        <v>9564000</v>
      </c>
      <c r="N109" s="112">
        <f>F109-(H109*12)</f>
        <v>6658000</v>
      </c>
      <c r="O109" s="34" t="s">
        <v>460</v>
      </c>
      <c r="P109" s="34" t="s">
        <v>36</v>
      </c>
      <c r="Q109" s="111">
        <f t="shared" si="14"/>
        <v>6658000</v>
      </c>
      <c r="R109" s="175">
        <f>+[1]N2!AE129</f>
        <v>6658000</v>
      </c>
      <c r="S109" s="107">
        <f t="shared" si="15"/>
        <v>0</v>
      </c>
      <c r="T109" s="2"/>
      <c r="U109" s="2"/>
      <c r="V109" s="2"/>
      <c r="W109" s="2"/>
      <c r="X109" s="2"/>
      <c r="Y109" s="2"/>
      <c r="Z109" s="2"/>
      <c r="AA109" s="2"/>
      <c r="AB109" s="2"/>
    </row>
    <row r="110" spans="1:28" s="46" customFormat="1">
      <c r="A110" s="36">
        <f t="shared" si="13"/>
        <v>106</v>
      </c>
      <c r="B110" s="107" t="s">
        <v>461</v>
      </c>
      <c r="C110" s="119" t="s">
        <v>462</v>
      </c>
      <c r="D110" s="119" t="s">
        <v>463</v>
      </c>
      <c r="E110" s="41">
        <v>42702</v>
      </c>
      <c r="F110" s="108">
        <f>7500000</f>
        <v>7500000</v>
      </c>
      <c r="G110" s="33">
        <f t="shared" si="10"/>
        <v>9126000</v>
      </c>
      <c r="H110" s="107">
        <v>417000</v>
      </c>
      <c r="I110" s="107">
        <f t="shared" si="17"/>
        <v>90000</v>
      </c>
      <c r="J110" s="120" t="s">
        <v>94</v>
      </c>
      <c r="K110" s="110">
        <v>2</v>
      </c>
      <c r="L110" s="30">
        <f t="shared" si="11"/>
        <v>507000</v>
      </c>
      <c r="M110" s="107">
        <f t="shared" si="12"/>
        <v>1014000</v>
      </c>
      <c r="N110" s="112">
        <f>F110-(H110*16)</f>
        <v>828000</v>
      </c>
      <c r="O110" s="117" t="s">
        <v>460</v>
      </c>
      <c r="P110" s="117" t="s">
        <v>73</v>
      </c>
      <c r="Q110" s="111">
        <f t="shared" si="14"/>
        <v>828000</v>
      </c>
      <c r="R110" s="175">
        <f>+[1]N2!AE130</f>
        <v>828000</v>
      </c>
      <c r="S110" s="107">
        <f t="shared" si="15"/>
        <v>0</v>
      </c>
      <c r="T110" s="2"/>
      <c r="U110" s="2"/>
      <c r="V110" s="2"/>
      <c r="W110" s="2"/>
      <c r="X110" s="2"/>
      <c r="Y110" s="2"/>
      <c r="Z110" s="2"/>
      <c r="AA110" s="2"/>
      <c r="AB110" s="2"/>
    </row>
    <row r="111" spans="1:28" s="46" customFormat="1">
      <c r="A111" s="36">
        <f t="shared" si="13"/>
        <v>107</v>
      </c>
      <c r="B111" s="107" t="s">
        <v>464</v>
      </c>
      <c r="C111" s="119" t="s">
        <v>465</v>
      </c>
      <c r="D111" s="119"/>
      <c r="E111" s="125">
        <v>42587</v>
      </c>
      <c r="F111" s="108">
        <f>10000000</f>
        <v>10000000</v>
      </c>
      <c r="G111" s="111">
        <f t="shared" si="10"/>
        <v>14328000</v>
      </c>
      <c r="H111" s="107">
        <f>398000-I111</f>
        <v>278000</v>
      </c>
      <c r="I111" s="108">
        <f t="shared" si="17"/>
        <v>120000</v>
      </c>
      <c r="J111" s="120" t="s">
        <v>82</v>
      </c>
      <c r="K111" s="110">
        <v>16</v>
      </c>
      <c r="L111" s="182">
        <f t="shared" si="11"/>
        <v>398000</v>
      </c>
      <c r="M111" s="107">
        <f t="shared" si="12"/>
        <v>6368000</v>
      </c>
      <c r="N111" s="180">
        <f>F111-(H111*20)</f>
        <v>4440000</v>
      </c>
      <c r="O111" s="117" t="s">
        <v>339</v>
      </c>
      <c r="P111" s="117" t="s">
        <v>36</v>
      </c>
      <c r="Q111" s="111">
        <f t="shared" si="14"/>
        <v>4440000</v>
      </c>
      <c r="R111" s="175">
        <f>+[1]N2!AE131</f>
        <v>4440000</v>
      </c>
      <c r="S111" s="107">
        <f t="shared" si="15"/>
        <v>0</v>
      </c>
      <c r="T111" s="2"/>
      <c r="U111" s="2"/>
      <c r="V111" s="2"/>
      <c r="W111" s="2"/>
      <c r="X111" s="2"/>
      <c r="Y111" s="2"/>
      <c r="Z111" s="2"/>
      <c r="AA111" s="2"/>
      <c r="AB111" s="2"/>
    </row>
    <row r="112" spans="1:28" s="46" customFormat="1">
      <c r="A112" s="36">
        <f t="shared" si="13"/>
        <v>108</v>
      </c>
      <c r="B112" s="107" t="s">
        <v>466</v>
      </c>
      <c r="C112" s="119" t="s">
        <v>467</v>
      </c>
      <c r="D112" s="119"/>
      <c r="E112" s="125">
        <v>42608</v>
      </c>
      <c r="F112" s="108">
        <f>10000000</f>
        <v>10000000</v>
      </c>
      <c r="G112" s="111">
        <f t="shared" si="10"/>
        <v>12888000</v>
      </c>
      <c r="H112" s="108">
        <v>417000</v>
      </c>
      <c r="I112" s="108">
        <f t="shared" si="17"/>
        <v>120000</v>
      </c>
      <c r="J112" s="120" t="s">
        <v>72</v>
      </c>
      <c r="K112" s="110">
        <v>5</v>
      </c>
      <c r="L112" s="182">
        <f t="shared" si="11"/>
        <v>537000</v>
      </c>
      <c r="M112" s="107">
        <f t="shared" si="12"/>
        <v>2685000</v>
      </c>
      <c r="N112" s="180">
        <f>F112-(H112*19)</f>
        <v>2077000</v>
      </c>
      <c r="O112" s="117" t="s">
        <v>468</v>
      </c>
      <c r="P112" s="134" t="s">
        <v>195</v>
      </c>
      <c r="Q112" s="111">
        <f t="shared" si="14"/>
        <v>2077000</v>
      </c>
      <c r="R112" s="175">
        <f>+[1]N2!AE132</f>
        <v>2077000</v>
      </c>
      <c r="S112" s="107">
        <f t="shared" si="15"/>
        <v>0</v>
      </c>
      <c r="T112" s="2"/>
      <c r="U112" s="2"/>
      <c r="V112" s="2"/>
      <c r="W112" s="2"/>
      <c r="X112" s="2"/>
      <c r="Y112" s="2"/>
      <c r="Z112" s="2"/>
      <c r="AA112" s="2"/>
      <c r="AB112" s="2"/>
    </row>
    <row r="113" spans="1:28" s="46" customFormat="1">
      <c r="A113" s="36">
        <f t="shared" si="13"/>
        <v>109</v>
      </c>
      <c r="B113" s="104" t="s">
        <v>469</v>
      </c>
      <c r="C113" s="105" t="s">
        <v>470</v>
      </c>
      <c r="D113" s="106" t="s">
        <v>471</v>
      </c>
      <c r="E113" s="41">
        <v>42943</v>
      </c>
      <c r="F113" s="107">
        <f>4871464+121787+10006749</f>
        <v>15000000</v>
      </c>
      <c r="G113" s="33">
        <f t="shared" si="10"/>
        <v>21510000</v>
      </c>
      <c r="H113" s="126">
        <f>597500-I113</f>
        <v>417500</v>
      </c>
      <c r="I113" s="107">
        <f t="shared" si="17"/>
        <v>180000</v>
      </c>
      <c r="J113" s="36">
        <v>36</v>
      </c>
      <c r="K113" s="110">
        <v>28</v>
      </c>
      <c r="L113" s="30">
        <f t="shared" si="11"/>
        <v>597500</v>
      </c>
      <c r="M113" s="30">
        <f t="shared" si="12"/>
        <v>16730000</v>
      </c>
      <c r="N113" s="112">
        <f>F113-(H113*8)</f>
        <v>11660000</v>
      </c>
      <c r="O113" s="34" t="s">
        <v>249</v>
      </c>
      <c r="P113" s="34" t="s">
        <v>31</v>
      </c>
      <c r="Q113" s="111">
        <f t="shared" si="14"/>
        <v>11660000</v>
      </c>
      <c r="R113" s="175">
        <f>+[1]N2!AE133</f>
        <v>11660000</v>
      </c>
      <c r="S113" s="107">
        <f t="shared" si="15"/>
        <v>0</v>
      </c>
      <c r="T113" s="2"/>
      <c r="U113" s="2"/>
      <c r="V113" s="2"/>
      <c r="W113" s="2"/>
      <c r="X113" s="2"/>
      <c r="Y113" s="2"/>
      <c r="Z113" s="2"/>
      <c r="AA113" s="2"/>
      <c r="AB113" s="2"/>
    </row>
    <row r="114" spans="1:28" s="46" customFormat="1">
      <c r="A114" s="36">
        <f t="shared" si="13"/>
        <v>110</v>
      </c>
      <c r="B114" s="104" t="s">
        <v>472</v>
      </c>
      <c r="C114" s="105" t="s">
        <v>473</v>
      </c>
      <c r="D114" s="106" t="s">
        <v>474</v>
      </c>
      <c r="E114" s="41">
        <v>43063</v>
      </c>
      <c r="F114" s="107">
        <f>10000000</f>
        <v>10000000</v>
      </c>
      <c r="G114" s="33">
        <f t="shared" si="10"/>
        <v>5880000</v>
      </c>
      <c r="H114" s="118">
        <f>245000-I114</f>
        <v>125000</v>
      </c>
      <c r="I114" s="118">
        <f t="shared" si="17"/>
        <v>120000</v>
      </c>
      <c r="J114" s="36">
        <v>24</v>
      </c>
      <c r="K114" s="110">
        <v>20</v>
      </c>
      <c r="L114" s="30">
        <f t="shared" si="11"/>
        <v>245000</v>
      </c>
      <c r="M114" s="30">
        <f t="shared" si="12"/>
        <v>4900000</v>
      </c>
      <c r="N114" s="38">
        <f>F114-(H114*4)-(2000000)</f>
        <v>7500000</v>
      </c>
      <c r="O114" s="34" t="s">
        <v>191</v>
      </c>
      <c r="P114" s="34" t="s">
        <v>36</v>
      </c>
      <c r="Q114" s="111">
        <f t="shared" si="14"/>
        <v>7500000</v>
      </c>
      <c r="R114" s="175">
        <f>+[1]N2!AE134</f>
        <v>7500000</v>
      </c>
      <c r="S114" s="107">
        <f t="shared" si="15"/>
        <v>0</v>
      </c>
      <c r="T114" s="2"/>
      <c r="U114" s="2"/>
      <c r="V114" s="2"/>
      <c r="W114" s="2"/>
      <c r="X114" s="2"/>
      <c r="Y114" s="2"/>
      <c r="Z114" s="2"/>
      <c r="AA114" s="2"/>
      <c r="AB114" s="2"/>
    </row>
    <row r="115" spans="1:28" s="46" customFormat="1">
      <c r="A115" s="36">
        <f t="shared" si="13"/>
        <v>111</v>
      </c>
      <c r="B115" s="104" t="s">
        <v>475</v>
      </c>
      <c r="C115" s="105" t="s">
        <v>476</v>
      </c>
      <c r="D115" s="28" t="s">
        <v>477</v>
      </c>
      <c r="E115" s="41">
        <v>43041</v>
      </c>
      <c r="F115" s="107">
        <f>10000000</f>
        <v>10000000</v>
      </c>
      <c r="G115" s="33">
        <f t="shared" si="10"/>
        <v>12888000</v>
      </c>
      <c r="H115" s="118">
        <f>537000-I115</f>
        <v>417000</v>
      </c>
      <c r="I115" s="118">
        <f t="shared" si="17"/>
        <v>120000</v>
      </c>
      <c r="J115" s="36">
        <v>24</v>
      </c>
      <c r="K115" s="110">
        <v>19</v>
      </c>
      <c r="L115" s="30">
        <f t="shared" si="11"/>
        <v>537000</v>
      </c>
      <c r="M115" s="30">
        <f t="shared" si="12"/>
        <v>10203000</v>
      </c>
      <c r="N115" s="38">
        <f>F115-(H115*5)</f>
        <v>7915000</v>
      </c>
      <c r="O115" s="34" t="s">
        <v>167</v>
      </c>
      <c r="P115" s="34" t="s">
        <v>36</v>
      </c>
      <c r="Q115" s="111">
        <f t="shared" si="14"/>
        <v>7915000</v>
      </c>
      <c r="R115" s="175">
        <f>+[1]N2!AE135</f>
        <v>7915000</v>
      </c>
      <c r="S115" s="107">
        <f t="shared" si="15"/>
        <v>0</v>
      </c>
      <c r="T115" s="2"/>
      <c r="U115" s="2"/>
      <c r="V115" s="2"/>
      <c r="W115" s="2"/>
      <c r="X115" s="2"/>
      <c r="Y115" s="2"/>
      <c r="Z115" s="2"/>
      <c r="AA115" s="2"/>
      <c r="AB115" s="2"/>
    </row>
    <row r="116" spans="1:28" s="46" customFormat="1">
      <c r="A116" s="36">
        <f t="shared" si="13"/>
        <v>112</v>
      </c>
      <c r="B116" s="104" t="s">
        <v>478</v>
      </c>
      <c r="C116" s="105" t="s">
        <v>479</v>
      </c>
      <c r="D116" s="28" t="s">
        <v>480</v>
      </c>
      <c r="E116" s="41">
        <v>42865</v>
      </c>
      <c r="F116" s="107">
        <f>10000000</f>
        <v>10000000</v>
      </c>
      <c r="G116" s="33">
        <f t="shared" si="10"/>
        <v>11454000</v>
      </c>
      <c r="H116" s="107">
        <f>954500-I116</f>
        <v>834500</v>
      </c>
      <c r="I116" s="107">
        <f t="shared" si="17"/>
        <v>120000</v>
      </c>
      <c r="J116" s="36">
        <v>12</v>
      </c>
      <c r="K116" s="110">
        <v>1</v>
      </c>
      <c r="L116" s="30">
        <f t="shared" si="11"/>
        <v>954500</v>
      </c>
      <c r="M116" s="30">
        <f t="shared" si="12"/>
        <v>954500</v>
      </c>
      <c r="N116" s="112">
        <f>F116-(H116*11)</f>
        <v>820500</v>
      </c>
      <c r="O116" s="34" t="s">
        <v>481</v>
      </c>
      <c r="P116" s="34" t="s">
        <v>36</v>
      </c>
      <c r="Q116" s="111">
        <f t="shared" si="14"/>
        <v>820500</v>
      </c>
      <c r="R116" s="175">
        <f>+[1]N2!AE136</f>
        <v>820500</v>
      </c>
      <c r="S116" s="107">
        <f t="shared" si="15"/>
        <v>0</v>
      </c>
      <c r="T116" s="2"/>
      <c r="U116" s="2"/>
      <c r="V116" s="2"/>
      <c r="W116" s="2"/>
      <c r="X116" s="2"/>
      <c r="Y116" s="2"/>
      <c r="Z116" s="2"/>
      <c r="AA116" s="2"/>
      <c r="AB116" s="2"/>
    </row>
    <row r="117" spans="1:28" s="46" customFormat="1">
      <c r="A117" s="36">
        <f t="shared" si="13"/>
        <v>113</v>
      </c>
      <c r="B117" s="104" t="s">
        <v>482</v>
      </c>
      <c r="C117" s="105" t="s">
        <v>483</v>
      </c>
      <c r="D117" s="106" t="s">
        <v>484</v>
      </c>
      <c r="E117" s="41">
        <v>43006</v>
      </c>
      <c r="F117" s="107">
        <f>10000000</f>
        <v>10000000</v>
      </c>
      <c r="G117" s="33">
        <f t="shared" si="10"/>
        <v>12888000</v>
      </c>
      <c r="H117" s="126">
        <v>417000</v>
      </c>
      <c r="I117" s="118">
        <f>F117*1.2%</f>
        <v>120000</v>
      </c>
      <c r="J117" s="36">
        <v>24</v>
      </c>
      <c r="K117" s="110">
        <v>18</v>
      </c>
      <c r="L117" s="30">
        <f t="shared" si="11"/>
        <v>537000</v>
      </c>
      <c r="M117" s="30">
        <f t="shared" si="12"/>
        <v>9666000</v>
      </c>
      <c r="N117" s="112">
        <f>F117-(H117*6)</f>
        <v>7498000</v>
      </c>
      <c r="O117" s="34" t="s">
        <v>485</v>
      </c>
      <c r="P117" s="34" t="s">
        <v>36</v>
      </c>
      <c r="Q117" s="111">
        <f t="shared" si="14"/>
        <v>7498000</v>
      </c>
      <c r="R117" s="175">
        <f>+[1]N2!AE137</f>
        <v>7498000</v>
      </c>
      <c r="S117" s="107">
        <f t="shared" si="15"/>
        <v>0</v>
      </c>
      <c r="T117" s="2"/>
      <c r="U117" s="2"/>
      <c r="V117" s="2"/>
      <c r="W117" s="2"/>
      <c r="X117" s="2"/>
      <c r="Y117" s="2"/>
      <c r="Z117" s="2"/>
      <c r="AA117" s="2"/>
      <c r="AB117" s="2"/>
    </row>
    <row r="118" spans="1:28" s="46" customFormat="1">
      <c r="A118" s="36">
        <f t="shared" si="13"/>
        <v>114</v>
      </c>
      <c r="B118" s="107" t="s">
        <v>486</v>
      </c>
      <c r="C118" s="119" t="s">
        <v>487</v>
      </c>
      <c r="D118" s="106" t="s">
        <v>488</v>
      </c>
      <c r="E118" s="41">
        <v>42871</v>
      </c>
      <c r="F118" s="126">
        <f>10000000</f>
        <v>10000000</v>
      </c>
      <c r="G118" s="33">
        <f t="shared" si="10"/>
        <v>12900000</v>
      </c>
      <c r="H118" s="107">
        <v>417500</v>
      </c>
      <c r="I118" s="107">
        <f>+F118*1.2%</f>
        <v>120000</v>
      </c>
      <c r="J118" s="36">
        <v>24</v>
      </c>
      <c r="K118" s="110">
        <v>13</v>
      </c>
      <c r="L118" s="181">
        <f t="shared" si="11"/>
        <v>537500</v>
      </c>
      <c r="M118" s="30">
        <f t="shared" si="12"/>
        <v>6987500</v>
      </c>
      <c r="N118" s="112">
        <f>F118-(H118*11)</f>
        <v>5407500</v>
      </c>
      <c r="O118" s="34" t="s">
        <v>489</v>
      </c>
      <c r="P118" s="34" t="s">
        <v>36</v>
      </c>
      <c r="Q118" s="111">
        <f t="shared" si="14"/>
        <v>5407500</v>
      </c>
      <c r="R118" s="175">
        <f>+[1]N2!AE138</f>
        <v>5407500</v>
      </c>
      <c r="S118" s="107">
        <f t="shared" si="15"/>
        <v>0</v>
      </c>
      <c r="T118" s="2"/>
      <c r="U118" s="2"/>
      <c r="V118" s="2"/>
      <c r="W118" s="2"/>
      <c r="X118" s="2"/>
      <c r="Y118" s="2"/>
      <c r="Z118" s="2"/>
      <c r="AA118" s="2"/>
      <c r="AB118" s="2"/>
    </row>
    <row r="119" spans="1:28" s="84" customFormat="1">
      <c r="A119" s="36">
        <f t="shared" si="13"/>
        <v>115</v>
      </c>
      <c r="B119" s="104" t="s">
        <v>490</v>
      </c>
      <c r="C119" s="105" t="s">
        <v>491</v>
      </c>
      <c r="D119" s="106" t="s">
        <v>492</v>
      </c>
      <c r="E119" s="28">
        <v>43130</v>
      </c>
      <c r="F119" s="107">
        <v>16000000</v>
      </c>
      <c r="G119" s="33">
        <f t="shared" si="10"/>
        <v>22932000</v>
      </c>
      <c r="H119" s="118">
        <f>637000-I119</f>
        <v>445000</v>
      </c>
      <c r="I119" s="118">
        <f>+F119*1.2%</f>
        <v>192000</v>
      </c>
      <c r="J119" s="36">
        <v>36</v>
      </c>
      <c r="K119" s="110">
        <v>34</v>
      </c>
      <c r="L119" s="30">
        <f t="shared" si="11"/>
        <v>637000</v>
      </c>
      <c r="M119" s="30">
        <f t="shared" si="12"/>
        <v>21658000</v>
      </c>
      <c r="N119" s="38">
        <f>F119-(H119*2)</f>
        <v>15110000</v>
      </c>
      <c r="O119" s="34" t="s">
        <v>493</v>
      </c>
      <c r="P119" s="34" t="s">
        <v>195</v>
      </c>
      <c r="Q119" s="111">
        <f t="shared" si="14"/>
        <v>15110000</v>
      </c>
      <c r="R119" s="175">
        <f>+[1]N2!AE139</f>
        <v>15110000</v>
      </c>
      <c r="S119" s="107">
        <f t="shared" si="15"/>
        <v>0</v>
      </c>
    </row>
    <row r="120" spans="1:28" s="46" customFormat="1">
      <c r="A120" s="36">
        <f t="shared" si="13"/>
        <v>116</v>
      </c>
      <c r="B120" s="104" t="s">
        <v>496</v>
      </c>
      <c r="C120" s="105" t="s">
        <v>497</v>
      </c>
      <c r="D120" s="28" t="s">
        <v>498</v>
      </c>
      <c r="E120" s="41">
        <v>42921</v>
      </c>
      <c r="F120" s="126">
        <f>10831800+270795+142065+18755340</f>
        <v>30000000</v>
      </c>
      <c r="G120" s="33">
        <f t="shared" si="10"/>
        <v>38640000</v>
      </c>
      <c r="H120" s="126">
        <f>+F120/J120</f>
        <v>1250000</v>
      </c>
      <c r="I120" s="118">
        <f>F120*1.2%</f>
        <v>360000</v>
      </c>
      <c r="J120" s="36">
        <v>24</v>
      </c>
      <c r="K120" s="110">
        <v>15</v>
      </c>
      <c r="L120" s="30">
        <f t="shared" si="11"/>
        <v>1610000</v>
      </c>
      <c r="M120" s="29">
        <f t="shared" si="12"/>
        <v>24150000</v>
      </c>
      <c r="N120" s="33">
        <f>+H120*K120</f>
        <v>18750000</v>
      </c>
      <c r="O120" s="34"/>
      <c r="P120" s="34" t="s">
        <v>31</v>
      </c>
      <c r="Q120" s="111">
        <f t="shared" si="14"/>
        <v>18750000</v>
      </c>
      <c r="R120" s="175">
        <f>+[1]N2!AE141</f>
        <v>18750000</v>
      </c>
      <c r="S120" s="107">
        <f t="shared" si="15"/>
        <v>0</v>
      </c>
    </row>
    <row r="121" spans="1:28" s="46" customFormat="1">
      <c r="A121" s="36">
        <f t="shared" si="13"/>
        <v>117</v>
      </c>
      <c r="B121" s="104" t="s">
        <v>499</v>
      </c>
      <c r="C121" s="105" t="s">
        <v>500</v>
      </c>
      <c r="D121" s="28" t="s">
        <v>501</v>
      </c>
      <c r="E121" s="41">
        <v>42800</v>
      </c>
      <c r="F121" s="107">
        <f>16664000+416600+133963+12785437</f>
        <v>30000000</v>
      </c>
      <c r="G121" s="33">
        <f t="shared" si="10"/>
        <v>42984000</v>
      </c>
      <c r="H121" s="107">
        <f>1194000-I121</f>
        <v>834000</v>
      </c>
      <c r="I121" s="107">
        <f t="shared" ref="I121:I133" si="18">+F121*1.2%</f>
        <v>360000</v>
      </c>
      <c r="J121" s="36">
        <v>36</v>
      </c>
      <c r="K121" s="110">
        <v>23</v>
      </c>
      <c r="L121" s="30">
        <f t="shared" si="11"/>
        <v>1194000</v>
      </c>
      <c r="M121" s="30">
        <f t="shared" si="12"/>
        <v>27462000</v>
      </c>
      <c r="N121" s="112">
        <f>F121-(H121*13)</f>
        <v>19158000</v>
      </c>
      <c r="O121" s="34" t="s">
        <v>502</v>
      </c>
      <c r="P121" s="34" t="s">
        <v>31</v>
      </c>
      <c r="Q121" s="111">
        <f t="shared" si="14"/>
        <v>19158000</v>
      </c>
      <c r="R121" s="175">
        <f>+[1]N2!AE142</f>
        <v>19158000</v>
      </c>
      <c r="S121" s="107">
        <f t="shared" si="15"/>
        <v>0</v>
      </c>
      <c r="T121" s="2"/>
      <c r="U121" s="2"/>
      <c r="V121" s="2"/>
      <c r="W121" s="2"/>
      <c r="X121" s="2"/>
      <c r="Y121" s="2"/>
      <c r="Z121" s="2"/>
      <c r="AA121" s="2"/>
      <c r="AB121" s="2"/>
    </row>
    <row r="122" spans="1:28" s="46" customFormat="1">
      <c r="A122" s="36">
        <f t="shared" si="13"/>
        <v>118</v>
      </c>
      <c r="B122" s="107" t="s">
        <v>503</v>
      </c>
      <c r="C122" s="119" t="s">
        <v>504</v>
      </c>
      <c r="D122" s="119"/>
      <c r="E122" s="125">
        <v>42548</v>
      </c>
      <c r="F122" s="108">
        <f>4166700+104168+25729132</f>
        <v>30000000</v>
      </c>
      <c r="G122" s="111">
        <f t="shared" si="10"/>
        <v>42984000</v>
      </c>
      <c r="H122" s="126">
        <v>834000</v>
      </c>
      <c r="I122" s="33">
        <f t="shared" si="18"/>
        <v>360000</v>
      </c>
      <c r="J122" s="120" t="s">
        <v>82</v>
      </c>
      <c r="K122" s="110">
        <v>15</v>
      </c>
      <c r="L122" s="182">
        <f t="shared" si="11"/>
        <v>1194000</v>
      </c>
      <c r="M122" s="107">
        <f t="shared" si="12"/>
        <v>17910000</v>
      </c>
      <c r="N122" s="183">
        <f>F122-(H122*21)</f>
        <v>12486000</v>
      </c>
      <c r="O122" s="117" t="s">
        <v>505</v>
      </c>
      <c r="P122" s="117" t="s">
        <v>84</v>
      </c>
      <c r="Q122" s="111">
        <f t="shared" si="14"/>
        <v>12486000</v>
      </c>
      <c r="R122" s="175">
        <f>+[1]N2!AE143</f>
        <v>12486000</v>
      </c>
      <c r="S122" s="107">
        <f t="shared" si="15"/>
        <v>0</v>
      </c>
      <c r="T122" s="2"/>
      <c r="U122" s="2"/>
      <c r="V122" s="2"/>
      <c r="W122" s="2"/>
      <c r="X122" s="2"/>
      <c r="Y122" s="2"/>
      <c r="Z122" s="2"/>
      <c r="AA122" s="2"/>
      <c r="AB122" s="2"/>
    </row>
    <row r="123" spans="1:28" s="46" customFormat="1">
      <c r="A123" s="36">
        <f t="shared" si="13"/>
        <v>119</v>
      </c>
      <c r="B123" s="107" t="s">
        <v>506</v>
      </c>
      <c r="C123" s="119" t="s">
        <v>507</v>
      </c>
      <c r="D123" s="119"/>
      <c r="E123" s="125">
        <v>42397</v>
      </c>
      <c r="F123" s="108">
        <f>10221500+255538+56596+9466366</f>
        <v>20000000</v>
      </c>
      <c r="G123" s="176">
        <f t="shared" si="10"/>
        <v>28641600</v>
      </c>
      <c r="H123" s="107">
        <f>795600-I123</f>
        <v>555600</v>
      </c>
      <c r="I123" s="108">
        <f t="shared" si="18"/>
        <v>240000</v>
      </c>
      <c r="J123" s="120" t="s">
        <v>82</v>
      </c>
      <c r="K123" s="110">
        <v>10</v>
      </c>
      <c r="L123" s="107">
        <f t="shared" si="11"/>
        <v>795600</v>
      </c>
      <c r="M123" s="107">
        <f t="shared" si="12"/>
        <v>7956000</v>
      </c>
      <c r="N123" s="184">
        <f>F123-(H123*26)</f>
        <v>5554400</v>
      </c>
      <c r="O123" s="117" t="s">
        <v>508</v>
      </c>
      <c r="P123" s="117" t="s">
        <v>31</v>
      </c>
      <c r="Q123" s="111">
        <f t="shared" si="14"/>
        <v>5554400</v>
      </c>
      <c r="R123" s="175">
        <f>+[1]N2!AE144</f>
        <v>5554400</v>
      </c>
      <c r="S123" s="107">
        <f t="shared" si="15"/>
        <v>0</v>
      </c>
      <c r="T123" s="2"/>
      <c r="U123" s="2"/>
      <c r="V123" s="2"/>
      <c r="W123" s="2"/>
      <c r="X123" s="2"/>
      <c r="Y123" s="2"/>
      <c r="Z123" s="2"/>
      <c r="AA123" s="2"/>
      <c r="AB123" s="2"/>
    </row>
    <row r="124" spans="1:28" s="46" customFormat="1">
      <c r="A124" s="36">
        <f t="shared" si="13"/>
        <v>120</v>
      </c>
      <c r="B124" s="104" t="s">
        <v>509</v>
      </c>
      <c r="C124" s="105" t="s">
        <v>510</v>
      </c>
      <c r="D124" s="106" t="s">
        <v>511</v>
      </c>
      <c r="E124" s="41">
        <v>42851</v>
      </c>
      <c r="F124" s="107">
        <f>16000000+400000+13600000</f>
        <v>30000000</v>
      </c>
      <c r="G124" s="33">
        <f t="shared" si="10"/>
        <v>38640000</v>
      </c>
      <c r="H124" s="107">
        <f>+F124/J124</f>
        <v>1250000</v>
      </c>
      <c r="I124" s="107">
        <f t="shared" si="18"/>
        <v>360000</v>
      </c>
      <c r="J124" s="36">
        <v>24</v>
      </c>
      <c r="K124" s="110">
        <v>13</v>
      </c>
      <c r="L124" s="30">
        <f t="shared" si="11"/>
        <v>1610000</v>
      </c>
      <c r="M124" s="30">
        <f t="shared" si="12"/>
        <v>20930000</v>
      </c>
      <c r="N124" s="33">
        <f>+H124*K124</f>
        <v>16250000</v>
      </c>
      <c r="O124" s="34" t="s">
        <v>20</v>
      </c>
      <c r="P124" s="34" t="s">
        <v>36</v>
      </c>
      <c r="Q124" s="111">
        <f t="shared" si="14"/>
        <v>16250000</v>
      </c>
      <c r="R124" s="175">
        <f>+[1]N2!AE145</f>
        <v>16250000</v>
      </c>
      <c r="S124" s="107">
        <f t="shared" si="15"/>
        <v>0</v>
      </c>
      <c r="T124" s="2"/>
      <c r="U124" s="2"/>
      <c r="V124" s="2"/>
      <c r="W124" s="2"/>
      <c r="X124" s="2"/>
      <c r="Y124" s="2"/>
      <c r="Z124" s="2"/>
      <c r="AA124" s="2"/>
      <c r="AB124" s="2"/>
    </row>
    <row r="125" spans="1:28" s="46" customFormat="1">
      <c r="A125" s="36">
        <f t="shared" si="13"/>
        <v>121</v>
      </c>
      <c r="B125" s="104" t="s">
        <v>512</v>
      </c>
      <c r="C125" s="105" t="s">
        <v>513</v>
      </c>
      <c r="D125" s="106" t="s">
        <v>514</v>
      </c>
      <c r="E125" s="41">
        <v>43035</v>
      </c>
      <c r="F125" s="107">
        <f>25827500+645688+3526812</f>
        <v>30000000</v>
      </c>
      <c r="G125" s="33">
        <f t="shared" si="10"/>
        <v>42984000</v>
      </c>
      <c r="H125" s="118">
        <v>834000</v>
      </c>
      <c r="I125" s="118">
        <f t="shared" si="18"/>
        <v>360000</v>
      </c>
      <c r="J125" s="36">
        <v>36</v>
      </c>
      <c r="K125" s="110">
        <v>31</v>
      </c>
      <c r="L125" s="30">
        <f t="shared" si="11"/>
        <v>1194000</v>
      </c>
      <c r="M125" s="30">
        <f t="shared" si="12"/>
        <v>37014000</v>
      </c>
      <c r="N125" s="38">
        <f>F125-(H125*5)</f>
        <v>25830000</v>
      </c>
      <c r="O125" s="34" t="s">
        <v>515</v>
      </c>
      <c r="P125" s="34" t="s">
        <v>75</v>
      </c>
      <c r="Q125" s="111">
        <f t="shared" si="14"/>
        <v>25830000</v>
      </c>
      <c r="R125" s="175">
        <f>+[1]N2!AE146</f>
        <v>25830000</v>
      </c>
      <c r="S125" s="107">
        <f t="shared" si="15"/>
        <v>0</v>
      </c>
      <c r="T125" s="2"/>
      <c r="U125" s="2"/>
      <c r="V125" s="2"/>
      <c r="W125" s="2"/>
      <c r="X125" s="2"/>
      <c r="Y125" s="2"/>
      <c r="Z125" s="2"/>
      <c r="AA125" s="2"/>
      <c r="AB125" s="2"/>
    </row>
    <row r="126" spans="1:28" s="46" customFormat="1">
      <c r="A126" s="36">
        <f t="shared" si="13"/>
        <v>122</v>
      </c>
      <c r="B126" s="104" t="s">
        <v>516</v>
      </c>
      <c r="C126" s="105" t="s">
        <v>517</v>
      </c>
      <c r="D126" s="106" t="s">
        <v>518</v>
      </c>
      <c r="E126" s="41">
        <v>43041</v>
      </c>
      <c r="F126" s="107">
        <f>23328000+583200+117290+5971510</f>
        <v>30000000</v>
      </c>
      <c r="G126" s="33">
        <f t="shared" si="10"/>
        <v>42984000</v>
      </c>
      <c r="H126" s="118">
        <f>1194000-I126</f>
        <v>834000</v>
      </c>
      <c r="I126" s="118">
        <f t="shared" si="18"/>
        <v>360000</v>
      </c>
      <c r="J126" s="36">
        <v>36</v>
      </c>
      <c r="K126" s="110">
        <v>31</v>
      </c>
      <c r="L126" s="30">
        <f t="shared" si="11"/>
        <v>1194000</v>
      </c>
      <c r="M126" s="30">
        <f t="shared" si="12"/>
        <v>37014000</v>
      </c>
      <c r="N126" s="38">
        <f>F126-(H126*5)</f>
        <v>25830000</v>
      </c>
      <c r="O126" s="34" t="s">
        <v>519</v>
      </c>
      <c r="P126" s="34" t="s">
        <v>75</v>
      </c>
      <c r="Q126" s="111">
        <f t="shared" si="14"/>
        <v>25830000</v>
      </c>
      <c r="R126" s="175">
        <f>+[1]N2!AE147</f>
        <v>25830000</v>
      </c>
      <c r="S126" s="107">
        <f t="shared" si="15"/>
        <v>0</v>
      </c>
      <c r="T126" s="2"/>
      <c r="U126" s="2"/>
      <c r="V126" s="2"/>
      <c r="W126" s="2"/>
      <c r="X126" s="2"/>
      <c r="Y126" s="2"/>
      <c r="Z126" s="2"/>
      <c r="AA126" s="2"/>
      <c r="AB126" s="2"/>
    </row>
    <row r="127" spans="1:28" s="46" customFormat="1">
      <c r="A127" s="36">
        <f t="shared" si="13"/>
        <v>123</v>
      </c>
      <c r="B127" s="107" t="s">
        <v>520</v>
      </c>
      <c r="C127" s="119" t="s">
        <v>521</v>
      </c>
      <c r="D127" s="119"/>
      <c r="E127" s="41">
        <v>42244</v>
      </c>
      <c r="F127" s="108">
        <f>17500140+437504+12062356</f>
        <v>30000000</v>
      </c>
      <c r="G127" s="176">
        <f t="shared" si="10"/>
        <v>42962400</v>
      </c>
      <c r="H127" s="107">
        <v>833400</v>
      </c>
      <c r="I127" s="108">
        <f t="shared" si="18"/>
        <v>360000</v>
      </c>
      <c r="J127" s="120" t="s">
        <v>82</v>
      </c>
      <c r="K127" s="110">
        <v>5</v>
      </c>
      <c r="L127" s="107">
        <f t="shared" si="11"/>
        <v>1193400</v>
      </c>
      <c r="M127" s="107">
        <f t="shared" si="12"/>
        <v>5967000</v>
      </c>
      <c r="N127" s="183">
        <f>F127-(H127*31)</f>
        <v>4164600</v>
      </c>
      <c r="O127" s="117" t="s">
        <v>522</v>
      </c>
      <c r="P127" s="117" t="s">
        <v>31</v>
      </c>
      <c r="Q127" s="111">
        <f t="shared" si="14"/>
        <v>4164600</v>
      </c>
      <c r="R127" s="175">
        <f>+[1]N2!AE148</f>
        <v>4164600</v>
      </c>
      <c r="S127" s="107">
        <f t="shared" si="15"/>
        <v>0</v>
      </c>
      <c r="T127" s="2"/>
      <c r="U127" s="2"/>
      <c r="V127" s="2"/>
      <c r="W127" s="2"/>
      <c r="X127" s="2"/>
      <c r="Y127" s="2"/>
      <c r="Z127" s="2"/>
      <c r="AA127" s="2"/>
      <c r="AB127" s="2"/>
    </row>
    <row r="128" spans="1:28" s="46" customFormat="1">
      <c r="A128" s="36">
        <f t="shared" si="13"/>
        <v>124</v>
      </c>
      <c r="B128" s="107" t="s">
        <v>523</v>
      </c>
      <c r="C128" s="119" t="s">
        <v>524</v>
      </c>
      <c r="D128" s="119"/>
      <c r="E128" s="125">
        <v>42516</v>
      </c>
      <c r="F128" s="108">
        <f>18332400+458310+11209290</f>
        <v>30000000</v>
      </c>
      <c r="G128" s="108">
        <f t="shared" si="10"/>
        <v>42984000</v>
      </c>
      <c r="H128" s="131">
        <f>1194000-I128</f>
        <v>834000</v>
      </c>
      <c r="I128" s="108">
        <f t="shared" si="18"/>
        <v>360000</v>
      </c>
      <c r="J128" s="120" t="s">
        <v>82</v>
      </c>
      <c r="K128" s="110">
        <v>14</v>
      </c>
      <c r="L128" s="107">
        <f t="shared" si="11"/>
        <v>1194000</v>
      </c>
      <c r="M128" s="107">
        <f t="shared" si="12"/>
        <v>16716000</v>
      </c>
      <c r="N128" s="179">
        <f>F128-(H128*22)</f>
        <v>11652000</v>
      </c>
      <c r="O128" s="117" t="s">
        <v>525</v>
      </c>
      <c r="P128" s="117" t="s">
        <v>225</v>
      </c>
      <c r="Q128" s="111">
        <f t="shared" si="14"/>
        <v>11652000</v>
      </c>
      <c r="R128" s="175">
        <f>+[1]N2!AE149</f>
        <v>11652000</v>
      </c>
      <c r="S128" s="107">
        <f t="shared" si="15"/>
        <v>0</v>
      </c>
      <c r="T128" s="2"/>
      <c r="U128" s="2"/>
      <c r="V128" s="2"/>
      <c r="W128" s="2"/>
      <c r="X128" s="2"/>
      <c r="Y128" s="2"/>
      <c r="Z128" s="2"/>
      <c r="AA128" s="2"/>
      <c r="AB128" s="2"/>
    </row>
    <row r="129" spans="1:28" s="46" customFormat="1">
      <c r="A129" s="36">
        <f t="shared" si="13"/>
        <v>125</v>
      </c>
      <c r="B129" s="104" t="s">
        <v>526</v>
      </c>
      <c r="C129" s="105" t="s">
        <v>527</v>
      </c>
      <c r="D129" s="106" t="s">
        <v>528</v>
      </c>
      <c r="E129" s="41">
        <v>42961</v>
      </c>
      <c r="F129" s="107">
        <f>5830500+145763+162581+23861156</f>
        <v>30000000</v>
      </c>
      <c r="G129" s="33">
        <f t="shared" si="10"/>
        <v>38640000</v>
      </c>
      <c r="H129" s="126">
        <f>+F129/J129</f>
        <v>1250000</v>
      </c>
      <c r="I129" s="107">
        <f t="shared" si="18"/>
        <v>360000</v>
      </c>
      <c r="J129" s="36">
        <v>24</v>
      </c>
      <c r="K129" s="110">
        <v>16</v>
      </c>
      <c r="L129" s="30">
        <f t="shared" si="11"/>
        <v>1610000</v>
      </c>
      <c r="M129" s="30">
        <f t="shared" si="12"/>
        <v>25760000</v>
      </c>
      <c r="N129" s="33">
        <f>+H129*K129</f>
        <v>20000000</v>
      </c>
      <c r="O129" s="34" t="s">
        <v>415</v>
      </c>
      <c r="P129" s="34" t="s">
        <v>31</v>
      </c>
      <c r="Q129" s="111">
        <f t="shared" si="14"/>
        <v>20000000</v>
      </c>
      <c r="R129" s="175">
        <f>+[1]N2!AE150</f>
        <v>20000000</v>
      </c>
      <c r="S129" s="107">
        <f t="shared" si="15"/>
        <v>0</v>
      </c>
      <c r="T129" s="2"/>
      <c r="U129" s="2"/>
      <c r="V129" s="2"/>
      <c r="W129" s="2"/>
      <c r="X129" s="2"/>
      <c r="Y129" s="2"/>
      <c r="Z129" s="2"/>
      <c r="AA129" s="2"/>
      <c r="AB129" s="2"/>
    </row>
    <row r="130" spans="1:28" s="46" customFormat="1">
      <c r="A130" s="36">
        <f t="shared" si="13"/>
        <v>126</v>
      </c>
      <c r="B130" s="107" t="s">
        <v>529</v>
      </c>
      <c r="C130" s="119" t="s">
        <v>530</v>
      </c>
      <c r="D130" s="119" t="s">
        <v>531</v>
      </c>
      <c r="E130" s="41">
        <v>42702</v>
      </c>
      <c r="F130" s="108">
        <f>30000000</f>
        <v>30000000</v>
      </c>
      <c r="G130" s="33">
        <f t="shared" si="10"/>
        <v>42984000</v>
      </c>
      <c r="H130" s="107">
        <v>834000</v>
      </c>
      <c r="I130" s="107">
        <f t="shared" si="18"/>
        <v>360000</v>
      </c>
      <c r="J130" s="120" t="s">
        <v>82</v>
      </c>
      <c r="K130" s="110">
        <v>20</v>
      </c>
      <c r="L130" s="30">
        <f t="shared" si="11"/>
        <v>1194000</v>
      </c>
      <c r="M130" s="107">
        <f t="shared" si="12"/>
        <v>23880000</v>
      </c>
      <c r="N130" s="112">
        <f>F130-(H130*16)</f>
        <v>16656000</v>
      </c>
      <c r="O130" s="117" t="s">
        <v>532</v>
      </c>
      <c r="P130" s="117" t="s">
        <v>73</v>
      </c>
      <c r="Q130" s="111">
        <f t="shared" si="14"/>
        <v>16656000</v>
      </c>
      <c r="R130" s="175">
        <f>+[1]N2!AE151</f>
        <v>16656000</v>
      </c>
      <c r="S130" s="107">
        <f t="shared" si="15"/>
        <v>0</v>
      </c>
      <c r="T130" s="2"/>
      <c r="U130" s="2"/>
      <c r="V130" s="2"/>
      <c r="W130" s="2"/>
      <c r="X130" s="2"/>
      <c r="Y130" s="2"/>
      <c r="Z130" s="2"/>
      <c r="AA130" s="2"/>
      <c r="AB130" s="2"/>
    </row>
    <row r="131" spans="1:28" s="46" customFormat="1">
      <c r="A131" s="36">
        <f t="shared" si="13"/>
        <v>127</v>
      </c>
      <c r="B131" s="104" t="s">
        <v>533</v>
      </c>
      <c r="C131" s="105" t="s">
        <v>534</v>
      </c>
      <c r="D131" s="106" t="s">
        <v>535</v>
      </c>
      <c r="E131" s="28">
        <v>43129</v>
      </c>
      <c r="F131" s="107">
        <f>30000000</f>
        <v>30000000</v>
      </c>
      <c r="G131" s="33">
        <f t="shared" si="10"/>
        <v>42984000</v>
      </c>
      <c r="H131" s="118">
        <f>1194000-I131</f>
        <v>834000</v>
      </c>
      <c r="I131" s="118">
        <f t="shared" si="18"/>
        <v>360000</v>
      </c>
      <c r="J131" s="36">
        <v>36</v>
      </c>
      <c r="K131" s="110">
        <v>34</v>
      </c>
      <c r="L131" s="30">
        <f t="shared" si="11"/>
        <v>1194000</v>
      </c>
      <c r="M131" s="30">
        <f t="shared" si="12"/>
        <v>40596000</v>
      </c>
      <c r="N131" s="38">
        <f>F131-(H131*2)</f>
        <v>28332000</v>
      </c>
      <c r="O131" s="34" t="s">
        <v>536</v>
      </c>
      <c r="P131" s="34" t="s">
        <v>36</v>
      </c>
      <c r="Q131" s="111">
        <f t="shared" si="14"/>
        <v>28332000</v>
      </c>
      <c r="R131" s="175">
        <f>+[1]N2!AE152</f>
        <v>28332000</v>
      </c>
      <c r="S131" s="107">
        <f t="shared" si="15"/>
        <v>0</v>
      </c>
      <c r="T131" s="2"/>
      <c r="U131" s="2"/>
      <c r="V131" s="2"/>
      <c r="W131" s="2"/>
      <c r="X131" s="2"/>
      <c r="Y131" s="2"/>
      <c r="Z131" s="2"/>
      <c r="AA131" s="2"/>
      <c r="AB131" s="2"/>
    </row>
    <row r="132" spans="1:28" s="46" customFormat="1">
      <c r="A132" s="36">
        <f t="shared" si="13"/>
        <v>128</v>
      </c>
      <c r="B132" s="104" t="s">
        <v>537</v>
      </c>
      <c r="C132" s="105" t="s">
        <v>538</v>
      </c>
      <c r="D132" s="106" t="s">
        <v>539</v>
      </c>
      <c r="E132" s="41">
        <v>42958</v>
      </c>
      <c r="F132" s="107">
        <f>20000000</f>
        <v>20000000</v>
      </c>
      <c r="G132" s="33">
        <f t="shared" ref="G132:G194" si="19">+J132*L132</f>
        <v>25788000</v>
      </c>
      <c r="H132" s="126">
        <f>1074500-I132</f>
        <v>834500</v>
      </c>
      <c r="I132" s="107">
        <f t="shared" si="18"/>
        <v>240000</v>
      </c>
      <c r="J132" s="36">
        <v>24</v>
      </c>
      <c r="K132" s="110">
        <v>16</v>
      </c>
      <c r="L132" s="30">
        <f t="shared" ref="L132:L194" si="20">+H132+I132</f>
        <v>1074500</v>
      </c>
      <c r="M132" s="30">
        <f t="shared" ref="M132:M194" si="21">+K132*L132</f>
        <v>17192000</v>
      </c>
      <c r="N132" s="112">
        <f>F132-(H132*8)</f>
        <v>13324000</v>
      </c>
      <c r="O132" s="34" t="s">
        <v>187</v>
      </c>
      <c r="P132" s="34" t="s">
        <v>36</v>
      </c>
      <c r="Q132" s="111">
        <f t="shared" si="14"/>
        <v>13324000</v>
      </c>
      <c r="R132" s="175">
        <f>+[1]N2!AE153</f>
        <v>13324000</v>
      </c>
      <c r="S132" s="107">
        <f t="shared" si="15"/>
        <v>0</v>
      </c>
      <c r="T132" s="2"/>
      <c r="U132" s="2"/>
      <c r="V132" s="2"/>
      <c r="W132" s="2"/>
      <c r="X132" s="2"/>
      <c r="Y132" s="2"/>
      <c r="Z132" s="2"/>
      <c r="AA132" s="2"/>
      <c r="AB132" s="2"/>
    </row>
    <row r="133" spans="1:28" s="46" customFormat="1">
      <c r="A133" s="36">
        <f t="shared" ref="A133:A195" si="22">+A132+1</f>
        <v>129</v>
      </c>
      <c r="B133" s="104" t="s">
        <v>540</v>
      </c>
      <c r="C133" s="105" t="s">
        <v>541</v>
      </c>
      <c r="D133" s="28" t="s">
        <v>542</v>
      </c>
      <c r="E133" s="41">
        <v>42922</v>
      </c>
      <c r="F133" s="107">
        <f>30000000</f>
        <v>30000000</v>
      </c>
      <c r="G133" s="33">
        <f t="shared" si="19"/>
        <v>43002000</v>
      </c>
      <c r="H133" s="107">
        <f>1194500-I133</f>
        <v>834500</v>
      </c>
      <c r="I133" s="107">
        <f t="shared" si="18"/>
        <v>360000</v>
      </c>
      <c r="J133" s="36">
        <v>36</v>
      </c>
      <c r="K133" s="110">
        <v>27</v>
      </c>
      <c r="L133" s="30">
        <f t="shared" si="20"/>
        <v>1194500</v>
      </c>
      <c r="M133" s="30">
        <f t="shared" si="21"/>
        <v>32251500</v>
      </c>
      <c r="N133" s="112">
        <f>F133-(H133*9)</f>
        <v>22489500</v>
      </c>
      <c r="O133" s="34" t="s">
        <v>543</v>
      </c>
      <c r="P133" s="34" t="s">
        <v>36</v>
      </c>
      <c r="Q133" s="111">
        <f t="shared" ref="Q133:Q195" si="23">+N133</f>
        <v>22489500</v>
      </c>
      <c r="R133" s="175">
        <f>+[1]N2!AE154</f>
        <v>22489500</v>
      </c>
      <c r="S133" s="107">
        <f t="shared" ref="S133:S195" si="24">+Q133-R133</f>
        <v>0</v>
      </c>
      <c r="T133" s="2"/>
      <c r="U133" s="2"/>
      <c r="V133" s="2"/>
      <c r="W133" s="2"/>
      <c r="X133" s="2"/>
      <c r="Y133" s="2"/>
      <c r="Z133" s="2"/>
      <c r="AA133" s="2"/>
      <c r="AB133" s="2"/>
    </row>
    <row r="134" spans="1:28" s="46" customFormat="1">
      <c r="A134" s="36">
        <f t="shared" si="22"/>
        <v>130</v>
      </c>
      <c r="B134" s="104" t="s">
        <v>544</v>
      </c>
      <c r="C134" s="105" t="s">
        <v>545</v>
      </c>
      <c r="D134" s="28" t="s">
        <v>546</v>
      </c>
      <c r="E134" s="28">
        <v>43126</v>
      </c>
      <c r="F134" s="126">
        <f>16656000+416400+10000000</f>
        <v>27072400</v>
      </c>
      <c r="G134" s="33">
        <f t="shared" si="19"/>
        <v>38772000</v>
      </c>
      <c r="H134" s="118">
        <f>1077000-I134</f>
        <v>752131</v>
      </c>
      <c r="I134" s="118">
        <v>324869</v>
      </c>
      <c r="J134" s="36">
        <v>36</v>
      </c>
      <c r="K134" s="110">
        <v>34</v>
      </c>
      <c r="L134" s="30">
        <f t="shared" si="20"/>
        <v>1077000</v>
      </c>
      <c r="M134" s="30">
        <f t="shared" si="21"/>
        <v>36618000</v>
      </c>
      <c r="N134" s="38">
        <f>F134-(H134*2)</f>
        <v>25568138</v>
      </c>
      <c r="O134" s="34" t="s">
        <v>435</v>
      </c>
      <c r="P134" s="34" t="s">
        <v>31</v>
      </c>
      <c r="Q134" s="111">
        <f t="shared" si="23"/>
        <v>25568138</v>
      </c>
      <c r="R134" s="175">
        <f>+[1]N2!AE155</f>
        <v>25568138</v>
      </c>
      <c r="S134" s="107">
        <f t="shared" si="24"/>
        <v>0</v>
      </c>
      <c r="T134" s="2"/>
      <c r="U134" s="2"/>
      <c r="V134" s="2"/>
      <c r="W134" s="2"/>
      <c r="X134" s="2"/>
      <c r="Y134" s="2"/>
      <c r="Z134" s="2"/>
      <c r="AA134" s="2"/>
      <c r="AB134" s="2"/>
    </row>
    <row r="135" spans="1:28" s="46" customFormat="1">
      <c r="A135" s="36">
        <f t="shared" si="22"/>
        <v>131</v>
      </c>
      <c r="B135" s="104" t="s">
        <v>547</v>
      </c>
      <c r="C135" s="105" t="s">
        <v>548</v>
      </c>
      <c r="D135" s="106" t="s">
        <v>549</v>
      </c>
      <c r="E135" s="41">
        <v>42892</v>
      </c>
      <c r="F135" s="107">
        <f>22241208+556030+174935+7027827</f>
        <v>30000000</v>
      </c>
      <c r="G135" s="33">
        <f t="shared" si="19"/>
        <v>43002000</v>
      </c>
      <c r="H135" s="107">
        <f>1194500-I135</f>
        <v>834500</v>
      </c>
      <c r="I135" s="107">
        <f>+F135*1.2%</f>
        <v>360000</v>
      </c>
      <c r="J135" s="36">
        <v>36</v>
      </c>
      <c r="K135" s="110">
        <v>26</v>
      </c>
      <c r="L135" s="30">
        <f t="shared" si="20"/>
        <v>1194500</v>
      </c>
      <c r="M135" s="30">
        <f t="shared" si="21"/>
        <v>31057000</v>
      </c>
      <c r="N135" s="112">
        <f>F135-(H135*10)</f>
        <v>21655000</v>
      </c>
      <c r="O135" s="34" t="s">
        <v>550</v>
      </c>
      <c r="P135" s="34" t="s">
        <v>31</v>
      </c>
      <c r="Q135" s="111">
        <f t="shared" si="23"/>
        <v>21655000</v>
      </c>
      <c r="R135" s="175">
        <f>+[1]N2!AE156</f>
        <v>21655000</v>
      </c>
      <c r="S135" s="107">
        <f t="shared" si="24"/>
        <v>0</v>
      </c>
      <c r="T135" s="2"/>
      <c r="U135" s="2"/>
      <c r="V135" s="2"/>
      <c r="W135" s="2"/>
      <c r="X135" s="2"/>
      <c r="Y135" s="2"/>
      <c r="Z135" s="2"/>
      <c r="AA135" s="2"/>
      <c r="AB135" s="2"/>
    </row>
    <row r="136" spans="1:28" s="46" customFormat="1">
      <c r="A136" s="36">
        <f t="shared" si="22"/>
        <v>132</v>
      </c>
      <c r="B136" s="104" t="s">
        <v>551</v>
      </c>
      <c r="C136" s="105" t="s">
        <v>552</v>
      </c>
      <c r="D136" s="106" t="s">
        <v>553</v>
      </c>
      <c r="E136" s="41">
        <v>43014</v>
      </c>
      <c r="F136" s="107">
        <f>3992500+99813+50271+4000000</f>
        <v>8142584</v>
      </c>
      <c r="G136" s="33">
        <f t="shared" si="19"/>
        <v>9324000</v>
      </c>
      <c r="H136" s="118">
        <v>679289</v>
      </c>
      <c r="I136" s="118">
        <v>97711</v>
      </c>
      <c r="J136" s="36">
        <v>12</v>
      </c>
      <c r="K136" s="110">
        <v>6</v>
      </c>
      <c r="L136" s="30">
        <f t="shared" si="20"/>
        <v>777000</v>
      </c>
      <c r="M136" s="30">
        <f t="shared" si="21"/>
        <v>4662000</v>
      </c>
      <c r="N136" s="112">
        <f>F136-(H136*6)</f>
        <v>4066850</v>
      </c>
      <c r="O136" s="34" t="s">
        <v>554</v>
      </c>
      <c r="P136" s="34" t="s">
        <v>93</v>
      </c>
      <c r="Q136" s="111">
        <f t="shared" si="23"/>
        <v>4066850</v>
      </c>
      <c r="R136" s="175">
        <f>+[1]N2!AE157</f>
        <v>4066850</v>
      </c>
      <c r="S136" s="107">
        <f t="shared" si="24"/>
        <v>0</v>
      </c>
      <c r="T136" s="2"/>
      <c r="U136" s="2"/>
      <c r="V136" s="2"/>
      <c r="W136" s="2"/>
      <c r="X136" s="2"/>
      <c r="Y136" s="2"/>
      <c r="Z136" s="2"/>
      <c r="AA136" s="2"/>
      <c r="AB136" s="2"/>
    </row>
    <row r="137" spans="1:28" s="46" customFormat="1">
      <c r="A137" s="36">
        <f t="shared" si="22"/>
        <v>133</v>
      </c>
      <c r="B137" s="107" t="s">
        <v>555</v>
      </c>
      <c r="C137" s="119" t="s">
        <v>556</v>
      </c>
      <c r="D137" s="119" t="s">
        <v>557</v>
      </c>
      <c r="E137" s="41">
        <v>42734</v>
      </c>
      <c r="F137" s="108">
        <f>22498500+562463+6000000</f>
        <v>29060963</v>
      </c>
      <c r="G137" s="33">
        <f t="shared" si="19"/>
        <v>41616000</v>
      </c>
      <c r="H137" s="107">
        <v>807268</v>
      </c>
      <c r="I137" s="107">
        <v>348732</v>
      </c>
      <c r="J137" s="120" t="s">
        <v>82</v>
      </c>
      <c r="K137" s="110">
        <v>21</v>
      </c>
      <c r="L137" s="30">
        <f t="shared" si="20"/>
        <v>1156000</v>
      </c>
      <c r="M137" s="107">
        <f t="shared" si="21"/>
        <v>24276000</v>
      </c>
      <c r="N137" s="112">
        <f>F137-(H137*15)</f>
        <v>16951943</v>
      </c>
      <c r="O137" s="117" t="s">
        <v>550</v>
      </c>
      <c r="P137" s="117" t="s">
        <v>31</v>
      </c>
      <c r="Q137" s="111">
        <f t="shared" si="23"/>
        <v>16951943</v>
      </c>
      <c r="R137" s="175">
        <f>+[1]N2!AE158</f>
        <v>16951943</v>
      </c>
      <c r="S137" s="107">
        <f t="shared" si="24"/>
        <v>0</v>
      </c>
      <c r="T137" s="2"/>
      <c r="U137" s="2"/>
      <c r="V137" s="2"/>
      <c r="W137" s="2"/>
      <c r="X137" s="2"/>
      <c r="Y137" s="2"/>
      <c r="Z137" s="2"/>
      <c r="AA137" s="2"/>
      <c r="AB137" s="2"/>
    </row>
    <row r="138" spans="1:28" s="46" customFormat="1">
      <c r="A138" s="36">
        <f t="shared" si="22"/>
        <v>134</v>
      </c>
      <c r="B138" s="107" t="s">
        <v>558</v>
      </c>
      <c r="C138" s="119" t="s">
        <v>559</v>
      </c>
      <c r="D138" s="119"/>
      <c r="E138" s="125">
        <v>42516</v>
      </c>
      <c r="F138" s="108">
        <f>30000000</f>
        <v>30000000</v>
      </c>
      <c r="G138" s="108">
        <f t="shared" si="19"/>
        <v>42984000</v>
      </c>
      <c r="H138" s="131">
        <f>1194000-I138</f>
        <v>834000</v>
      </c>
      <c r="I138" s="108">
        <f>+F138*1.2%</f>
        <v>360000</v>
      </c>
      <c r="J138" s="120" t="s">
        <v>82</v>
      </c>
      <c r="K138" s="110">
        <v>14</v>
      </c>
      <c r="L138" s="107">
        <f t="shared" si="20"/>
        <v>1194000</v>
      </c>
      <c r="M138" s="107">
        <f t="shared" si="21"/>
        <v>16716000</v>
      </c>
      <c r="N138" s="179">
        <f>F138-(H138*22)</f>
        <v>11652000</v>
      </c>
      <c r="O138" s="117" t="s">
        <v>98</v>
      </c>
      <c r="P138" s="117" t="s">
        <v>363</v>
      </c>
      <c r="Q138" s="111">
        <f t="shared" si="23"/>
        <v>11652000</v>
      </c>
      <c r="R138" s="175">
        <f>+[1]N2!AE159</f>
        <v>11652000</v>
      </c>
      <c r="S138" s="107">
        <f t="shared" si="24"/>
        <v>0</v>
      </c>
      <c r="T138" s="2"/>
      <c r="U138" s="2"/>
      <c r="V138" s="2"/>
      <c r="W138" s="2"/>
      <c r="X138" s="2"/>
      <c r="Y138" s="2"/>
      <c r="Z138" s="2"/>
      <c r="AA138" s="2"/>
      <c r="AB138" s="2"/>
    </row>
    <row r="139" spans="1:28" s="46" customFormat="1">
      <c r="A139" s="36">
        <f t="shared" si="22"/>
        <v>135</v>
      </c>
      <c r="B139" s="104" t="s">
        <v>560</v>
      </c>
      <c r="C139" s="105" t="s">
        <v>561</v>
      </c>
      <c r="D139" s="106" t="s">
        <v>562</v>
      </c>
      <c r="E139" s="41">
        <v>43003</v>
      </c>
      <c r="F139" s="107">
        <f>21660000+541500+7798500</f>
        <v>30000000</v>
      </c>
      <c r="G139" s="33">
        <f t="shared" si="19"/>
        <v>42984000</v>
      </c>
      <c r="H139" s="118">
        <v>834000</v>
      </c>
      <c r="I139" s="118">
        <f>F139*1.2%</f>
        <v>360000</v>
      </c>
      <c r="J139" s="36">
        <v>36</v>
      </c>
      <c r="K139" s="110">
        <v>30</v>
      </c>
      <c r="L139" s="30">
        <f t="shared" si="20"/>
        <v>1194000</v>
      </c>
      <c r="M139" s="30">
        <f t="shared" si="21"/>
        <v>35820000</v>
      </c>
      <c r="N139" s="112">
        <f>F139-(H139*6)</f>
        <v>24996000</v>
      </c>
      <c r="O139" s="34" t="s">
        <v>563</v>
      </c>
      <c r="P139" s="34" t="s">
        <v>75</v>
      </c>
      <c r="Q139" s="111">
        <f t="shared" si="23"/>
        <v>24996000</v>
      </c>
      <c r="R139" s="175">
        <f>+[1]N2!AE160</f>
        <v>24996000</v>
      </c>
      <c r="S139" s="107">
        <f t="shared" si="24"/>
        <v>0</v>
      </c>
      <c r="T139" s="2"/>
      <c r="U139" s="2"/>
      <c r="V139" s="2"/>
      <c r="W139" s="2"/>
      <c r="X139" s="2"/>
      <c r="Y139" s="2"/>
      <c r="Z139" s="2"/>
      <c r="AA139" s="2"/>
      <c r="AB139" s="2"/>
    </row>
    <row r="140" spans="1:28" s="46" customFormat="1">
      <c r="A140" s="36">
        <f t="shared" si="22"/>
        <v>136</v>
      </c>
      <c r="B140" s="104" t="s">
        <v>564</v>
      </c>
      <c r="C140" s="105" t="s">
        <v>565</v>
      </c>
      <c r="D140" s="106" t="s">
        <v>566</v>
      </c>
      <c r="E140" s="28">
        <v>43111</v>
      </c>
      <c r="F140" s="107">
        <f>6664800+166620+255484+22913096</f>
        <v>30000000</v>
      </c>
      <c r="G140" s="33">
        <f t="shared" si="19"/>
        <v>42984000</v>
      </c>
      <c r="H140" s="118">
        <v>834000</v>
      </c>
      <c r="I140" s="118">
        <f>+F140*1.2%</f>
        <v>360000</v>
      </c>
      <c r="J140" s="36">
        <v>36</v>
      </c>
      <c r="K140" s="110">
        <v>33</v>
      </c>
      <c r="L140" s="30">
        <f t="shared" si="20"/>
        <v>1194000</v>
      </c>
      <c r="M140" s="30">
        <f t="shared" si="21"/>
        <v>39402000</v>
      </c>
      <c r="N140" s="38">
        <f>F140-(H140*3)</f>
        <v>27498000</v>
      </c>
      <c r="O140" s="34" t="s">
        <v>567</v>
      </c>
      <c r="P140" s="34" t="s">
        <v>75</v>
      </c>
      <c r="Q140" s="111">
        <f t="shared" si="23"/>
        <v>27498000</v>
      </c>
      <c r="R140" s="175">
        <f>+[1]N2!AE161</f>
        <v>27498000</v>
      </c>
      <c r="S140" s="107">
        <f t="shared" si="24"/>
        <v>0</v>
      </c>
      <c r="T140" s="2"/>
      <c r="U140" s="2"/>
      <c r="V140" s="2"/>
      <c r="W140" s="2"/>
      <c r="X140" s="2"/>
      <c r="Y140" s="2"/>
      <c r="Z140" s="2"/>
      <c r="AA140" s="2"/>
      <c r="AB140" s="2"/>
    </row>
    <row r="141" spans="1:28" s="46" customFormat="1">
      <c r="A141" s="36">
        <f t="shared" si="22"/>
        <v>137</v>
      </c>
      <c r="B141" s="104" t="s">
        <v>568</v>
      </c>
      <c r="C141" s="105" t="s">
        <v>569</v>
      </c>
      <c r="D141" s="105" t="s">
        <v>570</v>
      </c>
      <c r="E141" s="41">
        <v>42879</v>
      </c>
      <c r="F141" s="107">
        <f>15000000</f>
        <v>15000000</v>
      </c>
      <c r="G141" s="33">
        <f t="shared" si="19"/>
        <v>18261000</v>
      </c>
      <c r="H141" s="107">
        <f>1014500-I141</f>
        <v>834500</v>
      </c>
      <c r="I141" s="107">
        <f>+F141*1.2%</f>
        <v>180000</v>
      </c>
      <c r="J141" s="36">
        <v>18</v>
      </c>
      <c r="K141" s="110">
        <v>8</v>
      </c>
      <c r="L141" s="30">
        <f t="shared" si="20"/>
        <v>1014500</v>
      </c>
      <c r="M141" s="30">
        <f t="shared" si="21"/>
        <v>8116000</v>
      </c>
      <c r="N141" s="112">
        <f>F141-(H141*10)</f>
        <v>6655000</v>
      </c>
      <c r="O141" s="34" t="s">
        <v>571</v>
      </c>
      <c r="P141" s="34" t="s">
        <v>36</v>
      </c>
      <c r="Q141" s="111">
        <f t="shared" si="23"/>
        <v>6655000</v>
      </c>
      <c r="R141" s="175">
        <f>+[1]N2!AE162</f>
        <v>6655000</v>
      </c>
      <c r="S141" s="107">
        <f t="shared" si="24"/>
        <v>0</v>
      </c>
      <c r="T141" s="2"/>
      <c r="U141" s="2"/>
      <c r="V141" s="2"/>
      <c r="W141" s="2"/>
      <c r="X141" s="2"/>
      <c r="Y141" s="2"/>
      <c r="Z141" s="2"/>
      <c r="AA141" s="2"/>
      <c r="AB141" s="2"/>
    </row>
    <row r="142" spans="1:28" s="46" customFormat="1">
      <c r="A142" s="36">
        <f t="shared" si="22"/>
        <v>138</v>
      </c>
      <c r="B142" s="107" t="s">
        <v>572</v>
      </c>
      <c r="C142" s="119" t="s">
        <v>573</v>
      </c>
      <c r="D142" s="119"/>
      <c r="E142" s="41">
        <v>42180</v>
      </c>
      <c r="F142" s="108">
        <f>20833750+520844+8645406</f>
        <v>30000000</v>
      </c>
      <c r="G142" s="176">
        <f t="shared" si="19"/>
        <v>24966000</v>
      </c>
      <c r="H142" s="107">
        <v>333500</v>
      </c>
      <c r="I142" s="108">
        <v>360000</v>
      </c>
      <c r="J142" s="120" t="s">
        <v>82</v>
      </c>
      <c r="K142" s="110">
        <v>3</v>
      </c>
      <c r="L142" s="107">
        <f t="shared" si="20"/>
        <v>693500</v>
      </c>
      <c r="M142" s="107">
        <f t="shared" si="21"/>
        <v>2080500</v>
      </c>
      <c r="N142" s="183">
        <f>F142-(H142*33)-6000000-6000000</f>
        <v>6994500</v>
      </c>
      <c r="O142" s="117" t="s">
        <v>574</v>
      </c>
      <c r="P142" s="117" t="s">
        <v>31</v>
      </c>
      <c r="Q142" s="111">
        <f t="shared" si="23"/>
        <v>6994500</v>
      </c>
      <c r="R142" s="175">
        <f>+[1]N2!AE163</f>
        <v>6994500</v>
      </c>
      <c r="S142" s="107">
        <f t="shared" si="24"/>
        <v>0</v>
      </c>
      <c r="T142" s="2"/>
      <c r="U142" s="2"/>
      <c r="V142" s="2"/>
      <c r="W142" s="2"/>
      <c r="X142" s="2"/>
      <c r="Y142" s="2"/>
      <c r="Z142" s="2"/>
      <c r="AA142" s="2"/>
      <c r="AB142" s="2"/>
    </row>
    <row r="143" spans="1:28" s="46" customFormat="1">
      <c r="A143" s="36">
        <f t="shared" si="22"/>
        <v>139</v>
      </c>
      <c r="B143" s="104" t="s">
        <v>575</v>
      </c>
      <c r="C143" s="105" t="s">
        <v>576</v>
      </c>
      <c r="D143" s="106" t="s">
        <v>577</v>
      </c>
      <c r="E143" s="41">
        <v>42975</v>
      </c>
      <c r="F143" s="107">
        <f>21660000+541500+7798500</f>
        <v>30000000</v>
      </c>
      <c r="G143" s="33">
        <f t="shared" si="19"/>
        <v>42984000</v>
      </c>
      <c r="H143" s="126">
        <v>834000</v>
      </c>
      <c r="I143" s="118">
        <f>F143*1.2%</f>
        <v>360000</v>
      </c>
      <c r="J143" s="36">
        <v>36</v>
      </c>
      <c r="K143" s="110">
        <v>29</v>
      </c>
      <c r="L143" s="30">
        <f t="shared" si="20"/>
        <v>1194000</v>
      </c>
      <c r="M143" s="30">
        <f t="shared" si="21"/>
        <v>34626000</v>
      </c>
      <c r="N143" s="112">
        <f>F143-(H143*7)</f>
        <v>24162000</v>
      </c>
      <c r="O143" s="34" t="s">
        <v>114</v>
      </c>
      <c r="P143" s="34" t="s">
        <v>31</v>
      </c>
      <c r="Q143" s="111">
        <f t="shared" si="23"/>
        <v>24162000</v>
      </c>
      <c r="R143" s="175">
        <f>+[1]N2!AE164</f>
        <v>24162000</v>
      </c>
      <c r="S143" s="107">
        <f t="shared" si="24"/>
        <v>0</v>
      </c>
      <c r="T143" s="2"/>
      <c r="U143" s="2"/>
      <c r="V143" s="2"/>
      <c r="W143" s="2"/>
      <c r="X143" s="2"/>
      <c r="Y143" s="2"/>
      <c r="Z143" s="2"/>
      <c r="AA143" s="2"/>
      <c r="AB143" s="2"/>
    </row>
    <row r="144" spans="1:28" s="46" customFormat="1">
      <c r="A144" s="36">
        <f t="shared" si="22"/>
        <v>140</v>
      </c>
      <c r="B144" s="104" t="s">
        <v>578</v>
      </c>
      <c r="C144" s="105" t="s">
        <v>579</v>
      </c>
      <c r="D144" s="28" t="s">
        <v>580</v>
      </c>
      <c r="E144" s="41">
        <v>42949</v>
      </c>
      <c r="F144" s="107">
        <f>30000000</f>
        <v>30000000</v>
      </c>
      <c r="G144" s="33">
        <f t="shared" si="19"/>
        <v>38640000</v>
      </c>
      <c r="H144" s="126">
        <f>+F144/J144</f>
        <v>1250000</v>
      </c>
      <c r="I144" s="107">
        <f>+F144*1.2%</f>
        <v>360000</v>
      </c>
      <c r="J144" s="36">
        <v>24</v>
      </c>
      <c r="K144" s="110">
        <v>16</v>
      </c>
      <c r="L144" s="30">
        <f t="shared" si="20"/>
        <v>1610000</v>
      </c>
      <c r="M144" s="30">
        <f t="shared" si="21"/>
        <v>25760000</v>
      </c>
      <c r="N144" s="33">
        <f>+H144*K144</f>
        <v>20000000</v>
      </c>
      <c r="O144" s="34" t="s">
        <v>581</v>
      </c>
      <c r="P144" s="34" t="s">
        <v>36</v>
      </c>
      <c r="Q144" s="111">
        <f t="shared" si="23"/>
        <v>20000000</v>
      </c>
      <c r="R144" s="175">
        <f>+[1]N2!AE165</f>
        <v>20000000</v>
      </c>
      <c r="S144" s="107">
        <f t="shared" si="24"/>
        <v>0</v>
      </c>
      <c r="T144" s="2"/>
      <c r="U144" s="2"/>
      <c r="V144" s="2"/>
      <c r="W144" s="2"/>
      <c r="X144" s="2"/>
      <c r="Y144" s="2"/>
      <c r="Z144" s="2"/>
      <c r="AA144" s="2"/>
      <c r="AB144" s="2"/>
    </row>
    <row r="145" spans="1:28" s="46" customFormat="1">
      <c r="A145" s="36">
        <f t="shared" si="22"/>
        <v>141</v>
      </c>
      <c r="B145" s="104" t="s">
        <v>582</v>
      </c>
      <c r="C145" s="105" t="s">
        <v>583</v>
      </c>
      <c r="D145" s="106" t="s">
        <v>584</v>
      </c>
      <c r="E145" s="41">
        <v>43003</v>
      </c>
      <c r="F145" s="107">
        <f>2500000+62500+27437500</f>
        <v>30000000</v>
      </c>
      <c r="G145" s="33">
        <f t="shared" si="19"/>
        <v>34320000</v>
      </c>
      <c r="H145" s="126">
        <f>+F145/J145</f>
        <v>2500000</v>
      </c>
      <c r="I145" s="118">
        <f>F145*1.2%</f>
        <v>360000</v>
      </c>
      <c r="J145" s="36">
        <v>12</v>
      </c>
      <c r="K145" s="110">
        <v>6</v>
      </c>
      <c r="L145" s="30">
        <f t="shared" si="20"/>
        <v>2860000</v>
      </c>
      <c r="M145" s="30">
        <f t="shared" si="21"/>
        <v>17160000</v>
      </c>
      <c r="N145" s="33">
        <f>+H145*K145</f>
        <v>15000000</v>
      </c>
      <c r="O145" s="34" t="s">
        <v>114</v>
      </c>
      <c r="P145" s="34" t="s">
        <v>75</v>
      </c>
      <c r="Q145" s="111">
        <f t="shared" si="23"/>
        <v>15000000</v>
      </c>
      <c r="R145" s="175">
        <f>+[1]N2!AE166</f>
        <v>15000000</v>
      </c>
      <c r="S145" s="107">
        <f t="shared" si="24"/>
        <v>0</v>
      </c>
      <c r="T145" s="2"/>
      <c r="U145" s="2"/>
      <c r="V145" s="2"/>
      <c r="W145" s="2"/>
      <c r="X145" s="2"/>
      <c r="Y145" s="2"/>
      <c r="Z145" s="2"/>
      <c r="AA145" s="2"/>
      <c r="AB145" s="2"/>
    </row>
    <row r="146" spans="1:28" s="46" customFormat="1">
      <c r="A146" s="36">
        <f t="shared" si="22"/>
        <v>142</v>
      </c>
      <c r="B146" s="107" t="s">
        <v>585</v>
      </c>
      <c r="C146" s="119" t="s">
        <v>586</v>
      </c>
      <c r="D146" s="28" t="s">
        <v>587</v>
      </c>
      <c r="E146" s="41">
        <v>42702</v>
      </c>
      <c r="F146" s="108">
        <f>4861150+121529+25017321</f>
        <v>30000000</v>
      </c>
      <c r="G146" s="33">
        <f t="shared" si="19"/>
        <v>20298000</v>
      </c>
      <c r="H146" s="107">
        <v>834000</v>
      </c>
      <c r="I146" s="107">
        <f t="shared" ref="I146:I154" si="25">+F146*1.2%</f>
        <v>360000</v>
      </c>
      <c r="J146" s="120" t="s">
        <v>588</v>
      </c>
      <c r="K146" s="110">
        <v>1</v>
      </c>
      <c r="L146" s="30">
        <f t="shared" si="20"/>
        <v>1194000</v>
      </c>
      <c r="M146" s="107">
        <f t="shared" si="21"/>
        <v>1194000</v>
      </c>
      <c r="N146" s="112">
        <f>F146-(H146*16)-10000000</f>
        <v>6656000</v>
      </c>
      <c r="O146" s="117" t="s">
        <v>589</v>
      </c>
      <c r="P146" s="34" t="s">
        <v>93</v>
      </c>
      <c r="Q146" s="111">
        <f t="shared" si="23"/>
        <v>6656000</v>
      </c>
      <c r="R146" s="175">
        <f>+[1]N2!AE167</f>
        <v>6656000</v>
      </c>
      <c r="S146" s="107">
        <f t="shared" si="24"/>
        <v>0</v>
      </c>
      <c r="T146" s="2"/>
      <c r="U146" s="2"/>
      <c r="V146" s="2"/>
      <c r="W146" s="2"/>
      <c r="X146" s="2"/>
      <c r="Y146" s="2"/>
      <c r="Z146" s="2"/>
      <c r="AA146" s="2"/>
      <c r="AB146" s="2"/>
    </row>
    <row r="147" spans="1:28" s="46" customFormat="1">
      <c r="A147" s="36">
        <f t="shared" si="22"/>
        <v>143</v>
      </c>
      <c r="B147" s="104" t="s">
        <v>590</v>
      </c>
      <c r="C147" s="105" t="s">
        <v>591</v>
      </c>
      <c r="D147" s="106" t="s">
        <v>592</v>
      </c>
      <c r="E147" s="28">
        <v>43130</v>
      </c>
      <c r="F147" s="107">
        <f>9721000+243025+20035975</f>
        <v>30000000</v>
      </c>
      <c r="G147" s="33">
        <f t="shared" si="19"/>
        <v>42984000</v>
      </c>
      <c r="H147" s="118">
        <f>1194000-I147</f>
        <v>834000</v>
      </c>
      <c r="I147" s="118">
        <f t="shared" si="25"/>
        <v>360000</v>
      </c>
      <c r="J147" s="36">
        <v>36</v>
      </c>
      <c r="K147" s="110">
        <v>34</v>
      </c>
      <c r="L147" s="30">
        <f t="shared" si="20"/>
        <v>1194000</v>
      </c>
      <c r="M147" s="30">
        <f t="shared" si="21"/>
        <v>40596000</v>
      </c>
      <c r="N147" s="38">
        <f>F147-(H147*2)</f>
        <v>28332000</v>
      </c>
      <c r="O147" s="34" t="s">
        <v>593</v>
      </c>
      <c r="P147" s="34" t="s">
        <v>31</v>
      </c>
      <c r="Q147" s="111">
        <f t="shared" si="23"/>
        <v>28332000</v>
      </c>
      <c r="R147" s="175">
        <f>+[1]N2!AE168</f>
        <v>28332000</v>
      </c>
      <c r="S147" s="107">
        <f t="shared" si="24"/>
        <v>0</v>
      </c>
      <c r="T147" s="2"/>
      <c r="U147" s="2"/>
      <c r="V147" s="2"/>
      <c r="W147" s="2"/>
      <c r="X147" s="2"/>
      <c r="Y147" s="2"/>
      <c r="Z147" s="2"/>
      <c r="AA147" s="2"/>
      <c r="AB147" s="2"/>
    </row>
    <row r="148" spans="1:28" s="46" customFormat="1">
      <c r="A148" s="36">
        <f t="shared" si="22"/>
        <v>144</v>
      </c>
      <c r="B148" s="107" t="s">
        <v>594</v>
      </c>
      <c r="C148" s="119" t="s">
        <v>595</v>
      </c>
      <c r="D148" s="119"/>
      <c r="E148" s="125">
        <v>42521</v>
      </c>
      <c r="F148" s="108">
        <f>30000000</f>
        <v>30000000</v>
      </c>
      <c r="G148" s="108">
        <f t="shared" si="19"/>
        <v>42984000</v>
      </c>
      <c r="H148" s="131">
        <f>1194000-I148</f>
        <v>834000</v>
      </c>
      <c r="I148" s="108">
        <f t="shared" si="25"/>
        <v>360000</v>
      </c>
      <c r="J148" s="120" t="s">
        <v>82</v>
      </c>
      <c r="K148" s="110">
        <v>14</v>
      </c>
      <c r="L148" s="107">
        <f t="shared" si="20"/>
        <v>1194000</v>
      </c>
      <c r="M148" s="107">
        <f t="shared" si="21"/>
        <v>16716000</v>
      </c>
      <c r="N148" s="179">
        <f>F148-(H148*22)</f>
        <v>11652000</v>
      </c>
      <c r="O148" s="117" t="s">
        <v>596</v>
      </c>
      <c r="P148" s="117" t="s">
        <v>363</v>
      </c>
      <c r="Q148" s="111">
        <f t="shared" si="23"/>
        <v>11652000</v>
      </c>
      <c r="R148" s="175">
        <f>+[1]N2!AE169</f>
        <v>11652000</v>
      </c>
      <c r="S148" s="107">
        <f t="shared" si="24"/>
        <v>0</v>
      </c>
      <c r="T148" s="2"/>
      <c r="U148" s="2"/>
      <c r="V148" s="2"/>
      <c r="W148" s="2"/>
      <c r="X148" s="2"/>
      <c r="Y148" s="2"/>
      <c r="Z148" s="2"/>
      <c r="AA148" s="2"/>
      <c r="AB148" s="2"/>
    </row>
    <row r="149" spans="1:28" s="46" customFormat="1">
      <c r="A149" s="36">
        <f t="shared" si="22"/>
        <v>145</v>
      </c>
      <c r="B149" s="107" t="s">
        <v>597</v>
      </c>
      <c r="C149" s="119" t="s">
        <v>598</v>
      </c>
      <c r="D149" s="28" t="s">
        <v>599</v>
      </c>
      <c r="E149" s="41">
        <v>42723</v>
      </c>
      <c r="F149" s="108">
        <f>2400+29997600</f>
        <v>30000000</v>
      </c>
      <c r="G149" s="33">
        <f t="shared" si="19"/>
        <v>38640000</v>
      </c>
      <c r="H149" s="107">
        <f>+F149/J149</f>
        <v>1250000</v>
      </c>
      <c r="I149" s="107">
        <f t="shared" si="25"/>
        <v>360000</v>
      </c>
      <c r="J149" s="36">
        <v>24</v>
      </c>
      <c r="K149" s="110">
        <v>9</v>
      </c>
      <c r="L149" s="30">
        <f t="shared" si="20"/>
        <v>1610000</v>
      </c>
      <c r="M149" s="107">
        <f t="shared" si="21"/>
        <v>14490000</v>
      </c>
      <c r="N149" s="33">
        <f>+H149*K149</f>
        <v>11250000</v>
      </c>
      <c r="O149" s="117" t="s">
        <v>600</v>
      </c>
      <c r="P149" s="34" t="s">
        <v>36</v>
      </c>
      <c r="Q149" s="111">
        <f t="shared" si="23"/>
        <v>11250000</v>
      </c>
      <c r="R149" s="175">
        <f>+[1]N2!AE170</f>
        <v>11250000</v>
      </c>
      <c r="S149" s="107">
        <f t="shared" si="24"/>
        <v>0</v>
      </c>
      <c r="T149" s="2"/>
      <c r="U149" s="2"/>
      <c r="V149" s="2"/>
      <c r="W149" s="2"/>
      <c r="X149" s="2"/>
      <c r="Y149" s="2"/>
      <c r="Z149" s="2"/>
      <c r="AA149" s="2"/>
      <c r="AB149" s="2"/>
    </row>
    <row r="150" spans="1:28" s="46" customFormat="1">
      <c r="A150" s="36">
        <f t="shared" si="22"/>
        <v>146</v>
      </c>
      <c r="B150" s="104" t="s">
        <v>601</v>
      </c>
      <c r="C150" s="105" t="s">
        <v>602</v>
      </c>
      <c r="D150" s="106" t="s">
        <v>603</v>
      </c>
      <c r="E150" s="41">
        <v>42961</v>
      </c>
      <c r="F150" s="107">
        <f>30000000</f>
        <v>30000000</v>
      </c>
      <c r="G150" s="33">
        <f t="shared" si="19"/>
        <v>43002000</v>
      </c>
      <c r="H150" s="126">
        <f>1194500-I150</f>
        <v>834500</v>
      </c>
      <c r="I150" s="107">
        <f t="shared" si="25"/>
        <v>360000</v>
      </c>
      <c r="J150" s="36">
        <v>36</v>
      </c>
      <c r="K150" s="110">
        <v>28</v>
      </c>
      <c r="L150" s="30">
        <f t="shared" si="20"/>
        <v>1194500</v>
      </c>
      <c r="M150" s="30">
        <f t="shared" si="21"/>
        <v>33446000</v>
      </c>
      <c r="N150" s="112">
        <f>F150-(H150*8)</f>
        <v>23324000</v>
      </c>
      <c r="O150" s="34" t="s">
        <v>604</v>
      </c>
      <c r="P150" s="34" t="s">
        <v>36</v>
      </c>
      <c r="Q150" s="111">
        <f t="shared" si="23"/>
        <v>23324000</v>
      </c>
      <c r="R150" s="175">
        <f>+[1]N2!AE171</f>
        <v>23324000</v>
      </c>
      <c r="S150" s="107">
        <f t="shared" si="24"/>
        <v>0</v>
      </c>
      <c r="T150" s="2"/>
      <c r="U150" s="2"/>
      <c r="V150" s="2"/>
      <c r="W150" s="2"/>
      <c r="X150" s="2"/>
      <c r="Y150" s="2"/>
      <c r="Z150" s="2"/>
      <c r="AA150" s="2"/>
      <c r="AB150" s="2"/>
    </row>
    <row r="151" spans="1:28" s="46" customFormat="1">
      <c r="A151" s="36">
        <f t="shared" si="22"/>
        <v>147</v>
      </c>
      <c r="B151" s="104" t="s">
        <v>605</v>
      </c>
      <c r="C151" s="105" t="s">
        <v>606</v>
      </c>
      <c r="D151" s="106" t="s">
        <v>607</v>
      </c>
      <c r="E151" s="28">
        <v>43158</v>
      </c>
      <c r="F151" s="107">
        <f>18324000+458100+11217900</f>
        <v>30000000</v>
      </c>
      <c r="G151" s="33">
        <f t="shared" si="19"/>
        <v>42984000</v>
      </c>
      <c r="H151" s="118">
        <v>834000</v>
      </c>
      <c r="I151" s="118">
        <f t="shared" si="25"/>
        <v>360000</v>
      </c>
      <c r="J151" s="36">
        <v>36</v>
      </c>
      <c r="K151" s="110">
        <v>35</v>
      </c>
      <c r="L151" s="30">
        <f t="shared" si="20"/>
        <v>1194000</v>
      </c>
      <c r="M151" s="30">
        <f t="shared" si="21"/>
        <v>41790000</v>
      </c>
      <c r="N151" s="38">
        <f>F151-(H151*1)</f>
        <v>29166000</v>
      </c>
      <c r="O151" s="137" t="s">
        <v>191</v>
      </c>
      <c r="P151" s="137" t="s">
        <v>93</v>
      </c>
      <c r="Q151" s="111">
        <f t="shared" si="23"/>
        <v>29166000</v>
      </c>
      <c r="R151" s="175">
        <f>+[1]N2!AE172</f>
        <v>29166000</v>
      </c>
      <c r="S151" s="107">
        <f t="shared" si="24"/>
        <v>0</v>
      </c>
      <c r="T151" s="2"/>
      <c r="U151" s="2"/>
      <c r="V151" s="2"/>
      <c r="W151" s="2"/>
      <c r="X151" s="2"/>
      <c r="Y151" s="2"/>
      <c r="Z151" s="2"/>
      <c r="AA151" s="2"/>
      <c r="AB151" s="2"/>
    </row>
    <row r="152" spans="1:28" s="46" customFormat="1">
      <c r="A152" s="36">
        <f t="shared" si="22"/>
        <v>148</v>
      </c>
      <c r="B152" s="104" t="s">
        <v>608</v>
      </c>
      <c r="C152" s="105" t="s">
        <v>609</v>
      </c>
      <c r="D152" s="106" t="s">
        <v>610</v>
      </c>
      <c r="E152" s="28">
        <v>43154</v>
      </c>
      <c r="F152" s="107">
        <f>19992000+499800+9508200</f>
        <v>30000000</v>
      </c>
      <c r="G152" s="33">
        <f t="shared" si="19"/>
        <v>42984000</v>
      </c>
      <c r="H152" s="118">
        <v>834000</v>
      </c>
      <c r="I152" s="118">
        <f t="shared" si="25"/>
        <v>360000</v>
      </c>
      <c r="J152" s="36">
        <v>36</v>
      </c>
      <c r="K152" s="110">
        <v>35</v>
      </c>
      <c r="L152" s="30">
        <f t="shared" si="20"/>
        <v>1194000</v>
      </c>
      <c r="M152" s="30">
        <f t="shared" si="21"/>
        <v>41790000</v>
      </c>
      <c r="N152" s="38">
        <f>F152-(H152*1)</f>
        <v>29166000</v>
      </c>
      <c r="O152" s="34" t="s">
        <v>167</v>
      </c>
      <c r="P152" s="34" t="s">
        <v>93</v>
      </c>
      <c r="Q152" s="111">
        <f t="shared" si="23"/>
        <v>29166000</v>
      </c>
      <c r="R152" s="175">
        <f>+[1]N2!AE173</f>
        <v>29166000</v>
      </c>
      <c r="S152" s="107">
        <f t="shared" si="24"/>
        <v>0</v>
      </c>
      <c r="T152" s="2"/>
      <c r="U152" s="2"/>
      <c r="V152" s="2"/>
      <c r="W152" s="2"/>
      <c r="X152" s="2"/>
      <c r="Y152" s="2"/>
      <c r="Z152" s="2"/>
      <c r="AA152" s="2"/>
      <c r="AB152" s="2"/>
    </row>
    <row r="153" spans="1:28" s="46" customFormat="1">
      <c r="A153" s="36">
        <f t="shared" si="22"/>
        <v>149</v>
      </c>
      <c r="B153" s="107" t="s">
        <v>611</v>
      </c>
      <c r="C153" s="119" t="s">
        <v>612</v>
      </c>
      <c r="D153" s="119"/>
      <c r="E153" s="41">
        <v>42668</v>
      </c>
      <c r="F153" s="108">
        <f>1388900+34723+23576377</f>
        <v>25000000</v>
      </c>
      <c r="G153" s="111">
        <f t="shared" si="19"/>
        <v>35820000</v>
      </c>
      <c r="H153" s="107">
        <v>695000</v>
      </c>
      <c r="I153" s="107">
        <f t="shared" si="25"/>
        <v>300000</v>
      </c>
      <c r="J153" s="36">
        <v>36</v>
      </c>
      <c r="K153" s="110">
        <v>19</v>
      </c>
      <c r="L153" s="30">
        <f t="shared" si="20"/>
        <v>995000</v>
      </c>
      <c r="M153" s="107">
        <f t="shared" si="21"/>
        <v>18905000</v>
      </c>
      <c r="N153" s="112">
        <f>F153-(H153*17)</f>
        <v>13185000</v>
      </c>
      <c r="O153" s="117" t="s">
        <v>604</v>
      </c>
      <c r="P153" s="34" t="s">
        <v>84</v>
      </c>
      <c r="Q153" s="111">
        <f t="shared" si="23"/>
        <v>13185000</v>
      </c>
      <c r="R153" s="175">
        <f>+[1]N2!AE174</f>
        <v>13185000</v>
      </c>
      <c r="S153" s="107">
        <f t="shared" si="24"/>
        <v>0</v>
      </c>
      <c r="T153" s="2"/>
      <c r="U153" s="2"/>
      <c r="V153" s="2"/>
      <c r="W153" s="2"/>
      <c r="X153" s="2"/>
      <c r="Y153" s="2"/>
      <c r="Z153" s="2"/>
      <c r="AA153" s="2"/>
      <c r="AB153" s="2"/>
    </row>
    <row r="154" spans="1:28" s="46" customFormat="1">
      <c r="A154" s="36">
        <f t="shared" si="22"/>
        <v>150</v>
      </c>
      <c r="B154" s="104" t="s">
        <v>613</v>
      </c>
      <c r="C154" s="105" t="s">
        <v>614</v>
      </c>
      <c r="D154" s="106" t="s">
        <v>615</v>
      </c>
      <c r="E154" s="41">
        <v>43048</v>
      </c>
      <c r="F154" s="107">
        <f>30000000</f>
        <v>30000000</v>
      </c>
      <c r="G154" s="33">
        <f t="shared" si="19"/>
        <v>38640000</v>
      </c>
      <c r="H154" s="118">
        <f>+F154/J154</f>
        <v>1250000</v>
      </c>
      <c r="I154" s="118">
        <f t="shared" si="25"/>
        <v>360000</v>
      </c>
      <c r="J154" s="36">
        <v>24</v>
      </c>
      <c r="K154" s="110">
        <v>19</v>
      </c>
      <c r="L154" s="30">
        <f t="shared" si="20"/>
        <v>1610000</v>
      </c>
      <c r="M154" s="30">
        <f t="shared" si="21"/>
        <v>30590000</v>
      </c>
      <c r="N154" s="33">
        <f>+H154*K154</f>
        <v>23750000</v>
      </c>
      <c r="O154" s="34" t="s">
        <v>358</v>
      </c>
      <c r="P154" s="34" t="s">
        <v>36</v>
      </c>
      <c r="Q154" s="111">
        <f t="shared" si="23"/>
        <v>23750000</v>
      </c>
      <c r="R154" s="175">
        <f>+[1]N2!AE175</f>
        <v>23750000</v>
      </c>
      <c r="S154" s="107">
        <f t="shared" si="24"/>
        <v>0</v>
      </c>
      <c r="T154" s="2"/>
      <c r="U154" s="2"/>
      <c r="V154" s="2"/>
      <c r="W154" s="2"/>
      <c r="X154" s="2"/>
      <c r="Y154" s="2"/>
      <c r="Z154" s="2"/>
      <c r="AA154" s="2"/>
      <c r="AB154" s="2"/>
    </row>
    <row r="155" spans="1:28" s="46" customFormat="1">
      <c r="A155" s="36">
        <f t="shared" si="22"/>
        <v>151</v>
      </c>
      <c r="B155" s="104" t="s">
        <v>616</v>
      </c>
      <c r="C155" s="105" t="s">
        <v>617</v>
      </c>
      <c r="D155" s="106" t="s">
        <v>618</v>
      </c>
      <c r="E155" s="41">
        <v>43005</v>
      </c>
      <c r="F155" s="107">
        <f>555600+13890+29430510</f>
        <v>30000000</v>
      </c>
      <c r="G155" s="33">
        <f t="shared" si="19"/>
        <v>42984000</v>
      </c>
      <c r="H155" s="118">
        <v>834000</v>
      </c>
      <c r="I155" s="118">
        <f>F155*1.2%</f>
        <v>360000</v>
      </c>
      <c r="J155" s="36">
        <v>36</v>
      </c>
      <c r="K155" s="110">
        <v>30</v>
      </c>
      <c r="L155" s="30">
        <f t="shared" si="20"/>
        <v>1194000</v>
      </c>
      <c r="M155" s="30">
        <f t="shared" si="21"/>
        <v>35820000</v>
      </c>
      <c r="N155" s="112">
        <f>F155-(H155*6)</f>
        <v>24996000</v>
      </c>
      <c r="O155" s="34" t="s">
        <v>74</v>
      </c>
      <c r="P155" s="34" t="s">
        <v>75</v>
      </c>
      <c r="Q155" s="111">
        <f t="shared" si="23"/>
        <v>24996000</v>
      </c>
      <c r="R155" s="175">
        <f>+[1]N2!AE176</f>
        <v>24996000</v>
      </c>
      <c r="S155" s="107">
        <f t="shared" si="24"/>
        <v>0</v>
      </c>
      <c r="T155" s="2"/>
      <c r="U155" s="2"/>
      <c r="V155" s="2"/>
      <c r="W155" s="2"/>
      <c r="X155" s="2"/>
      <c r="Y155" s="2"/>
      <c r="Z155" s="2"/>
      <c r="AA155" s="2"/>
      <c r="AB155" s="2"/>
    </row>
    <row r="156" spans="1:28" s="46" customFormat="1">
      <c r="A156" s="36">
        <f t="shared" si="22"/>
        <v>152</v>
      </c>
      <c r="B156" s="104" t="s">
        <v>619</v>
      </c>
      <c r="C156" s="105" t="s">
        <v>620</v>
      </c>
      <c r="D156" s="106" t="s">
        <v>621</v>
      </c>
      <c r="E156" s="28">
        <v>43138</v>
      </c>
      <c r="F156" s="107">
        <f>3331200+83280+197005+26388515</f>
        <v>30000000</v>
      </c>
      <c r="G156" s="33">
        <f t="shared" si="19"/>
        <v>42984000</v>
      </c>
      <c r="H156" s="118">
        <f>1194000-I156</f>
        <v>834000</v>
      </c>
      <c r="I156" s="118">
        <f>+F156*1.2%</f>
        <v>360000</v>
      </c>
      <c r="J156" s="36">
        <v>36</v>
      </c>
      <c r="K156" s="110">
        <v>34</v>
      </c>
      <c r="L156" s="30">
        <f t="shared" si="20"/>
        <v>1194000</v>
      </c>
      <c r="M156" s="30">
        <f t="shared" si="21"/>
        <v>40596000</v>
      </c>
      <c r="N156" s="38">
        <f>F156-(H156*2)</f>
        <v>28332000</v>
      </c>
      <c r="O156" s="34" t="s">
        <v>622</v>
      </c>
      <c r="P156" s="34" t="s">
        <v>75</v>
      </c>
      <c r="Q156" s="111">
        <f t="shared" si="23"/>
        <v>28332000</v>
      </c>
      <c r="R156" s="175">
        <f>+[1]N2!AE177</f>
        <v>28332000</v>
      </c>
      <c r="S156" s="107">
        <f t="shared" si="24"/>
        <v>0</v>
      </c>
      <c r="T156" s="2"/>
      <c r="U156" s="2"/>
      <c r="V156" s="2"/>
      <c r="W156" s="2"/>
      <c r="X156" s="2"/>
      <c r="Y156" s="2"/>
      <c r="Z156" s="2"/>
      <c r="AA156" s="2"/>
      <c r="AB156" s="2"/>
    </row>
    <row r="157" spans="1:28" s="46" customFormat="1">
      <c r="A157" s="36">
        <f t="shared" si="22"/>
        <v>153</v>
      </c>
      <c r="B157" s="104" t="s">
        <v>623</v>
      </c>
      <c r="C157" s="105" t="s">
        <v>624</v>
      </c>
      <c r="D157" s="106" t="s">
        <v>625</v>
      </c>
      <c r="E157" s="28">
        <v>43090</v>
      </c>
      <c r="F157" s="107">
        <f>20000000</f>
        <v>20000000</v>
      </c>
      <c r="G157" s="33">
        <f t="shared" si="19"/>
        <v>28656000</v>
      </c>
      <c r="H157" s="118">
        <v>556000</v>
      </c>
      <c r="I157" s="118">
        <f>+F157*1.2%</f>
        <v>240000</v>
      </c>
      <c r="J157" s="36">
        <v>36</v>
      </c>
      <c r="K157" s="110">
        <v>33</v>
      </c>
      <c r="L157" s="30">
        <f t="shared" si="20"/>
        <v>796000</v>
      </c>
      <c r="M157" s="30">
        <f t="shared" si="21"/>
        <v>26268000</v>
      </c>
      <c r="N157" s="38">
        <f>F157-(H157*3)</f>
        <v>18332000</v>
      </c>
      <c r="O157" s="34" t="s">
        <v>626</v>
      </c>
      <c r="P157" s="34" t="s">
        <v>36</v>
      </c>
      <c r="Q157" s="111">
        <f t="shared" si="23"/>
        <v>18332000</v>
      </c>
      <c r="R157" s="175">
        <f>+[1]N2!AE178</f>
        <v>18332000</v>
      </c>
      <c r="S157" s="107">
        <f t="shared" si="24"/>
        <v>0</v>
      </c>
      <c r="T157" s="2"/>
      <c r="U157" s="2"/>
      <c r="V157" s="2"/>
      <c r="W157" s="2"/>
      <c r="X157" s="2"/>
      <c r="Y157" s="2"/>
      <c r="Z157" s="2"/>
      <c r="AA157" s="2"/>
      <c r="AB157" s="2"/>
    </row>
    <row r="158" spans="1:28" s="46" customFormat="1">
      <c r="A158" s="36">
        <f t="shared" si="22"/>
        <v>154</v>
      </c>
      <c r="B158" s="104" t="s">
        <v>627</v>
      </c>
      <c r="C158" s="105" t="s">
        <v>628</v>
      </c>
      <c r="D158" s="28" t="s">
        <v>629</v>
      </c>
      <c r="E158" s="41">
        <v>42941</v>
      </c>
      <c r="F158" s="107">
        <f>1694650+42366+28262984</f>
        <v>30000000</v>
      </c>
      <c r="G158" s="33">
        <f t="shared" si="19"/>
        <v>43002000</v>
      </c>
      <c r="H158" s="126">
        <f>1194500-I158</f>
        <v>834500</v>
      </c>
      <c r="I158" s="107">
        <f>+F158*1.2%</f>
        <v>360000</v>
      </c>
      <c r="J158" s="36">
        <v>36</v>
      </c>
      <c r="K158" s="110">
        <v>28</v>
      </c>
      <c r="L158" s="30">
        <f t="shared" si="20"/>
        <v>1194500</v>
      </c>
      <c r="M158" s="30">
        <f t="shared" si="21"/>
        <v>33446000</v>
      </c>
      <c r="N158" s="112">
        <f>F158-(H158*8)</f>
        <v>23324000</v>
      </c>
      <c r="O158" s="34" t="s">
        <v>47</v>
      </c>
      <c r="P158" s="34" t="s">
        <v>31</v>
      </c>
      <c r="Q158" s="111">
        <f t="shared" si="23"/>
        <v>23324000</v>
      </c>
      <c r="R158" s="175">
        <f>+[1]N2!AE179</f>
        <v>23324000</v>
      </c>
      <c r="S158" s="107">
        <f t="shared" si="24"/>
        <v>0</v>
      </c>
      <c r="T158" s="2"/>
      <c r="U158" s="2"/>
      <c r="V158" s="2"/>
      <c r="W158" s="2"/>
      <c r="X158" s="2"/>
      <c r="Y158" s="2"/>
      <c r="Z158" s="2"/>
      <c r="AA158" s="2"/>
      <c r="AB158" s="2"/>
    </row>
    <row r="159" spans="1:28" s="46" customFormat="1">
      <c r="A159" s="36">
        <f t="shared" si="22"/>
        <v>155</v>
      </c>
      <c r="B159" s="104" t="s">
        <v>630</v>
      </c>
      <c r="C159" s="105" t="s">
        <v>631</v>
      </c>
      <c r="D159" s="28" t="s">
        <v>632</v>
      </c>
      <c r="E159" s="41">
        <v>43010</v>
      </c>
      <c r="F159" s="126">
        <f>15000000</f>
        <v>15000000</v>
      </c>
      <c r="G159" s="33">
        <f t="shared" si="19"/>
        <v>19320000</v>
      </c>
      <c r="H159" s="118">
        <f>+F159/J159</f>
        <v>625000</v>
      </c>
      <c r="I159" s="118">
        <f>F159*1.2%</f>
        <v>180000</v>
      </c>
      <c r="J159" s="36">
        <v>24</v>
      </c>
      <c r="K159" s="110">
        <v>18</v>
      </c>
      <c r="L159" s="30">
        <f t="shared" si="20"/>
        <v>805000</v>
      </c>
      <c r="M159" s="30">
        <f t="shared" si="21"/>
        <v>14490000</v>
      </c>
      <c r="N159" s="33">
        <f>+H159*K159</f>
        <v>11250000</v>
      </c>
      <c r="O159" s="34" t="s">
        <v>633</v>
      </c>
      <c r="P159" s="34" t="s">
        <v>73</v>
      </c>
      <c r="Q159" s="111">
        <f t="shared" si="23"/>
        <v>11250000</v>
      </c>
      <c r="R159" s="175">
        <f>+[1]N2!AE180</f>
        <v>11250000</v>
      </c>
      <c r="S159" s="107">
        <f t="shared" si="24"/>
        <v>0</v>
      </c>
      <c r="T159" s="2"/>
      <c r="U159" s="2"/>
      <c r="V159" s="2"/>
      <c r="W159" s="2"/>
      <c r="X159" s="2"/>
      <c r="Y159" s="2"/>
      <c r="Z159" s="2"/>
      <c r="AA159" s="2"/>
      <c r="AB159" s="2"/>
    </row>
    <row r="160" spans="1:28" s="46" customFormat="1">
      <c r="A160" s="36">
        <f t="shared" si="22"/>
        <v>156</v>
      </c>
      <c r="B160" s="107" t="s">
        <v>634</v>
      </c>
      <c r="C160" s="119" t="s">
        <v>635</v>
      </c>
      <c r="D160" s="106" t="s">
        <v>636</v>
      </c>
      <c r="E160" s="41">
        <v>42832</v>
      </c>
      <c r="F160" s="126">
        <f>2000000</f>
        <v>2000000</v>
      </c>
      <c r="G160" s="126">
        <f t="shared" si="19"/>
        <v>2604000</v>
      </c>
      <c r="H160" s="126">
        <f>108500-I160</f>
        <v>84500</v>
      </c>
      <c r="I160" s="126">
        <f t="shared" ref="I160:I169" si="26">+F160*1.2%</f>
        <v>24000</v>
      </c>
      <c r="J160" s="36">
        <v>24</v>
      </c>
      <c r="K160" s="110">
        <v>12</v>
      </c>
      <c r="L160" s="43">
        <f t="shared" si="20"/>
        <v>108500</v>
      </c>
      <c r="M160" s="29">
        <f t="shared" si="21"/>
        <v>1302000</v>
      </c>
      <c r="N160" s="112">
        <f>F160-(H160*12)</f>
        <v>986000</v>
      </c>
      <c r="O160" s="34" t="s">
        <v>637</v>
      </c>
      <c r="P160" s="34" t="s">
        <v>195</v>
      </c>
      <c r="Q160" s="111">
        <f t="shared" si="23"/>
        <v>986000</v>
      </c>
      <c r="R160" s="175">
        <f>+[1]N2!AE181</f>
        <v>986000</v>
      </c>
      <c r="S160" s="107">
        <f t="shared" si="24"/>
        <v>0</v>
      </c>
      <c r="T160" s="2"/>
      <c r="U160" s="2"/>
      <c r="V160" s="2"/>
      <c r="W160" s="2"/>
      <c r="X160" s="2"/>
      <c r="Y160" s="2"/>
      <c r="Z160" s="2"/>
      <c r="AA160" s="2"/>
      <c r="AB160" s="2"/>
    </row>
    <row r="161" spans="1:28" s="46" customFormat="1">
      <c r="A161" s="36">
        <f t="shared" si="22"/>
        <v>157</v>
      </c>
      <c r="B161" s="104" t="s">
        <v>634</v>
      </c>
      <c r="C161" s="105" t="s">
        <v>635</v>
      </c>
      <c r="D161" s="28" t="s">
        <v>638</v>
      </c>
      <c r="E161" s="41">
        <v>43033</v>
      </c>
      <c r="F161" s="126">
        <f>832600+20815+9146585</f>
        <v>10000000</v>
      </c>
      <c r="G161" s="33">
        <f t="shared" si="19"/>
        <v>12888000</v>
      </c>
      <c r="H161" s="118">
        <v>417000</v>
      </c>
      <c r="I161" s="118">
        <f t="shared" si="26"/>
        <v>120000</v>
      </c>
      <c r="J161" s="36">
        <v>24</v>
      </c>
      <c r="K161" s="110">
        <v>19</v>
      </c>
      <c r="L161" s="30">
        <f t="shared" si="20"/>
        <v>537000</v>
      </c>
      <c r="M161" s="30">
        <f t="shared" si="21"/>
        <v>10203000</v>
      </c>
      <c r="N161" s="38">
        <f>F161-(H161*5)</f>
        <v>7915000</v>
      </c>
      <c r="O161" s="34" t="s">
        <v>639</v>
      </c>
      <c r="P161" s="34" t="s">
        <v>31</v>
      </c>
      <c r="Q161" s="111">
        <f t="shared" si="23"/>
        <v>7915000</v>
      </c>
      <c r="R161" s="175">
        <f>+[1]N2!AE182</f>
        <v>7915000</v>
      </c>
      <c r="S161" s="107">
        <f t="shared" si="24"/>
        <v>0</v>
      </c>
      <c r="T161" s="2"/>
      <c r="U161" s="2"/>
      <c r="V161" s="2"/>
      <c r="W161" s="2"/>
      <c r="X161" s="2"/>
      <c r="Y161" s="2"/>
      <c r="Z161" s="2"/>
      <c r="AA161" s="2"/>
      <c r="AB161" s="2"/>
    </row>
    <row r="162" spans="1:28" s="46" customFormat="1">
      <c r="A162" s="36">
        <f t="shared" si="22"/>
        <v>158</v>
      </c>
      <c r="B162" s="104" t="s">
        <v>640</v>
      </c>
      <c r="C162" s="105" t="s">
        <v>641</v>
      </c>
      <c r="D162" s="106" t="s">
        <v>642</v>
      </c>
      <c r="E162" s="41">
        <v>43047</v>
      </c>
      <c r="F162" s="107">
        <f>30000000</f>
        <v>30000000</v>
      </c>
      <c r="G162" s="33">
        <f t="shared" si="19"/>
        <v>38640000</v>
      </c>
      <c r="H162" s="118">
        <f>+F162/J162</f>
        <v>1250000</v>
      </c>
      <c r="I162" s="118">
        <f t="shared" si="26"/>
        <v>360000</v>
      </c>
      <c r="J162" s="36">
        <v>24</v>
      </c>
      <c r="K162" s="110">
        <v>19</v>
      </c>
      <c r="L162" s="30">
        <f t="shared" si="20"/>
        <v>1610000</v>
      </c>
      <c r="M162" s="30">
        <f t="shared" si="21"/>
        <v>30590000</v>
      </c>
      <c r="N162" s="33">
        <f>+H162*K162</f>
        <v>23750000</v>
      </c>
      <c r="O162" s="34" t="s">
        <v>643</v>
      </c>
      <c r="P162" s="34" t="s">
        <v>36</v>
      </c>
      <c r="Q162" s="111">
        <f t="shared" si="23"/>
        <v>23750000</v>
      </c>
      <c r="R162" s="175">
        <f>+[1]N2!AE183</f>
        <v>23750000</v>
      </c>
      <c r="S162" s="107">
        <f t="shared" si="24"/>
        <v>0</v>
      </c>
      <c r="T162" s="2"/>
      <c r="U162" s="2"/>
      <c r="V162" s="2"/>
      <c r="W162" s="2"/>
      <c r="X162" s="2"/>
      <c r="Y162" s="2"/>
      <c r="Z162" s="2"/>
      <c r="AA162" s="2"/>
      <c r="AB162" s="2"/>
    </row>
    <row r="163" spans="1:28" s="46" customFormat="1">
      <c r="A163" s="36">
        <f t="shared" si="22"/>
        <v>159</v>
      </c>
      <c r="B163" s="104" t="s">
        <v>644</v>
      </c>
      <c r="C163" s="105" t="s">
        <v>645</v>
      </c>
      <c r="D163" s="105" t="s">
        <v>646</v>
      </c>
      <c r="E163" s="41">
        <v>42802</v>
      </c>
      <c r="F163" s="126">
        <f>17497500+437438+157189+11907873</f>
        <v>30000000</v>
      </c>
      <c r="G163" s="33">
        <f t="shared" si="19"/>
        <v>42984000</v>
      </c>
      <c r="H163" s="107">
        <f>1194000-I163</f>
        <v>834000</v>
      </c>
      <c r="I163" s="107">
        <f t="shared" si="26"/>
        <v>360000</v>
      </c>
      <c r="J163" s="36">
        <v>36</v>
      </c>
      <c r="K163" s="110">
        <v>23</v>
      </c>
      <c r="L163" s="30">
        <f t="shared" si="20"/>
        <v>1194000</v>
      </c>
      <c r="M163" s="30">
        <f t="shared" si="21"/>
        <v>27462000</v>
      </c>
      <c r="N163" s="112">
        <f>F163-(H163*13)</f>
        <v>19158000</v>
      </c>
      <c r="O163" s="34" t="s">
        <v>647</v>
      </c>
      <c r="P163" s="34" t="s">
        <v>31</v>
      </c>
      <c r="Q163" s="111">
        <f t="shared" si="23"/>
        <v>19158000</v>
      </c>
      <c r="R163" s="175">
        <f>+[1]N2!AE184</f>
        <v>19158000</v>
      </c>
      <c r="S163" s="107">
        <f t="shared" si="24"/>
        <v>0</v>
      </c>
      <c r="T163" s="2"/>
      <c r="U163" s="2"/>
      <c r="V163" s="2"/>
      <c r="W163" s="2"/>
      <c r="X163" s="2"/>
      <c r="Y163" s="2"/>
      <c r="Z163" s="2"/>
      <c r="AA163" s="2"/>
      <c r="AB163" s="2"/>
    </row>
    <row r="164" spans="1:28" s="46" customFormat="1">
      <c r="A164" s="36">
        <f t="shared" si="22"/>
        <v>160</v>
      </c>
      <c r="B164" s="104" t="s">
        <v>648</v>
      </c>
      <c r="C164" s="105" t="s">
        <v>649</v>
      </c>
      <c r="D164" s="106" t="s">
        <v>650</v>
      </c>
      <c r="E164" s="41">
        <v>42761</v>
      </c>
      <c r="F164" s="107">
        <f>12486225+312156+17201619</f>
        <v>30000000</v>
      </c>
      <c r="G164" s="33">
        <f t="shared" si="19"/>
        <v>42984000</v>
      </c>
      <c r="H164" s="107">
        <f>1194000-I164</f>
        <v>834000</v>
      </c>
      <c r="I164" s="107">
        <f t="shared" si="26"/>
        <v>360000</v>
      </c>
      <c r="J164" s="36">
        <v>36</v>
      </c>
      <c r="K164" s="110">
        <v>22</v>
      </c>
      <c r="L164" s="30">
        <f t="shared" si="20"/>
        <v>1194000</v>
      </c>
      <c r="M164" s="30">
        <f t="shared" si="21"/>
        <v>26268000</v>
      </c>
      <c r="N164" s="112">
        <f>F164-(H164*14)</f>
        <v>18324000</v>
      </c>
      <c r="O164" s="34" t="s">
        <v>241</v>
      </c>
      <c r="P164" s="34" t="s">
        <v>31</v>
      </c>
      <c r="Q164" s="111">
        <f t="shared" si="23"/>
        <v>18324000</v>
      </c>
      <c r="R164" s="175">
        <f>+[1]N2!AE185</f>
        <v>18324000</v>
      </c>
      <c r="S164" s="107">
        <f t="shared" si="24"/>
        <v>0</v>
      </c>
      <c r="T164" s="2"/>
      <c r="U164" s="2"/>
      <c r="V164" s="2"/>
      <c r="W164" s="2"/>
      <c r="X164" s="2"/>
      <c r="Y164" s="2"/>
      <c r="Z164" s="2"/>
      <c r="AA164" s="2"/>
      <c r="AB164" s="2"/>
    </row>
    <row r="165" spans="1:28" s="46" customFormat="1">
      <c r="A165" s="36">
        <f t="shared" si="22"/>
        <v>161</v>
      </c>
      <c r="B165" s="104" t="s">
        <v>651</v>
      </c>
      <c r="C165" s="105" t="s">
        <v>652</v>
      </c>
      <c r="D165" s="105" t="s">
        <v>653</v>
      </c>
      <c r="E165" s="41">
        <v>42850</v>
      </c>
      <c r="F165" s="107">
        <f>30000000</f>
        <v>30000000</v>
      </c>
      <c r="G165" s="33">
        <f t="shared" si="19"/>
        <v>43002000</v>
      </c>
      <c r="H165" s="107">
        <f>1194500-I165</f>
        <v>834500</v>
      </c>
      <c r="I165" s="107">
        <f t="shared" si="26"/>
        <v>360000</v>
      </c>
      <c r="J165" s="36">
        <v>36</v>
      </c>
      <c r="K165" s="110">
        <v>25</v>
      </c>
      <c r="L165" s="30">
        <f t="shared" si="20"/>
        <v>1194500</v>
      </c>
      <c r="M165" s="30">
        <f t="shared" si="21"/>
        <v>29862500</v>
      </c>
      <c r="N165" s="112">
        <f>F165-(H165*11)</f>
        <v>20820500</v>
      </c>
      <c r="O165" s="34" t="s">
        <v>235</v>
      </c>
      <c r="P165" s="34" t="s">
        <v>36</v>
      </c>
      <c r="Q165" s="111">
        <f t="shared" si="23"/>
        <v>20820500</v>
      </c>
      <c r="R165" s="175">
        <f>+[1]N2!AE186</f>
        <v>20820500</v>
      </c>
      <c r="S165" s="107">
        <f t="shared" si="24"/>
        <v>0</v>
      </c>
      <c r="T165" s="2"/>
      <c r="U165" s="2"/>
      <c r="V165" s="2"/>
      <c r="W165" s="2"/>
      <c r="X165" s="2"/>
      <c r="Y165" s="2"/>
      <c r="Z165" s="2"/>
      <c r="AA165" s="2"/>
      <c r="AB165" s="2"/>
    </row>
    <row r="166" spans="1:28" s="46" customFormat="1">
      <c r="A166" s="36">
        <f t="shared" si="22"/>
        <v>162</v>
      </c>
      <c r="B166" s="107" t="s">
        <v>654</v>
      </c>
      <c r="C166" s="119" t="s">
        <v>655</v>
      </c>
      <c r="D166" s="119"/>
      <c r="E166" s="125">
        <v>42411</v>
      </c>
      <c r="F166" s="108">
        <f>30000000</f>
        <v>30000000</v>
      </c>
      <c r="G166" s="176">
        <f t="shared" si="19"/>
        <v>42966000</v>
      </c>
      <c r="H166" s="107">
        <v>833500</v>
      </c>
      <c r="I166" s="108">
        <f t="shared" si="26"/>
        <v>360000</v>
      </c>
      <c r="J166" s="120" t="s">
        <v>82</v>
      </c>
      <c r="K166" s="110">
        <v>10</v>
      </c>
      <c r="L166" s="107">
        <f t="shared" si="20"/>
        <v>1193500</v>
      </c>
      <c r="M166" s="107">
        <f t="shared" si="21"/>
        <v>11935000</v>
      </c>
      <c r="N166" s="184">
        <f>F166-(H166*26)</f>
        <v>8329000</v>
      </c>
      <c r="O166" s="117" t="s">
        <v>98</v>
      </c>
      <c r="P166" s="117" t="s">
        <v>36</v>
      </c>
      <c r="Q166" s="111">
        <f t="shared" si="23"/>
        <v>8329000</v>
      </c>
      <c r="R166" s="175">
        <f>+[1]N2!AE187</f>
        <v>8329000</v>
      </c>
      <c r="S166" s="107">
        <f t="shared" si="24"/>
        <v>0</v>
      </c>
      <c r="T166" s="2"/>
      <c r="U166" s="2"/>
      <c r="V166" s="2"/>
      <c r="W166" s="2"/>
      <c r="X166" s="2"/>
      <c r="Y166" s="2"/>
      <c r="Z166" s="2"/>
      <c r="AA166" s="2"/>
      <c r="AB166" s="2"/>
    </row>
    <row r="167" spans="1:28" s="46" customFormat="1">
      <c r="A167" s="36">
        <f t="shared" si="22"/>
        <v>163</v>
      </c>
      <c r="B167" s="138" t="s">
        <v>656</v>
      </c>
      <c r="C167" s="139" t="s">
        <v>657</v>
      </c>
      <c r="D167" s="139"/>
      <c r="E167" s="125">
        <v>42577</v>
      </c>
      <c r="F167" s="111">
        <f>20000000</f>
        <v>20000000</v>
      </c>
      <c r="G167" s="111">
        <f t="shared" si="19"/>
        <v>25776000</v>
      </c>
      <c r="H167" s="108">
        <f>1074000-I167</f>
        <v>834000</v>
      </c>
      <c r="I167" s="108">
        <f t="shared" si="26"/>
        <v>240000</v>
      </c>
      <c r="J167" s="36">
        <v>24</v>
      </c>
      <c r="K167" s="110">
        <v>4</v>
      </c>
      <c r="L167" s="182">
        <f t="shared" si="20"/>
        <v>1074000</v>
      </c>
      <c r="M167" s="107">
        <f t="shared" si="21"/>
        <v>4296000</v>
      </c>
      <c r="N167" s="180">
        <f>F167-(H167*20)</f>
        <v>3320000</v>
      </c>
      <c r="O167" s="133" t="s">
        <v>658</v>
      </c>
      <c r="P167" s="134" t="s">
        <v>36</v>
      </c>
      <c r="Q167" s="111">
        <f t="shared" si="23"/>
        <v>3320000</v>
      </c>
      <c r="R167" s="175">
        <f>+[1]N2!AE188</f>
        <v>3320000</v>
      </c>
      <c r="S167" s="107">
        <f t="shared" si="24"/>
        <v>0</v>
      </c>
      <c r="T167" s="2"/>
      <c r="U167" s="2"/>
      <c r="V167" s="2"/>
      <c r="W167" s="2"/>
      <c r="X167" s="2"/>
      <c r="Y167" s="2"/>
      <c r="Z167" s="2"/>
      <c r="AA167" s="2"/>
      <c r="AB167" s="2"/>
    </row>
    <row r="168" spans="1:28" s="46" customFormat="1">
      <c r="A168" s="36">
        <f t="shared" si="22"/>
        <v>164</v>
      </c>
      <c r="B168" s="104" t="s">
        <v>659</v>
      </c>
      <c r="C168" s="105" t="s">
        <v>660</v>
      </c>
      <c r="D168" s="41"/>
      <c r="E168" s="41">
        <v>42699</v>
      </c>
      <c r="F168" s="107">
        <f>4166700+104168+25729132</f>
        <v>30000000</v>
      </c>
      <c r="G168" s="33">
        <f t="shared" si="19"/>
        <v>42984000</v>
      </c>
      <c r="H168" s="107">
        <v>834000</v>
      </c>
      <c r="I168" s="107">
        <f t="shared" si="26"/>
        <v>360000</v>
      </c>
      <c r="J168" s="36">
        <v>36</v>
      </c>
      <c r="K168" s="110">
        <v>20</v>
      </c>
      <c r="L168" s="30">
        <f t="shared" si="20"/>
        <v>1194000</v>
      </c>
      <c r="M168" s="30">
        <f t="shared" si="21"/>
        <v>23880000</v>
      </c>
      <c r="N168" s="112">
        <f>F168-(H168*16)</f>
        <v>16656000</v>
      </c>
      <c r="O168" s="34" t="s">
        <v>661</v>
      </c>
      <c r="P168" s="34" t="s">
        <v>93</v>
      </c>
      <c r="Q168" s="111">
        <f t="shared" si="23"/>
        <v>16656000</v>
      </c>
      <c r="R168" s="175">
        <f>+[1]N2!AE189</f>
        <v>16656000</v>
      </c>
      <c r="S168" s="107">
        <f t="shared" si="24"/>
        <v>0</v>
      </c>
      <c r="T168" s="2"/>
      <c r="U168" s="2"/>
      <c r="V168" s="2"/>
      <c r="W168" s="2"/>
      <c r="X168" s="2"/>
      <c r="Y168" s="2"/>
      <c r="Z168" s="2"/>
      <c r="AA168" s="2"/>
      <c r="AB168" s="2"/>
    </row>
    <row r="169" spans="1:28" s="46" customFormat="1">
      <c r="A169" s="36">
        <f t="shared" si="22"/>
        <v>165</v>
      </c>
      <c r="B169" s="104" t="s">
        <v>662</v>
      </c>
      <c r="C169" s="105" t="s">
        <v>663</v>
      </c>
      <c r="D169" s="106" t="s">
        <v>664</v>
      </c>
      <c r="E169" s="28">
        <v>43157</v>
      </c>
      <c r="F169" s="107">
        <f>15048375+376209+14575416</f>
        <v>30000000</v>
      </c>
      <c r="G169" s="33">
        <f t="shared" si="19"/>
        <v>42984000</v>
      </c>
      <c r="H169" s="118">
        <v>834000</v>
      </c>
      <c r="I169" s="118">
        <f t="shared" si="26"/>
        <v>360000</v>
      </c>
      <c r="J169" s="36">
        <v>36</v>
      </c>
      <c r="K169" s="110">
        <v>35</v>
      </c>
      <c r="L169" s="30">
        <f t="shared" si="20"/>
        <v>1194000</v>
      </c>
      <c r="M169" s="30">
        <f t="shared" si="21"/>
        <v>41790000</v>
      </c>
      <c r="N169" s="38">
        <f>F169-(H169*1)</f>
        <v>29166000</v>
      </c>
      <c r="O169" s="34" t="s">
        <v>665</v>
      </c>
      <c r="P169" s="34" t="s">
        <v>93</v>
      </c>
      <c r="Q169" s="111">
        <f t="shared" si="23"/>
        <v>29166000</v>
      </c>
      <c r="R169" s="175">
        <f>+[1]N2!AE190</f>
        <v>29166000</v>
      </c>
      <c r="S169" s="107">
        <f t="shared" si="24"/>
        <v>0</v>
      </c>
      <c r="T169" s="2"/>
      <c r="U169" s="2"/>
      <c r="V169" s="2"/>
      <c r="W169" s="2"/>
      <c r="X169" s="2"/>
      <c r="Y169" s="2"/>
      <c r="Z169" s="2"/>
      <c r="AA169" s="2"/>
      <c r="AB169" s="2"/>
    </row>
    <row r="170" spans="1:28" s="46" customFormat="1">
      <c r="A170" s="36">
        <f t="shared" si="22"/>
        <v>166</v>
      </c>
      <c r="B170" s="104" t="s">
        <v>666</v>
      </c>
      <c r="C170" s="105" t="s">
        <v>667</v>
      </c>
      <c r="D170" s="106" t="s">
        <v>668</v>
      </c>
      <c r="E170" s="41">
        <v>42972</v>
      </c>
      <c r="F170" s="107">
        <f>10000000</f>
        <v>10000000</v>
      </c>
      <c r="G170" s="33">
        <f t="shared" si="19"/>
        <v>11448000</v>
      </c>
      <c r="H170" s="126">
        <v>834000</v>
      </c>
      <c r="I170" s="118">
        <f>F170*1.2%</f>
        <v>120000</v>
      </c>
      <c r="J170" s="36">
        <v>12</v>
      </c>
      <c r="K170" s="110">
        <v>5</v>
      </c>
      <c r="L170" s="30">
        <f t="shared" si="20"/>
        <v>954000</v>
      </c>
      <c r="M170" s="30">
        <f t="shared" si="21"/>
        <v>4770000</v>
      </c>
      <c r="N170" s="112">
        <f>F170-(H170*7)</f>
        <v>4162000</v>
      </c>
      <c r="O170" s="34" t="s">
        <v>589</v>
      </c>
      <c r="P170" s="34" t="s">
        <v>36</v>
      </c>
      <c r="Q170" s="111">
        <f t="shared" si="23"/>
        <v>4162000</v>
      </c>
      <c r="R170" s="175">
        <f>+[1]N2!AE191</f>
        <v>4162000</v>
      </c>
      <c r="S170" s="107">
        <f t="shared" si="24"/>
        <v>0</v>
      </c>
      <c r="T170" s="2"/>
      <c r="U170" s="2"/>
      <c r="V170" s="2"/>
      <c r="W170" s="2"/>
      <c r="X170" s="2"/>
      <c r="Y170" s="2"/>
      <c r="Z170" s="2"/>
      <c r="AA170" s="2"/>
      <c r="AB170" s="2"/>
    </row>
    <row r="171" spans="1:28" s="46" customFormat="1">
      <c r="A171" s="36">
        <f t="shared" si="22"/>
        <v>167</v>
      </c>
      <c r="B171" s="107" t="s">
        <v>669</v>
      </c>
      <c r="C171" s="119" t="s">
        <v>670</v>
      </c>
      <c r="D171" s="119"/>
      <c r="E171" s="41">
        <v>42184</v>
      </c>
      <c r="F171" s="108">
        <f>277780+6945+24715275</f>
        <v>25000000</v>
      </c>
      <c r="G171" s="176">
        <f t="shared" si="19"/>
        <v>35802000</v>
      </c>
      <c r="H171" s="107">
        <v>694500</v>
      </c>
      <c r="I171" s="108">
        <f t="shared" ref="I171:I176" si="27">+F171*1.2%</f>
        <v>300000</v>
      </c>
      <c r="J171" s="120" t="s">
        <v>82</v>
      </c>
      <c r="K171" s="110">
        <v>3</v>
      </c>
      <c r="L171" s="107">
        <f t="shared" si="20"/>
        <v>994500</v>
      </c>
      <c r="M171" s="107">
        <f t="shared" si="21"/>
        <v>2983500</v>
      </c>
      <c r="N171" s="183">
        <f>F171-(H171*33)</f>
        <v>2081500</v>
      </c>
      <c r="O171" s="117" t="s">
        <v>671</v>
      </c>
      <c r="P171" s="117" t="s">
        <v>31</v>
      </c>
      <c r="Q171" s="111">
        <f t="shared" si="23"/>
        <v>2081500</v>
      </c>
      <c r="R171" s="175">
        <f>+[1]N2!AE192</f>
        <v>2081500</v>
      </c>
      <c r="S171" s="107">
        <f t="shared" si="24"/>
        <v>0</v>
      </c>
      <c r="T171" s="2"/>
      <c r="U171" s="2"/>
      <c r="V171" s="2"/>
      <c r="W171" s="2"/>
      <c r="X171" s="2"/>
      <c r="Y171" s="2"/>
      <c r="Z171" s="2"/>
      <c r="AA171" s="2"/>
      <c r="AB171" s="2"/>
    </row>
    <row r="172" spans="1:28" s="46" customFormat="1">
      <c r="A172" s="36">
        <f t="shared" si="22"/>
        <v>168</v>
      </c>
      <c r="B172" s="107" t="s">
        <v>672</v>
      </c>
      <c r="C172" s="119" t="s">
        <v>673</v>
      </c>
      <c r="D172" s="119"/>
      <c r="E172" s="41">
        <v>42300</v>
      </c>
      <c r="F172" s="108">
        <f>3217830+80446+19701724</f>
        <v>23000000</v>
      </c>
      <c r="G172" s="176">
        <f t="shared" si="19"/>
        <v>32936400</v>
      </c>
      <c r="H172" s="107">
        <v>638900</v>
      </c>
      <c r="I172" s="108">
        <f t="shared" si="27"/>
        <v>276000</v>
      </c>
      <c r="J172" s="120" t="s">
        <v>82</v>
      </c>
      <c r="K172" s="110">
        <v>7</v>
      </c>
      <c r="L172" s="107">
        <f t="shared" si="20"/>
        <v>914900</v>
      </c>
      <c r="M172" s="107">
        <f t="shared" si="21"/>
        <v>6404300</v>
      </c>
      <c r="N172" s="185">
        <f>F172-(H172*29)</f>
        <v>4471900</v>
      </c>
      <c r="O172" s="117" t="s">
        <v>522</v>
      </c>
      <c r="P172" s="117" t="s">
        <v>31</v>
      </c>
      <c r="Q172" s="111">
        <f t="shared" si="23"/>
        <v>4471900</v>
      </c>
      <c r="R172" s="175">
        <f>+[1]N2!AE193</f>
        <v>4471900</v>
      </c>
      <c r="S172" s="107">
        <f t="shared" si="24"/>
        <v>0</v>
      </c>
      <c r="T172" s="2"/>
      <c r="U172" s="2"/>
      <c r="V172" s="2"/>
      <c r="W172" s="2"/>
      <c r="X172" s="2"/>
      <c r="Y172" s="2"/>
      <c r="Z172" s="2"/>
      <c r="AA172" s="2"/>
      <c r="AB172" s="2"/>
    </row>
    <row r="173" spans="1:28" s="46" customFormat="1">
      <c r="A173" s="36">
        <f t="shared" si="22"/>
        <v>169</v>
      </c>
      <c r="B173" s="104" t="s">
        <v>674</v>
      </c>
      <c r="C173" s="105" t="s">
        <v>675</v>
      </c>
      <c r="D173" s="106" t="s">
        <v>676</v>
      </c>
      <c r="E173" s="28">
        <v>43140</v>
      </c>
      <c r="F173" s="107">
        <f>18324000+458100+197005+11020895</f>
        <v>30000000</v>
      </c>
      <c r="G173" s="33">
        <f t="shared" si="19"/>
        <v>42984000</v>
      </c>
      <c r="H173" s="118">
        <f>1194000-I173</f>
        <v>834000</v>
      </c>
      <c r="I173" s="118">
        <f t="shared" si="27"/>
        <v>360000</v>
      </c>
      <c r="J173" s="36">
        <v>36</v>
      </c>
      <c r="K173" s="110">
        <v>34</v>
      </c>
      <c r="L173" s="30">
        <f t="shared" si="20"/>
        <v>1194000</v>
      </c>
      <c r="M173" s="30">
        <f t="shared" si="21"/>
        <v>40596000</v>
      </c>
      <c r="N173" s="38">
        <f>F173-(H173*2)</f>
        <v>28332000</v>
      </c>
      <c r="O173" s="34" t="s">
        <v>604</v>
      </c>
      <c r="P173" s="34" t="s">
        <v>75</v>
      </c>
      <c r="Q173" s="111">
        <f t="shared" si="23"/>
        <v>28332000</v>
      </c>
      <c r="R173" s="175">
        <f>+[1]N2!AE194</f>
        <v>28332000</v>
      </c>
      <c r="S173" s="107">
        <f t="shared" si="24"/>
        <v>0</v>
      </c>
      <c r="T173" s="2"/>
      <c r="U173" s="2"/>
      <c r="V173" s="2"/>
      <c r="W173" s="2"/>
      <c r="X173" s="2"/>
      <c r="Y173" s="2"/>
      <c r="Z173" s="2"/>
      <c r="AA173" s="2"/>
      <c r="AB173" s="2"/>
    </row>
    <row r="174" spans="1:28" s="46" customFormat="1">
      <c r="A174" s="36">
        <f t="shared" si="22"/>
        <v>170</v>
      </c>
      <c r="B174" s="104" t="s">
        <v>677</v>
      </c>
      <c r="C174" s="105" t="s">
        <v>678</v>
      </c>
      <c r="D174" s="28" t="s">
        <v>679</v>
      </c>
      <c r="E174" s="41">
        <v>42818</v>
      </c>
      <c r="F174" s="107">
        <f>1863500+46588+13089912</f>
        <v>15000000</v>
      </c>
      <c r="G174" s="33">
        <f t="shared" si="19"/>
        <v>21510000</v>
      </c>
      <c r="H174" s="107">
        <v>417500</v>
      </c>
      <c r="I174" s="107">
        <f t="shared" si="27"/>
        <v>180000</v>
      </c>
      <c r="J174" s="36">
        <v>36</v>
      </c>
      <c r="K174" s="110">
        <v>24</v>
      </c>
      <c r="L174" s="30">
        <f t="shared" si="20"/>
        <v>597500</v>
      </c>
      <c r="M174" s="30">
        <f t="shared" si="21"/>
        <v>14340000</v>
      </c>
      <c r="N174" s="112">
        <f>F174-(H174*12)</f>
        <v>9990000</v>
      </c>
      <c r="O174" s="34" t="s">
        <v>415</v>
      </c>
      <c r="P174" s="34" t="s">
        <v>31</v>
      </c>
      <c r="Q174" s="111">
        <f t="shared" si="23"/>
        <v>9990000</v>
      </c>
      <c r="R174" s="175">
        <f>+[1]N2!AE195</f>
        <v>9990000</v>
      </c>
      <c r="S174" s="107">
        <f t="shared" si="24"/>
        <v>0</v>
      </c>
      <c r="T174" s="2"/>
      <c r="U174" s="2"/>
      <c r="V174" s="2"/>
      <c r="W174" s="2"/>
      <c r="X174" s="2"/>
      <c r="Y174" s="2"/>
      <c r="Z174" s="2"/>
      <c r="AA174" s="2"/>
      <c r="AB174" s="2"/>
    </row>
    <row r="175" spans="1:28" s="46" customFormat="1">
      <c r="A175" s="36">
        <f t="shared" si="22"/>
        <v>171</v>
      </c>
      <c r="B175" s="104" t="s">
        <v>680</v>
      </c>
      <c r="C175" s="105" t="s">
        <v>681</v>
      </c>
      <c r="D175" s="106" t="s">
        <v>682</v>
      </c>
      <c r="E175" s="41">
        <v>42942</v>
      </c>
      <c r="F175" s="107">
        <f>30000000</f>
        <v>30000000</v>
      </c>
      <c r="G175" s="33">
        <f t="shared" si="19"/>
        <v>43002000</v>
      </c>
      <c r="H175" s="118">
        <v>834500</v>
      </c>
      <c r="I175" s="107">
        <f t="shared" si="27"/>
        <v>360000</v>
      </c>
      <c r="J175" s="36">
        <v>36</v>
      </c>
      <c r="K175" s="110">
        <v>28</v>
      </c>
      <c r="L175" s="30">
        <f t="shared" si="20"/>
        <v>1194500</v>
      </c>
      <c r="M175" s="30">
        <f t="shared" si="21"/>
        <v>33446000</v>
      </c>
      <c r="N175" s="112">
        <f>F175-(H175*8)</f>
        <v>23324000</v>
      </c>
      <c r="O175" s="34" t="s">
        <v>683</v>
      </c>
      <c r="P175" s="34" t="s">
        <v>36</v>
      </c>
      <c r="Q175" s="111">
        <f t="shared" si="23"/>
        <v>23324000</v>
      </c>
      <c r="R175" s="175">
        <f>+[1]N2!AE196</f>
        <v>23324000</v>
      </c>
      <c r="S175" s="107">
        <f t="shared" si="24"/>
        <v>0</v>
      </c>
      <c r="T175" s="2"/>
      <c r="U175" s="2"/>
      <c r="V175" s="2"/>
      <c r="W175" s="2"/>
      <c r="X175" s="2"/>
      <c r="Y175" s="2"/>
      <c r="Z175" s="2"/>
      <c r="AA175" s="2"/>
      <c r="AB175" s="2"/>
    </row>
    <row r="176" spans="1:28" s="46" customFormat="1">
      <c r="A176" s="36">
        <f t="shared" si="22"/>
        <v>172</v>
      </c>
      <c r="B176" s="104" t="s">
        <v>684</v>
      </c>
      <c r="C176" s="105" t="s">
        <v>685</v>
      </c>
      <c r="D176" s="106" t="s">
        <v>686</v>
      </c>
      <c r="E176" s="28">
        <v>43096</v>
      </c>
      <c r="F176" s="107">
        <f>12927952+323199+16748849</f>
        <v>30000000</v>
      </c>
      <c r="G176" s="33">
        <f t="shared" si="19"/>
        <v>42984000</v>
      </c>
      <c r="H176" s="118">
        <v>834000</v>
      </c>
      <c r="I176" s="118">
        <f t="shared" si="27"/>
        <v>360000</v>
      </c>
      <c r="J176" s="36">
        <v>36</v>
      </c>
      <c r="K176" s="110">
        <v>33</v>
      </c>
      <c r="L176" s="30">
        <f t="shared" si="20"/>
        <v>1194000</v>
      </c>
      <c r="M176" s="30">
        <f t="shared" si="21"/>
        <v>39402000</v>
      </c>
      <c r="N176" s="38">
        <f>F176-(H176*3)</f>
        <v>27498000</v>
      </c>
      <c r="O176" s="34" t="s">
        <v>687</v>
      </c>
      <c r="P176" s="34" t="s">
        <v>75</v>
      </c>
      <c r="Q176" s="111">
        <f t="shared" si="23"/>
        <v>27498000</v>
      </c>
      <c r="R176" s="175">
        <f>+[1]N2!AE197</f>
        <v>27498000</v>
      </c>
      <c r="S176" s="107">
        <f t="shared" si="24"/>
        <v>0</v>
      </c>
      <c r="T176" s="2"/>
      <c r="U176" s="2"/>
      <c r="V176" s="2"/>
      <c r="W176" s="2"/>
      <c r="X176" s="2"/>
      <c r="Y176" s="2"/>
      <c r="Z176" s="2"/>
      <c r="AA176" s="2"/>
      <c r="AB176" s="2"/>
    </row>
    <row r="177" spans="1:28" s="46" customFormat="1">
      <c r="A177" s="36">
        <f t="shared" si="22"/>
        <v>173</v>
      </c>
      <c r="B177" s="104" t="s">
        <v>688</v>
      </c>
      <c r="C177" s="105" t="s">
        <v>689</v>
      </c>
      <c r="D177" s="28" t="s">
        <v>690</v>
      </c>
      <c r="E177" s="41">
        <v>43012</v>
      </c>
      <c r="F177" s="107">
        <f>25000000</f>
        <v>25000000</v>
      </c>
      <c r="G177" s="33">
        <f t="shared" si="19"/>
        <v>35820000</v>
      </c>
      <c r="H177" s="118">
        <f>995000-I177</f>
        <v>695000</v>
      </c>
      <c r="I177" s="118">
        <f>F177*1.2%</f>
        <v>300000</v>
      </c>
      <c r="J177" s="36">
        <v>36</v>
      </c>
      <c r="K177" s="110">
        <v>30</v>
      </c>
      <c r="L177" s="30">
        <f t="shared" si="20"/>
        <v>995000</v>
      </c>
      <c r="M177" s="30">
        <f t="shared" si="21"/>
        <v>29850000</v>
      </c>
      <c r="N177" s="112">
        <f>F177-(H177*6)</f>
        <v>20830000</v>
      </c>
      <c r="O177" s="34" t="s">
        <v>691</v>
      </c>
      <c r="P177" s="34" t="s">
        <v>73</v>
      </c>
      <c r="Q177" s="111">
        <f t="shared" si="23"/>
        <v>20830000</v>
      </c>
      <c r="R177" s="175">
        <f>+[1]N2!AE198</f>
        <v>20830000</v>
      </c>
      <c r="S177" s="107">
        <f t="shared" si="24"/>
        <v>0</v>
      </c>
      <c r="T177" s="2"/>
      <c r="U177" s="2"/>
      <c r="V177" s="2"/>
      <c r="W177" s="2"/>
      <c r="X177" s="2"/>
      <c r="Y177" s="2"/>
      <c r="Z177" s="2"/>
      <c r="AA177" s="2"/>
      <c r="AB177" s="2"/>
    </row>
    <row r="178" spans="1:28" s="46" customFormat="1">
      <c r="A178" s="36">
        <f t="shared" si="22"/>
        <v>174</v>
      </c>
      <c r="B178" s="104" t="s">
        <v>692</v>
      </c>
      <c r="C178" s="105" t="s">
        <v>693</v>
      </c>
      <c r="D178" s="106" t="s">
        <v>694</v>
      </c>
      <c r="E178" s="41">
        <v>43069</v>
      </c>
      <c r="F178" s="107">
        <f>9941635+248541+15000000</f>
        <v>25190176</v>
      </c>
      <c r="G178" s="33">
        <f t="shared" si="19"/>
        <v>32448000</v>
      </c>
      <c r="H178" s="107">
        <v>1049718</v>
      </c>
      <c r="I178" s="118">
        <v>302282</v>
      </c>
      <c r="J178" s="36">
        <v>24</v>
      </c>
      <c r="K178" s="110">
        <v>20</v>
      </c>
      <c r="L178" s="30">
        <f t="shared" si="20"/>
        <v>1352000</v>
      </c>
      <c r="M178" s="30">
        <f t="shared" si="21"/>
        <v>27040000</v>
      </c>
      <c r="N178" s="38">
        <f>F178-(H178*4)</f>
        <v>20991304</v>
      </c>
      <c r="O178" s="34" t="s">
        <v>695</v>
      </c>
      <c r="P178" s="42" t="s">
        <v>31</v>
      </c>
      <c r="Q178" s="111">
        <f t="shared" si="23"/>
        <v>20991304</v>
      </c>
      <c r="R178" s="175">
        <f>+[1]N2!AE199</f>
        <v>20991304</v>
      </c>
      <c r="S178" s="107">
        <f t="shared" si="24"/>
        <v>0</v>
      </c>
      <c r="T178" s="2"/>
      <c r="U178" s="2"/>
      <c r="V178" s="2"/>
      <c r="W178" s="2"/>
      <c r="X178" s="2"/>
      <c r="Y178" s="2"/>
      <c r="Z178" s="2"/>
      <c r="AA178" s="2"/>
      <c r="AB178" s="2"/>
    </row>
    <row r="179" spans="1:28" s="46" customFormat="1">
      <c r="A179" s="36">
        <f t="shared" si="22"/>
        <v>175</v>
      </c>
      <c r="B179" s="104" t="s">
        <v>696</v>
      </c>
      <c r="C179" s="105" t="s">
        <v>697</v>
      </c>
      <c r="D179" s="106" t="s">
        <v>698</v>
      </c>
      <c r="E179" s="41">
        <v>43033</v>
      </c>
      <c r="F179" s="107">
        <f>23328000+583200+6088800</f>
        <v>30000000</v>
      </c>
      <c r="G179" s="33">
        <f t="shared" si="19"/>
        <v>42984000</v>
      </c>
      <c r="H179" s="118">
        <v>834000</v>
      </c>
      <c r="I179" s="118">
        <f>+F179*1.2%</f>
        <v>360000</v>
      </c>
      <c r="J179" s="36">
        <v>36</v>
      </c>
      <c r="K179" s="110">
        <v>31</v>
      </c>
      <c r="L179" s="30">
        <f t="shared" si="20"/>
        <v>1194000</v>
      </c>
      <c r="M179" s="30">
        <f t="shared" si="21"/>
        <v>37014000</v>
      </c>
      <c r="N179" s="38">
        <f>F179-(H179*5)</f>
        <v>25830000</v>
      </c>
      <c r="O179" s="34" t="s">
        <v>76</v>
      </c>
      <c r="P179" s="34" t="s">
        <v>31</v>
      </c>
      <c r="Q179" s="111">
        <f t="shared" si="23"/>
        <v>25830000</v>
      </c>
      <c r="R179" s="175">
        <f>+[1]N2!AE200</f>
        <v>25830000</v>
      </c>
      <c r="S179" s="107">
        <f t="shared" si="24"/>
        <v>0</v>
      </c>
      <c r="T179" s="2"/>
      <c r="U179" s="2"/>
      <c r="V179" s="2"/>
      <c r="W179" s="2"/>
      <c r="X179" s="2"/>
      <c r="Y179" s="2"/>
      <c r="Z179" s="2"/>
      <c r="AA179" s="2"/>
      <c r="AB179" s="2"/>
    </row>
    <row r="180" spans="1:28" s="46" customFormat="1">
      <c r="A180" s="36">
        <f t="shared" si="22"/>
        <v>176</v>
      </c>
      <c r="B180" s="104" t="s">
        <v>699</v>
      </c>
      <c r="C180" s="105" t="s">
        <v>700</v>
      </c>
      <c r="D180" s="28" t="s">
        <v>701</v>
      </c>
      <c r="E180" s="28">
        <v>43136</v>
      </c>
      <c r="F180" s="107">
        <f>19390347+484759+135555+9989339</f>
        <v>30000000</v>
      </c>
      <c r="G180" s="33">
        <f t="shared" si="19"/>
        <v>42984000</v>
      </c>
      <c r="H180" s="118">
        <f>1194000-I180</f>
        <v>834000</v>
      </c>
      <c r="I180" s="118">
        <f>+F180*1.2%</f>
        <v>360000</v>
      </c>
      <c r="J180" s="36">
        <v>36</v>
      </c>
      <c r="K180" s="110">
        <v>34</v>
      </c>
      <c r="L180" s="30">
        <f t="shared" si="20"/>
        <v>1194000</v>
      </c>
      <c r="M180" s="30">
        <f t="shared" si="21"/>
        <v>40596000</v>
      </c>
      <c r="N180" s="38">
        <f>F180-(H180*2)</f>
        <v>28332000</v>
      </c>
      <c r="O180" s="34" t="s">
        <v>167</v>
      </c>
      <c r="P180" s="34" t="s">
        <v>75</v>
      </c>
      <c r="Q180" s="111">
        <f t="shared" si="23"/>
        <v>28332000</v>
      </c>
      <c r="R180" s="175">
        <f>+[1]N2!AE201</f>
        <v>28332000</v>
      </c>
      <c r="S180" s="107">
        <f t="shared" si="24"/>
        <v>0</v>
      </c>
      <c r="T180" s="2"/>
      <c r="U180" s="2"/>
      <c r="V180" s="2"/>
      <c r="W180" s="2"/>
      <c r="X180" s="2"/>
      <c r="Y180" s="2"/>
      <c r="Z180" s="2"/>
      <c r="AA180" s="2"/>
      <c r="AB180" s="2"/>
    </row>
    <row r="181" spans="1:28" s="46" customFormat="1">
      <c r="A181" s="36">
        <f t="shared" si="22"/>
        <v>177</v>
      </c>
      <c r="B181" s="107" t="s">
        <v>702</v>
      </c>
      <c r="C181" s="119" t="s">
        <v>703</v>
      </c>
      <c r="D181" s="119"/>
      <c r="E181" s="41">
        <v>42304</v>
      </c>
      <c r="F181" s="108">
        <f>25000000</f>
        <v>25000000</v>
      </c>
      <c r="G181" s="176">
        <f t="shared" si="19"/>
        <v>35802000</v>
      </c>
      <c r="H181" s="107">
        <v>694500</v>
      </c>
      <c r="I181" s="108">
        <f>+F181*1.2%</f>
        <v>300000</v>
      </c>
      <c r="J181" s="120" t="s">
        <v>82</v>
      </c>
      <c r="K181" s="110">
        <v>7</v>
      </c>
      <c r="L181" s="107">
        <f t="shared" si="20"/>
        <v>994500</v>
      </c>
      <c r="M181" s="107">
        <f t="shared" si="21"/>
        <v>6961500</v>
      </c>
      <c r="N181" s="185">
        <f>F181-(H181*29)</f>
        <v>4859500</v>
      </c>
      <c r="O181" s="117" t="s">
        <v>704</v>
      </c>
      <c r="P181" s="117" t="s">
        <v>36</v>
      </c>
      <c r="Q181" s="111">
        <f t="shared" si="23"/>
        <v>4859500</v>
      </c>
      <c r="R181" s="175">
        <f>+[1]N2!AE202</f>
        <v>4859500</v>
      </c>
      <c r="S181" s="107">
        <f t="shared" si="24"/>
        <v>0</v>
      </c>
      <c r="T181" s="2"/>
      <c r="U181" s="2"/>
      <c r="V181" s="2"/>
      <c r="W181" s="2"/>
      <c r="X181" s="2"/>
      <c r="Y181" s="2"/>
      <c r="Z181" s="2"/>
      <c r="AA181" s="2"/>
      <c r="AB181" s="2"/>
    </row>
    <row r="182" spans="1:28" s="46" customFormat="1">
      <c r="A182" s="36">
        <f t="shared" si="22"/>
        <v>178</v>
      </c>
      <c r="B182" s="104" t="s">
        <v>705</v>
      </c>
      <c r="C182" s="105" t="s">
        <v>706</v>
      </c>
      <c r="D182" s="105" t="s">
        <v>707</v>
      </c>
      <c r="E182" s="41">
        <v>42790</v>
      </c>
      <c r="F182" s="107">
        <f>14165400+354135+15480465</f>
        <v>30000000</v>
      </c>
      <c r="G182" s="33">
        <f t="shared" si="19"/>
        <v>42984000</v>
      </c>
      <c r="H182" s="107">
        <f>1194000-I182</f>
        <v>834000</v>
      </c>
      <c r="I182" s="107">
        <f>+F182*1.2%</f>
        <v>360000</v>
      </c>
      <c r="J182" s="36">
        <v>36</v>
      </c>
      <c r="K182" s="110">
        <v>23</v>
      </c>
      <c r="L182" s="30">
        <f t="shared" si="20"/>
        <v>1194000</v>
      </c>
      <c r="M182" s="30">
        <f t="shared" si="21"/>
        <v>27462000</v>
      </c>
      <c r="N182" s="112">
        <f>F182-(H182*13)</f>
        <v>19158000</v>
      </c>
      <c r="O182" s="34" t="s">
        <v>241</v>
      </c>
      <c r="P182" s="34" t="s">
        <v>31</v>
      </c>
      <c r="Q182" s="111">
        <f t="shared" si="23"/>
        <v>19158000</v>
      </c>
      <c r="R182" s="175">
        <f>+[1]N2!AE203</f>
        <v>19158000</v>
      </c>
      <c r="S182" s="107">
        <f t="shared" si="24"/>
        <v>0</v>
      </c>
      <c r="T182" s="2"/>
      <c r="U182" s="2"/>
      <c r="V182" s="2"/>
      <c r="W182" s="2"/>
      <c r="X182" s="2"/>
      <c r="Y182" s="2"/>
      <c r="Z182" s="2"/>
      <c r="AA182" s="2"/>
      <c r="AB182" s="2"/>
    </row>
    <row r="183" spans="1:28" s="46" customFormat="1">
      <c r="A183" s="36">
        <f t="shared" si="22"/>
        <v>179</v>
      </c>
      <c r="B183" s="104" t="s">
        <v>709</v>
      </c>
      <c r="C183" s="105" t="s">
        <v>710</v>
      </c>
      <c r="D183" s="106" t="s">
        <v>711</v>
      </c>
      <c r="E183" s="41">
        <v>43033</v>
      </c>
      <c r="F183" s="107">
        <f>9162500+229063+20608437</f>
        <v>30000000</v>
      </c>
      <c r="G183" s="33">
        <f t="shared" si="19"/>
        <v>42984000</v>
      </c>
      <c r="H183" s="118">
        <v>834000</v>
      </c>
      <c r="I183" s="118">
        <f t="shared" ref="I183:I188" si="28">+F183*1.2%</f>
        <v>360000</v>
      </c>
      <c r="J183" s="36">
        <v>36</v>
      </c>
      <c r="K183" s="110">
        <v>31</v>
      </c>
      <c r="L183" s="30">
        <f t="shared" si="20"/>
        <v>1194000</v>
      </c>
      <c r="M183" s="30">
        <f t="shared" si="21"/>
        <v>37014000</v>
      </c>
      <c r="N183" s="38">
        <f>F183-(H183*5)</f>
        <v>25830000</v>
      </c>
      <c r="O183" s="34" t="s">
        <v>712</v>
      </c>
      <c r="P183" s="34" t="s">
        <v>31</v>
      </c>
      <c r="Q183" s="111">
        <f t="shared" si="23"/>
        <v>25830000</v>
      </c>
      <c r="R183" s="175">
        <f>+[1]N2!AE205</f>
        <v>25830000</v>
      </c>
      <c r="S183" s="107">
        <f t="shared" si="24"/>
        <v>0</v>
      </c>
      <c r="T183" s="2"/>
      <c r="U183" s="2"/>
      <c r="V183" s="2"/>
      <c r="W183" s="2"/>
      <c r="X183" s="2"/>
      <c r="Y183" s="2"/>
      <c r="Z183" s="2"/>
      <c r="AA183" s="2"/>
      <c r="AB183" s="2"/>
    </row>
    <row r="184" spans="1:28" s="46" customFormat="1">
      <c r="A184" s="36">
        <f t="shared" si="22"/>
        <v>180</v>
      </c>
      <c r="B184" s="107" t="s">
        <v>713</v>
      </c>
      <c r="C184" s="119" t="s">
        <v>714</v>
      </c>
      <c r="D184" s="119" t="s">
        <v>715</v>
      </c>
      <c r="E184" s="41">
        <v>42702</v>
      </c>
      <c r="F184" s="108">
        <f>30000000</f>
        <v>30000000</v>
      </c>
      <c r="G184" s="33">
        <f t="shared" si="19"/>
        <v>38640000</v>
      </c>
      <c r="H184" s="107">
        <f>+F184/J184</f>
        <v>1250000</v>
      </c>
      <c r="I184" s="107">
        <f t="shared" si="28"/>
        <v>360000</v>
      </c>
      <c r="J184" s="120" t="s">
        <v>72</v>
      </c>
      <c r="K184" s="110">
        <v>8</v>
      </c>
      <c r="L184" s="30">
        <f t="shared" si="20"/>
        <v>1610000</v>
      </c>
      <c r="M184" s="107">
        <f t="shared" si="21"/>
        <v>12880000</v>
      </c>
      <c r="N184" s="107">
        <f>+H184*K184</f>
        <v>10000000</v>
      </c>
      <c r="O184" s="117" t="s">
        <v>716</v>
      </c>
      <c r="P184" s="117" t="s">
        <v>73</v>
      </c>
      <c r="Q184" s="111">
        <f t="shared" si="23"/>
        <v>10000000</v>
      </c>
      <c r="R184" s="175">
        <f>+[1]N2!AE206</f>
        <v>10000000</v>
      </c>
      <c r="S184" s="107">
        <f t="shared" si="24"/>
        <v>0</v>
      </c>
      <c r="T184" s="2"/>
      <c r="U184" s="2"/>
      <c r="V184" s="2"/>
      <c r="W184" s="2"/>
      <c r="X184" s="2"/>
      <c r="Y184" s="2"/>
      <c r="Z184" s="2"/>
      <c r="AA184" s="2"/>
      <c r="AB184" s="2"/>
    </row>
    <row r="185" spans="1:28" s="46" customFormat="1">
      <c r="A185" s="36">
        <f t="shared" si="22"/>
        <v>181</v>
      </c>
      <c r="B185" s="104" t="s">
        <v>717</v>
      </c>
      <c r="C185" s="105" t="s">
        <v>718</v>
      </c>
      <c r="D185" s="28" t="s">
        <v>719</v>
      </c>
      <c r="E185" s="41">
        <v>42801</v>
      </c>
      <c r="F185" s="107">
        <f>30000000</f>
        <v>30000000</v>
      </c>
      <c r="G185" s="33">
        <f t="shared" si="19"/>
        <v>38640000</v>
      </c>
      <c r="H185" s="107">
        <f>+F185/J185</f>
        <v>1250000</v>
      </c>
      <c r="I185" s="107">
        <f t="shared" si="28"/>
        <v>360000</v>
      </c>
      <c r="J185" s="36">
        <v>24</v>
      </c>
      <c r="K185" s="110">
        <v>11</v>
      </c>
      <c r="L185" s="30">
        <f t="shared" si="20"/>
        <v>1610000</v>
      </c>
      <c r="M185" s="30">
        <f t="shared" si="21"/>
        <v>17710000</v>
      </c>
      <c r="N185" s="33">
        <f>+H185*K185</f>
        <v>13750000</v>
      </c>
      <c r="O185" s="34" t="s">
        <v>720</v>
      </c>
      <c r="P185" s="34" t="s">
        <v>36</v>
      </c>
      <c r="Q185" s="111">
        <f t="shared" si="23"/>
        <v>13750000</v>
      </c>
      <c r="R185" s="175">
        <f>+[1]N2!AE207</f>
        <v>13750000</v>
      </c>
      <c r="S185" s="107">
        <f t="shared" si="24"/>
        <v>0</v>
      </c>
      <c r="T185" s="2"/>
      <c r="U185" s="2"/>
      <c r="V185" s="2"/>
      <c r="W185" s="2"/>
      <c r="X185" s="2"/>
      <c r="Y185" s="2"/>
      <c r="Z185" s="2"/>
      <c r="AA185" s="2"/>
      <c r="AB185" s="2"/>
    </row>
    <row r="186" spans="1:28" s="46" customFormat="1">
      <c r="A186" s="36">
        <f t="shared" si="22"/>
        <v>182</v>
      </c>
      <c r="B186" s="107" t="s">
        <v>721</v>
      </c>
      <c r="C186" s="119" t="s">
        <v>722</v>
      </c>
      <c r="D186" s="28" t="s">
        <v>723</v>
      </c>
      <c r="E186" s="41">
        <v>42702</v>
      </c>
      <c r="F186" s="108">
        <f>20831500+520788+8647712</f>
        <v>30000000</v>
      </c>
      <c r="G186" s="33">
        <f t="shared" si="19"/>
        <v>42984000</v>
      </c>
      <c r="H186" s="107">
        <v>834000</v>
      </c>
      <c r="I186" s="107">
        <f t="shared" si="28"/>
        <v>360000</v>
      </c>
      <c r="J186" s="120" t="s">
        <v>82</v>
      </c>
      <c r="K186" s="110">
        <v>20</v>
      </c>
      <c r="L186" s="30">
        <f t="shared" si="20"/>
        <v>1194000</v>
      </c>
      <c r="M186" s="107">
        <f t="shared" si="21"/>
        <v>23880000</v>
      </c>
      <c r="N186" s="112">
        <f>F186-(H186*16)</f>
        <v>16656000</v>
      </c>
      <c r="O186" s="117" t="s">
        <v>519</v>
      </c>
      <c r="P186" s="34" t="s">
        <v>93</v>
      </c>
      <c r="Q186" s="111">
        <f t="shared" si="23"/>
        <v>16656000</v>
      </c>
      <c r="R186" s="175">
        <f>+[1]N2!AE208</f>
        <v>16656000</v>
      </c>
      <c r="S186" s="107">
        <f t="shared" si="24"/>
        <v>0</v>
      </c>
      <c r="T186" s="2"/>
      <c r="U186" s="2"/>
      <c r="V186" s="2"/>
      <c r="W186" s="2"/>
      <c r="X186" s="2"/>
      <c r="Y186" s="2"/>
      <c r="Z186" s="2"/>
      <c r="AA186" s="2"/>
      <c r="AB186" s="2"/>
    </row>
    <row r="187" spans="1:28" s="46" customFormat="1">
      <c r="A187" s="36">
        <f t="shared" si="22"/>
        <v>183</v>
      </c>
      <c r="B187" s="107" t="s">
        <v>724</v>
      </c>
      <c r="C187" s="119" t="s">
        <v>725</v>
      </c>
      <c r="D187" s="28" t="s">
        <v>726</v>
      </c>
      <c r="E187" s="41">
        <v>42726</v>
      </c>
      <c r="F187" s="108">
        <f>19164500+479113+10356387</f>
        <v>30000000</v>
      </c>
      <c r="G187" s="33">
        <f t="shared" si="19"/>
        <v>42984000</v>
      </c>
      <c r="H187" s="107">
        <v>834000</v>
      </c>
      <c r="I187" s="107">
        <f t="shared" si="28"/>
        <v>360000</v>
      </c>
      <c r="J187" s="36">
        <v>36</v>
      </c>
      <c r="K187" s="110">
        <v>21</v>
      </c>
      <c r="L187" s="30">
        <f t="shared" si="20"/>
        <v>1194000</v>
      </c>
      <c r="M187" s="107">
        <f t="shared" si="21"/>
        <v>25074000</v>
      </c>
      <c r="N187" s="112">
        <f>F187-(H187*15)</f>
        <v>17490000</v>
      </c>
      <c r="O187" s="117" t="s">
        <v>306</v>
      </c>
      <c r="P187" s="34" t="s">
        <v>31</v>
      </c>
      <c r="Q187" s="111">
        <f t="shared" si="23"/>
        <v>17490000</v>
      </c>
      <c r="R187" s="175">
        <f>+[1]N2!AE209</f>
        <v>17490000</v>
      </c>
      <c r="S187" s="107">
        <f t="shared" si="24"/>
        <v>0</v>
      </c>
      <c r="T187" s="2"/>
      <c r="U187" s="2"/>
      <c r="V187" s="2"/>
      <c r="W187" s="2"/>
      <c r="X187" s="2"/>
      <c r="Y187" s="2"/>
      <c r="Z187" s="2"/>
      <c r="AA187" s="2"/>
      <c r="AB187" s="2"/>
    </row>
    <row r="188" spans="1:28" s="46" customFormat="1">
      <c r="A188" s="36">
        <f t="shared" si="22"/>
        <v>184</v>
      </c>
      <c r="B188" s="104" t="s">
        <v>727</v>
      </c>
      <c r="C188" s="105" t="s">
        <v>728</v>
      </c>
      <c r="D188" s="28" t="s">
        <v>729</v>
      </c>
      <c r="E188" s="41">
        <v>42829</v>
      </c>
      <c r="F188" s="107">
        <f>2500000</f>
        <v>2500000</v>
      </c>
      <c r="G188" s="33">
        <f t="shared" si="19"/>
        <v>3252000</v>
      </c>
      <c r="H188" s="107">
        <f>135500-I188</f>
        <v>105500</v>
      </c>
      <c r="I188" s="107">
        <f t="shared" si="28"/>
        <v>30000</v>
      </c>
      <c r="J188" s="36">
        <v>24</v>
      </c>
      <c r="K188" s="110">
        <v>12</v>
      </c>
      <c r="L188" s="30">
        <f t="shared" si="20"/>
        <v>135500</v>
      </c>
      <c r="M188" s="30">
        <f t="shared" si="21"/>
        <v>1626000</v>
      </c>
      <c r="N188" s="112">
        <f>F188-(H188*12)</f>
        <v>1234000</v>
      </c>
      <c r="O188" s="34" t="s">
        <v>730</v>
      </c>
      <c r="P188" s="34" t="s">
        <v>195</v>
      </c>
      <c r="Q188" s="111">
        <f t="shared" si="23"/>
        <v>1234000</v>
      </c>
      <c r="R188" s="175">
        <f>+[1]N2!AE210</f>
        <v>1234000</v>
      </c>
      <c r="S188" s="107">
        <f t="shared" si="24"/>
        <v>0</v>
      </c>
      <c r="T188" s="2"/>
      <c r="U188" s="2"/>
      <c r="V188" s="2"/>
      <c r="W188" s="2"/>
      <c r="X188" s="2"/>
      <c r="Y188" s="2"/>
      <c r="Z188" s="2"/>
      <c r="AA188" s="2"/>
      <c r="AB188" s="2"/>
    </row>
    <row r="189" spans="1:28" s="46" customFormat="1">
      <c r="A189" s="36">
        <f t="shared" si="22"/>
        <v>185</v>
      </c>
      <c r="B189" s="104" t="s">
        <v>727</v>
      </c>
      <c r="C189" s="105" t="s">
        <v>728</v>
      </c>
      <c r="D189" s="106" t="s">
        <v>731</v>
      </c>
      <c r="E189" s="41">
        <v>43021</v>
      </c>
      <c r="F189" s="107">
        <f>5000000</f>
        <v>5000000</v>
      </c>
      <c r="G189" s="33">
        <f t="shared" si="19"/>
        <v>6456000</v>
      </c>
      <c r="H189" s="118">
        <f>269000-I189</f>
        <v>209000</v>
      </c>
      <c r="I189" s="118">
        <f>F189*1.2%</f>
        <v>60000</v>
      </c>
      <c r="J189" s="36">
        <v>24</v>
      </c>
      <c r="K189" s="110">
        <v>18</v>
      </c>
      <c r="L189" s="30">
        <f t="shared" si="20"/>
        <v>269000</v>
      </c>
      <c r="M189" s="30">
        <f t="shared" si="21"/>
        <v>4842000</v>
      </c>
      <c r="N189" s="112">
        <f>F189-(H189*6)</f>
        <v>3746000</v>
      </c>
      <c r="O189" s="34" t="s">
        <v>732</v>
      </c>
      <c r="P189" s="34" t="s">
        <v>733</v>
      </c>
      <c r="Q189" s="111">
        <f t="shared" si="23"/>
        <v>3746000</v>
      </c>
      <c r="R189" s="175">
        <f>+[1]N2!AE211</f>
        <v>3746000</v>
      </c>
      <c r="S189" s="107">
        <f t="shared" si="24"/>
        <v>0</v>
      </c>
      <c r="T189" s="2"/>
      <c r="U189" s="2"/>
      <c r="V189" s="2"/>
      <c r="W189" s="2"/>
      <c r="X189" s="2"/>
      <c r="Y189" s="2"/>
      <c r="Z189" s="2"/>
      <c r="AA189" s="2"/>
      <c r="AB189" s="2"/>
    </row>
    <row r="190" spans="1:28" s="46" customFormat="1">
      <c r="A190" s="36">
        <f t="shared" si="22"/>
        <v>186</v>
      </c>
      <c r="B190" s="104" t="s">
        <v>727</v>
      </c>
      <c r="C190" s="105" t="s">
        <v>728</v>
      </c>
      <c r="D190" s="105" t="s">
        <v>734</v>
      </c>
      <c r="E190" s="41">
        <v>42810</v>
      </c>
      <c r="F190" s="107">
        <f>5204613+130115+102192+14563080</f>
        <v>20000000</v>
      </c>
      <c r="G190" s="33">
        <f t="shared" si="19"/>
        <v>28674000</v>
      </c>
      <c r="H190" s="107">
        <f>796500-I190</f>
        <v>556500</v>
      </c>
      <c r="I190" s="107">
        <f>+F190*1.2%</f>
        <v>240000</v>
      </c>
      <c r="J190" s="36">
        <v>36</v>
      </c>
      <c r="K190" s="110">
        <v>23</v>
      </c>
      <c r="L190" s="30">
        <f t="shared" si="20"/>
        <v>796500</v>
      </c>
      <c r="M190" s="30">
        <f t="shared" si="21"/>
        <v>18319500</v>
      </c>
      <c r="N190" s="112">
        <f>F190-(H190*13)</f>
        <v>12765500</v>
      </c>
      <c r="O190" s="34" t="s">
        <v>735</v>
      </c>
      <c r="P190" s="34" t="s">
        <v>31</v>
      </c>
      <c r="Q190" s="111">
        <f t="shared" si="23"/>
        <v>12765500</v>
      </c>
      <c r="R190" s="175">
        <f>+[1]N2!AE212</f>
        <v>12765500</v>
      </c>
      <c r="S190" s="107">
        <f t="shared" si="24"/>
        <v>0</v>
      </c>
      <c r="T190" s="2"/>
      <c r="U190" s="2"/>
      <c r="V190" s="2"/>
      <c r="W190" s="2"/>
      <c r="X190" s="2"/>
      <c r="Y190" s="2"/>
      <c r="Z190" s="2"/>
      <c r="AA190" s="2"/>
      <c r="AB190" s="2"/>
    </row>
    <row r="191" spans="1:28" s="46" customFormat="1">
      <c r="A191" s="36">
        <f t="shared" si="22"/>
        <v>187</v>
      </c>
      <c r="B191" s="104" t="s">
        <v>736</v>
      </c>
      <c r="C191" s="105" t="s">
        <v>737</v>
      </c>
      <c r="D191" s="106" t="s">
        <v>738</v>
      </c>
      <c r="E191" s="41">
        <v>42982</v>
      </c>
      <c r="F191" s="107">
        <f>9165000+229125+261290+20344585</f>
        <v>30000000</v>
      </c>
      <c r="G191" s="33">
        <f t="shared" si="19"/>
        <v>42984000</v>
      </c>
      <c r="H191" s="126">
        <f>1194000-I191</f>
        <v>834000</v>
      </c>
      <c r="I191" s="118">
        <f>F191*1.2%</f>
        <v>360000</v>
      </c>
      <c r="J191" s="36">
        <v>36</v>
      </c>
      <c r="K191" s="110">
        <v>29</v>
      </c>
      <c r="L191" s="30">
        <f t="shared" si="20"/>
        <v>1194000</v>
      </c>
      <c r="M191" s="30">
        <f t="shared" si="21"/>
        <v>34626000</v>
      </c>
      <c r="N191" s="112">
        <f>F191-(H191*7)</f>
        <v>24162000</v>
      </c>
      <c r="O191" s="34" t="s">
        <v>362</v>
      </c>
      <c r="P191" s="34" t="s">
        <v>93</v>
      </c>
      <c r="Q191" s="111">
        <f t="shared" si="23"/>
        <v>24162000</v>
      </c>
      <c r="R191" s="175">
        <f>+[1]N2!AE213</f>
        <v>24162000</v>
      </c>
      <c r="S191" s="107">
        <f t="shared" si="24"/>
        <v>0</v>
      </c>
      <c r="T191" s="2"/>
      <c r="U191" s="2"/>
      <c r="V191" s="2"/>
      <c r="W191" s="2"/>
      <c r="X191" s="2"/>
      <c r="Y191" s="2"/>
      <c r="Z191" s="2"/>
      <c r="AA191" s="2"/>
      <c r="AB191" s="2"/>
    </row>
    <row r="192" spans="1:28" s="46" customFormat="1">
      <c r="A192" s="36">
        <f t="shared" si="22"/>
        <v>188</v>
      </c>
      <c r="B192" s="104" t="s">
        <v>739</v>
      </c>
      <c r="C192" s="105" t="s">
        <v>740</v>
      </c>
      <c r="D192" s="106" t="s">
        <v>741</v>
      </c>
      <c r="E192" s="41">
        <v>42824</v>
      </c>
      <c r="F192" s="126">
        <f>30000000</f>
        <v>30000000</v>
      </c>
      <c r="G192" s="33">
        <f t="shared" si="19"/>
        <v>42984000</v>
      </c>
      <c r="H192" s="107">
        <v>834000</v>
      </c>
      <c r="I192" s="107">
        <f>+F192*1.2%</f>
        <v>360000</v>
      </c>
      <c r="J192" s="36">
        <v>36</v>
      </c>
      <c r="K192" s="110">
        <v>24</v>
      </c>
      <c r="L192" s="30">
        <f t="shared" si="20"/>
        <v>1194000</v>
      </c>
      <c r="M192" s="30">
        <f t="shared" si="21"/>
        <v>28656000</v>
      </c>
      <c r="N192" s="112">
        <f>F192-(H192*12)</f>
        <v>19992000</v>
      </c>
      <c r="O192" s="34" t="s">
        <v>79</v>
      </c>
      <c r="P192" s="34" t="s">
        <v>36</v>
      </c>
      <c r="Q192" s="111">
        <f t="shared" si="23"/>
        <v>19992000</v>
      </c>
      <c r="R192" s="175">
        <f>+[1]N2!AE214</f>
        <v>19992000</v>
      </c>
      <c r="S192" s="107">
        <f t="shared" si="24"/>
        <v>0</v>
      </c>
      <c r="T192" s="2"/>
      <c r="U192" s="2"/>
      <c r="V192" s="2"/>
      <c r="W192" s="2"/>
      <c r="X192" s="2"/>
      <c r="Y192" s="2"/>
      <c r="Z192" s="2"/>
      <c r="AA192" s="2"/>
      <c r="AB192" s="2"/>
    </row>
    <row r="193" spans="1:28" s="46" customFormat="1">
      <c r="A193" s="36">
        <f t="shared" si="22"/>
        <v>189</v>
      </c>
      <c r="B193" s="104" t="s">
        <v>742</v>
      </c>
      <c r="C193" s="105" t="s">
        <v>743</v>
      </c>
      <c r="D193" s="28" t="s">
        <v>744</v>
      </c>
      <c r="E193" s="41">
        <v>42774</v>
      </c>
      <c r="F193" s="107">
        <f>20000000</f>
        <v>20000000</v>
      </c>
      <c r="G193" s="33">
        <f t="shared" si="19"/>
        <v>25776000</v>
      </c>
      <c r="H193" s="107">
        <f>1074000-I193</f>
        <v>834000</v>
      </c>
      <c r="I193" s="107">
        <f>+F193*1.2%</f>
        <v>240000</v>
      </c>
      <c r="J193" s="36">
        <v>24</v>
      </c>
      <c r="K193" s="110">
        <v>10</v>
      </c>
      <c r="L193" s="30">
        <f t="shared" si="20"/>
        <v>1074000</v>
      </c>
      <c r="M193" s="30">
        <f t="shared" si="21"/>
        <v>10740000</v>
      </c>
      <c r="N193" s="112">
        <f>F193-(H193*14)</f>
        <v>8324000</v>
      </c>
      <c r="O193" s="34" t="s">
        <v>20</v>
      </c>
      <c r="P193" s="34" t="s">
        <v>36</v>
      </c>
      <c r="Q193" s="111">
        <f t="shared" si="23"/>
        <v>8324000</v>
      </c>
      <c r="R193" s="175">
        <f>+[1]N2!AE215</f>
        <v>8324000</v>
      </c>
      <c r="S193" s="107">
        <f t="shared" si="24"/>
        <v>0</v>
      </c>
      <c r="T193" s="2"/>
      <c r="U193" s="2"/>
      <c r="V193" s="2"/>
      <c r="W193" s="2"/>
      <c r="X193" s="2"/>
      <c r="Y193" s="2"/>
      <c r="Z193" s="2"/>
      <c r="AA193" s="2"/>
      <c r="AB193" s="2"/>
    </row>
    <row r="194" spans="1:28" s="46" customFormat="1">
      <c r="A194" s="36">
        <f t="shared" si="22"/>
        <v>190</v>
      </c>
      <c r="B194" s="104" t="s">
        <v>745</v>
      </c>
      <c r="C194" s="105" t="s">
        <v>746</v>
      </c>
      <c r="D194" s="105" t="s">
        <v>747</v>
      </c>
      <c r="E194" s="41">
        <v>42790</v>
      </c>
      <c r="F194" s="107">
        <f>187515+29812485</f>
        <v>30000000</v>
      </c>
      <c r="G194" s="33">
        <f t="shared" si="19"/>
        <v>42984000</v>
      </c>
      <c r="H194" s="107">
        <f>1194000-I194</f>
        <v>834000</v>
      </c>
      <c r="I194" s="107">
        <f>+F194*1.2%</f>
        <v>360000</v>
      </c>
      <c r="J194" s="36">
        <v>36</v>
      </c>
      <c r="K194" s="110">
        <v>23</v>
      </c>
      <c r="L194" s="30">
        <f t="shared" si="20"/>
        <v>1194000</v>
      </c>
      <c r="M194" s="30">
        <f t="shared" si="21"/>
        <v>27462000</v>
      </c>
      <c r="N194" s="112">
        <f>F194-(H194*13)</f>
        <v>19158000</v>
      </c>
      <c r="O194" s="34" t="s">
        <v>489</v>
      </c>
      <c r="P194" s="34" t="s">
        <v>36</v>
      </c>
      <c r="Q194" s="111">
        <f t="shared" si="23"/>
        <v>19158000</v>
      </c>
      <c r="R194" s="175">
        <f>+[1]N2!AE216</f>
        <v>19158000</v>
      </c>
      <c r="S194" s="107">
        <f t="shared" si="24"/>
        <v>0</v>
      </c>
      <c r="T194" s="2"/>
      <c r="U194" s="2"/>
      <c r="V194" s="2"/>
      <c r="W194" s="2"/>
      <c r="X194" s="2"/>
      <c r="Y194" s="2"/>
      <c r="Z194" s="2"/>
      <c r="AA194" s="2"/>
      <c r="AB194" s="2"/>
    </row>
    <row r="195" spans="1:28" s="46" customFormat="1">
      <c r="A195" s="36">
        <f t="shared" si="22"/>
        <v>191</v>
      </c>
      <c r="B195" s="104" t="s">
        <v>748</v>
      </c>
      <c r="C195" s="105" t="s">
        <v>749</v>
      </c>
      <c r="D195" s="28" t="s">
        <v>750</v>
      </c>
      <c r="E195" s="41">
        <v>42949</v>
      </c>
      <c r="F195" s="126">
        <f>20000000</f>
        <v>20000000</v>
      </c>
      <c r="G195" s="33">
        <f t="shared" ref="G195:G257" si="29">+J195*L195</f>
        <v>22890000</v>
      </c>
      <c r="H195" s="126">
        <v>1667500</v>
      </c>
      <c r="I195" s="118">
        <f>F195*1.2%</f>
        <v>240000</v>
      </c>
      <c r="J195" s="36">
        <v>12</v>
      </c>
      <c r="K195" s="110">
        <v>4</v>
      </c>
      <c r="L195" s="30">
        <f t="shared" ref="L195:L257" si="30">+H195+I195</f>
        <v>1907500</v>
      </c>
      <c r="M195" s="29">
        <f t="shared" ref="M195:M257" si="31">+K195*L195</f>
        <v>7630000</v>
      </c>
      <c r="N195" s="112">
        <f>F195-(H195*8)</f>
        <v>6660000</v>
      </c>
      <c r="O195" s="34" t="s">
        <v>751</v>
      </c>
      <c r="P195" s="34" t="s">
        <v>36</v>
      </c>
      <c r="Q195" s="111">
        <f t="shared" si="23"/>
        <v>6660000</v>
      </c>
      <c r="R195" s="175">
        <f>+[1]N2!AE217</f>
        <v>6660000</v>
      </c>
      <c r="S195" s="107">
        <f t="shared" si="24"/>
        <v>0</v>
      </c>
      <c r="T195" s="2"/>
      <c r="U195" s="2"/>
      <c r="V195" s="2"/>
      <c r="W195" s="2"/>
      <c r="X195" s="2"/>
      <c r="Y195" s="2"/>
      <c r="Z195" s="2"/>
      <c r="AA195" s="2"/>
      <c r="AB195" s="2"/>
    </row>
    <row r="196" spans="1:28" s="46" customFormat="1">
      <c r="A196" s="36">
        <f t="shared" ref="A196:A258" si="32">+A195+1</f>
        <v>192</v>
      </c>
      <c r="B196" s="104" t="s">
        <v>752</v>
      </c>
      <c r="C196" s="105" t="s">
        <v>753</v>
      </c>
      <c r="D196" s="106" t="s">
        <v>754</v>
      </c>
      <c r="E196" s="41">
        <v>42761</v>
      </c>
      <c r="F196" s="126">
        <f>30000000</f>
        <v>30000000</v>
      </c>
      <c r="G196" s="33">
        <f t="shared" si="29"/>
        <v>42984000</v>
      </c>
      <c r="H196" s="107">
        <f>1194000-I196</f>
        <v>834000</v>
      </c>
      <c r="I196" s="107">
        <f t="shared" ref="I196:I200" si="33">+F196*1.2%</f>
        <v>360000</v>
      </c>
      <c r="J196" s="36">
        <v>36</v>
      </c>
      <c r="K196" s="110">
        <v>22</v>
      </c>
      <c r="L196" s="30">
        <f t="shared" si="30"/>
        <v>1194000</v>
      </c>
      <c r="M196" s="30">
        <f t="shared" si="31"/>
        <v>26268000</v>
      </c>
      <c r="N196" s="112">
        <f>F196-(H196*14)</f>
        <v>18324000</v>
      </c>
      <c r="O196" s="34" t="s">
        <v>755</v>
      </c>
      <c r="P196" s="34" t="s">
        <v>36</v>
      </c>
      <c r="Q196" s="111">
        <f t="shared" ref="Q196:Q258" si="34">+N196</f>
        <v>18324000</v>
      </c>
      <c r="R196" s="175">
        <f>+[1]N2!AE218</f>
        <v>18324000</v>
      </c>
      <c r="S196" s="107">
        <f t="shared" ref="S196:S258" si="35">+Q196-R196</f>
        <v>0</v>
      </c>
      <c r="T196" s="2"/>
      <c r="U196" s="2"/>
      <c r="V196" s="2"/>
      <c r="W196" s="2"/>
      <c r="X196" s="2"/>
      <c r="Y196" s="2"/>
      <c r="Z196" s="2"/>
      <c r="AA196" s="2"/>
      <c r="AB196" s="2"/>
    </row>
    <row r="197" spans="1:28" s="46" customFormat="1">
      <c r="A197" s="36">
        <f t="shared" si="32"/>
        <v>193</v>
      </c>
      <c r="B197" s="104" t="s">
        <v>756</v>
      </c>
      <c r="C197" s="105" t="s">
        <v>757</v>
      </c>
      <c r="D197" s="28" t="s">
        <v>758</v>
      </c>
      <c r="E197" s="28">
        <v>43125</v>
      </c>
      <c r="F197" s="107">
        <f>14988000+374700+14637300</f>
        <v>30000000</v>
      </c>
      <c r="G197" s="33">
        <f t="shared" si="29"/>
        <v>42984000</v>
      </c>
      <c r="H197" s="118">
        <f>1194000-I197</f>
        <v>834000</v>
      </c>
      <c r="I197" s="118">
        <f t="shared" si="33"/>
        <v>360000</v>
      </c>
      <c r="J197" s="36">
        <v>36</v>
      </c>
      <c r="K197" s="110">
        <v>34</v>
      </c>
      <c r="L197" s="30">
        <f t="shared" si="30"/>
        <v>1194000</v>
      </c>
      <c r="M197" s="30">
        <f t="shared" si="31"/>
        <v>40596000</v>
      </c>
      <c r="N197" s="38">
        <f>F197-(H197*2)</f>
        <v>28332000</v>
      </c>
      <c r="O197" s="34" t="s">
        <v>550</v>
      </c>
      <c r="P197" s="34" t="s">
        <v>31</v>
      </c>
      <c r="Q197" s="111">
        <f t="shared" si="34"/>
        <v>28332000</v>
      </c>
      <c r="R197" s="175">
        <f>+[1]N2!AE219</f>
        <v>28332000</v>
      </c>
      <c r="S197" s="107">
        <f t="shared" si="35"/>
        <v>0</v>
      </c>
      <c r="T197" s="2"/>
      <c r="U197" s="2"/>
      <c r="V197" s="2"/>
      <c r="W197" s="2"/>
      <c r="X197" s="2"/>
      <c r="Y197" s="2"/>
      <c r="Z197" s="2"/>
      <c r="AA197" s="2"/>
      <c r="AB197" s="2"/>
    </row>
    <row r="198" spans="1:28" s="46" customFormat="1">
      <c r="A198" s="36">
        <f t="shared" si="32"/>
        <v>194</v>
      </c>
      <c r="B198" s="104" t="s">
        <v>759</v>
      </c>
      <c r="C198" s="105" t="s">
        <v>760</v>
      </c>
      <c r="D198" s="106" t="s">
        <v>761</v>
      </c>
      <c r="E198" s="41">
        <v>42899</v>
      </c>
      <c r="F198" s="107">
        <f>3000000</f>
        <v>3000000</v>
      </c>
      <c r="G198" s="33">
        <f t="shared" si="29"/>
        <v>3432000</v>
      </c>
      <c r="H198" s="107">
        <f>+F198/J198</f>
        <v>250000</v>
      </c>
      <c r="I198" s="107">
        <f t="shared" si="33"/>
        <v>36000</v>
      </c>
      <c r="J198" s="36">
        <v>12</v>
      </c>
      <c r="K198" s="110">
        <v>2</v>
      </c>
      <c r="L198" s="30">
        <f t="shared" si="30"/>
        <v>286000</v>
      </c>
      <c r="M198" s="30">
        <f t="shared" si="31"/>
        <v>572000</v>
      </c>
      <c r="N198" s="33">
        <f>+H198*K198</f>
        <v>500000</v>
      </c>
      <c r="O198" s="34" t="s">
        <v>762</v>
      </c>
      <c r="P198" s="34" t="s">
        <v>36</v>
      </c>
      <c r="Q198" s="111">
        <f t="shared" si="34"/>
        <v>500000</v>
      </c>
      <c r="R198" s="175">
        <f>+[1]N2!AE220</f>
        <v>500000</v>
      </c>
      <c r="S198" s="107">
        <f t="shared" si="35"/>
        <v>0</v>
      </c>
      <c r="T198" s="2"/>
      <c r="U198" s="2"/>
      <c r="V198" s="2"/>
      <c r="W198" s="2"/>
      <c r="X198" s="2"/>
      <c r="Y198" s="2"/>
      <c r="Z198" s="2"/>
      <c r="AA198" s="2"/>
      <c r="AB198" s="2"/>
    </row>
    <row r="199" spans="1:28" s="46" customFormat="1">
      <c r="A199" s="36">
        <f t="shared" si="32"/>
        <v>195</v>
      </c>
      <c r="B199" s="104" t="s">
        <v>763</v>
      </c>
      <c r="C199" s="105" t="s">
        <v>764</v>
      </c>
      <c r="D199" s="106" t="s">
        <v>765</v>
      </c>
      <c r="E199" s="41">
        <v>42954</v>
      </c>
      <c r="F199" s="107">
        <f>12496500+312413+174194+17016893</f>
        <v>30000000</v>
      </c>
      <c r="G199" s="33">
        <f t="shared" si="29"/>
        <v>38640000</v>
      </c>
      <c r="H199" s="126">
        <f>+F199/J199</f>
        <v>1250000</v>
      </c>
      <c r="I199" s="107">
        <f t="shared" si="33"/>
        <v>360000</v>
      </c>
      <c r="J199" s="36">
        <v>24</v>
      </c>
      <c r="K199" s="110">
        <v>16</v>
      </c>
      <c r="L199" s="30">
        <f t="shared" si="30"/>
        <v>1610000</v>
      </c>
      <c r="M199" s="30">
        <f t="shared" si="31"/>
        <v>25760000</v>
      </c>
      <c r="N199" s="33">
        <f>+H199*K199</f>
        <v>20000000</v>
      </c>
      <c r="O199" s="34" t="s">
        <v>235</v>
      </c>
      <c r="P199" s="34" t="s">
        <v>31</v>
      </c>
      <c r="Q199" s="111">
        <f t="shared" si="34"/>
        <v>20000000</v>
      </c>
      <c r="R199" s="175">
        <f>+[1]N2!AE221</f>
        <v>20000000</v>
      </c>
      <c r="S199" s="107">
        <f t="shared" si="35"/>
        <v>0</v>
      </c>
      <c r="T199" s="2"/>
      <c r="U199" s="2"/>
      <c r="V199" s="2"/>
      <c r="W199" s="2"/>
      <c r="X199" s="2"/>
      <c r="Y199" s="2"/>
      <c r="Z199" s="2"/>
      <c r="AA199" s="2"/>
      <c r="AB199" s="2"/>
    </row>
    <row r="200" spans="1:28" s="46" customFormat="1">
      <c r="A200" s="36">
        <f t="shared" si="32"/>
        <v>196</v>
      </c>
      <c r="B200" s="107" t="s">
        <v>766</v>
      </c>
      <c r="C200" s="119" t="s">
        <v>767</v>
      </c>
      <c r="D200" s="119"/>
      <c r="E200" s="125">
        <v>42587</v>
      </c>
      <c r="F200" s="108">
        <f>9166850+229171+139355+20464624</f>
        <v>30000000</v>
      </c>
      <c r="G200" s="111">
        <f t="shared" si="29"/>
        <v>42984000</v>
      </c>
      <c r="H200" s="107">
        <f>1194000-I200</f>
        <v>834000</v>
      </c>
      <c r="I200" s="108">
        <f t="shared" si="33"/>
        <v>360000</v>
      </c>
      <c r="J200" s="120" t="s">
        <v>82</v>
      </c>
      <c r="K200" s="110">
        <v>16</v>
      </c>
      <c r="L200" s="182">
        <f t="shared" si="30"/>
        <v>1194000</v>
      </c>
      <c r="M200" s="107">
        <f t="shared" si="31"/>
        <v>19104000</v>
      </c>
      <c r="N200" s="180">
        <f>F200-(H200*20)</f>
        <v>13320000</v>
      </c>
      <c r="O200" s="117" t="s">
        <v>48</v>
      </c>
      <c r="P200" s="117" t="s">
        <v>84</v>
      </c>
      <c r="Q200" s="111">
        <f t="shared" si="34"/>
        <v>13320000</v>
      </c>
      <c r="R200" s="175">
        <f>+[1]N2!AE222</f>
        <v>13320000</v>
      </c>
      <c r="S200" s="107">
        <f t="shared" si="35"/>
        <v>0</v>
      </c>
      <c r="T200" s="2"/>
      <c r="U200" s="2"/>
      <c r="V200" s="2"/>
      <c r="W200" s="2"/>
      <c r="X200" s="2"/>
      <c r="Y200" s="2"/>
      <c r="Z200" s="2"/>
      <c r="AA200" s="2"/>
      <c r="AB200" s="2"/>
    </row>
    <row r="201" spans="1:28" s="46" customFormat="1">
      <c r="A201" s="36">
        <f t="shared" si="32"/>
        <v>197</v>
      </c>
      <c r="B201" s="104" t="s">
        <v>769</v>
      </c>
      <c r="C201" s="105" t="s">
        <v>770</v>
      </c>
      <c r="D201" s="106" t="s">
        <v>771</v>
      </c>
      <c r="E201" s="41">
        <v>42972</v>
      </c>
      <c r="F201" s="107">
        <f>7498200+187455+22314345</f>
        <v>30000000</v>
      </c>
      <c r="G201" s="33">
        <f t="shared" si="29"/>
        <v>42984000</v>
      </c>
      <c r="H201" s="126">
        <v>834000</v>
      </c>
      <c r="I201" s="118">
        <f>F201*1.2%</f>
        <v>360000</v>
      </c>
      <c r="J201" s="36">
        <v>36</v>
      </c>
      <c r="K201" s="110">
        <v>29</v>
      </c>
      <c r="L201" s="30">
        <f t="shared" si="30"/>
        <v>1194000</v>
      </c>
      <c r="M201" s="30">
        <f t="shared" si="31"/>
        <v>34626000</v>
      </c>
      <c r="N201" s="112">
        <f>F201-(H201*7)</f>
        <v>24162000</v>
      </c>
      <c r="O201" s="34" t="s">
        <v>772</v>
      </c>
      <c r="P201" s="34" t="s">
        <v>31</v>
      </c>
      <c r="Q201" s="111">
        <f t="shared" si="34"/>
        <v>24162000</v>
      </c>
      <c r="R201" s="175">
        <f>+[1]N2!AE224</f>
        <v>24162000</v>
      </c>
      <c r="S201" s="107">
        <f t="shared" si="35"/>
        <v>0</v>
      </c>
      <c r="T201" s="2"/>
      <c r="U201" s="2"/>
      <c r="V201" s="2"/>
      <c r="W201" s="2"/>
      <c r="X201" s="2"/>
      <c r="Y201" s="2"/>
      <c r="Z201" s="2"/>
      <c r="AA201" s="2"/>
      <c r="AB201" s="2"/>
    </row>
    <row r="202" spans="1:28" s="46" customFormat="1">
      <c r="A202" s="36">
        <f t="shared" si="32"/>
        <v>198</v>
      </c>
      <c r="B202" s="104" t="s">
        <v>773</v>
      </c>
      <c r="C202" s="105" t="s">
        <v>774</v>
      </c>
      <c r="D202" s="106" t="s">
        <v>775</v>
      </c>
      <c r="E202" s="41">
        <v>42942</v>
      </c>
      <c r="F202" s="107">
        <f>1164000+29100+6806900</f>
        <v>8000000</v>
      </c>
      <c r="G202" s="33">
        <f t="shared" si="29"/>
        <v>10332000</v>
      </c>
      <c r="H202" s="118">
        <v>334500</v>
      </c>
      <c r="I202" s="107">
        <f>+F202*1.2%</f>
        <v>96000</v>
      </c>
      <c r="J202" s="36">
        <v>24</v>
      </c>
      <c r="K202" s="110">
        <v>16</v>
      </c>
      <c r="L202" s="30">
        <f t="shared" si="30"/>
        <v>430500</v>
      </c>
      <c r="M202" s="30">
        <f t="shared" si="31"/>
        <v>6888000</v>
      </c>
      <c r="N202" s="112">
        <f>F202-(H202*8)</f>
        <v>5324000</v>
      </c>
      <c r="O202" s="34" t="s">
        <v>776</v>
      </c>
      <c r="P202" s="34" t="s">
        <v>31</v>
      </c>
      <c r="Q202" s="111">
        <f t="shared" si="34"/>
        <v>5324000</v>
      </c>
      <c r="R202" s="175">
        <f>+[1]N2!AE225</f>
        <v>5324000</v>
      </c>
      <c r="S202" s="107">
        <f t="shared" si="35"/>
        <v>0</v>
      </c>
      <c r="T202" s="2"/>
      <c r="U202" s="2"/>
      <c r="V202" s="2"/>
      <c r="W202" s="2"/>
      <c r="X202" s="2"/>
      <c r="Y202" s="2"/>
      <c r="Z202" s="2"/>
      <c r="AA202" s="2"/>
      <c r="AB202" s="2"/>
    </row>
    <row r="203" spans="1:28" s="46" customFormat="1">
      <c r="A203" s="36">
        <f t="shared" si="32"/>
        <v>199</v>
      </c>
      <c r="B203" s="104" t="s">
        <v>777</v>
      </c>
      <c r="C203" s="105" t="s">
        <v>778</v>
      </c>
      <c r="D203" s="105" t="s">
        <v>779</v>
      </c>
      <c r="E203" s="41">
        <v>42790</v>
      </c>
      <c r="F203" s="126">
        <f>511445+12786+19475769</f>
        <v>20000000</v>
      </c>
      <c r="G203" s="33">
        <f t="shared" si="29"/>
        <v>28656000</v>
      </c>
      <c r="H203" s="107">
        <f>796000-I203</f>
        <v>556000</v>
      </c>
      <c r="I203" s="107">
        <f>+F203*1.2%</f>
        <v>240000</v>
      </c>
      <c r="J203" s="36">
        <v>36</v>
      </c>
      <c r="K203" s="110">
        <v>23</v>
      </c>
      <c r="L203" s="30">
        <f t="shared" si="30"/>
        <v>796000</v>
      </c>
      <c r="M203" s="30">
        <f t="shared" si="31"/>
        <v>18308000</v>
      </c>
      <c r="N203" s="112">
        <f>F203-(H203*13)</f>
        <v>12772000</v>
      </c>
      <c r="O203" s="34" t="s">
        <v>780</v>
      </c>
      <c r="P203" s="34" t="s">
        <v>31</v>
      </c>
      <c r="Q203" s="111">
        <f t="shared" si="34"/>
        <v>12772000</v>
      </c>
      <c r="R203" s="175">
        <f>+[1]N2!AE226</f>
        <v>12772000</v>
      </c>
      <c r="S203" s="107">
        <f t="shared" si="35"/>
        <v>0</v>
      </c>
      <c r="T203" s="2"/>
      <c r="U203" s="2"/>
      <c r="V203" s="2"/>
      <c r="W203" s="2"/>
      <c r="X203" s="2"/>
      <c r="Y203" s="2"/>
      <c r="Z203" s="2"/>
      <c r="AA203" s="2"/>
      <c r="AB203" s="2"/>
    </row>
    <row r="204" spans="1:28" s="46" customFormat="1">
      <c r="A204" s="36">
        <f t="shared" si="32"/>
        <v>200</v>
      </c>
      <c r="B204" s="104" t="s">
        <v>781</v>
      </c>
      <c r="C204" s="105" t="s">
        <v>782</v>
      </c>
      <c r="D204" s="28" t="s">
        <v>783</v>
      </c>
      <c r="E204" s="41">
        <v>42775</v>
      </c>
      <c r="F204" s="107">
        <f>6667200+166680+209862+22956258</f>
        <v>30000000</v>
      </c>
      <c r="G204" s="33">
        <f t="shared" si="29"/>
        <v>42984000</v>
      </c>
      <c r="H204" s="107">
        <f>1194000-I204</f>
        <v>834000</v>
      </c>
      <c r="I204" s="107">
        <f>+F204*1.2%</f>
        <v>360000</v>
      </c>
      <c r="J204" s="36">
        <v>36</v>
      </c>
      <c r="K204" s="110">
        <v>22</v>
      </c>
      <c r="L204" s="30">
        <f t="shared" si="30"/>
        <v>1194000</v>
      </c>
      <c r="M204" s="30">
        <f t="shared" si="31"/>
        <v>26268000</v>
      </c>
      <c r="N204" s="112">
        <f>F204-(H204*14)</f>
        <v>18324000</v>
      </c>
      <c r="O204" s="34" t="s">
        <v>784</v>
      </c>
      <c r="P204" s="34" t="s">
        <v>31</v>
      </c>
      <c r="Q204" s="111">
        <f t="shared" si="34"/>
        <v>18324000</v>
      </c>
      <c r="R204" s="175">
        <f>+[1]N2!AE227</f>
        <v>18324000</v>
      </c>
      <c r="S204" s="107">
        <f t="shared" si="35"/>
        <v>0</v>
      </c>
      <c r="T204" s="2"/>
      <c r="U204" s="2"/>
      <c r="V204" s="2"/>
      <c r="W204" s="2"/>
      <c r="X204" s="2"/>
      <c r="Y204" s="2"/>
      <c r="Z204" s="2"/>
      <c r="AA204" s="2"/>
      <c r="AB204" s="2"/>
    </row>
    <row r="205" spans="1:28" s="46" customFormat="1">
      <c r="A205" s="36">
        <f t="shared" si="32"/>
        <v>201</v>
      </c>
      <c r="B205" s="107" t="s">
        <v>785</v>
      </c>
      <c r="C205" s="119" t="s">
        <v>786</v>
      </c>
      <c r="D205" s="119"/>
      <c r="E205" s="41">
        <v>42501</v>
      </c>
      <c r="F205" s="108">
        <f>7311600+182790+391489+20000000</f>
        <v>27885879</v>
      </c>
      <c r="G205" s="108">
        <f t="shared" si="29"/>
        <v>35918400</v>
      </c>
      <c r="H205" s="107">
        <f>1496600-I205</f>
        <v>1161969</v>
      </c>
      <c r="I205" s="108">
        <v>334631</v>
      </c>
      <c r="J205" s="120" t="s">
        <v>72</v>
      </c>
      <c r="K205" s="110">
        <v>1</v>
      </c>
      <c r="L205" s="107">
        <f t="shared" si="30"/>
        <v>1496600</v>
      </c>
      <c r="M205" s="107">
        <f t="shared" si="31"/>
        <v>1496600</v>
      </c>
      <c r="N205" s="179">
        <f>F205-(H205*23)</f>
        <v>1160592</v>
      </c>
      <c r="O205" s="117" t="s">
        <v>787</v>
      </c>
      <c r="P205" s="117" t="s">
        <v>93</v>
      </c>
      <c r="Q205" s="111">
        <f t="shared" si="34"/>
        <v>1160592</v>
      </c>
      <c r="R205" s="175">
        <f>+[1]N2!AE228</f>
        <v>1160592</v>
      </c>
      <c r="S205" s="107">
        <f t="shared" si="35"/>
        <v>0</v>
      </c>
      <c r="T205" s="2"/>
      <c r="U205" s="2"/>
      <c r="V205" s="2"/>
      <c r="W205" s="2"/>
      <c r="X205" s="2"/>
      <c r="Y205" s="2"/>
      <c r="Z205" s="2"/>
      <c r="AA205" s="2"/>
      <c r="AB205" s="2"/>
    </row>
    <row r="206" spans="1:28" s="46" customFormat="1">
      <c r="A206" s="36">
        <f t="shared" si="32"/>
        <v>202</v>
      </c>
      <c r="B206" s="104" t="s">
        <v>788</v>
      </c>
      <c r="C206" s="105" t="s">
        <v>789</v>
      </c>
      <c r="D206" s="106" t="s">
        <v>790</v>
      </c>
      <c r="E206" s="28">
        <v>43130</v>
      </c>
      <c r="F206" s="107">
        <f>15000000</f>
        <v>15000000</v>
      </c>
      <c r="G206" s="33">
        <f t="shared" si="29"/>
        <v>17160000</v>
      </c>
      <c r="H206" s="118">
        <f>+F206/J206</f>
        <v>1250000</v>
      </c>
      <c r="I206" s="118">
        <f t="shared" ref="I206:I217" si="36">+F206*1.2%</f>
        <v>180000</v>
      </c>
      <c r="J206" s="36">
        <v>12</v>
      </c>
      <c r="K206" s="110">
        <v>10</v>
      </c>
      <c r="L206" s="30">
        <f t="shared" si="30"/>
        <v>1430000</v>
      </c>
      <c r="M206" s="30">
        <f t="shared" si="31"/>
        <v>14300000</v>
      </c>
      <c r="N206" s="33">
        <f>+H206*K206</f>
        <v>12500000</v>
      </c>
      <c r="O206" s="34" t="s">
        <v>695</v>
      </c>
      <c r="P206" s="34" t="s">
        <v>36</v>
      </c>
      <c r="Q206" s="111">
        <f t="shared" si="34"/>
        <v>12500000</v>
      </c>
      <c r="R206" s="175">
        <f>+[1]N2!AE229</f>
        <v>12500000</v>
      </c>
      <c r="S206" s="107">
        <f t="shared" si="35"/>
        <v>0</v>
      </c>
      <c r="T206" s="2"/>
      <c r="U206" s="2"/>
      <c r="V206" s="2"/>
      <c r="W206" s="2"/>
      <c r="X206" s="2"/>
      <c r="Y206" s="2"/>
      <c r="Z206" s="2"/>
      <c r="AA206" s="2"/>
      <c r="AB206" s="2"/>
    </row>
    <row r="207" spans="1:28" s="46" customFormat="1">
      <c r="A207" s="36">
        <f t="shared" si="32"/>
        <v>203</v>
      </c>
      <c r="B207" s="104" t="s">
        <v>791</v>
      </c>
      <c r="C207" s="105" t="s">
        <v>792</v>
      </c>
      <c r="D207" s="28" t="s">
        <v>793</v>
      </c>
      <c r="E207" s="41">
        <v>42790</v>
      </c>
      <c r="F207" s="107">
        <f>16664000+416600+12919400</f>
        <v>30000000</v>
      </c>
      <c r="G207" s="33">
        <f t="shared" si="29"/>
        <v>42984000</v>
      </c>
      <c r="H207" s="107">
        <f>1194000-I207</f>
        <v>834000</v>
      </c>
      <c r="I207" s="107">
        <f t="shared" si="36"/>
        <v>360000</v>
      </c>
      <c r="J207" s="36">
        <v>36</v>
      </c>
      <c r="K207" s="110">
        <v>23</v>
      </c>
      <c r="L207" s="30">
        <f t="shared" si="30"/>
        <v>1194000</v>
      </c>
      <c r="M207" s="30">
        <f t="shared" si="31"/>
        <v>27462000</v>
      </c>
      <c r="N207" s="112">
        <f>F207-(H207*13)</f>
        <v>19158000</v>
      </c>
      <c r="O207" s="34" t="s">
        <v>114</v>
      </c>
      <c r="P207" s="34" t="s">
        <v>31</v>
      </c>
      <c r="Q207" s="111">
        <f t="shared" si="34"/>
        <v>19158000</v>
      </c>
      <c r="R207" s="175">
        <f>+[1]N2!AE230</f>
        <v>19158000</v>
      </c>
      <c r="S207" s="107">
        <f t="shared" si="35"/>
        <v>0</v>
      </c>
      <c r="T207" s="2"/>
      <c r="U207" s="2"/>
      <c r="V207" s="2"/>
      <c r="W207" s="2"/>
      <c r="X207" s="2"/>
      <c r="Y207" s="2"/>
      <c r="Z207" s="2"/>
      <c r="AA207" s="2"/>
      <c r="AB207" s="2"/>
    </row>
    <row r="208" spans="1:28" s="46" customFormat="1">
      <c r="A208" s="36">
        <f t="shared" si="32"/>
        <v>204</v>
      </c>
      <c r="B208" s="104" t="s">
        <v>794</v>
      </c>
      <c r="C208" s="105" t="s">
        <v>795</v>
      </c>
      <c r="D208" s="106" t="s">
        <v>796</v>
      </c>
      <c r="E208" s="41">
        <v>42853</v>
      </c>
      <c r="F208" s="107">
        <f>6664800+166620+23168580</f>
        <v>30000000</v>
      </c>
      <c r="G208" s="33">
        <f t="shared" si="29"/>
        <v>43002000</v>
      </c>
      <c r="H208" s="107">
        <f>1194500-I208</f>
        <v>834500</v>
      </c>
      <c r="I208" s="107">
        <f t="shared" si="36"/>
        <v>360000</v>
      </c>
      <c r="J208" s="36">
        <v>36</v>
      </c>
      <c r="K208" s="110">
        <v>25</v>
      </c>
      <c r="L208" s="30">
        <f t="shared" si="30"/>
        <v>1194500</v>
      </c>
      <c r="M208" s="30">
        <f t="shared" si="31"/>
        <v>29862500</v>
      </c>
      <c r="N208" s="112">
        <f>F208-(H208*11)</f>
        <v>20820500</v>
      </c>
      <c r="O208" s="34" t="s">
        <v>47</v>
      </c>
      <c r="P208" s="34" t="s">
        <v>31</v>
      </c>
      <c r="Q208" s="111">
        <f t="shared" si="34"/>
        <v>20820500</v>
      </c>
      <c r="R208" s="175">
        <f>+[1]N2!AE231</f>
        <v>20820500</v>
      </c>
      <c r="S208" s="107">
        <f t="shared" si="35"/>
        <v>0</v>
      </c>
      <c r="T208" s="2"/>
      <c r="U208" s="2"/>
      <c r="V208" s="2"/>
      <c r="W208" s="2"/>
      <c r="X208" s="2"/>
      <c r="Y208" s="2"/>
      <c r="Z208" s="2"/>
      <c r="AA208" s="2"/>
      <c r="AB208" s="2"/>
    </row>
    <row r="209" spans="1:28" s="46" customFormat="1">
      <c r="A209" s="36">
        <f t="shared" si="32"/>
        <v>205</v>
      </c>
      <c r="B209" s="107" t="s">
        <v>797</v>
      </c>
      <c r="C209" s="119" t="s">
        <v>798</v>
      </c>
      <c r="D209" s="28" t="s">
        <v>799</v>
      </c>
      <c r="E209" s="41">
        <v>42710</v>
      </c>
      <c r="F209" s="108">
        <f>19998000+499950+153290+9348760</f>
        <v>30000000</v>
      </c>
      <c r="G209" s="33">
        <f t="shared" si="29"/>
        <v>42984000</v>
      </c>
      <c r="H209" s="107">
        <f>1194000-I209</f>
        <v>834000</v>
      </c>
      <c r="I209" s="107">
        <f t="shared" si="36"/>
        <v>360000</v>
      </c>
      <c r="J209" s="120" t="s">
        <v>82</v>
      </c>
      <c r="K209" s="110">
        <v>20</v>
      </c>
      <c r="L209" s="30">
        <f t="shared" si="30"/>
        <v>1194000</v>
      </c>
      <c r="M209" s="107">
        <f t="shared" si="31"/>
        <v>23880000</v>
      </c>
      <c r="N209" s="112">
        <f>F209-(H209*16)</f>
        <v>16656000</v>
      </c>
      <c r="O209" s="117" t="s">
        <v>800</v>
      </c>
      <c r="P209" s="34" t="s">
        <v>93</v>
      </c>
      <c r="Q209" s="111">
        <f t="shared" si="34"/>
        <v>16656000</v>
      </c>
      <c r="R209" s="175">
        <f>+[1]N2!AE232</f>
        <v>16656000</v>
      </c>
      <c r="S209" s="107">
        <f t="shared" si="35"/>
        <v>0</v>
      </c>
      <c r="T209" s="2"/>
      <c r="U209" s="2"/>
      <c r="V209" s="2"/>
      <c r="W209" s="2"/>
      <c r="X209" s="2"/>
      <c r="Y209" s="2"/>
      <c r="Z209" s="2"/>
      <c r="AA209" s="2"/>
      <c r="AB209" s="2"/>
    </row>
    <row r="210" spans="1:28" s="46" customFormat="1">
      <c r="A210" s="36">
        <f t="shared" si="32"/>
        <v>206</v>
      </c>
      <c r="B210" s="104" t="s">
        <v>801</v>
      </c>
      <c r="C210" s="105" t="s">
        <v>802</v>
      </c>
      <c r="D210" s="105" t="s">
        <v>803</v>
      </c>
      <c r="E210" s="41">
        <v>42747</v>
      </c>
      <c r="F210" s="126">
        <f>19164500+479113+267097+10089290</f>
        <v>30000000</v>
      </c>
      <c r="G210" s="33">
        <f t="shared" si="29"/>
        <v>42984000</v>
      </c>
      <c r="H210" s="107">
        <v>834000</v>
      </c>
      <c r="I210" s="107">
        <f t="shared" si="36"/>
        <v>360000</v>
      </c>
      <c r="J210" s="36">
        <v>36</v>
      </c>
      <c r="K210" s="110">
        <v>21</v>
      </c>
      <c r="L210" s="30">
        <f t="shared" si="30"/>
        <v>1194000</v>
      </c>
      <c r="M210" s="30">
        <f t="shared" si="31"/>
        <v>25074000</v>
      </c>
      <c r="N210" s="112">
        <f>F210-(H210*15)</f>
        <v>17490000</v>
      </c>
      <c r="O210" s="34" t="s">
        <v>415</v>
      </c>
      <c r="P210" s="34" t="s">
        <v>431</v>
      </c>
      <c r="Q210" s="111">
        <f t="shared" si="34"/>
        <v>17490000</v>
      </c>
      <c r="R210" s="175">
        <f>+[1]N2!AE233</f>
        <v>17490000</v>
      </c>
      <c r="S210" s="107">
        <f t="shared" si="35"/>
        <v>0</v>
      </c>
      <c r="T210" s="2"/>
      <c r="U210" s="2"/>
      <c r="V210" s="2"/>
      <c r="W210" s="2"/>
      <c r="X210" s="2"/>
      <c r="Y210" s="2"/>
      <c r="Z210" s="2"/>
      <c r="AA210" s="2"/>
      <c r="AB210" s="2"/>
    </row>
    <row r="211" spans="1:28" s="46" customFormat="1">
      <c r="A211" s="36">
        <f t="shared" si="32"/>
        <v>207</v>
      </c>
      <c r="B211" s="104" t="s">
        <v>804</v>
      </c>
      <c r="C211" s="105" t="s">
        <v>805</v>
      </c>
      <c r="D211" s="28" t="s">
        <v>806</v>
      </c>
      <c r="E211" s="41">
        <v>42790</v>
      </c>
      <c r="F211" s="107">
        <f>16664000+416600+12919400</f>
        <v>30000000</v>
      </c>
      <c r="G211" s="33">
        <f t="shared" si="29"/>
        <v>42984000</v>
      </c>
      <c r="H211" s="107">
        <f>1194000-I211</f>
        <v>834000</v>
      </c>
      <c r="I211" s="107">
        <f t="shared" si="36"/>
        <v>360000</v>
      </c>
      <c r="J211" s="36">
        <v>36</v>
      </c>
      <c r="K211" s="110">
        <v>23</v>
      </c>
      <c r="L211" s="30">
        <f t="shared" si="30"/>
        <v>1194000</v>
      </c>
      <c r="M211" s="30">
        <f t="shared" si="31"/>
        <v>27462000</v>
      </c>
      <c r="N211" s="112">
        <f>F211-(H211*13)</f>
        <v>19158000</v>
      </c>
      <c r="O211" s="34" t="s">
        <v>807</v>
      </c>
      <c r="P211" s="34" t="s">
        <v>31</v>
      </c>
      <c r="Q211" s="111">
        <f t="shared" si="34"/>
        <v>19158000</v>
      </c>
      <c r="R211" s="175">
        <f>+[1]N2!AE234</f>
        <v>19158000</v>
      </c>
      <c r="S211" s="107">
        <f t="shared" si="35"/>
        <v>0</v>
      </c>
      <c r="T211" s="2"/>
      <c r="U211" s="2"/>
      <c r="V211" s="2"/>
      <c r="W211" s="2"/>
      <c r="X211" s="2"/>
      <c r="Y211" s="2"/>
      <c r="Z211" s="2"/>
      <c r="AA211" s="2"/>
      <c r="AB211" s="2"/>
    </row>
    <row r="212" spans="1:28" s="46" customFormat="1">
      <c r="A212" s="36">
        <f t="shared" si="32"/>
        <v>208</v>
      </c>
      <c r="B212" s="104" t="s">
        <v>808</v>
      </c>
      <c r="C212" s="105" t="s">
        <v>809</v>
      </c>
      <c r="D212" s="28" t="s">
        <v>810</v>
      </c>
      <c r="E212" s="28">
        <v>43133</v>
      </c>
      <c r="F212" s="107">
        <f>30000000</f>
        <v>30000000</v>
      </c>
      <c r="G212" s="33">
        <f t="shared" si="29"/>
        <v>37200000</v>
      </c>
      <c r="H212" s="118">
        <f>+F212/J212</f>
        <v>1500000</v>
      </c>
      <c r="I212" s="118">
        <f t="shared" si="36"/>
        <v>360000</v>
      </c>
      <c r="J212" s="36">
        <v>20</v>
      </c>
      <c r="K212" s="110">
        <v>18</v>
      </c>
      <c r="L212" s="30">
        <f t="shared" si="30"/>
        <v>1860000</v>
      </c>
      <c r="M212" s="30">
        <f t="shared" si="31"/>
        <v>33480000</v>
      </c>
      <c r="N212" s="33">
        <f>+H212*K212</f>
        <v>27000000</v>
      </c>
      <c r="O212" s="34" t="s">
        <v>52</v>
      </c>
      <c r="P212" s="34" t="s">
        <v>145</v>
      </c>
      <c r="Q212" s="111">
        <f t="shared" si="34"/>
        <v>27000000</v>
      </c>
      <c r="R212" s="175">
        <f>+[1]N2!AE235</f>
        <v>27000000</v>
      </c>
      <c r="S212" s="107">
        <f t="shared" si="35"/>
        <v>0</v>
      </c>
      <c r="T212" s="2"/>
      <c r="U212" s="2"/>
      <c r="V212" s="2"/>
      <c r="W212" s="2"/>
      <c r="X212" s="2"/>
      <c r="Y212" s="2"/>
      <c r="Z212" s="2"/>
      <c r="AA212" s="2"/>
      <c r="AB212" s="2"/>
    </row>
    <row r="213" spans="1:28" s="46" customFormat="1">
      <c r="A213" s="36">
        <f t="shared" si="32"/>
        <v>209</v>
      </c>
      <c r="B213" s="104" t="s">
        <v>811</v>
      </c>
      <c r="C213" s="105" t="s">
        <v>812</v>
      </c>
      <c r="D213" s="106" t="s">
        <v>813</v>
      </c>
      <c r="E213" s="28">
        <v>43154</v>
      </c>
      <c r="F213" s="107">
        <f>6662000+166550+23171450</f>
        <v>30000000</v>
      </c>
      <c r="G213" s="33">
        <f t="shared" si="29"/>
        <v>42984000</v>
      </c>
      <c r="H213" s="118">
        <f>1194000-I213</f>
        <v>834000</v>
      </c>
      <c r="I213" s="118">
        <f t="shared" si="36"/>
        <v>360000</v>
      </c>
      <c r="J213" s="36">
        <v>36</v>
      </c>
      <c r="K213" s="110">
        <v>35</v>
      </c>
      <c r="L213" s="30">
        <f t="shared" si="30"/>
        <v>1194000</v>
      </c>
      <c r="M213" s="30">
        <f t="shared" si="31"/>
        <v>41790000</v>
      </c>
      <c r="N213" s="38">
        <f>F213-(H213*1)</f>
        <v>29166000</v>
      </c>
      <c r="O213" s="34" t="s">
        <v>20</v>
      </c>
      <c r="P213" s="34" t="s">
        <v>93</v>
      </c>
      <c r="Q213" s="111">
        <f t="shared" si="34"/>
        <v>29166000</v>
      </c>
      <c r="R213" s="175">
        <f>+[1]N2!AE236</f>
        <v>29166000</v>
      </c>
      <c r="S213" s="107">
        <f t="shared" si="35"/>
        <v>0</v>
      </c>
      <c r="T213" s="2"/>
      <c r="U213" s="2"/>
      <c r="V213" s="2"/>
      <c r="W213" s="2"/>
      <c r="X213" s="2"/>
      <c r="Y213" s="2"/>
      <c r="Z213" s="2"/>
      <c r="AA213" s="2"/>
      <c r="AB213" s="2"/>
    </row>
    <row r="214" spans="1:28" s="46" customFormat="1">
      <c r="A214" s="36">
        <f t="shared" si="32"/>
        <v>210</v>
      </c>
      <c r="B214" s="104" t="s">
        <v>814</v>
      </c>
      <c r="C214" s="105" t="s">
        <v>815</v>
      </c>
      <c r="D214" s="28" t="s">
        <v>816</v>
      </c>
      <c r="E214" s="41">
        <v>42761</v>
      </c>
      <c r="F214" s="107">
        <f>15000000</f>
        <v>15000000</v>
      </c>
      <c r="G214" s="33">
        <f t="shared" si="29"/>
        <v>19320000</v>
      </c>
      <c r="H214" s="107">
        <f>+F214/J214</f>
        <v>625000</v>
      </c>
      <c r="I214" s="107">
        <f t="shared" si="36"/>
        <v>180000</v>
      </c>
      <c r="J214" s="36">
        <v>24</v>
      </c>
      <c r="K214" s="110">
        <v>10</v>
      </c>
      <c r="L214" s="30">
        <f t="shared" si="30"/>
        <v>805000</v>
      </c>
      <c r="M214" s="30">
        <f t="shared" si="31"/>
        <v>8050000</v>
      </c>
      <c r="N214" s="33">
        <f>+H214*K214</f>
        <v>6250000</v>
      </c>
      <c r="O214" s="34" t="s">
        <v>730</v>
      </c>
      <c r="P214" s="34" t="s">
        <v>36</v>
      </c>
      <c r="Q214" s="111">
        <f t="shared" si="34"/>
        <v>6250000</v>
      </c>
      <c r="R214" s="175">
        <f>+[1]N2!AE237</f>
        <v>6250000</v>
      </c>
      <c r="S214" s="107">
        <f t="shared" si="35"/>
        <v>0</v>
      </c>
      <c r="T214" s="2"/>
      <c r="U214" s="2"/>
      <c r="V214" s="2"/>
      <c r="W214" s="2"/>
      <c r="X214" s="2"/>
      <c r="Y214" s="2"/>
      <c r="Z214" s="2"/>
      <c r="AA214" s="2"/>
      <c r="AB214" s="2"/>
    </row>
    <row r="215" spans="1:28" s="46" customFormat="1">
      <c r="A215" s="36">
        <f t="shared" si="32"/>
        <v>211</v>
      </c>
      <c r="B215" s="104" t="s">
        <v>817</v>
      </c>
      <c r="C215" s="105" t="s">
        <v>818</v>
      </c>
      <c r="D215" s="106" t="s">
        <v>819</v>
      </c>
      <c r="E215" s="41">
        <v>42950</v>
      </c>
      <c r="F215" s="107">
        <f>22494000+562350+162581+6781069</f>
        <v>30000000</v>
      </c>
      <c r="G215" s="33">
        <f t="shared" si="29"/>
        <v>43002000</v>
      </c>
      <c r="H215" s="126">
        <v>834500</v>
      </c>
      <c r="I215" s="107">
        <f t="shared" si="36"/>
        <v>360000</v>
      </c>
      <c r="J215" s="36">
        <v>36</v>
      </c>
      <c r="K215" s="110">
        <v>28</v>
      </c>
      <c r="L215" s="30">
        <f t="shared" si="30"/>
        <v>1194500</v>
      </c>
      <c r="M215" s="30">
        <f t="shared" si="31"/>
        <v>33446000</v>
      </c>
      <c r="N215" s="112">
        <f>F215-(H215*8)</f>
        <v>23324000</v>
      </c>
      <c r="O215" s="34" t="s">
        <v>820</v>
      </c>
      <c r="P215" s="34" t="s">
        <v>31</v>
      </c>
      <c r="Q215" s="111">
        <f t="shared" si="34"/>
        <v>23324000</v>
      </c>
      <c r="R215" s="175">
        <f>+[1]N2!AE238</f>
        <v>23324000</v>
      </c>
      <c r="S215" s="107">
        <f t="shared" si="35"/>
        <v>0</v>
      </c>
      <c r="T215" s="2"/>
      <c r="U215" s="2"/>
      <c r="V215" s="2"/>
      <c r="W215" s="2"/>
      <c r="X215" s="2"/>
      <c r="Y215" s="2"/>
      <c r="Z215" s="2"/>
      <c r="AA215" s="2"/>
      <c r="AB215" s="2"/>
    </row>
    <row r="216" spans="1:28" s="46" customFormat="1">
      <c r="A216" s="36">
        <f t="shared" si="32"/>
        <v>212</v>
      </c>
      <c r="B216" s="107" t="s">
        <v>821</v>
      </c>
      <c r="C216" s="119" t="s">
        <v>822</v>
      </c>
      <c r="D216" s="119"/>
      <c r="E216" s="41">
        <v>42639</v>
      </c>
      <c r="F216" s="108">
        <f>30000000</f>
        <v>30000000</v>
      </c>
      <c r="G216" s="111">
        <f t="shared" si="29"/>
        <v>38640000</v>
      </c>
      <c r="H216" s="107">
        <f>+F216/J216</f>
        <v>1250000</v>
      </c>
      <c r="I216" s="108">
        <f t="shared" si="36"/>
        <v>360000</v>
      </c>
      <c r="J216" s="120" t="s">
        <v>72</v>
      </c>
      <c r="K216" s="110">
        <v>6</v>
      </c>
      <c r="L216" s="30">
        <f t="shared" si="30"/>
        <v>1610000</v>
      </c>
      <c r="M216" s="107">
        <f t="shared" si="31"/>
        <v>9660000</v>
      </c>
      <c r="N216" s="107">
        <f>+H216*K216</f>
        <v>7500000</v>
      </c>
      <c r="O216" s="117" t="s">
        <v>823</v>
      </c>
      <c r="P216" s="117" t="s">
        <v>31</v>
      </c>
      <c r="Q216" s="111">
        <f t="shared" si="34"/>
        <v>7500000</v>
      </c>
      <c r="R216" s="175">
        <f>+[1]N2!AE239</f>
        <v>7500000</v>
      </c>
      <c r="S216" s="107">
        <f t="shared" si="35"/>
        <v>0</v>
      </c>
      <c r="T216" s="2"/>
      <c r="U216" s="2"/>
      <c r="V216" s="2"/>
      <c r="W216" s="2"/>
      <c r="X216" s="2"/>
      <c r="Y216" s="2"/>
      <c r="Z216" s="2"/>
      <c r="AA216" s="2"/>
      <c r="AB216" s="2"/>
    </row>
    <row r="217" spans="1:28" s="46" customFormat="1">
      <c r="A217" s="36">
        <f t="shared" si="32"/>
        <v>213</v>
      </c>
      <c r="B217" s="104" t="s">
        <v>824</v>
      </c>
      <c r="C217" s="105" t="s">
        <v>825</v>
      </c>
      <c r="D217" s="28" t="s">
        <v>826</v>
      </c>
      <c r="E217" s="41">
        <v>42850</v>
      </c>
      <c r="F217" s="107">
        <f>9998400+249960+19751640</f>
        <v>30000000</v>
      </c>
      <c r="G217" s="33">
        <f t="shared" si="29"/>
        <v>43002000</v>
      </c>
      <c r="H217" s="107">
        <f>1194500-I217</f>
        <v>834500</v>
      </c>
      <c r="I217" s="107">
        <f t="shared" si="36"/>
        <v>360000</v>
      </c>
      <c r="J217" s="36">
        <v>36</v>
      </c>
      <c r="K217" s="110">
        <v>25</v>
      </c>
      <c r="L217" s="30">
        <f t="shared" si="30"/>
        <v>1194500</v>
      </c>
      <c r="M217" s="30">
        <f t="shared" si="31"/>
        <v>29862500</v>
      </c>
      <c r="N217" s="112">
        <f>F217-(H217*11)</f>
        <v>20820500</v>
      </c>
      <c r="O217" s="34" t="s">
        <v>665</v>
      </c>
      <c r="P217" s="34" t="s">
        <v>31</v>
      </c>
      <c r="Q217" s="111">
        <f t="shared" si="34"/>
        <v>20820500</v>
      </c>
      <c r="R217" s="175">
        <f>+[1]N2!AE240</f>
        <v>20820500</v>
      </c>
      <c r="S217" s="107">
        <f t="shared" si="35"/>
        <v>0</v>
      </c>
      <c r="T217" s="2"/>
      <c r="U217" s="2"/>
      <c r="V217" s="2"/>
      <c r="W217" s="2"/>
      <c r="X217" s="2"/>
      <c r="Y217" s="2"/>
      <c r="Z217" s="2"/>
      <c r="AA217" s="2"/>
      <c r="AB217" s="2"/>
    </row>
    <row r="218" spans="1:28" s="46" customFormat="1">
      <c r="A218" s="36">
        <f t="shared" si="32"/>
        <v>214</v>
      </c>
      <c r="B218" s="104" t="s">
        <v>827</v>
      </c>
      <c r="C218" s="105" t="s">
        <v>828</v>
      </c>
      <c r="D218" s="106" t="s">
        <v>829</v>
      </c>
      <c r="E218" s="41">
        <v>42927</v>
      </c>
      <c r="F218" s="107">
        <f>17497500+437438+234968+4000000</f>
        <v>22169906</v>
      </c>
      <c r="G218" s="33">
        <f t="shared" si="29"/>
        <v>26973000</v>
      </c>
      <c r="H218" s="107">
        <v>1232461</v>
      </c>
      <c r="I218" s="107">
        <v>266039</v>
      </c>
      <c r="J218" s="36">
        <v>18</v>
      </c>
      <c r="K218" s="110">
        <v>9</v>
      </c>
      <c r="L218" s="30">
        <f t="shared" si="30"/>
        <v>1498500</v>
      </c>
      <c r="M218" s="30">
        <f t="shared" si="31"/>
        <v>13486500</v>
      </c>
      <c r="N218" s="112">
        <f>F218-(H218*9)</f>
        <v>11077757</v>
      </c>
      <c r="O218" s="34" t="s">
        <v>830</v>
      </c>
      <c r="P218" s="34" t="s">
        <v>31</v>
      </c>
      <c r="Q218" s="111">
        <f t="shared" si="34"/>
        <v>11077757</v>
      </c>
      <c r="R218" s="175">
        <f>+[1]N2!AE241</f>
        <v>11077757</v>
      </c>
      <c r="S218" s="107">
        <f t="shared" si="35"/>
        <v>0</v>
      </c>
      <c r="T218" s="2"/>
      <c r="U218" s="2"/>
      <c r="V218" s="2"/>
      <c r="W218" s="2"/>
      <c r="X218" s="2"/>
      <c r="Y218" s="2"/>
      <c r="Z218" s="2"/>
      <c r="AA218" s="2"/>
      <c r="AB218" s="2"/>
    </row>
    <row r="219" spans="1:28" s="46" customFormat="1">
      <c r="A219" s="36">
        <f t="shared" si="32"/>
        <v>215</v>
      </c>
      <c r="B219" s="104" t="s">
        <v>831</v>
      </c>
      <c r="C219" s="105" t="s">
        <v>832</v>
      </c>
      <c r="D219" s="106" t="s">
        <v>833</v>
      </c>
      <c r="E219" s="41">
        <v>42930</v>
      </c>
      <c r="F219" s="107">
        <f>3606000+90150+187613+26116237</f>
        <v>30000000</v>
      </c>
      <c r="G219" s="33">
        <f t="shared" si="29"/>
        <v>18400000</v>
      </c>
      <c r="H219" s="126">
        <f>800000-I219</f>
        <v>440000</v>
      </c>
      <c r="I219" s="107">
        <f>+F219*1.2%</f>
        <v>360000</v>
      </c>
      <c r="J219" s="36">
        <v>23</v>
      </c>
      <c r="K219" s="110">
        <v>14</v>
      </c>
      <c r="L219" s="30">
        <f t="shared" si="30"/>
        <v>800000</v>
      </c>
      <c r="M219" s="30">
        <f t="shared" si="31"/>
        <v>11200000</v>
      </c>
      <c r="N219" s="112">
        <f>F219-(H219*9)</f>
        <v>26040000</v>
      </c>
      <c r="O219" s="34" t="s">
        <v>834</v>
      </c>
      <c r="P219" s="34" t="s">
        <v>31</v>
      </c>
      <c r="Q219" s="111">
        <f t="shared" si="34"/>
        <v>26040000</v>
      </c>
      <c r="R219" s="175">
        <f>+[1]N2!AE242</f>
        <v>26040000</v>
      </c>
      <c r="S219" s="107">
        <f t="shared" si="35"/>
        <v>0</v>
      </c>
      <c r="T219" s="2"/>
      <c r="U219" s="2"/>
      <c r="V219" s="2"/>
      <c r="W219" s="2"/>
      <c r="X219" s="2"/>
      <c r="Y219" s="2"/>
      <c r="Z219" s="2"/>
      <c r="AA219" s="2"/>
      <c r="AB219" s="2"/>
    </row>
    <row r="220" spans="1:28" s="46" customFormat="1">
      <c r="A220" s="36">
        <f t="shared" si="32"/>
        <v>216</v>
      </c>
      <c r="B220" s="104" t="s">
        <v>835</v>
      </c>
      <c r="C220" s="105" t="s">
        <v>836</v>
      </c>
      <c r="D220" s="106" t="s">
        <v>837</v>
      </c>
      <c r="E220" s="41">
        <v>42972</v>
      </c>
      <c r="F220" s="107">
        <f>20000000</f>
        <v>20000000</v>
      </c>
      <c r="G220" s="33">
        <f t="shared" si="29"/>
        <v>11760000</v>
      </c>
      <c r="H220" s="126">
        <f>250000</f>
        <v>250000</v>
      </c>
      <c r="I220" s="118">
        <f>F220*1.2%</f>
        <v>240000</v>
      </c>
      <c r="J220" s="36">
        <v>24</v>
      </c>
      <c r="K220" s="110">
        <v>17</v>
      </c>
      <c r="L220" s="30">
        <f t="shared" si="30"/>
        <v>490000</v>
      </c>
      <c r="M220" s="30">
        <f t="shared" si="31"/>
        <v>8330000</v>
      </c>
      <c r="N220" s="112">
        <f>F220-(H220*7)</f>
        <v>18250000</v>
      </c>
      <c r="O220" s="34" t="s">
        <v>683</v>
      </c>
      <c r="P220" s="34" t="s">
        <v>36</v>
      </c>
      <c r="Q220" s="111">
        <f t="shared" si="34"/>
        <v>18250000</v>
      </c>
      <c r="R220" s="175">
        <f>+[1]N2!AE243</f>
        <v>18250000</v>
      </c>
      <c r="S220" s="107">
        <f t="shared" si="35"/>
        <v>0</v>
      </c>
      <c r="T220" s="2"/>
      <c r="U220" s="2"/>
      <c r="V220" s="2"/>
      <c r="W220" s="2"/>
      <c r="X220" s="2"/>
      <c r="Y220" s="2"/>
      <c r="Z220" s="2"/>
      <c r="AA220" s="2"/>
      <c r="AB220" s="2"/>
    </row>
    <row r="221" spans="1:28" s="46" customFormat="1">
      <c r="A221" s="36">
        <f t="shared" si="32"/>
        <v>217</v>
      </c>
      <c r="B221" s="107" t="s">
        <v>838</v>
      </c>
      <c r="C221" s="119" t="s">
        <v>839</v>
      </c>
      <c r="D221" s="106" t="s">
        <v>840</v>
      </c>
      <c r="E221" s="41">
        <v>42881</v>
      </c>
      <c r="F221" s="126">
        <f>18375000+459375+11165625</f>
        <v>30000000</v>
      </c>
      <c r="G221" s="33">
        <f t="shared" si="29"/>
        <v>43002000</v>
      </c>
      <c r="H221" s="107">
        <v>834500</v>
      </c>
      <c r="I221" s="107">
        <f t="shared" ref="I221:I228" si="37">+F221*1.2%</f>
        <v>360000</v>
      </c>
      <c r="J221" s="36">
        <v>36</v>
      </c>
      <c r="K221" s="110">
        <v>26</v>
      </c>
      <c r="L221" s="181">
        <f t="shared" si="30"/>
        <v>1194500</v>
      </c>
      <c r="M221" s="30">
        <f t="shared" si="31"/>
        <v>31057000</v>
      </c>
      <c r="N221" s="112">
        <f>F221-(H221*10)</f>
        <v>21655000</v>
      </c>
      <c r="O221" s="34" t="s">
        <v>306</v>
      </c>
      <c r="P221" s="34" t="s">
        <v>31</v>
      </c>
      <c r="Q221" s="111">
        <f t="shared" si="34"/>
        <v>21655000</v>
      </c>
      <c r="R221" s="175">
        <f>+[1]N2!AE244</f>
        <v>21655000</v>
      </c>
      <c r="S221" s="107">
        <f t="shared" si="35"/>
        <v>0</v>
      </c>
      <c r="T221" s="2"/>
      <c r="U221" s="2"/>
      <c r="V221" s="2"/>
      <c r="W221" s="2"/>
      <c r="X221" s="2"/>
      <c r="Y221" s="2"/>
      <c r="Z221" s="2"/>
      <c r="AA221" s="2"/>
      <c r="AB221" s="2"/>
    </row>
    <row r="222" spans="1:28" s="46" customFormat="1">
      <c r="A222" s="36">
        <f t="shared" si="32"/>
        <v>218</v>
      </c>
      <c r="B222" s="107" t="s">
        <v>841</v>
      </c>
      <c r="C222" s="119" t="s">
        <v>842</v>
      </c>
      <c r="D222" s="119"/>
      <c r="E222" s="41">
        <v>42223</v>
      </c>
      <c r="F222" s="108">
        <f>12000+19988000</f>
        <v>20000000</v>
      </c>
      <c r="G222" s="176">
        <f t="shared" si="29"/>
        <v>28641600</v>
      </c>
      <c r="H222" s="107">
        <v>555600</v>
      </c>
      <c r="I222" s="108">
        <f t="shared" si="37"/>
        <v>240000</v>
      </c>
      <c r="J222" s="120" t="s">
        <v>82</v>
      </c>
      <c r="K222" s="110">
        <v>4</v>
      </c>
      <c r="L222" s="107">
        <f t="shared" si="30"/>
        <v>795600</v>
      </c>
      <c r="M222" s="107">
        <f t="shared" si="31"/>
        <v>3182400</v>
      </c>
      <c r="N222" s="179">
        <f>F222-(H222*32)</f>
        <v>2220800</v>
      </c>
      <c r="O222" s="117" t="s">
        <v>522</v>
      </c>
      <c r="P222" s="117" t="s">
        <v>73</v>
      </c>
      <c r="Q222" s="111">
        <f t="shared" si="34"/>
        <v>2220800</v>
      </c>
      <c r="R222" s="175">
        <f>+[1]N2!AE245</f>
        <v>2220800</v>
      </c>
      <c r="S222" s="107">
        <f t="shared" si="35"/>
        <v>0</v>
      </c>
      <c r="T222" s="2"/>
      <c r="U222" s="2"/>
      <c r="V222" s="2"/>
      <c r="W222" s="2"/>
      <c r="X222" s="2"/>
      <c r="Y222" s="2"/>
      <c r="Z222" s="2"/>
      <c r="AA222" s="2"/>
      <c r="AB222" s="2"/>
    </row>
    <row r="223" spans="1:28" s="46" customFormat="1">
      <c r="A223" s="36">
        <f t="shared" si="32"/>
        <v>219</v>
      </c>
      <c r="B223" s="107" t="s">
        <v>843</v>
      </c>
      <c r="C223" s="119" t="s">
        <v>844</v>
      </c>
      <c r="D223" s="119"/>
      <c r="E223" s="41">
        <v>42241</v>
      </c>
      <c r="F223" s="108">
        <f>416670+10418+19572912</f>
        <v>20000000</v>
      </c>
      <c r="G223" s="176">
        <f t="shared" si="29"/>
        <v>28641600</v>
      </c>
      <c r="H223" s="107">
        <v>555600</v>
      </c>
      <c r="I223" s="108">
        <f t="shared" si="37"/>
        <v>240000</v>
      </c>
      <c r="J223" s="120" t="s">
        <v>82</v>
      </c>
      <c r="K223" s="110">
        <v>5</v>
      </c>
      <c r="L223" s="107">
        <f t="shared" si="30"/>
        <v>795600</v>
      </c>
      <c r="M223" s="107">
        <f t="shared" si="31"/>
        <v>3978000</v>
      </c>
      <c r="N223" s="179">
        <f>F223-(H223*31)</f>
        <v>2776400</v>
      </c>
      <c r="O223" s="117" t="s">
        <v>845</v>
      </c>
      <c r="P223" s="117" t="s">
        <v>31</v>
      </c>
      <c r="Q223" s="111">
        <f t="shared" si="34"/>
        <v>2776400</v>
      </c>
      <c r="R223" s="175">
        <f>+[1]N2!AE246</f>
        <v>2776400</v>
      </c>
      <c r="S223" s="107">
        <f t="shared" si="35"/>
        <v>0</v>
      </c>
      <c r="T223" s="2"/>
      <c r="U223" s="2"/>
      <c r="V223" s="2"/>
      <c r="W223" s="2"/>
      <c r="X223" s="2"/>
      <c r="Y223" s="2"/>
      <c r="Z223" s="2"/>
      <c r="AA223" s="2"/>
      <c r="AB223" s="2"/>
    </row>
    <row r="224" spans="1:28" s="46" customFormat="1">
      <c r="A224" s="36">
        <f t="shared" si="32"/>
        <v>220</v>
      </c>
      <c r="B224" s="104" t="s">
        <v>846</v>
      </c>
      <c r="C224" s="105" t="s">
        <v>847</v>
      </c>
      <c r="D224" s="106" t="s">
        <v>848</v>
      </c>
      <c r="E224" s="28">
        <v>43097</v>
      </c>
      <c r="F224" s="107">
        <f>30000000</f>
        <v>30000000</v>
      </c>
      <c r="G224" s="33">
        <f t="shared" si="29"/>
        <v>42984000</v>
      </c>
      <c r="H224" s="118">
        <v>834000</v>
      </c>
      <c r="I224" s="118">
        <f t="shared" si="37"/>
        <v>360000</v>
      </c>
      <c r="J224" s="36">
        <v>36</v>
      </c>
      <c r="K224" s="110">
        <v>33</v>
      </c>
      <c r="L224" s="30">
        <f t="shared" si="30"/>
        <v>1194000</v>
      </c>
      <c r="M224" s="30">
        <f t="shared" si="31"/>
        <v>39402000</v>
      </c>
      <c r="N224" s="38">
        <f>F224-(H224*3)</f>
        <v>27498000</v>
      </c>
      <c r="O224" s="34" t="s">
        <v>79</v>
      </c>
      <c r="P224" s="34" t="s">
        <v>36</v>
      </c>
      <c r="Q224" s="111">
        <f t="shared" si="34"/>
        <v>27498000</v>
      </c>
      <c r="R224" s="175">
        <f>+[1]N2!AE247</f>
        <v>27498000</v>
      </c>
      <c r="S224" s="107">
        <f t="shared" si="35"/>
        <v>0</v>
      </c>
      <c r="T224" s="2"/>
      <c r="U224" s="2"/>
      <c r="V224" s="2"/>
      <c r="W224" s="2"/>
      <c r="X224" s="2"/>
      <c r="Y224" s="2"/>
      <c r="Z224" s="2"/>
      <c r="AA224" s="2"/>
      <c r="AB224" s="2"/>
    </row>
    <row r="225" spans="1:28" s="46" customFormat="1">
      <c r="A225" s="36">
        <f t="shared" si="32"/>
        <v>221</v>
      </c>
      <c r="B225" s="104" t="s">
        <v>849</v>
      </c>
      <c r="C225" s="105" t="s">
        <v>850</v>
      </c>
      <c r="D225" s="106" t="s">
        <v>851</v>
      </c>
      <c r="E225" s="28">
        <v>43087</v>
      </c>
      <c r="F225" s="107">
        <v>20000000</v>
      </c>
      <c r="G225" s="33">
        <f t="shared" si="29"/>
        <v>27210000</v>
      </c>
      <c r="H225" s="118">
        <f>907000-I225</f>
        <v>667000</v>
      </c>
      <c r="I225" s="118">
        <f t="shared" si="37"/>
        <v>240000</v>
      </c>
      <c r="J225" s="36">
        <v>30</v>
      </c>
      <c r="K225" s="110">
        <v>27</v>
      </c>
      <c r="L225" s="30">
        <f t="shared" si="30"/>
        <v>907000</v>
      </c>
      <c r="M225" s="30">
        <f t="shared" si="31"/>
        <v>24489000</v>
      </c>
      <c r="N225" s="38">
        <f>F225-(H225*3)</f>
        <v>17999000</v>
      </c>
      <c r="O225" s="34" t="s">
        <v>852</v>
      </c>
      <c r="P225" s="34" t="s">
        <v>36</v>
      </c>
      <c r="Q225" s="111">
        <f t="shared" si="34"/>
        <v>17999000</v>
      </c>
      <c r="R225" s="175">
        <f>+[1]N2!AE248</f>
        <v>17999000</v>
      </c>
      <c r="S225" s="107">
        <f t="shared" si="35"/>
        <v>0</v>
      </c>
      <c r="T225" s="2"/>
      <c r="U225" s="2"/>
      <c r="V225" s="2"/>
      <c r="W225" s="2"/>
      <c r="X225" s="2"/>
      <c r="Y225" s="2"/>
      <c r="Z225" s="2"/>
      <c r="AA225" s="2"/>
      <c r="AB225" s="2"/>
    </row>
    <row r="226" spans="1:28" s="46" customFormat="1">
      <c r="A226" s="36">
        <f t="shared" si="32"/>
        <v>222</v>
      </c>
      <c r="B226" s="104" t="s">
        <v>853</v>
      </c>
      <c r="C226" s="105" t="s">
        <v>854</v>
      </c>
      <c r="D226" s="106" t="s">
        <v>855</v>
      </c>
      <c r="E226" s="41">
        <v>42965</v>
      </c>
      <c r="F226" s="107">
        <f>3331200+83280+290323+26295197</f>
        <v>30000000</v>
      </c>
      <c r="G226" s="33">
        <f t="shared" si="29"/>
        <v>38640000</v>
      </c>
      <c r="H226" s="107">
        <f>+F226/J226</f>
        <v>1250000</v>
      </c>
      <c r="I226" s="107">
        <f t="shared" si="37"/>
        <v>360000</v>
      </c>
      <c r="J226" s="36">
        <v>24</v>
      </c>
      <c r="K226" s="110">
        <v>16</v>
      </c>
      <c r="L226" s="30">
        <f t="shared" si="30"/>
        <v>1610000</v>
      </c>
      <c r="M226" s="30">
        <f t="shared" si="31"/>
        <v>25760000</v>
      </c>
      <c r="N226" s="33">
        <f>+H226*K226</f>
        <v>20000000</v>
      </c>
      <c r="O226" s="34" t="s">
        <v>856</v>
      </c>
      <c r="P226" s="34" t="s">
        <v>31</v>
      </c>
      <c r="Q226" s="111">
        <f t="shared" si="34"/>
        <v>20000000</v>
      </c>
      <c r="R226" s="175">
        <f>+[1]N2!AE249</f>
        <v>20000000</v>
      </c>
      <c r="S226" s="107">
        <f t="shared" si="35"/>
        <v>0</v>
      </c>
      <c r="T226" s="2"/>
      <c r="U226" s="2"/>
      <c r="V226" s="2"/>
      <c r="W226" s="2"/>
      <c r="X226" s="2"/>
      <c r="Y226" s="2"/>
      <c r="Z226" s="2"/>
      <c r="AA226" s="2"/>
      <c r="AB226" s="2"/>
    </row>
    <row r="227" spans="1:28" s="46" customFormat="1">
      <c r="A227" s="36">
        <f t="shared" si="32"/>
        <v>223</v>
      </c>
      <c r="B227" s="104" t="s">
        <v>857</v>
      </c>
      <c r="C227" s="105" t="s">
        <v>858</v>
      </c>
      <c r="D227" s="106" t="s">
        <v>859</v>
      </c>
      <c r="E227" s="28">
        <v>43144</v>
      </c>
      <c r="F227" s="107">
        <f>15000000</f>
        <v>15000000</v>
      </c>
      <c r="G227" s="33">
        <f t="shared" si="29"/>
        <v>19320000</v>
      </c>
      <c r="H227" s="118">
        <f>F227/J227</f>
        <v>625000</v>
      </c>
      <c r="I227" s="118">
        <f t="shared" si="37"/>
        <v>180000</v>
      </c>
      <c r="J227" s="36">
        <v>24</v>
      </c>
      <c r="K227" s="110">
        <v>22</v>
      </c>
      <c r="L227" s="30">
        <f t="shared" si="30"/>
        <v>805000</v>
      </c>
      <c r="M227" s="30">
        <f t="shared" si="31"/>
        <v>17710000</v>
      </c>
      <c r="N227" s="33">
        <f>+H227*K227</f>
        <v>13750000</v>
      </c>
      <c r="O227" s="137" t="s">
        <v>860</v>
      </c>
      <c r="P227" s="137" t="s">
        <v>145</v>
      </c>
      <c r="Q227" s="111">
        <f t="shared" si="34"/>
        <v>13750000</v>
      </c>
      <c r="R227" s="175">
        <f>+[1]N2!AE250</f>
        <v>13750000</v>
      </c>
      <c r="S227" s="107">
        <f t="shared" si="35"/>
        <v>0</v>
      </c>
      <c r="T227" s="2"/>
      <c r="U227" s="2"/>
      <c r="V227" s="2"/>
      <c r="W227" s="2"/>
      <c r="X227" s="2"/>
      <c r="Y227" s="2"/>
      <c r="Z227" s="2"/>
      <c r="AA227" s="2"/>
      <c r="AB227" s="2"/>
    </row>
    <row r="228" spans="1:28" s="46" customFormat="1">
      <c r="A228" s="36">
        <f t="shared" si="32"/>
        <v>224</v>
      </c>
      <c r="B228" s="104" t="s">
        <v>861</v>
      </c>
      <c r="C228" s="105" t="s">
        <v>862</v>
      </c>
      <c r="D228" s="28" t="s">
        <v>863</v>
      </c>
      <c r="E228" s="41">
        <v>42796</v>
      </c>
      <c r="F228" s="107">
        <f>30000000</f>
        <v>30000000</v>
      </c>
      <c r="G228" s="33">
        <f t="shared" si="29"/>
        <v>38640000</v>
      </c>
      <c r="H228" s="107">
        <f>+F228/J228</f>
        <v>1250000</v>
      </c>
      <c r="I228" s="107">
        <f t="shared" si="37"/>
        <v>360000</v>
      </c>
      <c r="J228" s="36">
        <v>24</v>
      </c>
      <c r="K228" s="110">
        <v>11</v>
      </c>
      <c r="L228" s="30">
        <f t="shared" si="30"/>
        <v>1610000</v>
      </c>
      <c r="M228" s="30">
        <f t="shared" si="31"/>
        <v>17710000</v>
      </c>
      <c r="N228" s="33">
        <f>+H228*K228</f>
        <v>13750000</v>
      </c>
      <c r="O228" s="34" t="s">
        <v>141</v>
      </c>
      <c r="P228" s="34" t="s">
        <v>36</v>
      </c>
      <c r="Q228" s="111">
        <f t="shared" si="34"/>
        <v>13750000</v>
      </c>
      <c r="R228" s="175">
        <f>+[1]N2!AE251</f>
        <v>13750000</v>
      </c>
      <c r="S228" s="107">
        <f t="shared" si="35"/>
        <v>0</v>
      </c>
      <c r="T228" s="2"/>
      <c r="U228" s="2"/>
      <c r="V228" s="2"/>
      <c r="W228" s="2"/>
      <c r="X228" s="2"/>
      <c r="Y228" s="2"/>
      <c r="Z228" s="2"/>
      <c r="AA228" s="2"/>
      <c r="AB228" s="2"/>
    </row>
    <row r="229" spans="1:28" s="46" customFormat="1">
      <c r="A229" s="36">
        <f t="shared" si="32"/>
        <v>225</v>
      </c>
      <c r="B229" s="104" t="s">
        <v>864</v>
      </c>
      <c r="C229" s="105" t="s">
        <v>865</v>
      </c>
      <c r="D229" s="106" t="s">
        <v>866</v>
      </c>
      <c r="E229" s="41">
        <v>43003</v>
      </c>
      <c r="F229" s="107">
        <f>3610600+90265+11299135</f>
        <v>15000000</v>
      </c>
      <c r="G229" s="33">
        <f t="shared" si="29"/>
        <v>21492000</v>
      </c>
      <c r="H229" s="118">
        <f>597000-I229</f>
        <v>417000</v>
      </c>
      <c r="I229" s="118">
        <f>F229*1.2%</f>
        <v>180000</v>
      </c>
      <c r="J229" s="36">
        <v>36</v>
      </c>
      <c r="K229" s="110">
        <v>30</v>
      </c>
      <c r="L229" s="30">
        <f t="shared" si="30"/>
        <v>597000</v>
      </c>
      <c r="M229" s="30">
        <f t="shared" si="31"/>
        <v>17910000</v>
      </c>
      <c r="N229" s="112">
        <f>F229-(H229*6)</f>
        <v>12498000</v>
      </c>
      <c r="O229" s="34" t="s">
        <v>191</v>
      </c>
      <c r="P229" s="34" t="s">
        <v>75</v>
      </c>
      <c r="Q229" s="111">
        <f t="shared" si="34"/>
        <v>12498000</v>
      </c>
      <c r="R229" s="175">
        <f>+[1]N2!AE252</f>
        <v>12498000</v>
      </c>
      <c r="S229" s="107">
        <f t="shared" si="35"/>
        <v>0</v>
      </c>
      <c r="T229" s="2"/>
      <c r="U229" s="2"/>
      <c r="V229" s="2"/>
      <c r="W229" s="2"/>
      <c r="X229" s="2"/>
      <c r="Y229" s="2"/>
      <c r="Z229" s="2"/>
      <c r="AA229" s="2"/>
      <c r="AB229" s="2"/>
    </row>
    <row r="230" spans="1:28" s="46" customFormat="1">
      <c r="A230" s="36">
        <f t="shared" si="32"/>
        <v>226</v>
      </c>
      <c r="B230" s="104" t="s">
        <v>867</v>
      </c>
      <c r="C230" s="105" t="s">
        <v>868</v>
      </c>
      <c r="D230" s="106" t="s">
        <v>869</v>
      </c>
      <c r="E230" s="41">
        <v>42926</v>
      </c>
      <c r="F230" s="107">
        <f>1666700+41668+200129+23091503</f>
        <v>25000000</v>
      </c>
      <c r="G230" s="33">
        <f t="shared" si="29"/>
        <v>35838000</v>
      </c>
      <c r="H230" s="131">
        <f>995500-I230</f>
        <v>695500</v>
      </c>
      <c r="I230" s="107">
        <f>+F230*1.2%</f>
        <v>300000</v>
      </c>
      <c r="J230" s="36">
        <v>36</v>
      </c>
      <c r="K230" s="110">
        <v>27</v>
      </c>
      <c r="L230" s="30">
        <f t="shared" si="30"/>
        <v>995500</v>
      </c>
      <c r="M230" s="30">
        <f t="shared" si="31"/>
        <v>26878500</v>
      </c>
      <c r="N230" s="112">
        <f>F230-(H230*9)</f>
        <v>18740500</v>
      </c>
      <c r="O230" s="34" t="s">
        <v>20</v>
      </c>
      <c r="P230" s="34" t="s">
        <v>31</v>
      </c>
      <c r="Q230" s="111">
        <f t="shared" si="34"/>
        <v>18740500</v>
      </c>
      <c r="R230" s="175">
        <f>+[1]N2!AE253</f>
        <v>18740500</v>
      </c>
      <c r="S230" s="107">
        <f t="shared" si="35"/>
        <v>0</v>
      </c>
      <c r="T230" s="2"/>
      <c r="U230" s="2"/>
      <c r="V230" s="2"/>
      <c r="W230" s="2"/>
      <c r="X230" s="2"/>
      <c r="Y230" s="2"/>
      <c r="Z230" s="2"/>
      <c r="AA230" s="2"/>
      <c r="AB230" s="2"/>
    </row>
    <row r="231" spans="1:28" s="46" customFormat="1">
      <c r="A231" s="36">
        <f t="shared" si="32"/>
        <v>227</v>
      </c>
      <c r="B231" s="104" t="s">
        <v>870</v>
      </c>
      <c r="C231" s="105" t="s">
        <v>871</v>
      </c>
      <c r="D231" s="106" t="s">
        <v>872</v>
      </c>
      <c r="E231" s="41">
        <v>42951</v>
      </c>
      <c r="F231" s="107">
        <f>30000000</f>
        <v>30000000</v>
      </c>
      <c r="G231" s="33">
        <f t="shared" si="29"/>
        <v>43002000</v>
      </c>
      <c r="H231" s="126">
        <v>834500</v>
      </c>
      <c r="I231" s="107">
        <f>+F231*1.2%</f>
        <v>360000</v>
      </c>
      <c r="J231" s="36">
        <v>36</v>
      </c>
      <c r="K231" s="110">
        <v>28</v>
      </c>
      <c r="L231" s="30">
        <f t="shared" si="30"/>
        <v>1194500</v>
      </c>
      <c r="M231" s="30">
        <f t="shared" si="31"/>
        <v>33446000</v>
      </c>
      <c r="N231" s="112">
        <f>F231-(H231*8)</f>
        <v>23324000</v>
      </c>
      <c r="O231" s="34" t="s">
        <v>105</v>
      </c>
      <c r="P231" s="34" t="s">
        <v>36</v>
      </c>
      <c r="Q231" s="111">
        <f t="shared" si="34"/>
        <v>23324000</v>
      </c>
      <c r="R231" s="175">
        <f>+[1]N2!AE254</f>
        <v>23324000</v>
      </c>
      <c r="S231" s="107">
        <f t="shared" si="35"/>
        <v>0</v>
      </c>
      <c r="T231" s="2"/>
      <c r="U231" s="2"/>
      <c r="V231" s="2"/>
      <c r="W231" s="2"/>
      <c r="X231" s="2"/>
      <c r="Y231" s="2"/>
      <c r="Z231" s="2"/>
      <c r="AA231" s="2"/>
      <c r="AB231" s="2"/>
    </row>
    <row r="232" spans="1:28" s="46" customFormat="1">
      <c r="A232" s="36">
        <f t="shared" si="32"/>
        <v>228</v>
      </c>
      <c r="B232" s="107" t="s">
        <v>873</v>
      </c>
      <c r="C232" s="119" t="s">
        <v>874</v>
      </c>
      <c r="D232" s="119"/>
      <c r="E232" s="125">
        <v>42382</v>
      </c>
      <c r="F232" s="108">
        <f>19999200+499980+232258+9268562</f>
        <v>30000000</v>
      </c>
      <c r="G232" s="176">
        <f t="shared" si="29"/>
        <v>42966000</v>
      </c>
      <c r="H232" s="107">
        <v>833500</v>
      </c>
      <c r="I232" s="108">
        <f>+F232*1.2%</f>
        <v>360000</v>
      </c>
      <c r="J232" s="120" t="s">
        <v>82</v>
      </c>
      <c r="K232" s="110">
        <v>9</v>
      </c>
      <c r="L232" s="107">
        <f t="shared" si="30"/>
        <v>1193500</v>
      </c>
      <c r="M232" s="107">
        <f t="shared" si="31"/>
        <v>10741500</v>
      </c>
      <c r="N232" s="180">
        <f>F232-(H232*27)</f>
        <v>7495500</v>
      </c>
      <c r="O232" s="117" t="s">
        <v>875</v>
      </c>
      <c r="P232" s="117" t="s">
        <v>225</v>
      </c>
      <c r="Q232" s="111">
        <f t="shared" si="34"/>
        <v>7495500</v>
      </c>
      <c r="R232" s="175">
        <f>+[1]N2!AE255</f>
        <v>7495500</v>
      </c>
      <c r="S232" s="107">
        <f t="shared" si="35"/>
        <v>0</v>
      </c>
      <c r="T232" s="2"/>
      <c r="U232" s="2"/>
      <c r="V232" s="2"/>
      <c r="W232" s="2"/>
      <c r="X232" s="2"/>
      <c r="Y232" s="2"/>
      <c r="Z232" s="2"/>
      <c r="AA232" s="2"/>
      <c r="AB232" s="2"/>
    </row>
    <row r="233" spans="1:28" s="46" customFormat="1">
      <c r="A233" s="36">
        <f t="shared" si="32"/>
        <v>229</v>
      </c>
      <c r="B233" s="104" t="s">
        <v>876</v>
      </c>
      <c r="C233" s="105" t="s">
        <v>877</v>
      </c>
      <c r="D233" s="106" t="s">
        <v>878</v>
      </c>
      <c r="E233" s="41">
        <v>43005</v>
      </c>
      <c r="F233" s="107">
        <f>30000000</f>
        <v>30000000</v>
      </c>
      <c r="G233" s="33">
        <f t="shared" si="29"/>
        <v>34320000</v>
      </c>
      <c r="H233" s="126">
        <f>+F233/J233</f>
        <v>2500000</v>
      </c>
      <c r="I233" s="118">
        <f>F233*1.2%</f>
        <v>360000</v>
      </c>
      <c r="J233" s="36">
        <v>12</v>
      </c>
      <c r="K233" s="110">
        <v>6</v>
      </c>
      <c r="L233" s="30">
        <f t="shared" si="30"/>
        <v>2860000</v>
      </c>
      <c r="M233" s="30">
        <f t="shared" si="31"/>
        <v>17160000</v>
      </c>
      <c r="N233" s="33">
        <f>+H233*K233</f>
        <v>15000000</v>
      </c>
      <c r="O233" s="34" t="s">
        <v>879</v>
      </c>
      <c r="P233" s="34" t="s">
        <v>36</v>
      </c>
      <c r="Q233" s="111">
        <f t="shared" si="34"/>
        <v>15000000</v>
      </c>
      <c r="R233" s="175">
        <f>+[1]N2!AE256</f>
        <v>15000000</v>
      </c>
      <c r="S233" s="107">
        <f t="shared" si="35"/>
        <v>0</v>
      </c>
      <c r="T233" s="2"/>
      <c r="U233" s="2"/>
      <c r="V233" s="2"/>
      <c r="W233" s="2"/>
      <c r="X233" s="2"/>
      <c r="Y233" s="2"/>
      <c r="Z233" s="2"/>
      <c r="AA233" s="2"/>
      <c r="AB233" s="2"/>
    </row>
    <row r="234" spans="1:28" s="46" customFormat="1">
      <c r="A234" s="36">
        <f t="shared" si="32"/>
        <v>230</v>
      </c>
      <c r="B234" s="107" t="s">
        <v>880</v>
      </c>
      <c r="C234" s="119" t="s">
        <v>881</v>
      </c>
      <c r="D234" s="119" t="s">
        <v>882</v>
      </c>
      <c r="E234" s="41">
        <v>42704</v>
      </c>
      <c r="F234" s="108">
        <f>10831800+270795+18897405</f>
        <v>30000000</v>
      </c>
      <c r="G234" s="33">
        <f t="shared" si="29"/>
        <v>42984000</v>
      </c>
      <c r="H234" s="107">
        <v>834000</v>
      </c>
      <c r="I234" s="107">
        <f>+F234*1.2%</f>
        <v>360000</v>
      </c>
      <c r="J234" s="120" t="s">
        <v>82</v>
      </c>
      <c r="K234" s="110">
        <v>20</v>
      </c>
      <c r="L234" s="30">
        <f t="shared" si="30"/>
        <v>1194000</v>
      </c>
      <c r="M234" s="107">
        <f t="shared" si="31"/>
        <v>23880000</v>
      </c>
      <c r="N234" s="112">
        <f>F234-(H234*16)</f>
        <v>16656000</v>
      </c>
      <c r="O234" s="117" t="s">
        <v>241</v>
      </c>
      <c r="P234" s="117" t="s">
        <v>93</v>
      </c>
      <c r="Q234" s="111">
        <f t="shared" si="34"/>
        <v>16656000</v>
      </c>
      <c r="R234" s="175">
        <f>+[1]N2!AE257</f>
        <v>16656000</v>
      </c>
      <c r="S234" s="107">
        <f t="shared" si="35"/>
        <v>0</v>
      </c>
      <c r="T234" s="2"/>
      <c r="U234" s="2"/>
      <c r="V234" s="2"/>
      <c r="W234" s="2"/>
      <c r="X234" s="2"/>
      <c r="Y234" s="2"/>
      <c r="Z234" s="2"/>
      <c r="AA234" s="2"/>
      <c r="AB234" s="2"/>
    </row>
    <row r="235" spans="1:28" s="46" customFormat="1">
      <c r="A235" s="36">
        <f t="shared" si="32"/>
        <v>231</v>
      </c>
      <c r="B235" s="104" t="s">
        <v>883</v>
      </c>
      <c r="C235" s="105" t="s">
        <v>884</v>
      </c>
      <c r="D235" s="106" t="s">
        <v>885</v>
      </c>
      <c r="E235" s="41">
        <v>43034</v>
      </c>
      <c r="F235" s="107">
        <f>1761500+163000+48113+3027387</f>
        <v>5000000</v>
      </c>
      <c r="G235" s="33">
        <f t="shared" si="29"/>
        <v>6456000</v>
      </c>
      <c r="H235" s="118">
        <v>209000</v>
      </c>
      <c r="I235" s="118">
        <f>+F235*1.2%</f>
        <v>60000</v>
      </c>
      <c r="J235" s="36">
        <v>24</v>
      </c>
      <c r="K235" s="110">
        <v>19</v>
      </c>
      <c r="L235" s="30">
        <f t="shared" si="30"/>
        <v>269000</v>
      </c>
      <c r="M235" s="30">
        <f t="shared" si="31"/>
        <v>5111000</v>
      </c>
      <c r="N235" s="38">
        <f>F235-(H235*5)</f>
        <v>3955000</v>
      </c>
      <c r="O235" s="34" t="s">
        <v>886</v>
      </c>
      <c r="P235" s="34" t="s">
        <v>31</v>
      </c>
      <c r="Q235" s="111">
        <f t="shared" si="34"/>
        <v>3955000</v>
      </c>
      <c r="R235" s="175">
        <f>+[1]N2!AE258</f>
        <v>3955000</v>
      </c>
      <c r="S235" s="107">
        <f t="shared" si="35"/>
        <v>0</v>
      </c>
      <c r="T235" s="2"/>
      <c r="U235" s="2"/>
      <c r="V235" s="2"/>
      <c r="W235" s="2"/>
      <c r="X235" s="2"/>
      <c r="Y235" s="2"/>
      <c r="Z235" s="2"/>
      <c r="AA235" s="2"/>
      <c r="AB235" s="2"/>
    </row>
    <row r="236" spans="1:28" s="46" customFormat="1">
      <c r="A236" s="36">
        <f t="shared" si="32"/>
        <v>232</v>
      </c>
      <c r="B236" s="104" t="s">
        <v>887</v>
      </c>
      <c r="C236" s="105" t="s">
        <v>888</v>
      </c>
      <c r="D236" s="106" t="s">
        <v>889</v>
      </c>
      <c r="E236" s="41">
        <v>42985</v>
      </c>
      <c r="F236" s="107">
        <f>20000000</f>
        <v>20000000</v>
      </c>
      <c r="G236" s="33">
        <f t="shared" si="29"/>
        <v>25776000</v>
      </c>
      <c r="H236" s="126">
        <f>1074000-I236</f>
        <v>834000</v>
      </c>
      <c r="I236" s="118">
        <f>F236*1.2%</f>
        <v>240000</v>
      </c>
      <c r="J236" s="36">
        <v>24</v>
      </c>
      <c r="K236" s="110">
        <v>17</v>
      </c>
      <c r="L236" s="30">
        <f t="shared" si="30"/>
        <v>1074000</v>
      </c>
      <c r="M236" s="30">
        <f t="shared" si="31"/>
        <v>18258000</v>
      </c>
      <c r="N236" s="112">
        <f>F236-(H236*7)</f>
        <v>14162000</v>
      </c>
      <c r="O236" s="34" t="s">
        <v>735</v>
      </c>
      <c r="P236" s="34" t="s">
        <v>36</v>
      </c>
      <c r="Q236" s="111">
        <f t="shared" si="34"/>
        <v>14162000</v>
      </c>
      <c r="R236" s="175">
        <f>+[1]N2!AE259</f>
        <v>14162000</v>
      </c>
      <c r="S236" s="107">
        <f t="shared" si="35"/>
        <v>0</v>
      </c>
      <c r="T236" s="2"/>
      <c r="U236" s="2"/>
      <c r="V236" s="2"/>
      <c r="W236" s="2"/>
      <c r="X236" s="2"/>
      <c r="Y236" s="2"/>
      <c r="Z236" s="2"/>
      <c r="AA236" s="2"/>
      <c r="AB236" s="2"/>
    </row>
    <row r="237" spans="1:28" s="46" customFormat="1">
      <c r="A237" s="36">
        <f t="shared" si="32"/>
        <v>233</v>
      </c>
      <c r="B237" s="104" t="s">
        <v>890</v>
      </c>
      <c r="C237" s="105" t="s">
        <v>891</v>
      </c>
      <c r="D237" s="28" t="s">
        <v>892</v>
      </c>
      <c r="E237" s="41">
        <v>42986</v>
      </c>
      <c r="F237" s="107">
        <f>10000000</f>
        <v>10000000</v>
      </c>
      <c r="G237" s="33">
        <f t="shared" si="29"/>
        <v>11200000</v>
      </c>
      <c r="H237" s="126">
        <f>+F237/J237</f>
        <v>1000000</v>
      </c>
      <c r="I237" s="118">
        <f>F237*1.2%</f>
        <v>120000</v>
      </c>
      <c r="J237" s="36">
        <v>10</v>
      </c>
      <c r="K237" s="110">
        <v>3</v>
      </c>
      <c r="L237" s="30">
        <f t="shared" si="30"/>
        <v>1120000</v>
      </c>
      <c r="M237" s="30">
        <f t="shared" si="31"/>
        <v>3360000</v>
      </c>
      <c r="N237" s="33">
        <f>+H237*K237</f>
        <v>3000000</v>
      </c>
      <c r="O237" s="34" t="s">
        <v>893</v>
      </c>
      <c r="P237" s="34" t="s">
        <v>145</v>
      </c>
      <c r="Q237" s="111">
        <f t="shared" si="34"/>
        <v>3000000</v>
      </c>
      <c r="R237" s="175">
        <f>+[1]N2!AE260</f>
        <v>3000000</v>
      </c>
      <c r="S237" s="107">
        <f t="shared" si="35"/>
        <v>0</v>
      </c>
      <c r="T237" s="2"/>
      <c r="U237" s="2"/>
      <c r="V237" s="2"/>
      <c r="W237" s="2"/>
      <c r="X237" s="2"/>
      <c r="Y237" s="2"/>
      <c r="Z237" s="2"/>
      <c r="AA237" s="2"/>
      <c r="AB237" s="2"/>
    </row>
    <row r="238" spans="1:28" s="46" customFormat="1">
      <c r="A238" s="36">
        <f t="shared" si="32"/>
        <v>234</v>
      </c>
      <c r="B238" s="104" t="s">
        <v>894</v>
      </c>
      <c r="C238" s="105" t="s">
        <v>895</v>
      </c>
      <c r="D238" s="106" t="s">
        <v>896</v>
      </c>
      <c r="E238" s="41">
        <v>42950</v>
      </c>
      <c r="F238" s="107">
        <f>23328000+583200+104516+5984284</f>
        <v>30000000</v>
      </c>
      <c r="G238" s="33">
        <f t="shared" si="29"/>
        <v>43002000</v>
      </c>
      <c r="H238" s="126">
        <v>834500</v>
      </c>
      <c r="I238" s="107">
        <f t="shared" ref="I238:I257" si="38">+F238*1.2%</f>
        <v>360000</v>
      </c>
      <c r="J238" s="36">
        <v>36</v>
      </c>
      <c r="K238" s="110">
        <v>28</v>
      </c>
      <c r="L238" s="30">
        <f t="shared" si="30"/>
        <v>1194500</v>
      </c>
      <c r="M238" s="30">
        <f t="shared" si="31"/>
        <v>33446000</v>
      </c>
      <c r="N238" s="112">
        <f>F238-(H238*8)</f>
        <v>23324000</v>
      </c>
      <c r="O238" s="34" t="s">
        <v>823</v>
      </c>
      <c r="P238" s="34" t="s">
        <v>31</v>
      </c>
      <c r="Q238" s="111">
        <f t="shared" si="34"/>
        <v>23324000</v>
      </c>
      <c r="R238" s="175">
        <f>+[1]N2!AE261</f>
        <v>23324000</v>
      </c>
      <c r="S238" s="107">
        <f t="shared" si="35"/>
        <v>0</v>
      </c>
      <c r="T238" s="2"/>
      <c r="U238" s="2"/>
      <c r="V238" s="2"/>
      <c r="W238" s="2"/>
      <c r="X238" s="2"/>
      <c r="Y238" s="2"/>
      <c r="Z238" s="2"/>
      <c r="AA238" s="2"/>
      <c r="AB238" s="2"/>
    </row>
    <row r="239" spans="1:28" s="46" customFormat="1">
      <c r="A239" s="36">
        <f t="shared" si="32"/>
        <v>235</v>
      </c>
      <c r="B239" s="104" t="s">
        <v>897</v>
      </c>
      <c r="C239" s="105" t="s">
        <v>898</v>
      </c>
      <c r="D239" s="106" t="s">
        <v>899</v>
      </c>
      <c r="E239" s="28">
        <v>43084</v>
      </c>
      <c r="F239" s="107">
        <f>6000000</f>
        <v>6000000</v>
      </c>
      <c r="G239" s="33">
        <f t="shared" si="29"/>
        <v>7728000</v>
      </c>
      <c r="H239" s="118">
        <f>+F239/J239</f>
        <v>250000</v>
      </c>
      <c r="I239" s="118">
        <f t="shared" si="38"/>
        <v>72000</v>
      </c>
      <c r="J239" s="36">
        <v>24</v>
      </c>
      <c r="K239" s="110">
        <v>21</v>
      </c>
      <c r="L239" s="30">
        <f t="shared" si="30"/>
        <v>322000</v>
      </c>
      <c r="M239" s="30">
        <f t="shared" si="31"/>
        <v>6762000</v>
      </c>
      <c r="N239" s="33">
        <f>+H239*K239</f>
        <v>5250000</v>
      </c>
      <c r="O239" s="34" t="s">
        <v>900</v>
      </c>
      <c r="P239" s="34" t="s">
        <v>36</v>
      </c>
      <c r="Q239" s="111">
        <f t="shared" si="34"/>
        <v>5250000</v>
      </c>
      <c r="R239" s="175">
        <f>+[1]N2!AE262</f>
        <v>5250000</v>
      </c>
      <c r="S239" s="107">
        <f t="shared" si="35"/>
        <v>0</v>
      </c>
      <c r="T239" s="2"/>
      <c r="U239" s="2"/>
      <c r="V239" s="2"/>
      <c r="W239" s="2"/>
      <c r="X239" s="2"/>
      <c r="Y239" s="2"/>
      <c r="Z239" s="2"/>
      <c r="AA239" s="2"/>
      <c r="AB239" s="2"/>
    </row>
    <row r="240" spans="1:28" s="46" customFormat="1">
      <c r="A240" s="36">
        <f t="shared" si="32"/>
        <v>236</v>
      </c>
      <c r="B240" s="104" t="s">
        <v>901</v>
      </c>
      <c r="C240" s="105" t="s">
        <v>902</v>
      </c>
      <c r="D240" s="106" t="s">
        <v>903</v>
      </c>
      <c r="E240" s="41">
        <v>43033</v>
      </c>
      <c r="F240" s="107">
        <f>20826000+520650+8653350</f>
        <v>30000000</v>
      </c>
      <c r="G240" s="33">
        <f t="shared" si="29"/>
        <v>42984000</v>
      </c>
      <c r="H240" s="118">
        <v>834000</v>
      </c>
      <c r="I240" s="118">
        <f t="shared" si="38"/>
        <v>360000</v>
      </c>
      <c r="J240" s="36">
        <v>36</v>
      </c>
      <c r="K240" s="110">
        <v>31</v>
      </c>
      <c r="L240" s="30">
        <f t="shared" si="30"/>
        <v>1194000</v>
      </c>
      <c r="M240" s="30">
        <f t="shared" si="31"/>
        <v>37014000</v>
      </c>
      <c r="N240" s="38">
        <f>F240-(H240*5)</f>
        <v>25830000</v>
      </c>
      <c r="O240" s="34" t="s">
        <v>249</v>
      </c>
      <c r="P240" s="34" t="s">
        <v>31</v>
      </c>
      <c r="Q240" s="111">
        <f t="shared" si="34"/>
        <v>25830000</v>
      </c>
      <c r="R240" s="175">
        <f>+[1]N2!AE263</f>
        <v>25830000</v>
      </c>
      <c r="S240" s="107">
        <f t="shared" si="35"/>
        <v>0</v>
      </c>
      <c r="T240" s="2"/>
      <c r="U240" s="2"/>
      <c r="V240" s="2"/>
      <c r="W240" s="2"/>
      <c r="X240" s="2"/>
      <c r="Y240" s="2"/>
      <c r="Z240" s="2"/>
      <c r="AA240" s="2"/>
      <c r="AB240" s="2"/>
    </row>
    <row r="241" spans="1:28" s="46" customFormat="1">
      <c r="A241" s="36">
        <f t="shared" si="32"/>
        <v>237</v>
      </c>
      <c r="B241" s="107" t="s">
        <v>904</v>
      </c>
      <c r="C241" s="119" t="s">
        <v>905</v>
      </c>
      <c r="D241" s="119"/>
      <c r="E241" s="41">
        <v>42241</v>
      </c>
      <c r="F241" s="108">
        <f>999800+24995+28975205</f>
        <v>30000000</v>
      </c>
      <c r="G241" s="176">
        <f t="shared" si="29"/>
        <v>42962400</v>
      </c>
      <c r="H241" s="107">
        <v>833400</v>
      </c>
      <c r="I241" s="108">
        <f t="shared" si="38"/>
        <v>360000</v>
      </c>
      <c r="J241" s="120" t="s">
        <v>82</v>
      </c>
      <c r="K241" s="110">
        <v>5</v>
      </c>
      <c r="L241" s="107">
        <f t="shared" si="30"/>
        <v>1193400</v>
      </c>
      <c r="M241" s="107">
        <f t="shared" si="31"/>
        <v>5967000</v>
      </c>
      <c r="N241" s="179">
        <f>F241-(H241*31)</f>
        <v>4164600</v>
      </c>
      <c r="O241" s="117" t="s">
        <v>522</v>
      </c>
      <c r="P241" s="117" t="s">
        <v>31</v>
      </c>
      <c r="Q241" s="111">
        <f t="shared" si="34"/>
        <v>4164600</v>
      </c>
      <c r="R241" s="175">
        <f>+[1]N2!AE264</f>
        <v>4164600</v>
      </c>
      <c r="S241" s="107">
        <f t="shared" si="35"/>
        <v>0</v>
      </c>
      <c r="T241" s="2"/>
      <c r="U241" s="2"/>
      <c r="V241" s="2"/>
      <c r="W241" s="2"/>
      <c r="X241" s="2"/>
      <c r="Y241" s="2"/>
      <c r="Z241" s="2"/>
      <c r="AA241" s="2"/>
      <c r="AB241" s="2"/>
    </row>
    <row r="242" spans="1:28" s="46" customFormat="1">
      <c r="A242" s="36">
        <f t="shared" si="32"/>
        <v>238</v>
      </c>
      <c r="B242" s="104" t="s">
        <v>906</v>
      </c>
      <c r="C242" s="105" t="s">
        <v>907</v>
      </c>
      <c r="D242" s="106" t="s">
        <v>908</v>
      </c>
      <c r="E242" s="41">
        <v>42908</v>
      </c>
      <c r="F242" s="107">
        <f>14998400+374960+14626640</f>
        <v>30000000</v>
      </c>
      <c r="G242" s="33">
        <f t="shared" si="29"/>
        <v>43002000</v>
      </c>
      <c r="H242" s="126">
        <f>1194500-I242</f>
        <v>834500</v>
      </c>
      <c r="I242" s="107">
        <f t="shared" si="38"/>
        <v>360000</v>
      </c>
      <c r="J242" s="36">
        <v>36</v>
      </c>
      <c r="K242" s="110">
        <v>27</v>
      </c>
      <c r="L242" s="30">
        <f t="shared" si="30"/>
        <v>1194500</v>
      </c>
      <c r="M242" s="30">
        <f t="shared" si="31"/>
        <v>32251500</v>
      </c>
      <c r="N242" s="112">
        <f>F242-(H242*9)</f>
        <v>22489500</v>
      </c>
      <c r="O242" s="34" t="s">
        <v>909</v>
      </c>
      <c r="P242" s="34" t="s">
        <v>31</v>
      </c>
      <c r="Q242" s="111">
        <f t="shared" si="34"/>
        <v>22489500</v>
      </c>
      <c r="R242" s="175">
        <f>+[1]N2!AE265</f>
        <v>22489500</v>
      </c>
      <c r="S242" s="107">
        <f t="shared" si="35"/>
        <v>0</v>
      </c>
      <c r="T242" s="2"/>
      <c r="U242" s="2"/>
      <c r="V242" s="2"/>
      <c r="W242" s="2"/>
      <c r="X242" s="2"/>
      <c r="Y242" s="2"/>
      <c r="Z242" s="2"/>
      <c r="AA242" s="2"/>
      <c r="AB242" s="2"/>
    </row>
    <row r="243" spans="1:28" s="46" customFormat="1">
      <c r="A243" s="36">
        <f t="shared" si="32"/>
        <v>239</v>
      </c>
      <c r="B243" s="104" t="s">
        <v>910</v>
      </c>
      <c r="C243" s="105" t="s">
        <v>911</v>
      </c>
      <c r="D243" s="106" t="s">
        <v>912</v>
      </c>
      <c r="E243" s="41">
        <v>42930</v>
      </c>
      <c r="F243" s="107">
        <f>10831800+270795+246581+18650824</f>
        <v>30000000</v>
      </c>
      <c r="G243" s="33">
        <f t="shared" si="29"/>
        <v>43002000</v>
      </c>
      <c r="H243" s="126">
        <f>1194500-I243</f>
        <v>834500</v>
      </c>
      <c r="I243" s="107">
        <f t="shared" si="38"/>
        <v>360000</v>
      </c>
      <c r="J243" s="36">
        <v>36</v>
      </c>
      <c r="K243" s="110">
        <v>27</v>
      </c>
      <c r="L243" s="30">
        <f t="shared" si="30"/>
        <v>1194500</v>
      </c>
      <c r="M243" s="30">
        <f t="shared" si="31"/>
        <v>32251500</v>
      </c>
      <c r="N243" s="112">
        <f>F243-(H243*9)</f>
        <v>22489500</v>
      </c>
      <c r="O243" s="34" t="s">
        <v>913</v>
      </c>
      <c r="P243" s="34" t="s">
        <v>31</v>
      </c>
      <c r="Q243" s="111">
        <f t="shared" si="34"/>
        <v>22489500</v>
      </c>
      <c r="R243" s="175">
        <f>+[1]N2!AE266</f>
        <v>22489500</v>
      </c>
      <c r="S243" s="107">
        <f t="shared" si="35"/>
        <v>0</v>
      </c>
      <c r="T243" s="2"/>
      <c r="U243" s="2"/>
      <c r="V243" s="2"/>
      <c r="W243" s="2"/>
      <c r="X243" s="2"/>
      <c r="Y243" s="2"/>
      <c r="Z243" s="2"/>
      <c r="AA243" s="2"/>
      <c r="AB243" s="2"/>
    </row>
    <row r="244" spans="1:28" s="46" customFormat="1">
      <c r="A244" s="36">
        <f t="shared" si="32"/>
        <v>240</v>
      </c>
      <c r="B244" s="104" t="s">
        <v>914</v>
      </c>
      <c r="C244" s="105" t="s">
        <v>915</v>
      </c>
      <c r="D244" s="106" t="s">
        <v>916</v>
      </c>
      <c r="E244" s="28">
        <v>43087</v>
      </c>
      <c r="F244" s="107">
        <v>30000000</v>
      </c>
      <c r="G244" s="33">
        <f t="shared" si="29"/>
        <v>38640000</v>
      </c>
      <c r="H244" s="118">
        <f>+F244/J244</f>
        <v>1250000</v>
      </c>
      <c r="I244" s="118">
        <f t="shared" si="38"/>
        <v>360000</v>
      </c>
      <c r="J244" s="36">
        <v>24</v>
      </c>
      <c r="K244" s="110">
        <v>21</v>
      </c>
      <c r="L244" s="30">
        <f t="shared" si="30"/>
        <v>1610000</v>
      </c>
      <c r="M244" s="30">
        <f t="shared" si="31"/>
        <v>33810000</v>
      </c>
      <c r="N244" s="33">
        <f>+H244*K244</f>
        <v>26250000</v>
      </c>
      <c r="O244" s="34" t="s">
        <v>917</v>
      </c>
      <c r="P244" s="34" t="s">
        <v>36</v>
      </c>
      <c r="Q244" s="111">
        <f t="shared" si="34"/>
        <v>26250000</v>
      </c>
      <c r="R244" s="175">
        <f>+[1]N2!AE267</f>
        <v>26250000</v>
      </c>
      <c r="S244" s="107">
        <f t="shared" si="35"/>
        <v>0</v>
      </c>
      <c r="T244" s="2"/>
      <c r="U244" s="2"/>
      <c r="V244" s="2"/>
      <c r="W244" s="2"/>
      <c r="X244" s="2"/>
      <c r="Y244" s="2"/>
      <c r="Z244" s="2"/>
      <c r="AA244" s="2"/>
      <c r="AB244" s="2"/>
    </row>
    <row r="245" spans="1:28" s="46" customFormat="1">
      <c r="A245" s="36">
        <f t="shared" si="32"/>
        <v>241</v>
      </c>
      <c r="B245" s="104" t="s">
        <v>918</v>
      </c>
      <c r="C245" s="105" t="s">
        <v>919</v>
      </c>
      <c r="D245" s="28" t="s">
        <v>920</v>
      </c>
      <c r="E245" s="41">
        <v>43066</v>
      </c>
      <c r="F245" s="107">
        <f>20000000</f>
        <v>20000000</v>
      </c>
      <c r="G245" s="33">
        <f t="shared" si="29"/>
        <v>26000000</v>
      </c>
      <c r="H245" s="118">
        <f>+F245/J245</f>
        <v>800000</v>
      </c>
      <c r="I245" s="118">
        <f t="shared" si="38"/>
        <v>240000</v>
      </c>
      <c r="J245" s="36">
        <v>25</v>
      </c>
      <c r="K245" s="110">
        <v>21</v>
      </c>
      <c r="L245" s="30">
        <f t="shared" si="30"/>
        <v>1040000</v>
      </c>
      <c r="M245" s="30">
        <f t="shared" si="31"/>
        <v>21840000</v>
      </c>
      <c r="N245" s="33">
        <f>+H245*K245</f>
        <v>16800000</v>
      </c>
      <c r="O245" s="34" t="s">
        <v>921</v>
      </c>
      <c r="P245" s="34" t="s">
        <v>36</v>
      </c>
      <c r="Q245" s="111">
        <f t="shared" si="34"/>
        <v>16800000</v>
      </c>
      <c r="R245" s="175">
        <f>+[1]N2!AE268</f>
        <v>16800000</v>
      </c>
      <c r="S245" s="107">
        <f t="shared" si="35"/>
        <v>0</v>
      </c>
      <c r="T245" s="2"/>
      <c r="U245" s="2"/>
      <c r="V245" s="2"/>
      <c r="W245" s="2"/>
      <c r="X245" s="2"/>
      <c r="Y245" s="2"/>
      <c r="Z245" s="2"/>
      <c r="AA245" s="2"/>
      <c r="AB245" s="2"/>
    </row>
    <row r="246" spans="1:28" s="46" customFormat="1">
      <c r="A246" s="36">
        <f t="shared" si="32"/>
        <v>242</v>
      </c>
      <c r="B246" s="104" t="s">
        <v>922</v>
      </c>
      <c r="C246" s="105" t="s">
        <v>923</v>
      </c>
      <c r="D246" s="28" t="s">
        <v>924</v>
      </c>
      <c r="E246" s="28">
        <v>43154</v>
      </c>
      <c r="F246" s="107">
        <f>20000000+500000+9500000</f>
        <v>30000000</v>
      </c>
      <c r="G246" s="33">
        <f t="shared" si="29"/>
        <v>42984000</v>
      </c>
      <c r="H246" s="118">
        <f>1194000-I246</f>
        <v>834000</v>
      </c>
      <c r="I246" s="118">
        <f t="shared" si="38"/>
        <v>360000</v>
      </c>
      <c r="J246" s="36">
        <v>36</v>
      </c>
      <c r="K246" s="110">
        <v>35</v>
      </c>
      <c r="L246" s="30">
        <f t="shared" si="30"/>
        <v>1194000</v>
      </c>
      <c r="M246" s="30">
        <f t="shared" si="31"/>
        <v>41790000</v>
      </c>
      <c r="N246" s="38">
        <f>F246-(H246*1)</f>
        <v>29166000</v>
      </c>
      <c r="O246" s="34" t="s">
        <v>435</v>
      </c>
      <c r="P246" s="34" t="s">
        <v>93</v>
      </c>
      <c r="Q246" s="111">
        <f t="shared" si="34"/>
        <v>29166000</v>
      </c>
      <c r="R246" s="175">
        <f>+[1]N2!AE269</f>
        <v>29166000</v>
      </c>
      <c r="S246" s="107">
        <f t="shared" si="35"/>
        <v>0</v>
      </c>
      <c r="T246" s="2"/>
      <c r="U246" s="2"/>
      <c r="V246" s="2"/>
      <c r="W246" s="2"/>
      <c r="X246" s="2"/>
      <c r="Y246" s="2"/>
      <c r="Z246" s="2"/>
      <c r="AA246" s="2"/>
      <c r="AB246" s="2"/>
    </row>
    <row r="247" spans="1:28" s="46" customFormat="1">
      <c r="A247" s="36">
        <f t="shared" si="32"/>
        <v>243</v>
      </c>
      <c r="B247" s="107" t="s">
        <v>925</v>
      </c>
      <c r="C247" s="119" t="s">
        <v>926</v>
      </c>
      <c r="D247" s="119"/>
      <c r="E247" s="125">
        <v>42487</v>
      </c>
      <c r="F247" s="108">
        <f>20000000</f>
        <v>20000000</v>
      </c>
      <c r="G247" s="108">
        <f t="shared" si="29"/>
        <v>25764000</v>
      </c>
      <c r="H247" s="107">
        <v>833500</v>
      </c>
      <c r="I247" s="108">
        <f t="shared" si="38"/>
        <v>240000</v>
      </c>
      <c r="J247" s="120" t="s">
        <v>72</v>
      </c>
      <c r="K247" s="110">
        <v>1</v>
      </c>
      <c r="L247" s="107">
        <f t="shared" si="30"/>
        <v>1073500</v>
      </c>
      <c r="M247" s="107">
        <f t="shared" si="31"/>
        <v>1073500</v>
      </c>
      <c r="N247" s="179">
        <f>F247-(H247*23)</f>
        <v>829500</v>
      </c>
      <c r="O247" s="117" t="s">
        <v>927</v>
      </c>
      <c r="P247" s="117" t="s">
        <v>36</v>
      </c>
      <c r="Q247" s="111">
        <f t="shared" si="34"/>
        <v>829500</v>
      </c>
      <c r="R247" s="175">
        <f>+[1]N2!AE270</f>
        <v>829500</v>
      </c>
      <c r="S247" s="107">
        <f t="shared" si="35"/>
        <v>0</v>
      </c>
      <c r="T247" s="2"/>
      <c r="U247" s="2"/>
      <c r="V247" s="2"/>
      <c r="W247" s="2"/>
      <c r="X247" s="2"/>
      <c r="Y247" s="2"/>
      <c r="Z247" s="2"/>
      <c r="AA247" s="2"/>
      <c r="AB247" s="2"/>
    </row>
    <row r="248" spans="1:28" s="46" customFormat="1">
      <c r="A248" s="36">
        <f t="shared" si="32"/>
        <v>244</v>
      </c>
      <c r="B248" s="107" t="s">
        <v>928</v>
      </c>
      <c r="C248" s="119" t="s">
        <v>929</v>
      </c>
      <c r="D248" s="106" t="s">
        <v>930</v>
      </c>
      <c r="E248" s="41">
        <v>42881</v>
      </c>
      <c r="F248" s="126">
        <f>14997000+374925+14628075</f>
        <v>30000000</v>
      </c>
      <c r="G248" s="33">
        <f t="shared" si="29"/>
        <v>28000000</v>
      </c>
      <c r="H248" s="107">
        <v>440000</v>
      </c>
      <c r="I248" s="107">
        <f t="shared" si="38"/>
        <v>360000</v>
      </c>
      <c r="J248" s="36">
        <v>35</v>
      </c>
      <c r="K248" s="110">
        <v>25</v>
      </c>
      <c r="L248" s="181">
        <f t="shared" si="30"/>
        <v>800000</v>
      </c>
      <c r="M248" s="30">
        <f t="shared" si="31"/>
        <v>20000000</v>
      </c>
      <c r="N248" s="112">
        <f>F248-(H248*10)-394500</f>
        <v>25205500</v>
      </c>
      <c r="O248" s="34" t="s">
        <v>339</v>
      </c>
      <c r="P248" s="34" t="s">
        <v>31</v>
      </c>
      <c r="Q248" s="111">
        <f t="shared" si="34"/>
        <v>25205500</v>
      </c>
      <c r="R248" s="175">
        <f>+[1]N2!AE271</f>
        <v>25205500</v>
      </c>
      <c r="S248" s="107">
        <f t="shared" si="35"/>
        <v>0</v>
      </c>
      <c r="T248" s="2"/>
      <c r="U248" s="2"/>
      <c r="V248" s="2"/>
      <c r="W248" s="2"/>
      <c r="X248" s="2"/>
      <c r="Y248" s="2"/>
      <c r="Z248" s="2"/>
      <c r="AA248" s="2"/>
      <c r="AB248" s="2"/>
    </row>
    <row r="249" spans="1:28" s="46" customFormat="1">
      <c r="A249" s="36">
        <f t="shared" si="32"/>
        <v>245</v>
      </c>
      <c r="B249" s="107" t="s">
        <v>931</v>
      </c>
      <c r="C249" s="119" t="s">
        <v>932</v>
      </c>
      <c r="D249" s="106" t="s">
        <v>933</v>
      </c>
      <c r="E249" s="41">
        <v>42871</v>
      </c>
      <c r="F249" s="126">
        <f>7290700+182268+644516+21882516</f>
        <v>30000000</v>
      </c>
      <c r="G249" s="33">
        <f t="shared" si="29"/>
        <v>24648000</v>
      </c>
      <c r="H249" s="107">
        <v>667000</v>
      </c>
      <c r="I249" s="107">
        <f t="shared" si="38"/>
        <v>360000</v>
      </c>
      <c r="J249" s="36">
        <v>24</v>
      </c>
      <c r="K249" s="110">
        <v>13</v>
      </c>
      <c r="L249" s="181">
        <f t="shared" si="30"/>
        <v>1027000</v>
      </c>
      <c r="M249" s="30">
        <f t="shared" si="31"/>
        <v>13351000</v>
      </c>
      <c r="N249" s="112">
        <f>F249-(H249*11)-(2000000)</f>
        <v>20663000</v>
      </c>
      <c r="O249" s="34" t="s">
        <v>934</v>
      </c>
      <c r="P249" s="34" t="s">
        <v>84</v>
      </c>
      <c r="Q249" s="111">
        <f t="shared" si="34"/>
        <v>20663000</v>
      </c>
      <c r="R249" s="175">
        <f>+[1]N2!AE272</f>
        <v>20663000</v>
      </c>
      <c r="S249" s="107">
        <f t="shared" si="35"/>
        <v>0</v>
      </c>
      <c r="T249" s="2"/>
      <c r="U249" s="2"/>
      <c r="V249" s="2"/>
      <c r="W249" s="2"/>
      <c r="X249" s="2"/>
      <c r="Y249" s="2"/>
      <c r="Z249" s="2"/>
      <c r="AA249" s="2"/>
      <c r="AB249" s="2"/>
    </row>
    <row r="250" spans="1:28" s="46" customFormat="1">
      <c r="A250" s="36">
        <f t="shared" si="32"/>
        <v>246</v>
      </c>
      <c r="B250" s="104" t="s">
        <v>935</v>
      </c>
      <c r="C250" s="105" t="s">
        <v>936</v>
      </c>
      <c r="D250" s="106" t="s">
        <v>937</v>
      </c>
      <c r="E250" s="41">
        <v>42944</v>
      </c>
      <c r="F250" s="107">
        <f>25000000</f>
        <v>25000000</v>
      </c>
      <c r="G250" s="33">
        <f t="shared" si="29"/>
        <v>28614000</v>
      </c>
      <c r="H250" s="126">
        <f>2384500-I250</f>
        <v>2084500</v>
      </c>
      <c r="I250" s="107">
        <f t="shared" si="38"/>
        <v>300000</v>
      </c>
      <c r="J250" s="36">
        <v>12</v>
      </c>
      <c r="K250" s="110">
        <v>4</v>
      </c>
      <c r="L250" s="30">
        <f t="shared" si="30"/>
        <v>2384500</v>
      </c>
      <c r="M250" s="30">
        <f t="shared" si="31"/>
        <v>9538000</v>
      </c>
      <c r="N250" s="112">
        <f>F250-(H250*8)</f>
        <v>8324000</v>
      </c>
      <c r="O250" s="34" t="s">
        <v>938</v>
      </c>
      <c r="P250" s="34" t="s">
        <v>195</v>
      </c>
      <c r="Q250" s="111">
        <f t="shared" si="34"/>
        <v>8324000</v>
      </c>
      <c r="R250" s="175">
        <f>+[1]N2!AE273</f>
        <v>8324000</v>
      </c>
      <c r="S250" s="107">
        <f t="shared" si="35"/>
        <v>0</v>
      </c>
      <c r="T250" s="2"/>
      <c r="U250" s="2"/>
      <c r="V250" s="2"/>
      <c r="W250" s="2"/>
      <c r="X250" s="2"/>
      <c r="Y250" s="2"/>
      <c r="Z250" s="2"/>
      <c r="AA250" s="2"/>
      <c r="AB250" s="2"/>
    </row>
    <row r="251" spans="1:28" s="46" customFormat="1">
      <c r="A251" s="36">
        <f t="shared" si="32"/>
        <v>247</v>
      </c>
      <c r="B251" s="104" t="s">
        <v>939</v>
      </c>
      <c r="C251" s="105" t="s">
        <v>940</v>
      </c>
      <c r="D251" s="106" t="s">
        <v>941</v>
      </c>
      <c r="E251" s="41">
        <v>42926</v>
      </c>
      <c r="F251" s="107">
        <f>10000000</f>
        <v>10000000</v>
      </c>
      <c r="G251" s="33">
        <f t="shared" si="29"/>
        <v>11454000</v>
      </c>
      <c r="H251" s="131">
        <f>954500-I251</f>
        <v>834500</v>
      </c>
      <c r="I251" s="107">
        <f t="shared" si="38"/>
        <v>120000</v>
      </c>
      <c r="J251" s="36">
        <v>12</v>
      </c>
      <c r="K251" s="110">
        <v>3</v>
      </c>
      <c r="L251" s="30">
        <f t="shared" si="30"/>
        <v>954500</v>
      </c>
      <c r="M251" s="30">
        <f t="shared" si="31"/>
        <v>2863500</v>
      </c>
      <c r="N251" s="112">
        <f>F251-(H251*9)</f>
        <v>2489500</v>
      </c>
      <c r="O251" s="34" t="s">
        <v>79</v>
      </c>
      <c r="P251" s="34" t="s">
        <v>36</v>
      </c>
      <c r="Q251" s="111">
        <f t="shared" si="34"/>
        <v>2489500</v>
      </c>
      <c r="R251" s="175">
        <f>+[1]N2!AE274</f>
        <v>2489500</v>
      </c>
      <c r="S251" s="107">
        <f t="shared" si="35"/>
        <v>0</v>
      </c>
      <c r="T251" s="2"/>
      <c r="U251" s="2"/>
      <c r="V251" s="2"/>
      <c r="W251" s="2"/>
      <c r="X251" s="2"/>
      <c r="Y251" s="2"/>
      <c r="Z251" s="2"/>
      <c r="AA251" s="2"/>
      <c r="AB251" s="2"/>
    </row>
    <row r="252" spans="1:28" s="46" customFormat="1">
      <c r="A252" s="36">
        <f t="shared" si="32"/>
        <v>248</v>
      </c>
      <c r="B252" s="104" t="s">
        <v>942</v>
      </c>
      <c r="C252" s="105" t="s">
        <v>943</v>
      </c>
      <c r="D252" s="106" t="s">
        <v>944</v>
      </c>
      <c r="E252" s="41">
        <v>43063</v>
      </c>
      <c r="F252" s="107">
        <f>3888400+97210+6014390</f>
        <v>10000000</v>
      </c>
      <c r="G252" s="33">
        <f t="shared" si="29"/>
        <v>14328000</v>
      </c>
      <c r="H252" s="107">
        <v>278000</v>
      </c>
      <c r="I252" s="118">
        <f t="shared" si="38"/>
        <v>120000</v>
      </c>
      <c r="J252" s="36">
        <v>36</v>
      </c>
      <c r="K252" s="110">
        <v>32</v>
      </c>
      <c r="L252" s="30">
        <f t="shared" si="30"/>
        <v>398000</v>
      </c>
      <c r="M252" s="30">
        <f t="shared" si="31"/>
        <v>12736000</v>
      </c>
      <c r="N252" s="38">
        <f>F252-(H252*4)</f>
        <v>8888000</v>
      </c>
      <c r="O252" s="34" t="s">
        <v>87</v>
      </c>
      <c r="P252" s="42" t="s">
        <v>31</v>
      </c>
      <c r="Q252" s="111">
        <f t="shared" si="34"/>
        <v>8888000</v>
      </c>
      <c r="R252" s="175">
        <f>+[1]N2!AE275</f>
        <v>8888000</v>
      </c>
      <c r="S252" s="107">
        <f t="shared" si="35"/>
        <v>0</v>
      </c>
      <c r="T252" s="2"/>
      <c r="U252" s="2"/>
      <c r="V252" s="2"/>
      <c r="W252" s="2"/>
      <c r="X252" s="2"/>
      <c r="Y252" s="2"/>
      <c r="Z252" s="2"/>
      <c r="AA252" s="2"/>
      <c r="AB252" s="2"/>
    </row>
    <row r="253" spans="1:28" s="46" customFormat="1">
      <c r="A253" s="36">
        <f t="shared" si="32"/>
        <v>249</v>
      </c>
      <c r="B253" s="104" t="s">
        <v>945</v>
      </c>
      <c r="C253" s="105" t="s">
        <v>946</v>
      </c>
      <c r="D253" s="28" t="s">
        <v>947</v>
      </c>
      <c r="E253" s="28">
        <v>43091</v>
      </c>
      <c r="F253" s="107">
        <f>11454000+286350+18259650</f>
        <v>30000000</v>
      </c>
      <c r="G253" s="33">
        <f t="shared" si="29"/>
        <v>42984000</v>
      </c>
      <c r="H253" s="118">
        <f>1194000-I253</f>
        <v>834000</v>
      </c>
      <c r="I253" s="118">
        <f t="shared" si="38"/>
        <v>360000</v>
      </c>
      <c r="J253" s="36">
        <v>36</v>
      </c>
      <c r="K253" s="110">
        <v>33</v>
      </c>
      <c r="L253" s="30">
        <f t="shared" si="30"/>
        <v>1194000</v>
      </c>
      <c r="M253" s="30">
        <f t="shared" si="31"/>
        <v>39402000</v>
      </c>
      <c r="N253" s="38">
        <f>F253-(H253*3)</f>
        <v>27498000</v>
      </c>
      <c r="O253" s="34" t="s">
        <v>948</v>
      </c>
      <c r="P253" s="34" t="s">
        <v>75</v>
      </c>
      <c r="Q253" s="111">
        <f t="shared" si="34"/>
        <v>27498000</v>
      </c>
      <c r="R253" s="175">
        <f>+[1]N2!AE276</f>
        <v>27498000</v>
      </c>
      <c r="S253" s="107">
        <f t="shared" si="35"/>
        <v>0</v>
      </c>
      <c r="T253" s="2"/>
      <c r="U253" s="2"/>
      <c r="V253" s="2"/>
      <c r="W253" s="2"/>
      <c r="X253" s="2"/>
      <c r="Y253" s="2"/>
      <c r="Z253" s="2"/>
      <c r="AA253" s="2"/>
      <c r="AB253" s="2"/>
    </row>
    <row r="254" spans="1:28" s="46" customFormat="1">
      <c r="A254" s="36">
        <f t="shared" si="32"/>
        <v>250</v>
      </c>
      <c r="B254" s="104" t="s">
        <v>949</v>
      </c>
      <c r="C254" s="105" t="s">
        <v>950</v>
      </c>
      <c r="D254" s="28" t="s">
        <v>951</v>
      </c>
      <c r="E254" s="41">
        <v>42867</v>
      </c>
      <c r="F254" s="107">
        <f>30000000</f>
        <v>30000000</v>
      </c>
      <c r="G254" s="33">
        <f t="shared" si="29"/>
        <v>43002000</v>
      </c>
      <c r="H254" s="107">
        <f>1194500-I254</f>
        <v>834500</v>
      </c>
      <c r="I254" s="107">
        <f t="shared" si="38"/>
        <v>360000</v>
      </c>
      <c r="J254" s="36">
        <v>36</v>
      </c>
      <c r="K254" s="110">
        <v>25</v>
      </c>
      <c r="L254" s="30">
        <f t="shared" si="30"/>
        <v>1194500</v>
      </c>
      <c r="M254" s="30">
        <f t="shared" si="31"/>
        <v>29862500</v>
      </c>
      <c r="N254" s="112">
        <f>F254-(H254*11)</f>
        <v>20820500</v>
      </c>
      <c r="O254" s="34" t="s">
        <v>312</v>
      </c>
      <c r="P254" s="34" t="s">
        <v>36</v>
      </c>
      <c r="Q254" s="111">
        <f t="shared" si="34"/>
        <v>20820500</v>
      </c>
      <c r="R254" s="175">
        <f>+[1]N2!AE277</f>
        <v>20820500</v>
      </c>
      <c r="S254" s="107">
        <f t="shared" si="35"/>
        <v>0</v>
      </c>
      <c r="T254" s="2"/>
      <c r="U254" s="2"/>
      <c r="V254" s="2"/>
      <c r="W254" s="2"/>
      <c r="X254" s="2"/>
      <c r="Y254" s="2"/>
      <c r="Z254" s="2"/>
      <c r="AA254" s="2"/>
      <c r="AB254" s="2"/>
    </row>
    <row r="255" spans="1:28" s="46" customFormat="1">
      <c r="A255" s="36">
        <f t="shared" si="32"/>
        <v>251</v>
      </c>
      <c r="B255" s="107" t="s">
        <v>952</v>
      </c>
      <c r="C255" s="119" t="s">
        <v>953</v>
      </c>
      <c r="D255" s="119"/>
      <c r="E255" s="41">
        <v>42128</v>
      </c>
      <c r="F255" s="108">
        <f>25002000+625050+118452+4254498</f>
        <v>30000000</v>
      </c>
      <c r="G255" s="176">
        <f t="shared" si="29"/>
        <v>42962400</v>
      </c>
      <c r="H255" s="107">
        <v>833400</v>
      </c>
      <c r="I255" s="108">
        <f t="shared" si="38"/>
        <v>360000</v>
      </c>
      <c r="J255" s="120" t="s">
        <v>82</v>
      </c>
      <c r="K255" s="110">
        <v>1</v>
      </c>
      <c r="L255" s="107">
        <f t="shared" si="30"/>
        <v>1193400</v>
      </c>
      <c r="M255" s="107">
        <f t="shared" si="31"/>
        <v>1193400</v>
      </c>
      <c r="N255" s="179">
        <f>F255-(H255*35)</f>
        <v>831000</v>
      </c>
      <c r="O255" s="117" t="s">
        <v>954</v>
      </c>
      <c r="P255" s="141" t="s">
        <v>31</v>
      </c>
      <c r="Q255" s="111">
        <f t="shared" si="34"/>
        <v>831000</v>
      </c>
      <c r="R255" s="175">
        <f>+[1]N2!AE278</f>
        <v>831000</v>
      </c>
      <c r="S255" s="107">
        <f t="shared" si="35"/>
        <v>0</v>
      </c>
      <c r="T255" s="2"/>
      <c r="U255" s="2"/>
      <c r="V255" s="2"/>
      <c r="W255" s="2"/>
      <c r="X255" s="2"/>
      <c r="Y255" s="2"/>
      <c r="Z255" s="2"/>
      <c r="AA255" s="2"/>
      <c r="AB255" s="2"/>
    </row>
    <row r="256" spans="1:28" s="46" customFormat="1">
      <c r="A256" s="36">
        <f t="shared" si="32"/>
        <v>252</v>
      </c>
      <c r="B256" s="107" t="s">
        <v>955</v>
      </c>
      <c r="C256" s="119" t="s">
        <v>956</v>
      </c>
      <c r="D256" s="119"/>
      <c r="E256" s="41">
        <v>42136</v>
      </c>
      <c r="F256" s="108">
        <f>17500140+437504+211355+11851001</f>
        <v>30000000</v>
      </c>
      <c r="G256" s="176">
        <f t="shared" si="29"/>
        <v>42962400</v>
      </c>
      <c r="H256" s="107">
        <v>833400</v>
      </c>
      <c r="I256" s="108">
        <f t="shared" si="38"/>
        <v>360000</v>
      </c>
      <c r="J256" s="120" t="s">
        <v>82</v>
      </c>
      <c r="K256" s="110">
        <v>1</v>
      </c>
      <c r="L256" s="107">
        <f t="shared" si="30"/>
        <v>1193400</v>
      </c>
      <c r="M256" s="107">
        <f t="shared" si="31"/>
        <v>1193400</v>
      </c>
      <c r="N256" s="179">
        <f>F256-(H256*35)</f>
        <v>831000</v>
      </c>
      <c r="O256" s="117" t="s">
        <v>90</v>
      </c>
      <c r="P256" s="117" t="s">
        <v>31</v>
      </c>
      <c r="Q256" s="111">
        <f t="shared" si="34"/>
        <v>831000</v>
      </c>
      <c r="R256" s="175">
        <f>+[1]N2!AE279</f>
        <v>831000</v>
      </c>
      <c r="S256" s="107">
        <f t="shared" si="35"/>
        <v>0</v>
      </c>
      <c r="T256" s="2"/>
      <c r="U256" s="2"/>
      <c r="V256" s="2"/>
      <c r="W256" s="2"/>
      <c r="X256" s="2"/>
      <c r="Y256" s="2"/>
      <c r="Z256" s="2"/>
      <c r="AA256" s="2"/>
      <c r="AB256" s="2"/>
    </row>
    <row r="257" spans="1:28" s="46" customFormat="1">
      <c r="A257" s="36">
        <f t="shared" si="32"/>
        <v>253</v>
      </c>
      <c r="B257" s="107" t="s">
        <v>957</v>
      </c>
      <c r="C257" s="119" t="s">
        <v>958</v>
      </c>
      <c r="D257" s="119"/>
      <c r="E257" s="125">
        <v>42492</v>
      </c>
      <c r="F257" s="108">
        <f>3055660+76392+71226+16796722</f>
        <v>20000000</v>
      </c>
      <c r="G257" s="108">
        <f t="shared" si="29"/>
        <v>25764000</v>
      </c>
      <c r="H257" s="107">
        <f>1073500-I257</f>
        <v>833500</v>
      </c>
      <c r="I257" s="108">
        <f t="shared" si="38"/>
        <v>240000</v>
      </c>
      <c r="J257" s="120" t="s">
        <v>72</v>
      </c>
      <c r="K257" s="110">
        <v>1</v>
      </c>
      <c r="L257" s="107">
        <f t="shared" si="30"/>
        <v>1073500</v>
      </c>
      <c r="M257" s="107">
        <f t="shared" si="31"/>
        <v>1073500</v>
      </c>
      <c r="N257" s="179">
        <f>F257-(H257*23)</f>
        <v>829500</v>
      </c>
      <c r="O257" s="117" t="s">
        <v>959</v>
      </c>
      <c r="P257" s="117" t="s">
        <v>93</v>
      </c>
      <c r="Q257" s="111">
        <f t="shared" si="34"/>
        <v>829500</v>
      </c>
      <c r="R257" s="175">
        <f>+[1]N2!AE280</f>
        <v>829500</v>
      </c>
      <c r="S257" s="107">
        <f t="shared" si="35"/>
        <v>0</v>
      </c>
      <c r="T257" s="2"/>
      <c r="U257" s="2"/>
      <c r="V257" s="2"/>
      <c r="W257" s="2"/>
      <c r="X257" s="2"/>
      <c r="Y257" s="2"/>
      <c r="Z257" s="2"/>
      <c r="AA257" s="2"/>
      <c r="AB257" s="2"/>
    </row>
    <row r="258" spans="1:28" s="46" customFormat="1">
      <c r="A258" s="36">
        <f t="shared" si="32"/>
        <v>254</v>
      </c>
      <c r="B258" s="104" t="s">
        <v>960</v>
      </c>
      <c r="C258" s="105" t="s">
        <v>961</v>
      </c>
      <c r="D258" s="28" t="s">
        <v>962</v>
      </c>
      <c r="E258" s="41">
        <v>42972</v>
      </c>
      <c r="F258" s="107">
        <f>17706000+442650+11851350</f>
        <v>30000000</v>
      </c>
      <c r="G258" s="33">
        <f t="shared" ref="G258:G320" si="39">+J258*L258</f>
        <v>42984000</v>
      </c>
      <c r="H258" s="126">
        <v>834000</v>
      </c>
      <c r="I258" s="118">
        <f>F258*1.2%</f>
        <v>360000</v>
      </c>
      <c r="J258" s="36">
        <v>36</v>
      </c>
      <c r="K258" s="110">
        <v>29</v>
      </c>
      <c r="L258" s="30">
        <f t="shared" ref="L258:L320" si="40">+H258+I258</f>
        <v>1194000</v>
      </c>
      <c r="M258" s="30">
        <f t="shared" ref="M258:M320" si="41">+K258*L258</f>
        <v>34626000</v>
      </c>
      <c r="N258" s="112">
        <f>F258-(H258*7)</f>
        <v>24162000</v>
      </c>
      <c r="O258" s="34" t="s">
        <v>241</v>
      </c>
      <c r="P258" s="34" t="s">
        <v>31</v>
      </c>
      <c r="Q258" s="111">
        <f t="shared" si="34"/>
        <v>24162000</v>
      </c>
      <c r="R258" s="175">
        <f>+[1]N2!AE281</f>
        <v>24162000</v>
      </c>
      <c r="S258" s="107">
        <f t="shared" si="35"/>
        <v>0</v>
      </c>
      <c r="T258" s="2"/>
      <c r="U258" s="2"/>
      <c r="V258" s="2"/>
      <c r="W258" s="2"/>
      <c r="X258" s="2"/>
      <c r="Y258" s="2"/>
      <c r="Z258" s="2"/>
      <c r="AA258" s="2"/>
      <c r="AB258" s="2"/>
    </row>
    <row r="259" spans="1:28" s="46" customFormat="1">
      <c r="A259" s="36">
        <f t="shared" ref="A259:A321" si="42">+A258+1</f>
        <v>255</v>
      </c>
      <c r="B259" s="104" t="s">
        <v>963</v>
      </c>
      <c r="C259" s="106" t="s">
        <v>964</v>
      </c>
      <c r="D259" s="106"/>
      <c r="E259" s="125">
        <v>42566</v>
      </c>
      <c r="F259" s="111">
        <f>30000000</f>
        <v>30000000</v>
      </c>
      <c r="G259" s="111">
        <f t="shared" si="39"/>
        <v>38640000</v>
      </c>
      <c r="H259" s="108">
        <f>F259/J259</f>
        <v>1250000</v>
      </c>
      <c r="I259" s="108">
        <f t="shared" ref="I259:I264" si="43">+F259*1.2%</f>
        <v>360000</v>
      </c>
      <c r="J259" s="36">
        <v>24</v>
      </c>
      <c r="K259" s="110">
        <v>3</v>
      </c>
      <c r="L259" s="182">
        <f t="shared" si="40"/>
        <v>1610000</v>
      </c>
      <c r="M259" s="107">
        <f t="shared" si="41"/>
        <v>4830000</v>
      </c>
      <c r="N259" s="182">
        <f>H259*K259</f>
        <v>3750000</v>
      </c>
      <c r="O259" s="133" t="s">
        <v>965</v>
      </c>
      <c r="P259" s="134" t="s">
        <v>36</v>
      </c>
      <c r="Q259" s="111">
        <f t="shared" ref="Q259:Q321" si="44">+N259</f>
        <v>3750000</v>
      </c>
      <c r="R259" s="175">
        <f>+[1]N2!AE282</f>
        <v>3750000</v>
      </c>
      <c r="S259" s="107">
        <f t="shared" ref="S259:S321" si="45">+Q259-R259</f>
        <v>0</v>
      </c>
      <c r="T259" s="2"/>
      <c r="U259" s="2"/>
      <c r="V259" s="2"/>
      <c r="W259" s="2"/>
      <c r="X259" s="2"/>
      <c r="Y259" s="2"/>
      <c r="Z259" s="2"/>
      <c r="AA259" s="2"/>
      <c r="AB259" s="2"/>
    </row>
    <row r="260" spans="1:28" s="46" customFormat="1">
      <c r="A260" s="36">
        <f t="shared" si="42"/>
        <v>256</v>
      </c>
      <c r="B260" s="104" t="s">
        <v>966</v>
      </c>
      <c r="C260" s="105" t="s">
        <v>967</v>
      </c>
      <c r="D260" s="106" t="s">
        <v>968</v>
      </c>
      <c r="E260" s="41">
        <v>43063</v>
      </c>
      <c r="F260" s="107">
        <f>30000000</f>
        <v>30000000</v>
      </c>
      <c r="G260" s="33">
        <f t="shared" si="39"/>
        <v>42984000</v>
      </c>
      <c r="H260" s="118">
        <v>834000</v>
      </c>
      <c r="I260" s="118">
        <f t="shared" si="43"/>
        <v>360000</v>
      </c>
      <c r="J260" s="36">
        <v>36</v>
      </c>
      <c r="K260" s="110">
        <v>32</v>
      </c>
      <c r="L260" s="30">
        <f t="shared" si="40"/>
        <v>1194000</v>
      </c>
      <c r="M260" s="30">
        <f t="shared" si="41"/>
        <v>38208000</v>
      </c>
      <c r="N260" s="38">
        <f>F260-(H260*4)</f>
        <v>26664000</v>
      </c>
      <c r="O260" s="34" t="s">
        <v>159</v>
      </c>
      <c r="P260" s="34" t="s">
        <v>36</v>
      </c>
      <c r="Q260" s="111">
        <f t="shared" si="44"/>
        <v>26664000</v>
      </c>
      <c r="R260" s="175">
        <f>+[1]N2!AE283</f>
        <v>26664000</v>
      </c>
      <c r="S260" s="107">
        <f t="shared" si="45"/>
        <v>0</v>
      </c>
      <c r="T260" s="2"/>
      <c r="U260" s="2"/>
      <c r="V260" s="2"/>
      <c r="W260" s="2"/>
      <c r="X260" s="2"/>
      <c r="Y260" s="2"/>
      <c r="Z260" s="2"/>
      <c r="AA260" s="2"/>
      <c r="AB260" s="2"/>
    </row>
    <row r="261" spans="1:28" s="46" customFormat="1">
      <c r="A261" s="36">
        <f t="shared" si="42"/>
        <v>257</v>
      </c>
      <c r="B261" s="104" t="s">
        <v>969</v>
      </c>
      <c r="C261" s="105" t="s">
        <v>970</v>
      </c>
      <c r="D261" s="106" t="s">
        <v>971</v>
      </c>
      <c r="E261" s="41">
        <v>42928</v>
      </c>
      <c r="F261" s="107">
        <f>13330000+333250+223355+16113395</f>
        <v>30000000</v>
      </c>
      <c r="G261" s="33">
        <f t="shared" si="39"/>
        <v>43002000</v>
      </c>
      <c r="H261" s="126">
        <v>834500</v>
      </c>
      <c r="I261" s="107">
        <f t="shared" si="43"/>
        <v>360000</v>
      </c>
      <c r="J261" s="36">
        <v>36</v>
      </c>
      <c r="K261" s="110">
        <v>27</v>
      </c>
      <c r="L261" s="30">
        <f t="shared" si="40"/>
        <v>1194500</v>
      </c>
      <c r="M261" s="30">
        <f t="shared" si="41"/>
        <v>32251500</v>
      </c>
      <c r="N261" s="112">
        <f>F261-(H261*9)</f>
        <v>22489500</v>
      </c>
      <c r="O261" s="34" t="s">
        <v>972</v>
      </c>
      <c r="P261" s="34" t="s">
        <v>31</v>
      </c>
      <c r="Q261" s="111">
        <f t="shared" si="44"/>
        <v>22489500</v>
      </c>
      <c r="R261" s="175">
        <f>+[1]N2!AE284</f>
        <v>22489500</v>
      </c>
      <c r="S261" s="107">
        <f t="shared" si="45"/>
        <v>0</v>
      </c>
      <c r="T261" s="2"/>
      <c r="U261" s="2"/>
      <c r="V261" s="2"/>
      <c r="W261" s="2"/>
      <c r="X261" s="2"/>
      <c r="Y261" s="2"/>
      <c r="Z261" s="2"/>
      <c r="AA261" s="2"/>
      <c r="AB261" s="2"/>
    </row>
    <row r="262" spans="1:28" s="46" customFormat="1">
      <c r="A262" s="36">
        <f t="shared" si="42"/>
        <v>258</v>
      </c>
      <c r="B262" s="104" t="s">
        <v>973</v>
      </c>
      <c r="C262" s="105" t="s">
        <v>974</v>
      </c>
      <c r="D262" s="106" t="s">
        <v>975</v>
      </c>
      <c r="E262" s="41">
        <v>42877</v>
      </c>
      <c r="F262" s="107">
        <f>2495550+62389+326884+174956+200000+26740221</f>
        <v>30000000</v>
      </c>
      <c r="G262" s="33">
        <f t="shared" si="39"/>
        <v>43002000</v>
      </c>
      <c r="H262" s="107">
        <f>1194500-I262</f>
        <v>834500</v>
      </c>
      <c r="I262" s="107">
        <f t="shared" si="43"/>
        <v>360000</v>
      </c>
      <c r="J262" s="36">
        <v>36</v>
      </c>
      <c r="K262" s="110">
        <f>25</f>
        <v>25</v>
      </c>
      <c r="L262" s="181">
        <f t="shared" si="40"/>
        <v>1194500</v>
      </c>
      <c r="M262" s="30">
        <f t="shared" si="41"/>
        <v>29862500</v>
      </c>
      <c r="N262" s="112">
        <f>F262-(H262*11)</f>
        <v>20820500</v>
      </c>
      <c r="O262" s="34" t="s">
        <v>976</v>
      </c>
      <c r="P262" s="34" t="s">
        <v>84</v>
      </c>
      <c r="Q262" s="111">
        <f t="shared" si="44"/>
        <v>20820500</v>
      </c>
      <c r="R262" s="175">
        <f>+[1]N2!AE285</f>
        <v>20820500</v>
      </c>
      <c r="S262" s="107">
        <f t="shared" si="45"/>
        <v>0</v>
      </c>
      <c r="T262" s="2"/>
      <c r="U262" s="2"/>
      <c r="V262" s="2"/>
      <c r="W262" s="2"/>
      <c r="X262" s="2"/>
      <c r="Y262" s="2"/>
      <c r="Z262" s="2"/>
      <c r="AA262" s="2"/>
      <c r="AB262" s="2"/>
    </row>
    <row r="263" spans="1:28" s="46" customFormat="1">
      <c r="A263" s="36">
        <f t="shared" si="42"/>
        <v>259</v>
      </c>
      <c r="B263" s="104" t="s">
        <v>977</v>
      </c>
      <c r="C263" s="105" t="s">
        <v>978</v>
      </c>
      <c r="D263" s="28" t="s">
        <v>979</v>
      </c>
      <c r="E263" s="28">
        <v>43088</v>
      </c>
      <c r="F263" s="107">
        <f>15672664+391817+13935519</f>
        <v>30000000</v>
      </c>
      <c r="G263" s="33">
        <f t="shared" si="39"/>
        <v>42984000</v>
      </c>
      <c r="H263" s="118">
        <f>1194000-I263</f>
        <v>834000</v>
      </c>
      <c r="I263" s="118">
        <f t="shared" si="43"/>
        <v>360000</v>
      </c>
      <c r="J263" s="36">
        <v>36</v>
      </c>
      <c r="K263" s="110">
        <v>33</v>
      </c>
      <c r="L263" s="30">
        <f t="shared" si="40"/>
        <v>1194000</v>
      </c>
      <c r="M263" s="30">
        <f t="shared" si="41"/>
        <v>39402000</v>
      </c>
      <c r="N263" s="38">
        <f>F263-(H263*3)</f>
        <v>27498000</v>
      </c>
      <c r="O263" s="34" t="s">
        <v>306</v>
      </c>
      <c r="P263" s="34" t="s">
        <v>75</v>
      </c>
      <c r="Q263" s="111">
        <f t="shared" si="44"/>
        <v>27498000</v>
      </c>
      <c r="R263" s="175">
        <f>+[1]N2!AE286</f>
        <v>27498000</v>
      </c>
      <c r="S263" s="107">
        <f t="shared" si="45"/>
        <v>0</v>
      </c>
      <c r="T263" s="2"/>
      <c r="U263" s="2"/>
      <c r="V263" s="2"/>
      <c r="W263" s="2"/>
      <c r="X263" s="2"/>
      <c r="Y263" s="2"/>
      <c r="Z263" s="2"/>
      <c r="AA263" s="2"/>
      <c r="AB263" s="2"/>
    </row>
    <row r="264" spans="1:28" s="46" customFormat="1">
      <c r="A264" s="36">
        <f t="shared" si="42"/>
        <v>260</v>
      </c>
      <c r="B264" s="107" t="s">
        <v>980</v>
      </c>
      <c r="C264" s="119" t="s">
        <v>981</v>
      </c>
      <c r="D264" s="106" t="s">
        <v>982</v>
      </c>
      <c r="E264" s="41">
        <v>42871</v>
      </c>
      <c r="F264" s="126">
        <f>20000000</f>
        <v>20000000</v>
      </c>
      <c r="G264" s="33">
        <f t="shared" si="39"/>
        <v>25788000</v>
      </c>
      <c r="H264" s="107">
        <f>1074500-I264</f>
        <v>834500</v>
      </c>
      <c r="I264" s="107">
        <f t="shared" si="43"/>
        <v>240000</v>
      </c>
      <c r="J264" s="36">
        <v>24</v>
      </c>
      <c r="K264" s="110">
        <v>13</v>
      </c>
      <c r="L264" s="181">
        <f t="shared" si="40"/>
        <v>1074500</v>
      </c>
      <c r="M264" s="30">
        <f t="shared" si="41"/>
        <v>13968500</v>
      </c>
      <c r="N264" s="112">
        <f>F264-(H264*11)</f>
        <v>10820500</v>
      </c>
      <c r="O264" s="34" t="s">
        <v>983</v>
      </c>
      <c r="P264" s="34" t="s">
        <v>36</v>
      </c>
      <c r="Q264" s="111">
        <f t="shared" si="44"/>
        <v>10820500</v>
      </c>
      <c r="R264" s="175">
        <f>+[1]N2!AE287</f>
        <v>10820500</v>
      </c>
      <c r="S264" s="107">
        <f t="shared" si="45"/>
        <v>0</v>
      </c>
      <c r="T264" s="2"/>
      <c r="U264" s="2"/>
      <c r="V264" s="2"/>
      <c r="W264" s="2"/>
      <c r="X264" s="2"/>
      <c r="Y264" s="2"/>
      <c r="Z264" s="2"/>
      <c r="AA264" s="2"/>
      <c r="AB264" s="2"/>
    </row>
    <row r="265" spans="1:28" s="46" customFormat="1">
      <c r="A265" s="36">
        <f t="shared" si="42"/>
        <v>261</v>
      </c>
      <c r="B265" s="104" t="s">
        <v>984</v>
      </c>
      <c r="C265" s="105" t="s">
        <v>985</v>
      </c>
      <c r="D265" s="106" t="s">
        <v>986</v>
      </c>
      <c r="E265" s="41">
        <v>43005</v>
      </c>
      <c r="F265" s="107">
        <f>10000000</f>
        <v>10000000</v>
      </c>
      <c r="G265" s="33">
        <f t="shared" si="39"/>
        <v>14328000</v>
      </c>
      <c r="H265" s="126">
        <f>398000-I265</f>
        <v>278000</v>
      </c>
      <c r="I265" s="118">
        <f>F265*1.2%</f>
        <v>120000</v>
      </c>
      <c r="J265" s="36">
        <v>36</v>
      </c>
      <c r="K265" s="110">
        <v>30</v>
      </c>
      <c r="L265" s="30">
        <f t="shared" si="40"/>
        <v>398000</v>
      </c>
      <c r="M265" s="30">
        <f t="shared" si="41"/>
        <v>11940000</v>
      </c>
      <c r="N265" s="112">
        <f>F265-(H265*6)</f>
        <v>8332000</v>
      </c>
      <c r="O265" s="34" t="s">
        <v>987</v>
      </c>
      <c r="P265" s="34" t="s">
        <v>36</v>
      </c>
      <c r="Q265" s="111">
        <f t="shared" si="44"/>
        <v>8332000</v>
      </c>
      <c r="R265" s="175">
        <f>+[1]N2!AE288</f>
        <v>8332000</v>
      </c>
      <c r="S265" s="107">
        <f t="shared" si="45"/>
        <v>0</v>
      </c>
      <c r="T265" s="2"/>
      <c r="U265" s="2"/>
      <c r="V265" s="2"/>
      <c r="W265" s="2"/>
      <c r="X265" s="2"/>
      <c r="Y265" s="2"/>
      <c r="Z265" s="2"/>
      <c r="AA265" s="2"/>
      <c r="AB265" s="2"/>
    </row>
    <row r="266" spans="1:28" s="46" customFormat="1">
      <c r="A266" s="36">
        <f t="shared" si="42"/>
        <v>262</v>
      </c>
      <c r="B266" s="104" t="s">
        <v>988</v>
      </c>
      <c r="C266" s="106" t="s">
        <v>989</v>
      </c>
      <c r="D266" s="106"/>
      <c r="E266" s="125">
        <v>42261</v>
      </c>
      <c r="F266" s="111">
        <f>17500140+437504+261290+11801066</f>
        <v>30000000</v>
      </c>
      <c r="G266" s="176">
        <f t="shared" si="39"/>
        <v>42962400</v>
      </c>
      <c r="H266" s="107">
        <v>833400</v>
      </c>
      <c r="I266" s="108">
        <f>+F266*1.2%</f>
        <v>360000</v>
      </c>
      <c r="J266" s="144">
        <v>36</v>
      </c>
      <c r="K266" s="110">
        <v>5</v>
      </c>
      <c r="L266" s="108">
        <f t="shared" si="40"/>
        <v>1193400</v>
      </c>
      <c r="M266" s="108">
        <f t="shared" si="41"/>
        <v>5967000</v>
      </c>
      <c r="N266" s="179">
        <f>F266-(H266*31)</f>
        <v>4164600</v>
      </c>
      <c r="O266" s="133" t="s">
        <v>990</v>
      </c>
      <c r="P266" s="134" t="s">
        <v>101</v>
      </c>
      <c r="Q266" s="111">
        <f t="shared" si="44"/>
        <v>4164600</v>
      </c>
      <c r="R266" s="175">
        <f>+[1]N2!AE289</f>
        <v>4164600</v>
      </c>
      <c r="S266" s="107">
        <f t="shared" si="45"/>
        <v>0</v>
      </c>
      <c r="T266" s="2"/>
      <c r="U266" s="2"/>
      <c r="V266" s="2"/>
      <c r="W266" s="2"/>
      <c r="X266" s="2"/>
      <c r="Y266" s="2"/>
      <c r="Z266" s="2"/>
      <c r="AA266" s="2"/>
      <c r="AB266" s="2"/>
    </row>
    <row r="267" spans="1:28" s="46" customFormat="1">
      <c r="A267" s="36">
        <f t="shared" si="42"/>
        <v>263</v>
      </c>
      <c r="B267" s="104" t="s">
        <v>991</v>
      </c>
      <c r="C267" s="105" t="s">
        <v>992</v>
      </c>
      <c r="D267" s="106" t="s">
        <v>993</v>
      </c>
      <c r="E267" s="41">
        <v>43014</v>
      </c>
      <c r="F267" s="107">
        <f>21660000+541500+211742+7586758</f>
        <v>30000000</v>
      </c>
      <c r="G267" s="33">
        <f t="shared" si="39"/>
        <v>42984000</v>
      </c>
      <c r="H267" s="118">
        <f>1194000-I267</f>
        <v>834000</v>
      </c>
      <c r="I267" s="118">
        <f>F267*1.2%</f>
        <v>360000</v>
      </c>
      <c r="J267" s="36">
        <v>36</v>
      </c>
      <c r="K267" s="110">
        <v>30</v>
      </c>
      <c r="L267" s="30">
        <f t="shared" si="40"/>
        <v>1194000</v>
      </c>
      <c r="M267" s="30">
        <f t="shared" si="41"/>
        <v>35820000</v>
      </c>
      <c r="N267" s="112">
        <f>F267-(H267*6)</f>
        <v>24996000</v>
      </c>
      <c r="O267" s="34" t="s">
        <v>994</v>
      </c>
      <c r="P267" s="34" t="s">
        <v>93</v>
      </c>
      <c r="Q267" s="111">
        <f t="shared" si="44"/>
        <v>24996000</v>
      </c>
      <c r="R267" s="175">
        <f>+[1]N2!AE290</f>
        <v>24996000</v>
      </c>
      <c r="S267" s="107">
        <f t="shared" si="45"/>
        <v>0</v>
      </c>
      <c r="T267" s="2"/>
      <c r="U267" s="2"/>
      <c r="V267" s="2"/>
      <c r="W267" s="2"/>
      <c r="X267" s="2"/>
      <c r="Y267" s="2"/>
      <c r="Z267" s="2"/>
      <c r="AA267" s="2"/>
      <c r="AB267" s="2"/>
    </row>
    <row r="268" spans="1:28" s="46" customFormat="1">
      <c r="A268" s="36">
        <f t="shared" si="42"/>
        <v>264</v>
      </c>
      <c r="B268" s="104" t="s">
        <v>995</v>
      </c>
      <c r="C268" s="105" t="s">
        <v>996</v>
      </c>
      <c r="D268" s="106" t="s">
        <v>997</v>
      </c>
      <c r="E268" s="41">
        <v>43035</v>
      </c>
      <c r="F268" s="107">
        <f>3124300+78108+16797592</f>
        <v>20000000</v>
      </c>
      <c r="G268" s="33">
        <f t="shared" si="39"/>
        <v>25776000</v>
      </c>
      <c r="H268" s="107">
        <v>834000</v>
      </c>
      <c r="I268" s="118">
        <f t="shared" ref="I268:I279" si="46">+F268*1.2%</f>
        <v>240000</v>
      </c>
      <c r="J268" s="36">
        <v>24</v>
      </c>
      <c r="K268" s="110">
        <v>19</v>
      </c>
      <c r="L268" s="30">
        <f t="shared" si="40"/>
        <v>1074000</v>
      </c>
      <c r="M268" s="30">
        <f t="shared" si="41"/>
        <v>20406000</v>
      </c>
      <c r="N268" s="38">
        <f>F268-(H268*5)</f>
        <v>15830000</v>
      </c>
      <c r="O268" s="34" t="s">
        <v>998</v>
      </c>
      <c r="P268" s="34" t="s">
        <v>75</v>
      </c>
      <c r="Q268" s="111">
        <f t="shared" si="44"/>
        <v>15830000</v>
      </c>
      <c r="R268" s="175">
        <f>+[1]N2!AE291</f>
        <v>15830000</v>
      </c>
      <c r="S268" s="107">
        <f t="shared" si="45"/>
        <v>0</v>
      </c>
      <c r="T268" s="2"/>
      <c r="U268" s="2"/>
      <c r="V268" s="2"/>
      <c r="W268" s="2"/>
      <c r="X268" s="2"/>
      <c r="Y268" s="2"/>
      <c r="Z268" s="2"/>
      <c r="AA268" s="2"/>
      <c r="AB268" s="2"/>
    </row>
    <row r="269" spans="1:28" s="46" customFormat="1">
      <c r="A269" s="36">
        <f t="shared" si="42"/>
        <v>265</v>
      </c>
      <c r="B269" s="107" t="s">
        <v>999</v>
      </c>
      <c r="C269" s="119" t="s">
        <v>1000</v>
      </c>
      <c r="D269" s="119"/>
      <c r="E269" s="41">
        <v>42643</v>
      </c>
      <c r="F269" s="108">
        <f>2500020+62501+27437479</f>
        <v>30000000</v>
      </c>
      <c r="G269" s="111">
        <f t="shared" si="39"/>
        <v>42984000</v>
      </c>
      <c r="H269" s="107">
        <v>834000</v>
      </c>
      <c r="I269" s="108">
        <f t="shared" si="46"/>
        <v>360000</v>
      </c>
      <c r="J269" s="120" t="s">
        <v>82</v>
      </c>
      <c r="K269" s="110">
        <v>18</v>
      </c>
      <c r="L269" s="30">
        <f t="shared" si="40"/>
        <v>1194000</v>
      </c>
      <c r="M269" s="107">
        <f t="shared" si="41"/>
        <v>21492000</v>
      </c>
      <c r="N269" s="112">
        <f>F269-(H269*18)</f>
        <v>14988000</v>
      </c>
      <c r="O269" s="117" t="s">
        <v>1001</v>
      </c>
      <c r="P269" s="117" t="s">
        <v>31</v>
      </c>
      <c r="Q269" s="111">
        <f t="shared" si="44"/>
        <v>14988000</v>
      </c>
      <c r="R269" s="175">
        <f>+[1]N2!AE292</f>
        <v>14988000</v>
      </c>
      <c r="S269" s="107">
        <f t="shared" si="45"/>
        <v>0</v>
      </c>
      <c r="T269" s="2"/>
      <c r="U269" s="2"/>
      <c r="V269" s="2"/>
      <c r="W269" s="2"/>
      <c r="X269" s="2"/>
      <c r="Y269" s="2"/>
      <c r="Z269" s="2"/>
      <c r="AA269" s="2"/>
      <c r="AB269" s="2"/>
    </row>
    <row r="270" spans="1:28" s="46" customFormat="1">
      <c r="A270" s="36">
        <f t="shared" si="42"/>
        <v>266</v>
      </c>
      <c r="B270" s="104" t="s">
        <v>1002</v>
      </c>
      <c r="C270" s="105" t="s">
        <v>1003</v>
      </c>
      <c r="D270" s="28" t="s">
        <v>1004</v>
      </c>
      <c r="E270" s="28">
        <v>43125</v>
      </c>
      <c r="F270" s="107">
        <f>30000000</f>
        <v>30000000</v>
      </c>
      <c r="G270" s="33">
        <f t="shared" si="39"/>
        <v>42984000</v>
      </c>
      <c r="H270" s="118">
        <f>1194000-I270</f>
        <v>834000</v>
      </c>
      <c r="I270" s="118">
        <f t="shared" si="46"/>
        <v>360000</v>
      </c>
      <c r="J270" s="36">
        <v>36</v>
      </c>
      <c r="K270" s="110">
        <v>34</v>
      </c>
      <c r="L270" s="30">
        <f t="shared" si="40"/>
        <v>1194000</v>
      </c>
      <c r="M270" s="30">
        <f t="shared" si="41"/>
        <v>40596000</v>
      </c>
      <c r="N270" s="38">
        <f>F270-(H270*2)</f>
        <v>28332000</v>
      </c>
      <c r="O270" s="34" t="s">
        <v>1005</v>
      </c>
      <c r="P270" s="34" t="s">
        <v>36</v>
      </c>
      <c r="Q270" s="111">
        <f t="shared" si="44"/>
        <v>28332000</v>
      </c>
      <c r="R270" s="175">
        <f>+[1]N2!AE293</f>
        <v>28332000</v>
      </c>
      <c r="S270" s="107">
        <f t="shared" si="45"/>
        <v>0</v>
      </c>
      <c r="T270" s="2"/>
      <c r="U270" s="2"/>
      <c r="V270" s="2"/>
      <c r="W270" s="2"/>
      <c r="X270" s="2"/>
      <c r="Y270" s="2"/>
      <c r="Z270" s="2"/>
      <c r="AA270" s="2"/>
      <c r="AB270" s="2"/>
    </row>
    <row r="271" spans="1:28" s="46" customFormat="1">
      <c r="A271" s="36">
        <f t="shared" si="42"/>
        <v>267</v>
      </c>
      <c r="B271" s="107" t="s">
        <v>1006</v>
      </c>
      <c r="C271" s="119" t="s">
        <v>1007</v>
      </c>
      <c r="D271" s="119"/>
      <c r="E271" s="41">
        <v>42668</v>
      </c>
      <c r="F271" s="108">
        <f>30000000</f>
        <v>30000000</v>
      </c>
      <c r="G271" s="111">
        <f t="shared" si="39"/>
        <v>42984000</v>
      </c>
      <c r="H271" s="107">
        <v>834000</v>
      </c>
      <c r="I271" s="107">
        <f t="shared" si="46"/>
        <v>360000</v>
      </c>
      <c r="J271" s="36">
        <v>36</v>
      </c>
      <c r="K271" s="110">
        <v>19</v>
      </c>
      <c r="L271" s="30">
        <f t="shared" si="40"/>
        <v>1194000</v>
      </c>
      <c r="M271" s="107">
        <f t="shared" si="41"/>
        <v>22686000</v>
      </c>
      <c r="N271" s="112">
        <f>F271-(H271*17)</f>
        <v>15822000</v>
      </c>
      <c r="O271" s="117" t="s">
        <v>339</v>
      </c>
      <c r="P271" s="34" t="s">
        <v>36</v>
      </c>
      <c r="Q271" s="111">
        <f t="shared" si="44"/>
        <v>15822000</v>
      </c>
      <c r="R271" s="175">
        <f>+[1]N2!AE294</f>
        <v>15822000</v>
      </c>
      <c r="S271" s="107">
        <f t="shared" si="45"/>
        <v>0</v>
      </c>
      <c r="T271" s="2"/>
      <c r="U271" s="2"/>
      <c r="V271" s="2"/>
      <c r="W271" s="2"/>
      <c r="X271" s="2"/>
      <c r="Y271" s="2"/>
      <c r="Z271" s="2"/>
      <c r="AA271" s="2"/>
      <c r="AB271" s="2"/>
    </row>
    <row r="272" spans="1:28" s="46" customFormat="1">
      <c r="A272" s="36">
        <f t="shared" si="42"/>
        <v>268</v>
      </c>
      <c r="B272" s="104" t="s">
        <v>1008</v>
      </c>
      <c r="C272" s="106" t="s">
        <v>1009</v>
      </c>
      <c r="D272" s="28" t="s">
        <v>1010</v>
      </c>
      <c r="E272" s="41">
        <v>42809</v>
      </c>
      <c r="F272" s="107">
        <f>19164500+479113+250092+10106295</f>
        <v>30000000</v>
      </c>
      <c r="G272" s="33">
        <f t="shared" si="39"/>
        <v>42984000</v>
      </c>
      <c r="H272" s="107">
        <f>1194000-I272</f>
        <v>834000</v>
      </c>
      <c r="I272" s="107">
        <f t="shared" si="46"/>
        <v>360000</v>
      </c>
      <c r="J272" s="36">
        <v>36</v>
      </c>
      <c r="K272" s="110">
        <v>23</v>
      </c>
      <c r="L272" s="30">
        <f t="shared" si="40"/>
        <v>1194000</v>
      </c>
      <c r="M272" s="30">
        <f t="shared" si="41"/>
        <v>27462000</v>
      </c>
      <c r="N272" s="112">
        <f>F272-(H272*13)</f>
        <v>19158000</v>
      </c>
      <c r="O272" s="34" t="s">
        <v>312</v>
      </c>
      <c r="P272" s="34" t="s">
        <v>31</v>
      </c>
      <c r="Q272" s="111">
        <f t="shared" si="44"/>
        <v>19158000</v>
      </c>
      <c r="R272" s="175">
        <f>+[1]N2!AE295</f>
        <v>19158000</v>
      </c>
      <c r="S272" s="107">
        <f t="shared" si="45"/>
        <v>0</v>
      </c>
      <c r="T272" s="2"/>
      <c r="U272" s="2"/>
      <c r="V272" s="2"/>
      <c r="W272" s="2"/>
      <c r="X272" s="2"/>
      <c r="Y272" s="2"/>
      <c r="Z272" s="2"/>
      <c r="AA272" s="2"/>
      <c r="AB272" s="2"/>
    </row>
    <row r="273" spans="1:28" s="46" customFormat="1">
      <c r="A273" s="36">
        <f t="shared" si="42"/>
        <v>269</v>
      </c>
      <c r="B273" s="104" t="s">
        <v>1011</v>
      </c>
      <c r="C273" s="106" t="s">
        <v>1012</v>
      </c>
      <c r="D273" s="106"/>
      <c r="E273" s="127">
        <v>42459</v>
      </c>
      <c r="F273" s="108">
        <f>30000000</f>
        <v>30000000</v>
      </c>
      <c r="G273" s="108">
        <f t="shared" si="39"/>
        <v>42966000</v>
      </c>
      <c r="H273" s="126">
        <f>1193500-I273</f>
        <v>833500</v>
      </c>
      <c r="I273" s="108">
        <f t="shared" si="46"/>
        <v>360000</v>
      </c>
      <c r="J273" s="120" t="s">
        <v>82</v>
      </c>
      <c r="K273" s="110">
        <v>12</v>
      </c>
      <c r="L273" s="107">
        <f t="shared" si="40"/>
        <v>1193500</v>
      </c>
      <c r="M273" s="107">
        <f t="shared" si="41"/>
        <v>14322000</v>
      </c>
      <c r="N273" s="180">
        <f>F273-(H273*24)</f>
        <v>9996000</v>
      </c>
      <c r="O273" s="117" t="s">
        <v>1013</v>
      </c>
      <c r="P273" s="117" t="s">
        <v>100</v>
      </c>
      <c r="Q273" s="111">
        <f t="shared" si="44"/>
        <v>9996000</v>
      </c>
      <c r="R273" s="175">
        <f>+[1]N2!AE296</f>
        <v>9996000</v>
      </c>
      <c r="S273" s="107">
        <f t="shared" si="45"/>
        <v>0</v>
      </c>
      <c r="T273" s="2"/>
      <c r="U273" s="2"/>
      <c r="V273" s="2"/>
      <c r="W273" s="2"/>
      <c r="X273" s="2"/>
      <c r="Y273" s="2"/>
      <c r="Z273" s="2"/>
      <c r="AA273" s="2"/>
      <c r="AB273" s="2"/>
    </row>
    <row r="274" spans="1:28" s="46" customFormat="1">
      <c r="A274" s="36">
        <f t="shared" si="42"/>
        <v>270</v>
      </c>
      <c r="B274" s="104" t="s">
        <v>1014</v>
      </c>
      <c r="C274" s="105" t="s">
        <v>1015</v>
      </c>
      <c r="D274" s="106" t="s">
        <v>1016</v>
      </c>
      <c r="E274" s="41">
        <v>43034</v>
      </c>
      <c r="F274" s="107">
        <f>23190937+579773+6229290</f>
        <v>30000000</v>
      </c>
      <c r="G274" s="33">
        <f t="shared" si="39"/>
        <v>42984000</v>
      </c>
      <c r="H274" s="118">
        <v>834000</v>
      </c>
      <c r="I274" s="118">
        <f t="shared" si="46"/>
        <v>360000</v>
      </c>
      <c r="J274" s="36">
        <v>36</v>
      </c>
      <c r="K274" s="110">
        <v>31</v>
      </c>
      <c r="L274" s="30">
        <f t="shared" si="40"/>
        <v>1194000</v>
      </c>
      <c r="M274" s="30">
        <f t="shared" si="41"/>
        <v>37014000</v>
      </c>
      <c r="N274" s="38">
        <f>F274-(H274*5)</f>
        <v>25830000</v>
      </c>
      <c r="O274" s="34" t="s">
        <v>306</v>
      </c>
      <c r="P274" s="34" t="s">
        <v>31</v>
      </c>
      <c r="Q274" s="111">
        <f t="shared" si="44"/>
        <v>25830000</v>
      </c>
      <c r="R274" s="175">
        <f>+[1]N2!AE297</f>
        <v>25830000</v>
      </c>
      <c r="S274" s="107">
        <f t="shared" si="45"/>
        <v>0</v>
      </c>
      <c r="T274" s="2"/>
      <c r="U274" s="2"/>
      <c r="V274" s="2"/>
      <c r="W274" s="2"/>
      <c r="X274" s="2"/>
      <c r="Y274" s="2"/>
      <c r="Z274" s="2"/>
      <c r="AA274" s="2"/>
      <c r="AB274" s="2"/>
    </row>
    <row r="275" spans="1:28" s="46" customFormat="1">
      <c r="A275" s="36">
        <f t="shared" si="42"/>
        <v>271</v>
      </c>
      <c r="B275" s="107" t="s">
        <v>1017</v>
      </c>
      <c r="C275" s="119" t="s">
        <v>1018</v>
      </c>
      <c r="D275" s="119"/>
      <c r="E275" s="125">
        <v>42516</v>
      </c>
      <c r="F275" s="108">
        <f>30000000</f>
        <v>30000000</v>
      </c>
      <c r="G275" s="108">
        <f t="shared" si="39"/>
        <v>42984000</v>
      </c>
      <c r="H275" s="131">
        <f>1194000-I275</f>
        <v>834000</v>
      </c>
      <c r="I275" s="108">
        <f t="shared" si="46"/>
        <v>360000</v>
      </c>
      <c r="J275" s="120" t="s">
        <v>82</v>
      </c>
      <c r="K275" s="110">
        <v>14</v>
      </c>
      <c r="L275" s="107">
        <f t="shared" si="40"/>
        <v>1194000</v>
      </c>
      <c r="M275" s="107">
        <f t="shared" si="41"/>
        <v>16716000</v>
      </c>
      <c r="N275" s="179">
        <f>F275-(H275*22)</f>
        <v>11652000</v>
      </c>
      <c r="O275" s="117" t="s">
        <v>1019</v>
      </c>
      <c r="P275" s="117" t="s">
        <v>363</v>
      </c>
      <c r="Q275" s="111">
        <f t="shared" si="44"/>
        <v>11652000</v>
      </c>
      <c r="R275" s="175">
        <f>+[1]N2!AE298</f>
        <v>11652000</v>
      </c>
      <c r="S275" s="107">
        <f t="shared" si="45"/>
        <v>0</v>
      </c>
      <c r="T275" s="2"/>
      <c r="U275" s="2"/>
      <c r="V275" s="2"/>
      <c r="W275" s="2"/>
      <c r="X275" s="2"/>
      <c r="Y275" s="2"/>
      <c r="Z275" s="2"/>
      <c r="AA275" s="2"/>
      <c r="AB275" s="2"/>
    </row>
    <row r="276" spans="1:28" s="46" customFormat="1">
      <c r="A276" s="36">
        <f t="shared" si="42"/>
        <v>272</v>
      </c>
      <c r="B276" s="104" t="s">
        <v>1020</v>
      </c>
      <c r="C276" s="105" t="s">
        <v>1021</v>
      </c>
      <c r="D276" s="106" t="s">
        <v>1022</v>
      </c>
      <c r="E276" s="41">
        <v>43033</v>
      </c>
      <c r="F276" s="107">
        <f>18750000+468750+10781250</f>
        <v>30000000</v>
      </c>
      <c r="G276" s="33">
        <f t="shared" si="39"/>
        <v>38640000</v>
      </c>
      <c r="H276" s="118">
        <f>+F276/J276</f>
        <v>1250000</v>
      </c>
      <c r="I276" s="118">
        <f t="shared" si="46"/>
        <v>360000</v>
      </c>
      <c r="J276" s="36">
        <v>24</v>
      </c>
      <c r="K276" s="110">
        <v>19</v>
      </c>
      <c r="L276" s="30">
        <f t="shared" si="40"/>
        <v>1610000</v>
      </c>
      <c r="M276" s="30">
        <f t="shared" si="41"/>
        <v>30590000</v>
      </c>
      <c r="N276" s="33">
        <f>+H276*K276</f>
        <v>23750000</v>
      </c>
      <c r="O276" s="34" t="s">
        <v>600</v>
      </c>
      <c r="P276" s="34" t="s">
        <v>31</v>
      </c>
      <c r="Q276" s="111">
        <f t="shared" si="44"/>
        <v>23750000</v>
      </c>
      <c r="R276" s="175">
        <f>+[1]N2!AE299</f>
        <v>23750000</v>
      </c>
      <c r="S276" s="107">
        <f t="shared" si="45"/>
        <v>0</v>
      </c>
      <c r="T276" s="2"/>
      <c r="U276" s="2"/>
      <c r="V276" s="2"/>
      <c r="W276" s="2"/>
      <c r="X276" s="2"/>
      <c r="Y276" s="2"/>
      <c r="Z276" s="2"/>
      <c r="AA276" s="2"/>
      <c r="AB276" s="2"/>
    </row>
    <row r="277" spans="1:28" s="46" customFormat="1">
      <c r="A277" s="36">
        <f t="shared" si="42"/>
        <v>273</v>
      </c>
      <c r="B277" s="107" t="s">
        <v>1023</v>
      </c>
      <c r="C277" s="119" t="s">
        <v>1024</v>
      </c>
      <c r="D277" s="119"/>
      <c r="E277" s="125">
        <v>42531</v>
      </c>
      <c r="F277" s="108">
        <f>15000000</f>
        <v>15000000</v>
      </c>
      <c r="G277" s="143">
        <f t="shared" si="39"/>
        <v>19320000</v>
      </c>
      <c r="H277" s="126">
        <f>+F277/J277</f>
        <v>625000</v>
      </c>
      <c r="I277" s="33">
        <f t="shared" si="46"/>
        <v>180000</v>
      </c>
      <c r="J277" s="120" t="s">
        <v>72</v>
      </c>
      <c r="K277" s="110">
        <v>2</v>
      </c>
      <c r="L277" s="178">
        <f t="shared" si="40"/>
        <v>805000</v>
      </c>
      <c r="M277" s="107">
        <f t="shared" si="41"/>
        <v>1610000</v>
      </c>
      <c r="N277" s="107">
        <f>+H277*K277</f>
        <v>1250000</v>
      </c>
      <c r="O277" s="117" t="s">
        <v>1025</v>
      </c>
      <c r="P277" s="117" t="s">
        <v>36</v>
      </c>
      <c r="Q277" s="111">
        <f t="shared" si="44"/>
        <v>1250000</v>
      </c>
      <c r="R277" s="175">
        <f>+[1]N2!AE300</f>
        <v>1250000</v>
      </c>
      <c r="S277" s="107">
        <f t="shared" si="45"/>
        <v>0</v>
      </c>
      <c r="T277" s="2"/>
      <c r="U277" s="2"/>
      <c r="V277" s="2"/>
      <c r="W277" s="2"/>
      <c r="X277" s="2"/>
      <c r="Y277" s="2"/>
      <c r="Z277" s="2"/>
      <c r="AA277" s="2"/>
      <c r="AB277" s="2"/>
    </row>
    <row r="278" spans="1:28" s="46" customFormat="1">
      <c r="A278" s="36">
        <f t="shared" si="42"/>
        <v>274</v>
      </c>
      <c r="B278" s="104" t="s">
        <v>1026</v>
      </c>
      <c r="C278" s="105" t="s">
        <v>1027</v>
      </c>
      <c r="D278" s="106" t="s">
        <v>1028</v>
      </c>
      <c r="E278" s="41">
        <v>43069</v>
      </c>
      <c r="F278" s="107">
        <f>30000000</f>
        <v>30000000</v>
      </c>
      <c r="G278" s="33">
        <f t="shared" si="39"/>
        <v>42984000</v>
      </c>
      <c r="H278" s="107">
        <v>834000</v>
      </c>
      <c r="I278" s="118">
        <f t="shared" si="46"/>
        <v>360000</v>
      </c>
      <c r="J278" s="36">
        <v>36</v>
      </c>
      <c r="K278" s="110">
        <v>32</v>
      </c>
      <c r="L278" s="30">
        <f t="shared" si="40"/>
        <v>1194000</v>
      </c>
      <c r="M278" s="30">
        <f t="shared" si="41"/>
        <v>38208000</v>
      </c>
      <c r="N278" s="38">
        <f>F278-(H278*4)</f>
        <v>26664000</v>
      </c>
      <c r="O278" s="34" t="s">
        <v>241</v>
      </c>
      <c r="P278" s="42" t="s">
        <v>31</v>
      </c>
      <c r="Q278" s="111">
        <f t="shared" si="44"/>
        <v>26664000</v>
      </c>
      <c r="R278" s="175">
        <f>+[1]N2!AE301</f>
        <v>26664000</v>
      </c>
      <c r="S278" s="107">
        <f t="shared" si="45"/>
        <v>0</v>
      </c>
      <c r="T278" s="2"/>
      <c r="U278" s="2"/>
      <c r="V278" s="2"/>
      <c r="W278" s="2"/>
      <c r="X278" s="2"/>
      <c r="Y278" s="2"/>
      <c r="Z278" s="2"/>
      <c r="AA278" s="2"/>
      <c r="AB278" s="2"/>
    </row>
    <row r="279" spans="1:28" s="46" customFormat="1">
      <c r="A279" s="36">
        <f t="shared" si="42"/>
        <v>275</v>
      </c>
      <c r="B279" s="104" t="s">
        <v>1029</v>
      </c>
      <c r="C279" s="105" t="s">
        <v>1030</v>
      </c>
      <c r="D279" s="106" t="s">
        <v>1031</v>
      </c>
      <c r="E279" s="41">
        <v>42908</v>
      </c>
      <c r="F279" s="107">
        <f>10823184+270580+18906236</f>
        <v>30000000</v>
      </c>
      <c r="G279" s="33">
        <f t="shared" si="39"/>
        <v>43002000</v>
      </c>
      <c r="H279" s="126">
        <f>1194500-I279</f>
        <v>834500</v>
      </c>
      <c r="I279" s="107">
        <f t="shared" si="46"/>
        <v>360000</v>
      </c>
      <c r="J279" s="36">
        <v>36</v>
      </c>
      <c r="K279" s="110">
        <v>27</v>
      </c>
      <c r="L279" s="30">
        <f t="shared" si="40"/>
        <v>1194500</v>
      </c>
      <c r="M279" s="30">
        <f t="shared" si="41"/>
        <v>32251500</v>
      </c>
      <c r="N279" s="112">
        <f>F279-(H279*9)</f>
        <v>22489500</v>
      </c>
      <c r="O279" s="34" t="s">
        <v>1032</v>
      </c>
      <c r="P279" s="34" t="s">
        <v>31</v>
      </c>
      <c r="Q279" s="111">
        <f t="shared" si="44"/>
        <v>22489500</v>
      </c>
      <c r="R279" s="175">
        <f>+[1]N2!AE302</f>
        <v>22489500</v>
      </c>
      <c r="S279" s="107">
        <f t="shared" si="45"/>
        <v>0</v>
      </c>
      <c r="T279" s="2"/>
      <c r="U279" s="2"/>
      <c r="V279" s="2"/>
      <c r="W279" s="2"/>
      <c r="X279" s="2"/>
      <c r="Y279" s="2"/>
      <c r="Z279" s="2"/>
      <c r="AA279" s="2"/>
      <c r="AB279" s="2"/>
    </row>
    <row r="280" spans="1:28" s="46" customFormat="1">
      <c r="A280" s="36">
        <f t="shared" si="42"/>
        <v>276</v>
      </c>
      <c r="B280" s="104" t="s">
        <v>1033</v>
      </c>
      <c r="C280" s="105" t="s">
        <v>1034</v>
      </c>
      <c r="D280" s="28" t="s">
        <v>1035</v>
      </c>
      <c r="E280" s="41">
        <v>43004</v>
      </c>
      <c r="F280" s="107">
        <f>14000000+350000+15650000</f>
        <v>30000000</v>
      </c>
      <c r="G280" s="33">
        <f t="shared" si="39"/>
        <v>42984000</v>
      </c>
      <c r="H280" s="118">
        <v>834000</v>
      </c>
      <c r="I280" s="118">
        <f>F280*1.2%</f>
        <v>360000</v>
      </c>
      <c r="J280" s="36">
        <v>36</v>
      </c>
      <c r="K280" s="110">
        <v>30</v>
      </c>
      <c r="L280" s="30">
        <f t="shared" si="40"/>
        <v>1194000</v>
      </c>
      <c r="M280" s="30">
        <f t="shared" si="41"/>
        <v>35820000</v>
      </c>
      <c r="N280" s="112">
        <f>F280-(H280*6)</f>
        <v>24996000</v>
      </c>
      <c r="O280" s="34" t="s">
        <v>79</v>
      </c>
      <c r="P280" s="34" t="s">
        <v>75</v>
      </c>
      <c r="Q280" s="111">
        <f t="shared" si="44"/>
        <v>24996000</v>
      </c>
      <c r="R280" s="175">
        <f>+[1]N2!AE303</f>
        <v>24996000</v>
      </c>
      <c r="S280" s="107">
        <f t="shared" si="45"/>
        <v>0</v>
      </c>
      <c r="T280" s="2"/>
      <c r="U280" s="2"/>
      <c r="V280" s="2"/>
      <c r="W280" s="2"/>
      <c r="X280" s="2"/>
      <c r="Y280" s="2"/>
      <c r="Z280" s="2"/>
      <c r="AA280" s="2"/>
      <c r="AB280" s="2"/>
    </row>
    <row r="281" spans="1:28" s="46" customFormat="1">
      <c r="A281" s="36">
        <f t="shared" si="42"/>
        <v>277</v>
      </c>
      <c r="B281" s="104" t="s">
        <v>1036</v>
      </c>
      <c r="C281" s="106" t="s">
        <v>1037</v>
      </c>
      <c r="D281" s="106" t="s">
        <v>1038</v>
      </c>
      <c r="E281" s="41">
        <v>42850</v>
      </c>
      <c r="F281" s="107">
        <f>6664800+166620+23168580</f>
        <v>30000000</v>
      </c>
      <c r="G281" s="33">
        <f t="shared" si="39"/>
        <v>43002000</v>
      </c>
      <c r="H281" s="107">
        <f>1194500-I281</f>
        <v>834500</v>
      </c>
      <c r="I281" s="107">
        <f t="shared" ref="I281:I287" si="47">+F281*1.2%</f>
        <v>360000</v>
      </c>
      <c r="J281" s="36">
        <v>36</v>
      </c>
      <c r="K281" s="110">
        <v>25</v>
      </c>
      <c r="L281" s="30">
        <f t="shared" si="40"/>
        <v>1194500</v>
      </c>
      <c r="M281" s="30">
        <f t="shared" si="41"/>
        <v>29862500</v>
      </c>
      <c r="N281" s="112">
        <f>F281-(H281*11)</f>
        <v>20820500</v>
      </c>
      <c r="O281" s="34" t="s">
        <v>312</v>
      </c>
      <c r="P281" s="34" t="s">
        <v>31</v>
      </c>
      <c r="Q281" s="111">
        <f t="shared" si="44"/>
        <v>20820500</v>
      </c>
      <c r="R281" s="175">
        <f>+[1]N2!AE304</f>
        <v>20820500</v>
      </c>
      <c r="S281" s="107">
        <f t="shared" si="45"/>
        <v>0</v>
      </c>
      <c r="T281" s="2"/>
      <c r="U281" s="2"/>
      <c r="V281" s="2"/>
      <c r="W281" s="2"/>
      <c r="X281" s="2"/>
      <c r="Y281" s="2"/>
      <c r="Z281" s="2"/>
      <c r="AA281" s="2"/>
      <c r="AB281" s="2"/>
    </row>
    <row r="282" spans="1:28" s="46" customFormat="1">
      <c r="A282" s="36">
        <f t="shared" si="42"/>
        <v>278</v>
      </c>
      <c r="B282" s="104" t="s">
        <v>1039</v>
      </c>
      <c r="C282" s="105" t="s">
        <v>1040</v>
      </c>
      <c r="D282" s="106" t="s">
        <v>1041</v>
      </c>
      <c r="E282" s="28">
        <v>43129</v>
      </c>
      <c r="F282" s="107">
        <f>6662000+166550+23171450</f>
        <v>30000000</v>
      </c>
      <c r="G282" s="33">
        <f t="shared" si="39"/>
        <v>42984000</v>
      </c>
      <c r="H282" s="118">
        <f>1194000-I282</f>
        <v>834000</v>
      </c>
      <c r="I282" s="118">
        <f t="shared" si="47"/>
        <v>360000</v>
      </c>
      <c r="J282" s="36">
        <v>36</v>
      </c>
      <c r="K282" s="110">
        <v>34</v>
      </c>
      <c r="L282" s="30">
        <f t="shared" si="40"/>
        <v>1194000</v>
      </c>
      <c r="M282" s="30">
        <f t="shared" si="41"/>
        <v>40596000</v>
      </c>
      <c r="N282" s="38">
        <f>F282-(H282*2)</f>
        <v>28332000</v>
      </c>
      <c r="O282" s="34" t="s">
        <v>114</v>
      </c>
      <c r="P282" s="34" t="s">
        <v>31</v>
      </c>
      <c r="Q282" s="111">
        <f t="shared" si="44"/>
        <v>28332000</v>
      </c>
      <c r="R282" s="175">
        <f>+[1]N2!AE305</f>
        <v>28332000</v>
      </c>
      <c r="S282" s="107">
        <f t="shared" si="45"/>
        <v>0</v>
      </c>
      <c r="T282" s="2"/>
      <c r="U282" s="2"/>
      <c r="V282" s="2"/>
      <c r="W282" s="2"/>
      <c r="X282" s="2"/>
      <c r="Y282" s="2"/>
      <c r="Z282" s="2"/>
      <c r="AA282" s="2"/>
      <c r="AB282" s="2"/>
    </row>
    <row r="283" spans="1:28" s="46" customFormat="1">
      <c r="A283" s="36">
        <f t="shared" si="42"/>
        <v>279</v>
      </c>
      <c r="B283" s="104" t="s">
        <v>1042</v>
      </c>
      <c r="C283" s="105" t="s">
        <v>1043</v>
      </c>
      <c r="D283" s="106" t="s">
        <v>1044</v>
      </c>
      <c r="E283" s="41">
        <v>43067</v>
      </c>
      <c r="F283" s="107">
        <f>19158000+184800+483570+10173630</f>
        <v>30000000</v>
      </c>
      <c r="G283" s="33">
        <f t="shared" si="39"/>
        <v>42984000</v>
      </c>
      <c r="H283" s="107">
        <f>1194000-I283</f>
        <v>834000</v>
      </c>
      <c r="I283" s="118">
        <f t="shared" si="47"/>
        <v>360000</v>
      </c>
      <c r="J283" s="36">
        <v>36</v>
      </c>
      <c r="K283" s="110">
        <v>32</v>
      </c>
      <c r="L283" s="30">
        <f t="shared" si="40"/>
        <v>1194000</v>
      </c>
      <c r="M283" s="30">
        <f t="shared" si="41"/>
        <v>38208000</v>
      </c>
      <c r="N283" s="38">
        <f>F283-(H283*4)</f>
        <v>26664000</v>
      </c>
      <c r="O283" s="34" t="s">
        <v>1045</v>
      </c>
      <c r="P283" s="34" t="s">
        <v>31</v>
      </c>
      <c r="Q283" s="111">
        <f t="shared" si="44"/>
        <v>26664000</v>
      </c>
      <c r="R283" s="175">
        <f>+[1]N2!AE306</f>
        <v>26664000</v>
      </c>
      <c r="S283" s="107">
        <f t="shared" si="45"/>
        <v>0</v>
      </c>
      <c r="T283" s="2"/>
      <c r="U283" s="2"/>
      <c r="V283" s="2"/>
      <c r="W283" s="2"/>
      <c r="X283" s="2"/>
      <c r="Y283" s="2"/>
      <c r="Z283" s="2"/>
      <c r="AA283" s="2"/>
      <c r="AB283" s="2"/>
    </row>
    <row r="284" spans="1:28" s="46" customFormat="1">
      <c r="A284" s="36">
        <f t="shared" si="42"/>
        <v>280</v>
      </c>
      <c r="B284" s="104" t="s">
        <v>1046</v>
      </c>
      <c r="C284" s="105" t="s">
        <v>1047</v>
      </c>
      <c r="D284" s="106" t="s">
        <v>1048</v>
      </c>
      <c r="E284" s="28">
        <v>43143</v>
      </c>
      <c r="F284" s="107">
        <f>25830000+645750+287005+3237245</f>
        <v>30000000</v>
      </c>
      <c r="G284" s="33">
        <f t="shared" si="39"/>
        <v>42984000</v>
      </c>
      <c r="H284" s="118">
        <f>1194000-I284</f>
        <v>834000</v>
      </c>
      <c r="I284" s="118">
        <f t="shared" si="47"/>
        <v>360000</v>
      </c>
      <c r="J284" s="36">
        <v>36</v>
      </c>
      <c r="K284" s="110">
        <v>34</v>
      </c>
      <c r="L284" s="30">
        <f t="shared" si="40"/>
        <v>1194000</v>
      </c>
      <c r="M284" s="30">
        <f t="shared" si="41"/>
        <v>40596000</v>
      </c>
      <c r="N284" s="38">
        <f>F284-(H284*2)</f>
        <v>28332000</v>
      </c>
      <c r="O284" s="34" t="s">
        <v>1049</v>
      </c>
      <c r="P284" s="34" t="s">
        <v>75</v>
      </c>
      <c r="Q284" s="111">
        <f t="shared" si="44"/>
        <v>28332000</v>
      </c>
      <c r="R284" s="175">
        <f>+[1]N2!AE307</f>
        <v>28332000</v>
      </c>
      <c r="S284" s="107">
        <f t="shared" si="45"/>
        <v>0</v>
      </c>
      <c r="T284" s="2"/>
      <c r="U284" s="2"/>
      <c r="V284" s="2"/>
      <c r="W284" s="2"/>
      <c r="X284" s="2"/>
      <c r="Y284" s="2"/>
      <c r="Z284" s="2"/>
      <c r="AA284" s="2"/>
      <c r="AB284" s="2"/>
    </row>
    <row r="285" spans="1:28" s="46" customFormat="1">
      <c r="A285" s="36">
        <f t="shared" si="42"/>
        <v>281</v>
      </c>
      <c r="B285" s="104" t="s">
        <v>1050</v>
      </c>
      <c r="C285" s="105" t="s">
        <v>1051</v>
      </c>
      <c r="D285" s="106" t="s">
        <v>1052</v>
      </c>
      <c r="E285" s="41">
        <v>43042</v>
      </c>
      <c r="F285" s="107">
        <f>15000000</f>
        <v>15000000</v>
      </c>
      <c r="G285" s="33">
        <f t="shared" si="39"/>
        <v>21492000</v>
      </c>
      <c r="H285" s="118">
        <f>597000-I285</f>
        <v>417000</v>
      </c>
      <c r="I285" s="118">
        <f t="shared" si="47"/>
        <v>180000</v>
      </c>
      <c r="J285" s="36">
        <v>36</v>
      </c>
      <c r="K285" s="110">
        <v>31</v>
      </c>
      <c r="L285" s="30">
        <f t="shared" si="40"/>
        <v>597000</v>
      </c>
      <c r="M285" s="30">
        <f t="shared" si="41"/>
        <v>18507000</v>
      </c>
      <c r="N285" s="38">
        <f>F285-(H285*5)</f>
        <v>12915000</v>
      </c>
      <c r="O285" s="34" t="s">
        <v>834</v>
      </c>
      <c r="P285" s="34" t="s">
        <v>36</v>
      </c>
      <c r="Q285" s="111">
        <f t="shared" si="44"/>
        <v>12915000</v>
      </c>
      <c r="R285" s="175">
        <f>+[1]N2!AE308</f>
        <v>12915000</v>
      </c>
      <c r="S285" s="107">
        <f t="shared" si="45"/>
        <v>0</v>
      </c>
      <c r="T285" s="2"/>
      <c r="U285" s="2"/>
      <c r="V285" s="2"/>
      <c r="W285" s="2"/>
      <c r="X285" s="2"/>
      <c r="Y285" s="2"/>
      <c r="Z285" s="2"/>
      <c r="AA285" s="2"/>
      <c r="AB285" s="2"/>
    </row>
    <row r="286" spans="1:28" s="46" customFormat="1">
      <c r="A286" s="36">
        <f t="shared" si="42"/>
        <v>282</v>
      </c>
      <c r="B286" s="104" t="s">
        <v>1053</v>
      </c>
      <c r="C286" s="105" t="s">
        <v>1054</v>
      </c>
      <c r="D286" s="28" t="s">
        <v>1055</v>
      </c>
      <c r="E286" s="41">
        <v>42941</v>
      </c>
      <c r="F286" s="107">
        <f>16250000+406250+13343750</f>
        <v>30000000</v>
      </c>
      <c r="G286" s="33">
        <f t="shared" si="39"/>
        <v>38640000</v>
      </c>
      <c r="H286" s="126">
        <f>F286/J286</f>
        <v>1250000</v>
      </c>
      <c r="I286" s="107">
        <f t="shared" si="47"/>
        <v>360000</v>
      </c>
      <c r="J286" s="36">
        <v>24</v>
      </c>
      <c r="K286" s="110">
        <v>16</v>
      </c>
      <c r="L286" s="30">
        <f t="shared" si="40"/>
        <v>1610000</v>
      </c>
      <c r="M286" s="30">
        <f t="shared" si="41"/>
        <v>25760000</v>
      </c>
      <c r="N286" s="33">
        <f>+H286*K286</f>
        <v>20000000</v>
      </c>
      <c r="O286" s="34" t="s">
        <v>820</v>
      </c>
      <c r="P286" s="34" t="s">
        <v>31</v>
      </c>
      <c r="Q286" s="111">
        <f t="shared" si="44"/>
        <v>20000000</v>
      </c>
      <c r="R286" s="175">
        <f>+[1]N2!AE309</f>
        <v>20000000</v>
      </c>
      <c r="S286" s="107">
        <f t="shared" si="45"/>
        <v>0</v>
      </c>
      <c r="T286" s="2"/>
      <c r="U286" s="2"/>
      <c r="V286" s="2"/>
      <c r="W286" s="2"/>
      <c r="X286" s="2"/>
      <c r="Y286" s="2"/>
      <c r="Z286" s="2"/>
      <c r="AA286" s="2"/>
      <c r="AB286" s="2"/>
    </row>
    <row r="287" spans="1:28" s="46" customFormat="1">
      <c r="A287" s="36">
        <f t="shared" si="42"/>
        <v>283</v>
      </c>
      <c r="B287" s="104" t="s">
        <v>1056</v>
      </c>
      <c r="C287" s="105" t="s">
        <v>1057</v>
      </c>
      <c r="D287" s="106" t="s">
        <v>1058</v>
      </c>
      <c r="E287" s="41">
        <v>42944</v>
      </c>
      <c r="F287" s="107">
        <f>12496500+312413+17191087</f>
        <v>30000000</v>
      </c>
      <c r="G287" s="33">
        <f t="shared" si="39"/>
        <v>43002000</v>
      </c>
      <c r="H287" s="126">
        <f>1194500-I287</f>
        <v>834500</v>
      </c>
      <c r="I287" s="107">
        <f t="shared" si="47"/>
        <v>360000</v>
      </c>
      <c r="J287" s="36">
        <v>36</v>
      </c>
      <c r="K287" s="110">
        <v>28</v>
      </c>
      <c r="L287" s="30">
        <f t="shared" si="40"/>
        <v>1194500</v>
      </c>
      <c r="M287" s="30">
        <f t="shared" si="41"/>
        <v>33446000</v>
      </c>
      <c r="N287" s="112">
        <f>F287-(H287*8)</f>
        <v>23324000</v>
      </c>
      <c r="O287" s="34" t="s">
        <v>1059</v>
      </c>
      <c r="P287" s="34" t="s">
        <v>31</v>
      </c>
      <c r="Q287" s="111">
        <f t="shared" si="44"/>
        <v>23324000</v>
      </c>
      <c r="R287" s="175">
        <f>+[1]N2!AE310</f>
        <v>23324000</v>
      </c>
      <c r="S287" s="107">
        <f t="shared" si="45"/>
        <v>0</v>
      </c>
      <c r="T287" s="2"/>
      <c r="U287" s="2"/>
      <c r="V287" s="2"/>
      <c r="W287" s="2"/>
      <c r="X287" s="2"/>
      <c r="Y287" s="2"/>
      <c r="Z287" s="2"/>
      <c r="AA287" s="2"/>
      <c r="AB287" s="2"/>
    </row>
    <row r="288" spans="1:28" s="46" customFormat="1">
      <c r="A288" s="36">
        <f t="shared" si="42"/>
        <v>284</v>
      </c>
      <c r="B288" s="104" t="s">
        <v>1060</v>
      </c>
      <c r="C288" s="105" t="s">
        <v>1061</v>
      </c>
      <c r="D288" s="106" t="s">
        <v>1062</v>
      </c>
      <c r="E288" s="41">
        <v>43017</v>
      </c>
      <c r="F288" s="107">
        <f>20826000+520650+211742+8441608</f>
        <v>30000000</v>
      </c>
      <c r="G288" s="33">
        <f t="shared" si="39"/>
        <v>42984000</v>
      </c>
      <c r="H288" s="118">
        <f>1194000-I288</f>
        <v>834000</v>
      </c>
      <c r="I288" s="118">
        <f>F288*1.2%</f>
        <v>360000</v>
      </c>
      <c r="J288" s="36">
        <v>36</v>
      </c>
      <c r="K288" s="110">
        <v>30</v>
      </c>
      <c r="L288" s="30">
        <f t="shared" si="40"/>
        <v>1194000</v>
      </c>
      <c r="M288" s="30">
        <f t="shared" si="41"/>
        <v>35820000</v>
      </c>
      <c r="N288" s="112">
        <f>F288-(H288*6)</f>
        <v>24996000</v>
      </c>
      <c r="O288" s="34" t="s">
        <v>20</v>
      </c>
      <c r="P288" s="34" t="s">
        <v>93</v>
      </c>
      <c r="Q288" s="111">
        <f t="shared" si="44"/>
        <v>24996000</v>
      </c>
      <c r="R288" s="175">
        <f>+[1]N2!AE311</f>
        <v>24996000</v>
      </c>
      <c r="S288" s="107">
        <f t="shared" si="45"/>
        <v>0</v>
      </c>
      <c r="T288" s="2"/>
      <c r="U288" s="2"/>
      <c r="V288" s="2"/>
      <c r="W288" s="2"/>
      <c r="X288" s="2"/>
      <c r="Y288" s="2"/>
      <c r="Z288" s="2"/>
      <c r="AA288" s="2"/>
      <c r="AB288" s="2"/>
    </row>
    <row r="289" spans="1:28" s="46" customFormat="1">
      <c r="A289" s="36">
        <f t="shared" si="42"/>
        <v>285</v>
      </c>
      <c r="B289" s="104" t="s">
        <v>1063</v>
      </c>
      <c r="C289" s="105" t="s">
        <v>1064</v>
      </c>
      <c r="D289" s="106" t="s">
        <v>1065</v>
      </c>
      <c r="E289" s="41">
        <v>43035</v>
      </c>
      <c r="F289" s="107">
        <f>3610600+90265+26299135</f>
        <v>30000000</v>
      </c>
      <c r="G289" s="33">
        <f t="shared" si="39"/>
        <v>42984000</v>
      </c>
      <c r="H289" s="118">
        <v>834000</v>
      </c>
      <c r="I289" s="118">
        <f>+F289*1.2%</f>
        <v>360000</v>
      </c>
      <c r="J289" s="36">
        <v>36</v>
      </c>
      <c r="K289" s="110">
        <v>31</v>
      </c>
      <c r="L289" s="30">
        <f t="shared" si="40"/>
        <v>1194000</v>
      </c>
      <c r="M289" s="30">
        <f t="shared" si="41"/>
        <v>37014000</v>
      </c>
      <c r="N289" s="38">
        <f>F289-(H289*5)</f>
        <v>25830000</v>
      </c>
      <c r="O289" s="34" t="s">
        <v>639</v>
      </c>
      <c r="P289" s="34" t="s">
        <v>75</v>
      </c>
      <c r="Q289" s="111">
        <f t="shared" si="44"/>
        <v>25830000</v>
      </c>
      <c r="R289" s="175">
        <f>+[1]N2!AE312</f>
        <v>25830000</v>
      </c>
      <c r="S289" s="107">
        <f t="shared" si="45"/>
        <v>0</v>
      </c>
      <c r="T289" s="2"/>
      <c r="U289" s="2"/>
      <c r="V289" s="2"/>
      <c r="W289" s="2"/>
      <c r="X289" s="2"/>
      <c r="Y289" s="2"/>
      <c r="Z289" s="2"/>
      <c r="AA289" s="2"/>
      <c r="AB289" s="2"/>
    </row>
    <row r="290" spans="1:28" s="46" customFormat="1">
      <c r="A290" s="36">
        <f t="shared" si="42"/>
        <v>286</v>
      </c>
      <c r="B290" s="104" t="s">
        <v>1066</v>
      </c>
      <c r="C290" s="105" t="s">
        <v>1067</v>
      </c>
      <c r="D290" s="28" t="s">
        <v>1068</v>
      </c>
      <c r="E290" s="41">
        <v>42831</v>
      </c>
      <c r="F290" s="107">
        <f>458275+14541725</f>
        <v>15000000</v>
      </c>
      <c r="G290" s="33">
        <f t="shared" si="39"/>
        <v>21510000</v>
      </c>
      <c r="H290" s="107">
        <v>417500</v>
      </c>
      <c r="I290" s="107">
        <f>+F290*1.2%</f>
        <v>180000</v>
      </c>
      <c r="J290" s="36">
        <v>36</v>
      </c>
      <c r="K290" s="110">
        <v>24</v>
      </c>
      <c r="L290" s="30">
        <f t="shared" si="40"/>
        <v>597500</v>
      </c>
      <c r="M290" s="30">
        <f t="shared" si="41"/>
        <v>14340000</v>
      </c>
      <c r="N290" s="112">
        <f>F290-(H290*12)</f>
        <v>9990000</v>
      </c>
      <c r="O290" s="34" t="s">
        <v>1069</v>
      </c>
      <c r="P290" s="34" t="s">
        <v>36</v>
      </c>
      <c r="Q290" s="111">
        <f t="shared" si="44"/>
        <v>9990000</v>
      </c>
      <c r="R290" s="175">
        <f>+[1]N2!AE313</f>
        <v>9990000</v>
      </c>
      <c r="S290" s="107">
        <f t="shared" si="45"/>
        <v>0</v>
      </c>
      <c r="T290" s="2"/>
      <c r="U290" s="2"/>
      <c r="V290" s="2"/>
      <c r="W290" s="2"/>
      <c r="X290" s="2"/>
      <c r="Y290" s="2"/>
      <c r="Z290" s="2"/>
      <c r="AA290" s="2"/>
      <c r="AB290" s="2"/>
    </row>
    <row r="291" spans="1:28" s="46" customFormat="1">
      <c r="A291" s="36">
        <f t="shared" si="42"/>
        <v>287</v>
      </c>
      <c r="B291" s="107" t="s">
        <v>1070</v>
      </c>
      <c r="C291" s="119" t="s">
        <v>1071</v>
      </c>
      <c r="D291" s="119"/>
      <c r="E291" s="41">
        <v>42670</v>
      </c>
      <c r="F291" s="108">
        <f>2500020+62501+27437479</f>
        <v>30000000</v>
      </c>
      <c r="G291" s="111">
        <f t="shared" si="39"/>
        <v>42984000</v>
      </c>
      <c r="H291" s="107">
        <v>834000</v>
      </c>
      <c r="I291" s="107">
        <f>+F291*1.2%</f>
        <v>360000</v>
      </c>
      <c r="J291" s="120" t="s">
        <v>82</v>
      </c>
      <c r="K291" s="110">
        <v>19</v>
      </c>
      <c r="L291" s="30">
        <f t="shared" si="40"/>
        <v>1194000</v>
      </c>
      <c r="M291" s="107">
        <f t="shared" si="41"/>
        <v>22686000</v>
      </c>
      <c r="N291" s="112">
        <f>F291-(H291*17)</f>
        <v>15822000</v>
      </c>
      <c r="O291" s="117" t="s">
        <v>1072</v>
      </c>
      <c r="P291" s="34" t="s">
        <v>84</v>
      </c>
      <c r="Q291" s="111">
        <f t="shared" si="44"/>
        <v>15822000</v>
      </c>
      <c r="R291" s="175">
        <f>+[1]N2!AE314</f>
        <v>15822000</v>
      </c>
      <c r="S291" s="107">
        <f t="shared" si="45"/>
        <v>0</v>
      </c>
      <c r="T291" s="2"/>
      <c r="U291" s="2"/>
      <c r="V291" s="2"/>
      <c r="W291" s="2"/>
      <c r="X291" s="2"/>
      <c r="Y291" s="2"/>
      <c r="Z291" s="2"/>
      <c r="AA291" s="2"/>
      <c r="AB291" s="2"/>
    </row>
    <row r="292" spans="1:28" s="46" customFormat="1">
      <c r="A292" s="36">
        <f t="shared" si="42"/>
        <v>288</v>
      </c>
      <c r="B292" s="104" t="s">
        <v>1073</v>
      </c>
      <c r="C292" s="105" t="s">
        <v>1074</v>
      </c>
      <c r="D292" s="106" t="s">
        <v>1075</v>
      </c>
      <c r="E292" s="41">
        <v>42928</v>
      </c>
      <c r="F292" s="107">
        <f>20826000+520650+246581+8406769</f>
        <v>30000000</v>
      </c>
      <c r="G292" s="33">
        <f t="shared" si="39"/>
        <v>43002000</v>
      </c>
      <c r="H292" s="126">
        <v>834500</v>
      </c>
      <c r="I292" s="107">
        <f>+F292*1.2%</f>
        <v>360000</v>
      </c>
      <c r="J292" s="36">
        <v>36</v>
      </c>
      <c r="K292" s="110">
        <v>27</v>
      </c>
      <c r="L292" s="30">
        <f t="shared" si="40"/>
        <v>1194500</v>
      </c>
      <c r="M292" s="30">
        <f t="shared" si="41"/>
        <v>32251500</v>
      </c>
      <c r="N292" s="112">
        <f>F292-(H292*9)</f>
        <v>22489500</v>
      </c>
      <c r="O292" s="34" t="s">
        <v>807</v>
      </c>
      <c r="P292" s="34" t="s">
        <v>31</v>
      </c>
      <c r="Q292" s="111">
        <f t="shared" si="44"/>
        <v>22489500</v>
      </c>
      <c r="R292" s="175">
        <f>+[1]N2!AE315</f>
        <v>22489500</v>
      </c>
      <c r="S292" s="107">
        <f t="shared" si="45"/>
        <v>0</v>
      </c>
      <c r="T292" s="2"/>
      <c r="U292" s="2"/>
      <c r="V292" s="2"/>
      <c r="W292" s="2"/>
      <c r="X292" s="2"/>
      <c r="Y292" s="2"/>
      <c r="Z292" s="2"/>
      <c r="AA292" s="2"/>
      <c r="AB292" s="2"/>
    </row>
    <row r="293" spans="1:28" s="46" customFormat="1">
      <c r="A293" s="36">
        <f t="shared" si="42"/>
        <v>289</v>
      </c>
      <c r="B293" s="104" t="s">
        <v>1076</v>
      </c>
      <c r="C293" s="105" t="s">
        <v>1077</v>
      </c>
      <c r="D293" s="106" t="s">
        <v>1078</v>
      </c>
      <c r="E293" s="41">
        <v>42879</v>
      </c>
      <c r="F293" s="107">
        <f>19164500+479113+10356387</f>
        <v>30000000</v>
      </c>
      <c r="G293" s="33">
        <f t="shared" si="39"/>
        <v>43002000</v>
      </c>
      <c r="H293" s="107">
        <v>834500</v>
      </c>
      <c r="I293" s="107">
        <f>+F293*1.2%</f>
        <v>360000</v>
      </c>
      <c r="J293" s="36">
        <v>36</v>
      </c>
      <c r="K293" s="110">
        <v>26</v>
      </c>
      <c r="L293" s="30">
        <f t="shared" si="40"/>
        <v>1194500</v>
      </c>
      <c r="M293" s="30">
        <f t="shared" si="41"/>
        <v>31057000</v>
      </c>
      <c r="N293" s="112">
        <f>F293-(H293*10)</f>
        <v>21655000</v>
      </c>
      <c r="O293" s="34" t="s">
        <v>1079</v>
      </c>
      <c r="P293" s="34" t="s">
        <v>31</v>
      </c>
      <c r="Q293" s="111">
        <f t="shared" si="44"/>
        <v>21655000</v>
      </c>
      <c r="R293" s="175">
        <f>+[1]N2!AE316</f>
        <v>21655000</v>
      </c>
      <c r="S293" s="107">
        <f t="shared" si="45"/>
        <v>0</v>
      </c>
      <c r="T293" s="2"/>
      <c r="U293" s="2"/>
      <c r="V293" s="2"/>
      <c r="W293" s="2"/>
      <c r="X293" s="2"/>
      <c r="Y293" s="2"/>
      <c r="Z293" s="2"/>
      <c r="AA293" s="2"/>
      <c r="AB293" s="2"/>
    </row>
    <row r="294" spans="1:28" s="46" customFormat="1">
      <c r="A294" s="36">
        <f t="shared" si="42"/>
        <v>290</v>
      </c>
      <c r="B294" s="104" t="s">
        <v>1084</v>
      </c>
      <c r="C294" s="105" t="s">
        <v>1085</v>
      </c>
      <c r="D294" s="106" t="s">
        <v>1086</v>
      </c>
      <c r="E294" s="41">
        <v>43003</v>
      </c>
      <c r="F294" s="107">
        <f>20826000+520650+8653350</f>
        <v>30000000</v>
      </c>
      <c r="G294" s="33">
        <f t="shared" si="39"/>
        <v>42984000</v>
      </c>
      <c r="H294" s="118">
        <v>834000</v>
      </c>
      <c r="I294" s="118">
        <f>F294*1.2%</f>
        <v>360000</v>
      </c>
      <c r="J294" s="36">
        <v>36</v>
      </c>
      <c r="K294" s="110">
        <v>30</v>
      </c>
      <c r="L294" s="30">
        <f t="shared" si="40"/>
        <v>1194000</v>
      </c>
      <c r="M294" s="30">
        <f t="shared" si="41"/>
        <v>35820000</v>
      </c>
      <c r="N294" s="112">
        <f>F294-(H294*6)</f>
        <v>24996000</v>
      </c>
      <c r="O294" s="34" t="s">
        <v>312</v>
      </c>
      <c r="P294" s="34" t="s">
        <v>75</v>
      </c>
      <c r="Q294" s="111">
        <f t="shared" si="44"/>
        <v>24996000</v>
      </c>
      <c r="R294" s="175">
        <f>+[1]N2!AE318</f>
        <v>24996000</v>
      </c>
      <c r="S294" s="107">
        <f t="shared" si="45"/>
        <v>0</v>
      </c>
      <c r="T294" s="2"/>
      <c r="U294" s="2"/>
      <c r="V294" s="2"/>
      <c r="W294" s="2"/>
      <c r="X294" s="2"/>
      <c r="Y294" s="2"/>
      <c r="Z294" s="2"/>
      <c r="AA294" s="2"/>
      <c r="AB294" s="2"/>
    </row>
    <row r="295" spans="1:28" s="46" customFormat="1">
      <c r="A295" s="36">
        <f t="shared" si="42"/>
        <v>291</v>
      </c>
      <c r="B295" s="107" t="s">
        <v>1087</v>
      </c>
      <c r="C295" s="119" t="s">
        <v>1088</v>
      </c>
      <c r="D295" s="28" t="s">
        <v>1089</v>
      </c>
      <c r="E295" s="41">
        <v>42702</v>
      </c>
      <c r="F295" s="108">
        <f>7638950+190974+22170076</f>
        <v>30000000</v>
      </c>
      <c r="G295" s="33">
        <f t="shared" si="39"/>
        <v>42984000</v>
      </c>
      <c r="H295" s="107">
        <v>834000</v>
      </c>
      <c r="I295" s="107">
        <f>+F295*1.2%</f>
        <v>360000</v>
      </c>
      <c r="J295" s="120" t="s">
        <v>82</v>
      </c>
      <c r="K295" s="110">
        <v>20</v>
      </c>
      <c r="L295" s="30">
        <f t="shared" si="40"/>
        <v>1194000</v>
      </c>
      <c r="M295" s="107">
        <f t="shared" si="41"/>
        <v>23880000</v>
      </c>
      <c r="N295" s="112">
        <f>F295-(H295*16)</f>
        <v>16656000</v>
      </c>
      <c r="O295" s="117" t="s">
        <v>1090</v>
      </c>
      <c r="P295" s="34" t="s">
        <v>93</v>
      </c>
      <c r="Q295" s="111">
        <f t="shared" si="44"/>
        <v>16656000</v>
      </c>
      <c r="R295" s="175">
        <f>+[1]N2!AE319</f>
        <v>16656000</v>
      </c>
      <c r="S295" s="107">
        <f t="shared" si="45"/>
        <v>0</v>
      </c>
      <c r="T295" s="2"/>
      <c r="U295" s="2"/>
      <c r="V295" s="2"/>
      <c r="W295" s="2"/>
      <c r="X295" s="2"/>
      <c r="Y295" s="2"/>
      <c r="Z295" s="2"/>
      <c r="AA295" s="2"/>
      <c r="AB295" s="2"/>
    </row>
    <row r="296" spans="1:28" s="46" customFormat="1">
      <c r="A296" s="36">
        <f t="shared" si="42"/>
        <v>292</v>
      </c>
      <c r="B296" s="104" t="s">
        <v>1091</v>
      </c>
      <c r="C296" s="105" t="s">
        <v>1092</v>
      </c>
      <c r="D296" s="106" t="s">
        <v>1093</v>
      </c>
      <c r="E296" s="41">
        <v>42976</v>
      </c>
      <c r="F296" s="107">
        <f>17490000+437250+12072750</f>
        <v>30000000</v>
      </c>
      <c r="G296" s="33">
        <f t="shared" si="39"/>
        <v>42984000</v>
      </c>
      <c r="H296" s="126">
        <v>834000</v>
      </c>
      <c r="I296" s="118">
        <f>F296*1.2%</f>
        <v>360000</v>
      </c>
      <c r="J296" s="36">
        <v>36</v>
      </c>
      <c r="K296" s="110">
        <v>29</v>
      </c>
      <c r="L296" s="30">
        <f t="shared" si="40"/>
        <v>1194000</v>
      </c>
      <c r="M296" s="30">
        <f t="shared" si="41"/>
        <v>34626000</v>
      </c>
      <c r="N296" s="112">
        <f>F296-(H296*7)</f>
        <v>24162000</v>
      </c>
      <c r="O296" s="34" t="s">
        <v>149</v>
      </c>
      <c r="P296" s="34" t="s">
        <v>31</v>
      </c>
      <c r="Q296" s="111">
        <f t="shared" si="44"/>
        <v>24162000</v>
      </c>
      <c r="R296" s="175">
        <f>+[1]N2!AE320</f>
        <v>24162000</v>
      </c>
      <c r="S296" s="107">
        <f t="shared" si="45"/>
        <v>0</v>
      </c>
      <c r="T296" s="2"/>
      <c r="U296" s="2"/>
      <c r="V296" s="2"/>
      <c r="W296" s="2"/>
      <c r="X296" s="2"/>
      <c r="Y296" s="2"/>
      <c r="Z296" s="2"/>
      <c r="AA296" s="2"/>
      <c r="AB296" s="2"/>
    </row>
    <row r="297" spans="1:28" s="46" customFormat="1">
      <c r="A297" s="36">
        <f t="shared" si="42"/>
        <v>293</v>
      </c>
      <c r="B297" s="107" t="s">
        <v>1094</v>
      </c>
      <c r="C297" s="119" t="s">
        <v>1095</v>
      </c>
      <c r="D297" s="119"/>
      <c r="E297" s="41">
        <v>42501</v>
      </c>
      <c r="F297" s="108">
        <f>10000080+250002+222968+4526950</f>
        <v>15000000</v>
      </c>
      <c r="G297" s="108">
        <f t="shared" si="39"/>
        <v>21481200</v>
      </c>
      <c r="H297" s="107">
        <f>596700-I297</f>
        <v>416700</v>
      </c>
      <c r="I297" s="108">
        <f>+F297*1.2%</f>
        <v>180000</v>
      </c>
      <c r="J297" s="120" t="s">
        <v>82</v>
      </c>
      <c r="K297" s="110">
        <v>13</v>
      </c>
      <c r="L297" s="107">
        <f t="shared" si="40"/>
        <v>596700</v>
      </c>
      <c r="M297" s="107">
        <f t="shared" si="41"/>
        <v>7757100</v>
      </c>
      <c r="N297" s="179">
        <f>F297-(H297*23)</f>
        <v>5415900</v>
      </c>
      <c r="O297" s="117" t="s">
        <v>377</v>
      </c>
      <c r="P297" s="117" t="s">
        <v>93</v>
      </c>
      <c r="Q297" s="111">
        <f t="shared" si="44"/>
        <v>5415900</v>
      </c>
      <c r="R297" s="175">
        <f>+[1]N2!AE321</f>
        <v>5415900</v>
      </c>
      <c r="S297" s="107">
        <f t="shared" si="45"/>
        <v>0</v>
      </c>
      <c r="T297" s="2"/>
      <c r="U297" s="2"/>
      <c r="V297" s="2"/>
      <c r="W297" s="2"/>
      <c r="X297" s="2"/>
      <c r="Y297" s="2"/>
      <c r="Z297" s="2"/>
      <c r="AA297" s="2"/>
      <c r="AB297" s="2"/>
    </row>
    <row r="298" spans="1:28" s="46" customFormat="1">
      <c r="A298" s="36">
        <f t="shared" si="42"/>
        <v>294</v>
      </c>
      <c r="B298" s="104" t="s">
        <v>1096</v>
      </c>
      <c r="C298" s="105" t="s">
        <v>1097</v>
      </c>
      <c r="D298" s="106" t="s">
        <v>1098</v>
      </c>
      <c r="E298" s="41">
        <v>43063</v>
      </c>
      <c r="F298" s="107">
        <f>18626046+465651+10908303</f>
        <v>30000000</v>
      </c>
      <c r="G298" s="33">
        <f t="shared" si="39"/>
        <v>42984000</v>
      </c>
      <c r="H298" s="118">
        <v>834000</v>
      </c>
      <c r="I298" s="118">
        <f>+F298*1.2%</f>
        <v>360000</v>
      </c>
      <c r="J298" s="36">
        <v>36</v>
      </c>
      <c r="K298" s="110">
        <v>32</v>
      </c>
      <c r="L298" s="30">
        <f t="shared" si="40"/>
        <v>1194000</v>
      </c>
      <c r="M298" s="30">
        <f t="shared" si="41"/>
        <v>38208000</v>
      </c>
      <c r="N298" s="38">
        <f>F298-(H298*4)</f>
        <v>26664000</v>
      </c>
      <c r="O298" s="34" t="s">
        <v>241</v>
      </c>
      <c r="P298" s="42" t="s">
        <v>31</v>
      </c>
      <c r="Q298" s="111">
        <f t="shared" si="44"/>
        <v>26664000</v>
      </c>
      <c r="R298" s="175">
        <f>+[1]N2!AE322</f>
        <v>26664000</v>
      </c>
      <c r="S298" s="107">
        <f t="shared" si="45"/>
        <v>0</v>
      </c>
      <c r="T298" s="2"/>
      <c r="U298" s="2"/>
      <c r="V298" s="2"/>
      <c r="W298" s="2"/>
      <c r="X298" s="2"/>
      <c r="Y298" s="2"/>
      <c r="Z298" s="2"/>
      <c r="AA298" s="2"/>
      <c r="AB298" s="2"/>
    </row>
    <row r="299" spans="1:28" s="46" customFormat="1">
      <c r="A299" s="36">
        <f t="shared" si="42"/>
        <v>295</v>
      </c>
      <c r="B299" s="107" t="s">
        <v>1099</v>
      </c>
      <c r="C299" s="119" t="s">
        <v>1100</v>
      </c>
      <c r="D299" s="119"/>
      <c r="E299" s="41">
        <v>42453</v>
      </c>
      <c r="F299" s="108">
        <f>22500000+562500+6937500</f>
        <v>30000000</v>
      </c>
      <c r="G299" s="108">
        <f t="shared" si="39"/>
        <v>42966000</v>
      </c>
      <c r="H299" s="126">
        <f>1193500-I299</f>
        <v>833500</v>
      </c>
      <c r="I299" s="108">
        <f>+F299*1.2%</f>
        <v>360000</v>
      </c>
      <c r="J299" s="120" t="s">
        <v>82</v>
      </c>
      <c r="K299" s="110">
        <v>12</v>
      </c>
      <c r="L299" s="107">
        <f t="shared" si="40"/>
        <v>1193500</v>
      </c>
      <c r="M299" s="107">
        <f t="shared" si="41"/>
        <v>14322000</v>
      </c>
      <c r="N299" s="180">
        <f>F299-(H299*24)</f>
        <v>9996000</v>
      </c>
      <c r="O299" s="117" t="s">
        <v>1101</v>
      </c>
      <c r="P299" s="117" t="s">
        <v>84</v>
      </c>
      <c r="Q299" s="111">
        <f t="shared" si="44"/>
        <v>9996000</v>
      </c>
      <c r="R299" s="175">
        <f>+[1]N2!AE323</f>
        <v>9996000</v>
      </c>
      <c r="S299" s="107">
        <f t="shared" si="45"/>
        <v>0</v>
      </c>
      <c r="T299" s="2"/>
      <c r="U299" s="2"/>
      <c r="V299" s="2"/>
      <c r="W299" s="2"/>
      <c r="X299" s="2"/>
      <c r="Y299" s="2"/>
      <c r="Z299" s="2"/>
      <c r="AA299" s="2"/>
      <c r="AB299" s="2"/>
    </row>
    <row r="300" spans="1:28" s="46" customFormat="1">
      <c r="A300" s="36">
        <f t="shared" si="42"/>
        <v>296</v>
      </c>
      <c r="B300" s="104" t="s">
        <v>1102</v>
      </c>
      <c r="C300" s="105" t="s">
        <v>1103</v>
      </c>
      <c r="D300" s="28" t="s">
        <v>1104</v>
      </c>
      <c r="E300" s="41">
        <v>43013</v>
      </c>
      <c r="F300" s="107">
        <f>625000+15625+76839+14282536</f>
        <v>15000000</v>
      </c>
      <c r="G300" s="33">
        <f t="shared" si="39"/>
        <v>19320000</v>
      </c>
      <c r="H300" s="118">
        <f>+F300/J300</f>
        <v>625000</v>
      </c>
      <c r="I300" s="118">
        <f>F300*1.2%</f>
        <v>180000</v>
      </c>
      <c r="J300" s="36">
        <v>24</v>
      </c>
      <c r="K300" s="110">
        <v>18</v>
      </c>
      <c r="L300" s="30">
        <f t="shared" si="40"/>
        <v>805000</v>
      </c>
      <c r="M300" s="30">
        <f t="shared" si="41"/>
        <v>14490000</v>
      </c>
      <c r="N300" s="33">
        <f>+H300*K300</f>
        <v>11250000</v>
      </c>
      <c r="O300" s="34" t="s">
        <v>1105</v>
      </c>
      <c r="P300" s="34" t="s">
        <v>73</v>
      </c>
      <c r="Q300" s="111">
        <f t="shared" si="44"/>
        <v>11250000</v>
      </c>
      <c r="R300" s="175">
        <f>+[1]N2!AE324</f>
        <v>11250000</v>
      </c>
      <c r="S300" s="107">
        <f t="shared" si="45"/>
        <v>0</v>
      </c>
      <c r="T300" s="2"/>
      <c r="U300" s="2"/>
      <c r="V300" s="2"/>
      <c r="W300" s="2"/>
      <c r="X300" s="2"/>
      <c r="Y300" s="2"/>
      <c r="Z300" s="2"/>
      <c r="AA300" s="2"/>
      <c r="AB300" s="2"/>
    </row>
    <row r="301" spans="1:28" s="46" customFormat="1">
      <c r="A301" s="36">
        <f t="shared" si="42"/>
        <v>297</v>
      </c>
      <c r="B301" s="107" t="s">
        <v>1106</v>
      </c>
      <c r="C301" s="119" t="s">
        <v>1107</v>
      </c>
      <c r="D301" s="119"/>
      <c r="E301" s="41">
        <v>42674</v>
      </c>
      <c r="F301" s="108">
        <f>30000000</f>
        <v>30000000</v>
      </c>
      <c r="G301" s="111">
        <f t="shared" si="39"/>
        <v>42984000</v>
      </c>
      <c r="H301" s="107">
        <f>1194000-I301</f>
        <v>834000</v>
      </c>
      <c r="I301" s="107">
        <f>+F301*1.2%</f>
        <v>360000</v>
      </c>
      <c r="J301" s="120" t="s">
        <v>82</v>
      </c>
      <c r="K301" s="110">
        <v>19</v>
      </c>
      <c r="L301" s="30">
        <f t="shared" si="40"/>
        <v>1194000</v>
      </c>
      <c r="M301" s="107">
        <f t="shared" si="41"/>
        <v>22686000</v>
      </c>
      <c r="N301" s="112">
        <f>F301-(H301*17)</f>
        <v>15822000</v>
      </c>
      <c r="O301" s="117" t="s">
        <v>1108</v>
      </c>
      <c r="P301" s="117" t="s">
        <v>36</v>
      </c>
      <c r="Q301" s="111">
        <f t="shared" si="44"/>
        <v>15822000</v>
      </c>
      <c r="R301" s="175">
        <f>+[1]N2!AE325</f>
        <v>15822000</v>
      </c>
      <c r="S301" s="107">
        <f t="shared" si="45"/>
        <v>0</v>
      </c>
      <c r="T301" s="2"/>
      <c r="U301" s="2"/>
      <c r="V301" s="2"/>
      <c r="W301" s="2"/>
      <c r="X301" s="2"/>
      <c r="Y301" s="2"/>
      <c r="Z301" s="2"/>
      <c r="AA301" s="2"/>
      <c r="AB301" s="2"/>
    </row>
    <row r="302" spans="1:28" s="46" customFormat="1">
      <c r="A302" s="36">
        <f t="shared" si="42"/>
        <v>298</v>
      </c>
      <c r="B302" s="104" t="s">
        <v>1109</v>
      </c>
      <c r="C302" s="105" t="s">
        <v>1110</v>
      </c>
      <c r="D302" s="106" t="s">
        <v>1111</v>
      </c>
      <c r="E302" s="41">
        <v>43005</v>
      </c>
      <c r="F302" s="107">
        <f>10000000</f>
        <v>10000000</v>
      </c>
      <c r="G302" s="33">
        <f t="shared" si="39"/>
        <v>14328000</v>
      </c>
      <c r="H302" s="126">
        <f>398000-I302</f>
        <v>278000</v>
      </c>
      <c r="I302" s="118">
        <f>F302*1.2%</f>
        <v>120000</v>
      </c>
      <c r="J302" s="36">
        <v>36</v>
      </c>
      <c r="K302" s="110">
        <v>30</v>
      </c>
      <c r="L302" s="30">
        <f t="shared" si="40"/>
        <v>398000</v>
      </c>
      <c r="M302" s="30">
        <f t="shared" si="41"/>
        <v>11940000</v>
      </c>
      <c r="N302" s="112">
        <f>F302-(H302*6)</f>
        <v>8332000</v>
      </c>
      <c r="O302" s="34" t="s">
        <v>79</v>
      </c>
      <c r="P302" s="34" t="s">
        <v>36</v>
      </c>
      <c r="Q302" s="111">
        <f t="shared" si="44"/>
        <v>8332000</v>
      </c>
      <c r="R302" s="175">
        <f>+[1]N2!AE326</f>
        <v>8332000</v>
      </c>
      <c r="S302" s="107">
        <f t="shared" si="45"/>
        <v>0</v>
      </c>
      <c r="T302" s="2"/>
      <c r="U302" s="2"/>
      <c r="V302" s="2"/>
      <c r="W302" s="2"/>
      <c r="X302" s="2"/>
      <c r="Y302" s="2"/>
      <c r="Z302" s="2"/>
      <c r="AA302" s="2"/>
      <c r="AB302" s="2"/>
    </row>
    <row r="303" spans="1:28" s="46" customFormat="1">
      <c r="A303" s="36">
        <f t="shared" si="42"/>
        <v>299</v>
      </c>
      <c r="B303" s="107" t="s">
        <v>1112</v>
      </c>
      <c r="C303" s="119" t="s">
        <v>1113</v>
      </c>
      <c r="D303" s="119"/>
      <c r="E303" s="41">
        <v>42283</v>
      </c>
      <c r="F303" s="108">
        <f>30000000</f>
        <v>30000000</v>
      </c>
      <c r="G303" s="176">
        <f t="shared" si="39"/>
        <v>42966000</v>
      </c>
      <c r="H303" s="107">
        <v>833500</v>
      </c>
      <c r="I303" s="108">
        <f>+F303*1.2%</f>
        <v>360000</v>
      </c>
      <c r="J303" s="120" t="s">
        <v>82</v>
      </c>
      <c r="K303" s="110">
        <v>6</v>
      </c>
      <c r="L303" s="107">
        <f t="shared" si="40"/>
        <v>1193500</v>
      </c>
      <c r="M303" s="107">
        <f t="shared" si="41"/>
        <v>7161000</v>
      </c>
      <c r="N303" s="179">
        <f>F303-(H303*30)</f>
        <v>4995000</v>
      </c>
      <c r="O303" s="117" t="s">
        <v>1114</v>
      </c>
      <c r="P303" s="117" t="s">
        <v>36</v>
      </c>
      <c r="Q303" s="111">
        <f t="shared" si="44"/>
        <v>4995000</v>
      </c>
      <c r="R303" s="175">
        <f>+[1]N2!AE327</f>
        <v>4995000</v>
      </c>
      <c r="S303" s="107">
        <f t="shared" si="45"/>
        <v>0</v>
      </c>
      <c r="T303" s="2"/>
      <c r="U303" s="2"/>
      <c r="V303" s="2"/>
      <c r="W303" s="2"/>
      <c r="X303" s="2"/>
      <c r="Y303" s="2"/>
      <c r="Z303" s="2"/>
      <c r="AA303" s="2"/>
      <c r="AB303" s="2"/>
    </row>
    <row r="304" spans="1:28" s="46" customFormat="1">
      <c r="A304" s="36">
        <f t="shared" si="42"/>
        <v>300</v>
      </c>
      <c r="B304" s="104" t="s">
        <v>1115</v>
      </c>
      <c r="C304" s="105" t="s">
        <v>1116</v>
      </c>
      <c r="D304" s="106" t="s">
        <v>1117</v>
      </c>
      <c r="E304" s="28">
        <v>43110</v>
      </c>
      <c r="F304" s="107">
        <f>692500+17313+174194+29115993</f>
        <v>30000000</v>
      </c>
      <c r="G304" s="33">
        <f t="shared" si="39"/>
        <v>42984000</v>
      </c>
      <c r="H304" s="118">
        <f>1194000-I304</f>
        <v>834000</v>
      </c>
      <c r="I304" s="118">
        <f>+F304*1.2%</f>
        <v>360000</v>
      </c>
      <c r="J304" s="36">
        <v>36</v>
      </c>
      <c r="K304" s="110">
        <v>33</v>
      </c>
      <c r="L304" s="30">
        <f t="shared" si="40"/>
        <v>1194000</v>
      </c>
      <c r="M304" s="30">
        <f t="shared" si="41"/>
        <v>39402000</v>
      </c>
      <c r="N304" s="38">
        <f>F304-(H304*3)</f>
        <v>27498000</v>
      </c>
      <c r="O304" s="34" t="s">
        <v>665</v>
      </c>
      <c r="P304" s="34" t="s">
        <v>75</v>
      </c>
      <c r="Q304" s="111">
        <f t="shared" si="44"/>
        <v>27498000</v>
      </c>
      <c r="R304" s="175">
        <f>+[1]N2!AE328</f>
        <v>27498000</v>
      </c>
      <c r="S304" s="107">
        <f t="shared" si="45"/>
        <v>0</v>
      </c>
      <c r="T304" s="2"/>
      <c r="U304" s="2"/>
      <c r="V304" s="2"/>
      <c r="W304" s="2"/>
      <c r="X304" s="2"/>
      <c r="Y304" s="2"/>
      <c r="Z304" s="2"/>
      <c r="AA304" s="2"/>
      <c r="AB304" s="2"/>
    </row>
    <row r="305" spans="1:28" s="46" customFormat="1">
      <c r="A305" s="36">
        <f t="shared" si="42"/>
        <v>301</v>
      </c>
      <c r="B305" s="104" t="s">
        <v>1118</v>
      </c>
      <c r="C305" s="105" t="s">
        <v>1119</v>
      </c>
      <c r="D305" s="106" t="s">
        <v>1120</v>
      </c>
      <c r="E305" s="28">
        <v>43109</v>
      </c>
      <c r="F305" s="107">
        <f>2500000</f>
        <v>2500000</v>
      </c>
      <c r="G305" s="33">
        <f t="shared" si="39"/>
        <v>2800000</v>
      </c>
      <c r="H305" s="118">
        <f>+F305/J305</f>
        <v>250000</v>
      </c>
      <c r="I305" s="118">
        <f>+F305*1.2%</f>
        <v>30000</v>
      </c>
      <c r="J305" s="36">
        <v>10</v>
      </c>
      <c r="K305" s="110">
        <v>7</v>
      </c>
      <c r="L305" s="30">
        <f t="shared" si="40"/>
        <v>280000</v>
      </c>
      <c r="M305" s="30">
        <f t="shared" si="41"/>
        <v>1960000</v>
      </c>
      <c r="N305" s="33">
        <f>+H305*K305</f>
        <v>1750000</v>
      </c>
      <c r="O305" s="34" t="s">
        <v>1121</v>
      </c>
      <c r="P305" s="34" t="s">
        <v>36</v>
      </c>
      <c r="Q305" s="111">
        <f t="shared" si="44"/>
        <v>1750000</v>
      </c>
      <c r="R305" s="175">
        <f>+[1]N2!AE329</f>
        <v>1750000</v>
      </c>
      <c r="S305" s="107">
        <f t="shared" si="45"/>
        <v>0</v>
      </c>
      <c r="T305" s="2"/>
      <c r="U305" s="2"/>
      <c r="V305" s="2"/>
      <c r="W305" s="2"/>
      <c r="X305" s="2"/>
      <c r="Y305" s="2"/>
      <c r="Z305" s="2"/>
      <c r="AA305" s="2"/>
      <c r="AB305" s="2"/>
    </row>
    <row r="306" spans="1:28" s="46" customFormat="1">
      <c r="A306" s="36">
        <f t="shared" si="42"/>
        <v>302</v>
      </c>
      <c r="B306" s="107" t="s">
        <v>1122</v>
      </c>
      <c r="C306" s="119" t="s">
        <v>1123</v>
      </c>
      <c r="D306" s="119"/>
      <c r="E306" s="41">
        <v>42643</v>
      </c>
      <c r="F306" s="108">
        <f>9000000</f>
        <v>9000000</v>
      </c>
      <c r="G306" s="111">
        <f t="shared" si="39"/>
        <v>11592000</v>
      </c>
      <c r="H306" s="107">
        <f>+F306/J306</f>
        <v>375000</v>
      </c>
      <c r="I306" s="108">
        <f>+F306*1.2%</f>
        <v>108000</v>
      </c>
      <c r="J306" s="120" t="s">
        <v>72</v>
      </c>
      <c r="K306" s="110">
        <v>6</v>
      </c>
      <c r="L306" s="30">
        <f t="shared" si="40"/>
        <v>483000</v>
      </c>
      <c r="M306" s="107">
        <f t="shared" si="41"/>
        <v>2898000</v>
      </c>
      <c r="N306" s="107">
        <f>+H306*K306</f>
        <v>2250000</v>
      </c>
      <c r="O306" s="117" t="s">
        <v>1124</v>
      </c>
      <c r="P306" s="117" t="s">
        <v>36</v>
      </c>
      <c r="Q306" s="111">
        <f t="shared" si="44"/>
        <v>2250000</v>
      </c>
      <c r="R306" s="175">
        <f>+[1]N2!AE330</f>
        <v>2250000</v>
      </c>
      <c r="S306" s="107">
        <f t="shared" si="45"/>
        <v>0</v>
      </c>
      <c r="T306" s="2"/>
      <c r="U306" s="2"/>
      <c r="V306" s="2"/>
      <c r="W306" s="2"/>
      <c r="X306" s="2"/>
      <c r="Y306" s="2"/>
      <c r="Z306" s="2"/>
      <c r="AA306" s="2"/>
      <c r="AB306" s="2"/>
    </row>
    <row r="307" spans="1:28" s="46" customFormat="1">
      <c r="A307" s="36">
        <f t="shared" si="42"/>
        <v>303</v>
      </c>
      <c r="B307" s="104" t="s">
        <v>1125</v>
      </c>
      <c r="C307" s="105" t="s">
        <v>1126</v>
      </c>
      <c r="D307" s="106" t="s">
        <v>1126</v>
      </c>
      <c r="E307" s="41">
        <v>42978</v>
      </c>
      <c r="F307" s="107">
        <f>10000000</f>
        <v>10000000</v>
      </c>
      <c r="G307" s="33">
        <f t="shared" si="39"/>
        <v>12888000</v>
      </c>
      <c r="H307" s="126">
        <v>417000</v>
      </c>
      <c r="I307" s="118">
        <f>F307*1.2%</f>
        <v>120000</v>
      </c>
      <c r="J307" s="36">
        <v>24</v>
      </c>
      <c r="K307" s="110">
        <v>17</v>
      </c>
      <c r="L307" s="30">
        <f t="shared" si="40"/>
        <v>537000</v>
      </c>
      <c r="M307" s="30">
        <f t="shared" si="41"/>
        <v>9129000</v>
      </c>
      <c r="N307" s="112">
        <f>F307-(H307*7)</f>
        <v>7081000</v>
      </c>
      <c r="O307" s="34" t="s">
        <v>20</v>
      </c>
      <c r="P307" s="34" t="s">
        <v>36</v>
      </c>
      <c r="Q307" s="111">
        <f t="shared" si="44"/>
        <v>7081000</v>
      </c>
      <c r="R307" s="175">
        <f>+[1]N2!AE331</f>
        <v>7081000</v>
      </c>
      <c r="S307" s="107">
        <f t="shared" si="45"/>
        <v>0</v>
      </c>
      <c r="T307" s="2"/>
      <c r="U307" s="2"/>
      <c r="V307" s="2"/>
      <c r="W307" s="2"/>
      <c r="X307" s="2"/>
      <c r="Y307" s="2"/>
      <c r="Z307" s="2"/>
      <c r="AA307" s="2"/>
      <c r="AB307" s="2"/>
    </row>
    <row r="308" spans="1:28" s="46" customFormat="1">
      <c r="A308" s="36">
        <f t="shared" si="42"/>
        <v>304</v>
      </c>
      <c r="B308" s="107" t="s">
        <v>1127</v>
      </c>
      <c r="C308" s="119" t="s">
        <v>1128</v>
      </c>
      <c r="D308" s="119"/>
      <c r="E308" s="41">
        <v>42671</v>
      </c>
      <c r="F308" s="108">
        <f>15832200+1499500+433293+12235007</f>
        <v>30000000</v>
      </c>
      <c r="G308" s="111">
        <f t="shared" si="39"/>
        <v>42984000</v>
      </c>
      <c r="H308" s="131">
        <f>1194000-I308</f>
        <v>834000</v>
      </c>
      <c r="I308" s="107">
        <f>+F308*1.2%</f>
        <v>360000</v>
      </c>
      <c r="J308" s="120" t="s">
        <v>82</v>
      </c>
      <c r="K308" s="110">
        <v>19</v>
      </c>
      <c r="L308" s="30">
        <f t="shared" si="40"/>
        <v>1194000</v>
      </c>
      <c r="M308" s="107">
        <f t="shared" si="41"/>
        <v>22686000</v>
      </c>
      <c r="N308" s="112">
        <f>F308-(H308*17)</f>
        <v>15822000</v>
      </c>
      <c r="O308" s="117" t="s">
        <v>241</v>
      </c>
      <c r="P308" s="117" t="s">
        <v>84</v>
      </c>
      <c r="Q308" s="111">
        <f t="shared" si="44"/>
        <v>15822000</v>
      </c>
      <c r="R308" s="175">
        <f>+[1]N2!AE332</f>
        <v>15822000</v>
      </c>
      <c r="S308" s="107">
        <f t="shared" si="45"/>
        <v>0</v>
      </c>
      <c r="T308" s="2"/>
      <c r="U308" s="2"/>
      <c r="V308" s="2"/>
      <c r="W308" s="2"/>
      <c r="X308" s="2"/>
      <c r="Y308" s="2"/>
      <c r="Z308" s="2"/>
      <c r="AA308" s="2"/>
      <c r="AB308" s="2"/>
    </row>
    <row r="309" spans="1:28" s="46" customFormat="1">
      <c r="A309" s="36">
        <f t="shared" si="42"/>
        <v>305</v>
      </c>
      <c r="B309" s="104" t="s">
        <v>1129</v>
      </c>
      <c r="C309" s="105" t="s">
        <v>1130</v>
      </c>
      <c r="D309" s="106" t="s">
        <v>1131</v>
      </c>
      <c r="E309" s="41">
        <v>42991</v>
      </c>
      <c r="F309" s="107">
        <f>10000000</f>
        <v>10000000</v>
      </c>
      <c r="G309" s="33">
        <f t="shared" si="39"/>
        <v>14328000</v>
      </c>
      <c r="H309" s="126">
        <f>398000-I309</f>
        <v>278000</v>
      </c>
      <c r="I309" s="118">
        <f>F309*1.2%</f>
        <v>120000</v>
      </c>
      <c r="J309" s="36">
        <v>36</v>
      </c>
      <c r="K309" s="110">
        <v>29</v>
      </c>
      <c r="L309" s="30">
        <f t="shared" si="40"/>
        <v>398000</v>
      </c>
      <c r="M309" s="30">
        <f t="shared" si="41"/>
        <v>11542000</v>
      </c>
      <c r="N309" s="112">
        <f>F309-(H309*7)</f>
        <v>8054000</v>
      </c>
      <c r="O309" s="34" t="s">
        <v>755</v>
      </c>
      <c r="P309" s="34" t="s">
        <v>36</v>
      </c>
      <c r="Q309" s="111">
        <f t="shared" si="44"/>
        <v>8054000</v>
      </c>
      <c r="R309" s="175">
        <f>+[1]N2!AE333</f>
        <v>8054000</v>
      </c>
      <c r="S309" s="107">
        <f t="shared" si="45"/>
        <v>0</v>
      </c>
      <c r="T309" s="2"/>
      <c r="U309" s="2"/>
      <c r="V309" s="2"/>
      <c r="W309" s="2"/>
      <c r="X309" s="2"/>
      <c r="Y309" s="2"/>
      <c r="Z309" s="2"/>
      <c r="AA309" s="2"/>
      <c r="AB309" s="2"/>
    </row>
    <row r="310" spans="1:28" s="46" customFormat="1">
      <c r="A310" s="36">
        <f t="shared" si="42"/>
        <v>306</v>
      </c>
      <c r="B310" s="104" t="s">
        <v>1132</v>
      </c>
      <c r="C310" s="105" t="s">
        <v>1133</v>
      </c>
      <c r="D310" s="106" t="s">
        <v>1134</v>
      </c>
      <c r="E310" s="41">
        <v>42972</v>
      </c>
      <c r="F310" s="107">
        <f>20000000</f>
        <v>20000000</v>
      </c>
      <c r="G310" s="33">
        <f t="shared" si="39"/>
        <v>22884000</v>
      </c>
      <c r="H310" s="126">
        <v>1667000</v>
      </c>
      <c r="I310" s="118">
        <f>F310*1.2%</f>
        <v>240000</v>
      </c>
      <c r="J310" s="36">
        <v>12</v>
      </c>
      <c r="K310" s="110">
        <v>5</v>
      </c>
      <c r="L310" s="30">
        <f t="shared" si="40"/>
        <v>1907000</v>
      </c>
      <c r="M310" s="30">
        <f t="shared" si="41"/>
        <v>9535000</v>
      </c>
      <c r="N310" s="112">
        <f>F310-(H310*7)</f>
        <v>8331000</v>
      </c>
      <c r="O310" s="34" t="s">
        <v>79</v>
      </c>
      <c r="P310" s="34" t="s">
        <v>36</v>
      </c>
      <c r="Q310" s="111">
        <f t="shared" si="44"/>
        <v>8331000</v>
      </c>
      <c r="R310" s="175">
        <f>+[1]N2!AE334</f>
        <v>8331000</v>
      </c>
      <c r="S310" s="107">
        <f t="shared" si="45"/>
        <v>0</v>
      </c>
      <c r="T310" s="2"/>
      <c r="U310" s="2"/>
      <c r="V310" s="2"/>
      <c r="W310" s="2"/>
      <c r="X310" s="2"/>
      <c r="Y310" s="2"/>
      <c r="Z310" s="2"/>
      <c r="AA310" s="2"/>
      <c r="AB310" s="2"/>
    </row>
    <row r="311" spans="1:28" s="46" customFormat="1">
      <c r="A311" s="36">
        <f t="shared" si="42"/>
        <v>307</v>
      </c>
      <c r="B311" s="104" t="s">
        <v>1135</v>
      </c>
      <c r="C311" s="105" t="s">
        <v>1136</v>
      </c>
      <c r="D311" s="28" t="s">
        <v>1137</v>
      </c>
      <c r="E311" s="41">
        <v>43045</v>
      </c>
      <c r="F311" s="126">
        <f>11250000+281250+189290+18279460</f>
        <v>30000000</v>
      </c>
      <c r="G311" s="33">
        <f t="shared" si="39"/>
        <v>38640000</v>
      </c>
      <c r="H311" s="118">
        <f>+F311/J311</f>
        <v>1250000</v>
      </c>
      <c r="I311" s="118">
        <f t="shared" ref="I311:I317" si="48">+F311*1.2%</f>
        <v>360000</v>
      </c>
      <c r="J311" s="36">
        <v>24</v>
      </c>
      <c r="K311" s="110">
        <v>19</v>
      </c>
      <c r="L311" s="30">
        <f t="shared" si="40"/>
        <v>1610000</v>
      </c>
      <c r="M311" s="30">
        <f t="shared" si="41"/>
        <v>30590000</v>
      </c>
      <c r="N311" s="33">
        <f>+H311*K311</f>
        <v>23750000</v>
      </c>
      <c r="O311" s="34" t="s">
        <v>398</v>
      </c>
      <c r="P311" s="34" t="s">
        <v>75</v>
      </c>
      <c r="Q311" s="111">
        <f t="shared" si="44"/>
        <v>23750000</v>
      </c>
      <c r="R311" s="175">
        <f>+[1]N2!AE335</f>
        <v>23750000</v>
      </c>
      <c r="S311" s="107">
        <f t="shared" si="45"/>
        <v>0</v>
      </c>
      <c r="T311" s="2"/>
      <c r="U311" s="2"/>
      <c r="V311" s="2"/>
      <c r="W311" s="2"/>
      <c r="X311" s="2"/>
      <c r="Y311" s="2"/>
      <c r="Z311" s="2"/>
      <c r="AA311" s="2"/>
      <c r="AB311" s="2"/>
    </row>
    <row r="312" spans="1:28" s="46" customFormat="1">
      <c r="A312" s="36">
        <f t="shared" si="42"/>
        <v>308</v>
      </c>
      <c r="B312" s="107" t="s">
        <v>1138</v>
      </c>
      <c r="C312" s="119" t="s">
        <v>1139</v>
      </c>
      <c r="D312" s="119"/>
      <c r="E312" s="125">
        <v>42551</v>
      </c>
      <c r="F312" s="108">
        <f>11667600+291690+18040710</f>
        <v>30000000</v>
      </c>
      <c r="G312" s="111">
        <f t="shared" si="39"/>
        <v>42984000</v>
      </c>
      <c r="H312" s="126">
        <v>834000</v>
      </c>
      <c r="I312" s="33">
        <f t="shared" si="48"/>
        <v>360000</v>
      </c>
      <c r="J312" s="120" t="s">
        <v>82</v>
      </c>
      <c r="K312" s="110">
        <v>15</v>
      </c>
      <c r="L312" s="182">
        <f t="shared" si="40"/>
        <v>1194000</v>
      </c>
      <c r="M312" s="107">
        <f t="shared" si="41"/>
        <v>17910000</v>
      </c>
      <c r="N312" s="179">
        <f>F312-(H312*21)</f>
        <v>12486000</v>
      </c>
      <c r="O312" s="117" t="s">
        <v>1049</v>
      </c>
      <c r="P312" s="117" t="s">
        <v>84</v>
      </c>
      <c r="Q312" s="111">
        <f t="shared" si="44"/>
        <v>12486000</v>
      </c>
      <c r="R312" s="175">
        <f>+[1]N2!AE336</f>
        <v>12486000</v>
      </c>
      <c r="S312" s="107">
        <f t="shared" si="45"/>
        <v>0</v>
      </c>
      <c r="T312" s="2"/>
      <c r="U312" s="2"/>
      <c r="V312" s="2"/>
      <c r="W312" s="2"/>
      <c r="X312" s="2"/>
      <c r="Y312" s="2"/>
      <c r="Z312" s="2"/>
      <c r="AA312" s="2"/>
      <c r="AB312" s="2"/>
    </row>
    <row r="313" spans="1:28" s="46" customFormat="1">
      <c r="A313" s="36">
        <f t="shared" si="42"/>
        <v>309</v>
      </c>
      <c r="B313" s="104" t="s">
        <v>1140</v>
      </c>
      <c r="C313" s="105" t="s">
        <v>1141</v>
      </c>
      <c r="D313" s="106" t="s">
        <v>1142</v>
      </c>
      <c r="E313" s="28">
        <v>43091</v>
      </c>
      <c r="F313" s="107">
        <f>2000000</f>
        <v>2000000</v>
      </c>
      <c r="G313" s="33">
        <f t="shared" si="39"/>
        <v>2292000</v>
      </c>
      <c r="H313" s="118">
        <f>191000-I313</f>
        <v>167000</v>
      </c>
      <c r="I313" s="118">
        <f t="shared" si="48"/>
        <v>24000</v>
      </c>
      <c r="J313" s="36">
        <v>12</v>
      </c>
      <c r="K313" s="110">
        <v>9</v>
      </c>
      <c r="L313" s="30">
        <f t="shared" si="40"/>
        <v>191000</v>
      </c>
      <c r="M313" s="30">
        <f t="shared" si="41"/>
        <v>1719000</v>
      </c>
      <c r="N313" s="38">
        <f>F313-(H313*3)</f>
        <v>1499000</v>
      </c>
      <c r="O313" s="34" t="s">
        <v>665</v>
      </c>
      <c r="P313" s="34" t="s">
        <v>36</v>
      </c>
      <c r="Q313" s="111">
        <f t="shared" si="44"/>
        <v>1499000</v>
      </c>
      <c r="R313" s="175">
        <f>+[1]N2!AE337</f>
        <v>1499000</v>
      </c>
      <c r="S313" s="107">
        <f t="shared" si="45"/>
        <v>0</v>
      </c>
      <c r="T313" s="2"/>
      <c r="U313" s="2"/>
      <c r="V313" s="2"/>
      <c r="W313" s="2"/>
      <c r="X313" s="2"/>
      <c r="Y313" s="2"/>
      <c r="Z313" s="2"/>
      <c r="AA313" s="2"/>
      <c r="AB313" s="2"/>
    </row>
    <row r="314" spans="1:28" s="46" customFormat="1">
      <c r="A314" s="36">
        <f t="shared" si="42"/>
        <v>310</v>
      </c>
      <c r="B314" s="104" t="s">
        <v>1143</v>
      </c>
      <c r="C314" s="105" t="s">
        <v>1144</v>
      </c>
      <c r="D314" s="106" t="s">
        <v>1145</v>
      </c>
      <c r="E314" s="28">
        <v>43143</v>
      </c>
      <c r="F314" s="107">
        <f>41250+1031+1296+24956423</f>
        <v>25000000</v>
      </c>
      <c r="G314" s="33">
        <f t="shared" si="39"/>
        <v>18216000</v>
      </c>
      <c r="H314" s="118">
        <f>759000-I314</f>
        <v>459000</v>
      </c>
      <c r="I314" s="118">
        <f t="shared" si="48"/>
        <v>300000</v>
      </c>
      <c r="J314" s="36">
        <v>24</v>
      </c>
      <c r="K314" s="110">
        <v>22</v>
      </c>
      <c r="L314" s="30">
        <f t="shared" si="40"/>
        <v>759000</v>
      </c>
      <c r="M314" s="30">
        <f t="shared" si="41"/>
        <v>16698000</v>
      </c>
      <c r="N314" s="38">
        <f>F314-(H314*2)</f>
        <v>24082000</v>
      </c>
      <c r="O314" s="34" t="s">
        <v>350</v>
      </c>
      <c r="P314" s="34" t="s">
        <v>75</v>
      </c>
      <c r="Q314" s="111">
        <f t="shared" si="44"/>
        <v>24082000</v>
      </c>
      <c r="R314" s="175">
        <f>+[1]N2!AE338</f>
        <v>24082000</v>
      </c>
      <c r="S314" s="107">
        <f t="shared" si="45"/>
        <v>0</v>
      </c>
      <c r="T314" s="2"/>
      <c r="U314" s="2"/>
      <c r="V314" s="2"/>
      <c r="W314" s="2"/>
      <c r="X314" s="2"/>
      <c r="Y314" s="2"/>
      <c r="Z314" s="2"/>
      <c r="AA314" s="2"/>
      <c r="AB314" s="2"/>
    </row>
    <row r="315" spans="1:28" s="46" customFormat="1">
      <c r="A315" s="36">
        <f t="shared" si="42"/>
        <v>311</v>
      </c>
      <c r="B315" s="104" t="s">
        <v>1146</v>
      </c>
      <c r="C315" s="105" t="s">
        <v>1147</v>
      </c>
      <c r="D315" s="106" t="s">
        <v>1148</v>
      </c>
      <c r="E315" s="41">
        <v>42895</v>
      </c>
      <c r="F315" s="107">
        <f>25000000</f>
        <v>25000000</v>
      </c>
      <c r="G315" s="33">
        <f t="shared" si="39"/>
        <v>32220000</v>
      </c>
      <c r="H315" s="107">
        <v>1042500</v>
      </c>
      <c r="I315" s="107">
        <f t="shared" si="48"/>
        <v>300000</v>
      </c>
      <c r="J315" s="36">
        <v>24</v>
      </c>
      <c r="K315" s="110">
        <v>14</v>
      </c>
      <c r="L315" s="30">
        <f t="shared" si="40"/>
        <v>1342500</v>
      </c>
      <c r="M315" s="30">
        <f t="shared" si="41"/>
        <v>18795000</v>
      </c>
      <c r="N315" s="112">
        <f>F315-(H315*10)</f>
        <v>14575000</v>
      </c>
      <c r="O315" s="34" t="s">
        <v>306</v>
      </c>
      <c r="P315" s="34" t="s">
        <v>36</v>
      </c>
      <c r="Q315" s="111">
        <f t="shared" si="44"/>
        <v>14575000</v>
      </c>
      <c r="R315" s="175">
        <f>+[1]N2!AE339</f>
        <v>14575000</v>
      </c>
      <c r="S315" s="107">
        <f t="shared" si="45"/>
        <v>0</v>
      </c>
      <c r="T315" s="2"/>
      <c r="U315" s="2"/>
      <c r="V315" s="2"/>
      <c r="W315" s="2"/>
      <c r="X315" s="2"/>
      <c r="Y315" s="2"/>
      <c r="Z315" s="2"/>
      <c r="AA315" s="2"/>
      <c r="AB315" s="2"/>
    </row>
    <row r="316" spans="1:28" s="46" customFormat="1">
      <c r="A316" s="36">
        <f t="shared" si="42"/>
        <v>312</v>
      </c>
      <c r="B316" s="107" t="s">
        <v>1149</v>
      </c>
      <c r="C316" s="119" t="s">
        <v>1150</v>
      </c>
      <c r="D316" s="119"/>
      <c r="E316" s="41">
        <v>42656</v>
      </c>
      <c r="F316" s="108">
        <f>16665600+416640+222968+12694792</f>
        <v>30000000</v>
      </c>
      <c r="G316" s="111">
        <f t="shared" si="39"/>
        <v>42984000</v>
      </c>
      <c r="H316" s="107">
        <f>1194000-I316</f>
        <v>834000</v>
      </c>
      <c r="I316" s="107">
        <f t="shared" si="48"/>
        <v>360000</v>
      </c>
      <c r="J316" s="120" t="s">
        <v>82</v>
      </c>
      <c r="K316" s="110">
        <v>18</v>
      </c>
      <c r="L316" s="30">
        <f t="shared" si="40"/>
        <v>1194000</v>
      </c>
      <c r="M316" s="107">
        <f t="shared" si="41"/>
        <v>21492000</v>
      </c>
      <c r="N316" s="112">
        <f>F316-(H316*18)</f>
        <v>14988000</v>
      </c>
      <c r="O316" s="117" t="s">
        <v>1151</v>
      </c>
      <c r="P316" s="117" t="s">
        <v>31</v>
      </c>
      <c r="Q316" s="111">
        <f t="shared" si="44"/>
        <v>14988000</v>
      </c>
      <c r="R316" s="175">
        <f>+[1]N2!AE340</f>
        <v>14988000</v>
      </c>
      <c r="S316" s="107">
        <f t="shared" si="45"/>
        <v>0</v>
      </c>
      <c r="T316" s="2"/>
      <c r="U316" s="2"/>
      <c r="V316" s="2"/>
      <c r="W316" s="2"/>
      <c r="X316" s="2"/>
      <c r="Y316" s="2"/>
      <c r="Z316" s="2"/>
      <c r="AA316" s="2"/>
      <c r="AB316" s="2"/>
    </row>
    <row r="317" spans="1:28" s="46" customFormat="1">
      <c r="A317" s="36">
        <f t="shared" si="42"/>
        <v>313</v>
      </c>
      <c r="B317" s="104" t="s">
        <v>1152</v>
      </c>
      <c r="C317" s="105" t="s">
        <v>1153</v>
      </c>
      <c r="D317" s="28" t="s">
        <v>1154</v>
      </c>
      <c r="E317" s="41">
        <v>43033</v>
      </c>
      <c r="F317" s="107">
        <f>9579000+239475+5181525</f>
        <v>15000000</v>
      </c>
      <c r="G317" s="33">
        <f t="shared" si="39"/>
        <v>21492000</v>
      </c>
      <c r="H317" s="118">
        <v>417000</v>
      </c>
      <c r="I317" s="118">
        <f t="shared" si="48"/>
        <v>180000</v>
      </c>
      <c r="J317" s="36">
        <v>36</v>
      </c>
      <c r="K317" s="110">
        <v>31</v>
      </c>
      <c r="L317" s="30">
        <f t="shared" si="40"/>
        <v>597000</v>
      </c>
      <c r="M317" s="30">
        <f t="shared" si="41"/>
        <v>18507000</v>
      </c>
      <c r="N317" s="38">
        <f>F317-(H317*5)</f>
        <v>12915000</v>
      </c>
      <c r="O317" s="34" t="s">
        <v>111</v>
      </c>
      <c r="P317" s="34" t="s">
        <v>31</v>
      </c>
      <c r="Q317" s="111">
        <f t="shared" si="44"/>
        <v>12915000</v>
      </c>
      <c r="R317" s="175">
        <f>+[1]N2!AE341</f>
        <v>12915000</v>
      </c>
      <c r="S317" s="107">
        <f t="shared" si="45"/>
        <v>0</v>
      </c>
      <c r="T317" s="2"/>
      <c r="U317" s="2"/>
      <c r="V317" s="2"/>
      <c r="W317" s="2"/>
      <c r="X317" s="2"/>
      <c r="Y317" s="2"/>
      <c r="Z317" s="2"/>
      <c r="AA317" s="2"/>
      <c r="AB317" s="2"/>
    </row>
    <row r="318" spans="1:28" s="46" customFormat="1">
      <c r="A318" s="36">
        <f t="shared" si="42"/>
        <v>314</v>
      </c>
      <c r="B318" s="104" t="s">
        <v>1155</v>
      </c>
      <c r="C318" s="105" t="s">
        <v>1156</v>
      </c>
      <c r="D318" s="106" t="s">
        <v>1157</v>
      </c>
      <c r="E318" s="41">
        <v>42990</v>
      </c>
      <c r="F318" s="107">
        <f>18324000+458100+225290+10992610</f>
        <v>30000000</v>
      </c>
      <c r="G318" s="33">
        <f t="shared" si="39"/>
        <v>42984000</v>
      </c>
      <c r="H318" s="126">
        <f>1194000-I318</f>
        <v>834000</v>
      </c>
      <c r="I318" s="118">
        <f>F318*1.2%</f>
        <v>360000</v>
      </c>
      <c r="J318" s="36">
        <v>36</v>
      </c>
      <c r="K318" s="110">
        <v>29</v>
      </c>
      <c r="L318" s="30">
        <f t="shared" si="40"/>
        <v>1194000</v>
      </c>
      <c r="M318" s="30">
        <f t="shared" si="41"/>
        <v>34626000</v>
      </c>
      <c r="N318" s="112">
        <f>F318-(H318*7)</f>
        <v>24162000</v>
      </c>
      <c r="O318" s="34" t="s">
        <v>114</v>
      </c>
      <c r="P318" s="34" t="s">
        <v>93</v>
      </c>
      <c r="Q318" s="111">
        <f t="shared" si="44"/>
        <v>24162000</v>
      </c>
      <c r="R318" s="175">
        <f>+[1]N2!AE342</f>
        <v>24162000</v>
      </c>
      <c r="S318" s="107">
        <f t="shared" si="45"/>
        <v>0</v>
      </c>
      <c r="T318" s="2"/>
      <c r="U318" s="2"/>
      <c r="V318" s="2"/>
      <c r="W318" s="2"/>
      <c r="X318" s="2"/>
      <c r="Y318" s="2"/>
      <c r="Z318" s="2"/>
      <c r="AA318" s="2"/>
      <c r="AB318" s="2"/>
    </row>
    <row r="319" spans="1:28" s="46" customFormat="1">
      <c r="A319" s="36">
        <f t="shared" si="42"/>
        <v>315</v>
      </c>
      <c r="B319" s="104" t="s">
        <v>1158</v>
      </c>
      <c r="C319" s="105" t="s">
        <v>1159</v>
      </c>
      <c r="D319" s="106" t="s">
        <v>1160</v>
      </c>
      <c r="E319" s="41">
        <v>43033</v>
      </c>
      <c r="F319" s="107">
        <f>19992000+499800+9508200</f>
        <v>30000000</v>
      </c>
      <c r="G319" s="33">
        <f t="shared" si="39"/>
        <v>42984000</v>
      </c>
      <c r="H319" s="118">
        <v>834000</v>
      </c>
      <c r="I319" s="118">
        <f>+F319*1.2%</f>
        <v>360000</v>
      </c>
      <c r="J319" s="36">
        <v>36</v>
      </c>
      <c r="K319" s="110">
        <v>31</v>
      </c>
      <c r="L319" s="30">
        <f t="shared" si="40"/>
        <v>1194000</v>
      </c>
      <c r="M319" s="30">
        <f t="shared" si="41"/>
        <v>37014000</v>
      </c>
      <c r="N319" s="38">
        <f>F319-(H319*5)</f>
        <v>25830000</v>
      </c>
      <c r="O319" s="34" t="s">
        <v>114</v>
      </c>
      <c r="P319" s="34" t="s">
        <v>31</v>
      </c>
      <c r="Q319" s="111">
        <f t="shared" si="44"/>
        <v>25830000</v>
      </c>
      <c r="R319" s="175">
        <f>+[1]N2!AE343</f>
        <v>25830000</v>
      </c>
      <c r="S319" s="107">
        <f t="shared" si="45"/>
        <v>0</v>
      </c>
      <c r="T319" s="2"/>
      <c r="U319" s="2"/>
      <c r="V319" s="2"/>
      <c r="W319" s="2"/>
      <c r="X319" s="2"/>
      <c r="Y319" s="2"/>
      <c r="Z319" s="2"/>
      <c r="AA319" s="2"/>
      <c r="AB319" s="2"/>
    </row>
    <row r="320" spans="1:28" s="46" customFormat="1">
      <c r="A320" s="36">
        <f t="shared" si="42"/>
        <v>316</v>
      </c>
      <c r="B320" s="104" t="s">
        <v>1161</v>
      </c>
      <c r="C320" s="105" t="s">
        <v>1162</v>
      </c>
      <c r="D320" s="106" t="s">
        <v>1163</v>
      </c>
      <c r="E320" s="41">
        <v>43005</v>
      </c>
      <c r="F320" s="107">
        <f>15830500+395763+13773737</f>
        <v>30000000</v>
      </c>
      <c r="G320" s="33">
        <f t="shared" si="39"/>
        <v>42984000</v>
      </c>
      <c r="H320" s="118">
        <v>834000</v>
      </c>
      <c r="I320" s="118">
        <f>F320*1.2%</f>
        <v>360000</v>
      </c>
      <c r="J320" s="36">
        <v>36</v>
      </c>
      <c r="K320" s="110">
        <v>30</v>
      </c>
      <c r="L320" s="30">
        <f t="shared" si="40"/>
        <v>1194000</v>
      </c>
      <c r="M320" s="30">
        <f t="shared" si="41"/>
        <v>35820000</v>
      </c>
      <c r="N320" s="112">
        <f>F320-(H320*6)</f>
        <v>24996000</v>
      </c>
      <c r="O320" s="34" t="s">
        <v>1164</v>
      </c>
      <c r="P320" s="34" t="s">
        <v>75</v>
      </c>
      <c r="Q320" s="111">
        <f t="shared" si="44"/>
        <v>24996000</v>
      </c>
      <c r="R320" s="175">
        <f>+[1]N2!AE344</f>
        <v>24996000</v>
      </c>
      <c r="S320" s="107">
        <f t="shared" si="45"/>
        <v>0</v>
      </c>
      <c r="T320" s="2"/>
      <c r="U320" s="2"/>
      <c r="V320" s="2"/>
      <c r="W320" s="2"/>
      <c r="X320" s="2"/>
      <c r="Y320" s="2"/>
      <c r="Z320" s="2"/>
      <c r="AA320" s="2"/>
      <c r="AB320" s="2"/>
    </row>
    <row r="321" spans="1:28" s="46" customFormat="1">
      <c r="A321" s="36">
        <f t="shared" si="42"/>
        <v>317</v>
      </c>
      <c r="B321" s="104" t="s">
        <v>1165</v>
      </c>
      <c r="C321" s="105" t="s">
        <v>1166</v>
      </c>
      <c r="D321" s="106" t="s">
        <v>1167</v>
      </c>
      <c r="E321" s="41">
        <v>42950</v>
      </c>
      <c r="F321" s="107">
        <f>14165000+354125+81290+15399585</f>
        <v>30000000</v>
      </c>
      <c r="G321" s="33">
        <f t="shared" ref="G321:G386" si="49">+J321*L321</f>
        <v>43002000</v>
      </c>
      <c r="H321" s="126">
        <v>834500</v>
      </c>
      <c r="I321" s="107">
        <f t="shared" ref="I321:I327" si="50">+F321*1.2%</f>
        <v>360000</v>
      </c>
      <c r="J321" s="36">
        <v>36</v>
      </c>
      <c r="K321" s="110">
        <v>28</v>
      </c>
      <c r="L321" s="30">
        <f t="shared" ref="L321:L386" si="51">+H321+I321</f>
        <v>1194500</v>
      </c>
      <c r="M321" s="30">
        <f t="shared" ref="M321:M383" si="52">+K321*L321</f>
        <v>33446000</v>
      </c>
      <c r="N321" s="112">
        <f>F321-(H321*8)</f>
        <v>23324000</v>
      </c>
      <c r="O321" s="34" t="s">
        <v>105</v>
      </c>
      <c r="P321" s="34" t="s">
        <v>31</v>
      </c>
      <c r="Q321" s="111">
        <f t="shared" si="44"/>
        <v>23324000</v>
      </c>
      <c r="R321" s="175">
        <f>+[1]N2!AE345</f>
        <v>23324000</v>
      </c>
      <c r="S321" s="107">
        <f t="shared" si="45"/>
        <v>0</v>
      </c>
      <c r="T321" s="2"/>
      <c r="U321" s="2"/>
      <c r="V321" s="2"/>
      <c r="W321" s="2"/>
      <c r="X321" s="2"/>
      <c r="Y321" s="2"/>
      <c r="Z321" s="2"/>
      <c r="AA321" s="2"/>
      <c r="AB321" s="2"/>
    </row>
    <row r="322" spans="1:28" s="46" customFormat="1">
      <c r="A322" s="36">
        <f t="shared" ref="A322:A384" si="53">+A321+1</f>
        <v>318</v>
      </c>
      <c r="B322" s="107" t="s">
        <v>1168</v>
      </c>
      <c r="C322" s="119" t="s">
        <v>1169</v>
      </c>
      <c r="D322" s="106" t="s">
        <v>1170</v>
      </c>
      <c r="E322" s="41">
        <v>42853</v>
      </c>
      <c r="F322" s="126">
        <f>1000200+25005+28974795</f>
        <v>30000000</v>
      </c>
      <c r="G322" s="33">
        <f t="shared" si="49"/>
        <v>43002000</v>
      </c>
      <c r="H322" s="107">
        <f>1194500-I322</f>
        <v>834500</v>
      </c>
      <c r="I322" s="107">
        <f t="shared" si="50"/>
        <v>360000</v>
      </c>
      <c r="J322" s="36">
        <v>36</v>
      </c>
      <c r="K322" s="110">
        <v>25</v>
      </c>
      <c r="L322" s="181">
        <f t="shared" si="51"/>
        <v>1194500</v>
      </c>
      <c r="M322" s="30">
        <f t="shared" si="52"/>
        <v>29862500</v>
      </c>
      <c r="N322" s="112">
        <f>F322-(H322*11)</f>
        <v>20820500</v>
      </c>
      <c r="O322" s="34" t="s">
        <v>105</v>
      </c>
      <c r="P322" s="34" t="s">
        <v>31</v>
      </c>
      <c r="Q322" s="111">
        <f t="shared" ref="Q322:Q384" si="54">+N322</f>
        <v>20820500</v>
      </c>
      <c r="R322" s="175">
        <f>+[1]N2!AE346</f>
        <v>20820500</v>
      </c>
      <c r="S322" s="107">
        <f t="shared" ref="S322:S384" si="55">+Q322-R322</f>
        <v>0</v>
      </c>
      <c r="T322" s="2"/>
      <c r="U322" s="2"/>
      <c r="V322" s="2"/>
      <c r="W322" s="2"/>
      <c r="X322" s="2"/>
      <c r="Y322" s="2"/>
      <c r="Z322" s="2"/>
      <c r="AA322" s="2"/>
      <c r="AB322" s="2"/>
    </row>
    <row r="323" spans="1:28" s="46" customFormat="1">
      <c r="A323" s="36">
        <f t="shared" si="53"/>
        <v>319</v>
      </c>
      <c r="B323" s="107" t="s">
        <v>1171</v>
      </c>
      <c r="C323" s="119" t="s">
        <v>1172</v>
      </c>
      <c r="D323" s="119" t="s">
        <v>1173</v>
      </c>
      <c r="E323" s="41">
        <v>42732</v>
      </c>
      <c r="F323" s="108">
        <f>30000000</f>
        <v>30000000</v>
      </c>
      <c r="G323" s="33">
        <f t="shared" si="49"/>
        <v>42984000</v>
      </c>
      <c r="H323" s="107">
        <v>834000</v>
      </c>
      <c r="I323" s="107">
        <f t="shared" si="50"/>
        <v>360000</v>
      </c>
      <c r="J323" s="120" t="s">
        <v>82</v>
      </c>
      <c r="K323" s="110">
        <v>21</v>
      </c>
      <c r="L323" s="30">
        <f t="shared" si="51"/>
        <v>1194000</v>
      </c>
      <c r="M323" s="107">
        <f t="shared" si="52"/>
        <v>25074000</v>
      </c>
      <c r="N323" s="112">
        <f>F323-(H323*15)</f>
        <v>17490000</v>
      </c>
      <c r="O323" s="117" t="s">
        <v>339</v>
      </c>
      <c r="P323" s="34" t="s">
        <v>36</v>
      </c>
      <c r="Q323" s="111">
        <f t="shared" si="54"/>
        <v>17490000</v>
      </c>
      <c r="R323" s="175">
        <f>+[1]N2!AE347</f>
        <v>17490000</v>
      </c>
      <c r="S323" s="107">
        <f t="shared" si="55"/>
        <v>0</v>
      </c>
      <c r="T323" s="2"/>
      <c r="U323" s="2"/>
      <c r="V323" s="2"/>
      <c r="W323" s="2"/>
      <c r="X323" s="2"/>
      <c r="Y323" s="2"/>
      <c r="Z323" s="2"/>
      <c r="AA323" s="2"/>
      <c r="AB323" s="2"/>
    </row>
    <row r="324" spans="1:28" s="46" customFormat="1">
      <c r="A324" s="36">
        <f t="shared" si="53"/>
        <v>320</v>
      </c>
      <c r="B324" s="107" t="s">
        <v>1174</v>
      </c>
      <c r="C324" s="119" t="s">
        <v>1175</v>
      </c>
      <c r="D324" s="119"/>
      <c r="E324" s="41">
        <v>42278</v>
      </c>
      <c r="F324" s="108">
        <f>22499400+562485+83613+6854502</f>
        <v>30000000</v>
      </c>
      <c r="G324" s="176">
        <f t="shared" si="49"/>
        <v>42966000</v>
      </c>
      <c r="H324" s="107">
        <v>833500</v>
      </c>
      <c r="I324" s="108">
        <f t="shared" si="50"/>
        <v>360000</v>
      </c>
      <c r="J324" s="120" t="s">
        <v>82</v>
      </c>
      <c r="K324" s="110">
        <v>6</v>
      </c>
      <c r="L324" s="107">
        <f t="shared" si="51"/>
        <v>1193500</v>
      </c>
      <c r="M324" s="107">
        <f t="shared" si="52"/>
        <v>7161000</v>
      </c>
      <c r="N324" s="179">
        <f>F324-(H324*30)</f>
        <v>4995000</v>
      </c>
      <c r="O324" s="117" t="s">
        <v>224</v>
      </c>
      <c r="P324" s="117" t="s">
        <v>84</v>
      </c>
      <c r="Q324" s="111">
        <f t="shared" si="54"/>
        <v>4995000</v>
      </c>
      <c r="R324" s="175">
        <f>+[1]N2!AE348</f>
        <v>4995000</v>
      </c>
      <c r="S324" s="107">
        <f t="shared" si="55"/>
        <v>0</v>
      </c>
      <c r="T324" s="2"/>
      <c r="U324" s="2"/>
      <c r="V324" s="2"/>
      <c r="W324" s="2"/>
      <c r="X324" s="2"/>
      <c r="Y324" s="2"/>
      <c r="Z324" s="2"/>
      <c r="AA324" s="2"/>
      <c r="AB324" s="2"/>
    </row>
    <row r="325" spans="1:28" s="46" customFormat="1">
      <c r="A325" s="36">
        <f t="shared" si="53"/>
        <v>321</v>
      </c>
      <c r="B325" s="107" t="s">
        <v>1176</v>
      </c>
      <c r="C325" s="119" t="s">
        <v>1177</v>
      </c>
      <c r="D325" s="119"/>
      <c r="E325" s="41">
        <v>42426</v>
      </c>
      <c r="F325" s="108">
        <f>1988640+49716+27961644</f>
        <v>30000000</v>
      </c>
      <c r="G325" s="176">
        <f t="shared" si="49"/>
        <v>42966000</v>
      </c>
      <c r="H325" s="107">
        <f>1193500-I325</f>
        <v>833500</v>
      </c>
      <c r="I325" s="108">
        <f t="shared" si="50"/>
        <v>360000</v>
      </c>
      <c r="J325" s="120" t="s">
        <v>82</v>
      </c>
      <c r="K325" s="110">
        <v>11</v>
      </c>
      <c r="L325" s="107">
        <f t="shared" si="51"/>
        <v>1193500</v>
      </c>
      <c r="M325" s="107">
        <f t="shared" si="52"/>
        <v>13128500</v>
      </c>
      <c r="N325" s="177">
        <f>F325-(H325*25)</f>
        <v>9162500</v>
      </c>
      <c r="O325" s="117" t="s">
        <v>1178</v>
      </c>
      <c r="P325" s="117" t="s">
        <v>31</v>
      </c>
      <c r="Q325" s="111">
        <f t="shared" si="54"/>
        <v>9162500</v>
      </c>
      <c r="R325" s="175">
        <f>+[1]N2!AE349</f>
        <v>9162500</v>
      </c>
      <c r="S325" s="107">
        <f t="shared" si="55"/>
        <v>0</v>
      </c>
      <c r="T325" s="2"/>
      <c r="U325" s="2"/>
      <c r="V325" s="2"/>
      <c r="W325" s="2"/>
      <c r="X325" s="2"/>
      <c r="Y325" s="2"/>
      <c r="Z325" s="2"/>
      <c r="AA325" s="2"/>
      <c r="AB325" s="2"/>
    </row>
    <row r="326" spans="1:28" s="46" customFormat="1">
      <c r="A326" s="36">
        <f t="shared" si="53"/>
        <v>322</v>
      </c>
      <c r="B326" s="104" t="s">
        <v>1179</v>
      </c>
      <c r="C326" s="105" t="s">
        <v>1180</v>
      </c>
      <c r="D326" s="106" t="s">
        <v>1181</v>
      </c>
      <c r="E326" s="28">
        <v>43084</v>
      </c>
      <c r="F326" s="107">
        <f>2150000</f>
        <v>2150000</v>
      </c>
      <c r="G326" s="33">
        <f t="shared" si="49"/>
        <v>2550000</v>
      </c>
      <c r="H326" s="118">
        <f>170000-I326</f>
        <v>144200</v>
      </c>
      <c r="I326" s="118">
        <f t="shared" si="50"/>
        <v>25800</v>
      </c>
      <c r="J326" s="36">
        <v>15</v>
      </c>
      <c r="K326" s="110">
        <v>12</v>
      </c>
      <c r="L326" s="30">
        <f t="shared" si="51"/>
        <v>170000</v>
      </c>
      <c r="M326" s="30">
        <f t="shared" si="52"/>
        <v>2040000</v>
      </c>
      <c r="N326" s="38">
        <f>F326-(H326*3)</f>
        <v>1717400</v>
      </c>
      <c r="O326" s="34" t="s">
        <v>1182</v>
      </c>
      <c r="P326" s="42" t="s">
        <v>75</v>
      </c>
      <c r="Q326" s="111">
        <f t="shared" si="54"/>
        <v>1717400</v>
      </c>
      <c r="R326" s="175">
        <f>+[1]N2!AE350</f>
        <v>1717400</v>
      </c>
      <c r="S326" s="107">
        <f t="shared" si="55"/>
        <v>0</v>
      </c>
      <c r="T326" s="2"/>
      <c r="U326" s="2"/>
      <c r="V326" s="2"/>
      <c r="W326" s="2"/>
      <c r="X326" s="2"/>
      <c r="Y326" s="2"/>
      <c r="Z326" s="2"/>
      <c r="AA326" s="2"/>
      <c r="AB326" s="2"/>
    </row>
    <row r="327" spans="1:28" s="46" customFormat="1">
      <c r="A327" s="36">
        <f t="shared" si="53"/>
        <v>323</v>
      </c>
      <c r="B327" s="104" t="s">
        <v>1179</v>
      </c>
      <c r="C327" s="105" t="s">
        <v>1180</v>
      </c>
      <c r="D327" s="106" t="s">
        <v>1183</v>
      </c>
      <c r="E327" s="41">
        <v>42891</v>
      </c>
      <c r="F327" s="107">
        <f>20000000+500000+164903+9335097</f>
        <v>30000000</v>
      </c>
      <c r="G327" s="33">
        <f t="shared" si="49"/>
        <v>43002000</v>
      </c>
      <c r="H327" s="107">
        <v>834500</v>
      </c>
      <c r="I327" s="107">
        <f t="shared" si="50"/>
        <v>360000</v>
      </c>
      <c r="J327" s="36">
        <v>36</v>
      </c>
      <c r="K327" s="110">
        <v>26</v>
      </c>
      <c r="L327" s="30">
        <f t="shared" si="51"/>
        <v>1194500</v>
      </c>
      <c r="M327" s="30">
        <f t="shared" si="52"/>
        <v>31057000</v>
      </c>
      <c r="N327" s="112">
        <f>F327-(H327*10)</f>
        <v>21655000</v>
      </c>
      <c r="O327" s="34" t="s">
        <v>1184</v>
      </c>
      <c r="P327" s="34" t="s">
        <v>31</v>
      </c>
      <c r="Q327" s="111">
        <f t="shared" si="54"/>
        <v>21655000</v>
      </c>
      <c r="R327" s="175">
        <f>+[1]N2!AE351</f>
        <v>21655000</v>
      </c>
      <c r="S327" s="107">
        <f t="shared" si="55"/>
        <v>0</v>
      </c>
      <c r="T327" s="2"/>
      <c r="U327" s="2"/>
      <c r="V327" s="2"/>
      <c r="W327" s="2"/>
      <c r="X327" s="2"/>
      <c r="Y327" s="2"/>
      <c r="Z327" s="2"/>
      <c r="AA327" s="2"/>
      <c r="AB327" s="2"/>
    </row>
    <row r="328" spans="1:28" s="46" customFormat="1">
      <c r="A328" s="36">
        <f t="shared" si="53"/>
        <v>324</v>
      </c>
      <c r="B328" s="104" t="s">
        <v>1185</v>
      </c>
      <c r="C328" s="105" t="s">
        <v>1186</v>
      </c>
      <c r="D328" s="106" t="s">
        <v>1187</v>
      </c>
      <c r="E328" s="41">
        <v>43021</v>
      </c>
      <c r="F328" s="107">
        <f>12000000</f>
        <v>12000000</v>
      </c>
      <c r="G328" s="33">
        <f t="shared" si="49"/>
        <v>15456000</v>
      </c>
      <c r="H328" s="118">
        <f>+F328/J328</f>
        <v>500000</v>
      </c>
      <c r="I328" s="118">
        <f>F328*1.2%</f>
        <v>144000</v>
      </c>
      <c r="J328" s="36">
        <v>24</v>
      </c>
      <c r="K328" s="110">
        <v>18</v>
      </c>
      <c r="L328" s="30">
        <f t="shared" si="51"/>
        <v>644000</v>
      </c>
      <c r="M328" s="30">
        <f t="shared" si="52"/>
        <v>11592000</v>
      </c>
      <c r="N328" s="33">
        <f>+H328*K328</f>
        <v>9000000</v>
      </c>
      <c r="O328" s="34" t="s">
        <v>1188</v>
      </c>
      <c r="P328" s="34" t="s">
        <v>73</v>
      </c>
      <c r="Q328" s="111">
        <f t="shared" si="54"/>
        <v>9000000</v>
      </c>
      <c r="R328" s="175">
        <f>+[1]N2!AE352</f>
        <v>9000000</v>
      </c>
      <c r="S328" s="107">
        <f t="shared" si="55"/>
        <v>0</v>
      </c>
      <c r="T328" s="2"/>
      <c r="U328" s="2"/>
      <c r="V328" s="2"/>
      <c r="W328" s="2"/>
      <c r="X328" s="2"/>
      <c r="Y328" s="2"/>
      <c r="Z328" s="2"/>
      <c r="AA328" s="2"/>
      <c r="AB328" s="2"/>
    </row>
    <row r="329" spans="1:28" s="46" customFormat="1">
      <c r="A329" s="36">
        <f t="shared" si="53"/>
        <v>325</v>
      </c>
      <c r="B329" s="104" t="s">
        <v>1189</v>
      </c>
      <c r="C329" s="105" t="s">
        <v>1190</v>
      </c>
      <c r="D329" s="106" t="s">
        <v>1191</v>
      </c>
      <c r="E329" s="41">
        <v>42975</v>
      </c>
      <c r="F329" s="107">
        <f>30000000</f>
        <v>30000000</v>
      </c>
      <c r="G329" s="33">
        <f t="shared" si="49"/>
        <v>38640000</v>
      </c>
      <c r="H329" s="126">
        <f>+F329/J329</f>
        <v>1250000</v>
      </c>
      <c r="I329" s="118">
        <f>F329*1.2%</f>
        <v>360000</v>
      </c>
      <c r="J329" s="36">
        <v>24</v>
      </c>
      <c r="K329" s="110">
        <v>17</v>
      </c>
      <c r="L329" s="30">
        <f t="shared" si="51"/>
        <v>1610000</v>
      </c>
      <c r="M329" s="30">
        <f t="shared" si="52"/>
        <v>27370000</v>
      </c>
      <c r="N329" s="33">
        <f>+H329*K329</f>
        <v>21250000</v>
      </c>
      <c r="O329" s="34" t="s">
        <v>1192</v>
      </c>
      <c r="P329" s="34" t="s">
        <v>36</v>
      </c>
      <c r="Q329" s="111">
        <f t="shared" si="54"/>
        <v>21250000</v>
      </c>
      <c r="R329" s="175">
        <f>+[1]N2!AE353</f>
        <v>21250000</v>
      </c>
      <c r="S329" s="107">
        <f t="shared" si="55"/>
        <v>0</v>
      </c>
      <c r="T329" s="2"/>
      <c r="U329" s="2"/>
      <c r="V329" s="2"/>
      <c r="W329" s="2"/>
      <c r="X329" s="2"/>
      <c r="Y329" s="2"/>
      <c r="Z329" s="2"/>
      <c r="AA329" s="2"/>
      <c r="AB329" s="2"/>
    </row>
    <row r="330" spans="1:28" s="46" customFormat="1">
      <c r="A330" s="36">
        <f t="shared" si="53"/>
        <v>326</v>
      </c>
      <c r="B330" s="104" t="s">
        <v>1193</v>
      </c>
      <c r="C330" s="105" t="s">
        <v>1194</v>
      </c>
      <c r="D330" s="106" t="s">
        <v>1195</v>
      </c>
      <c r="E330" s="28">
        <v>43112</v>
      </c>
      <c r="F330" s="107">
        <f>15965000+399125+212903+13422972</f>
        <v>30000000</v>
      </c>
      <c r="G330" s="33">
        <f t="shared" si="49"/>
        <v>42984000</v>
      </c>
      <c r="H330" s="118">
        <v>834000</v>
      </c>
      <c r="I330" s="118">
        <f>+F330*1.2%</f>
        <v>360000</v>
      </c>
      <c r="J330" s="36">
        <v>36</v>
      </c>
      <c r="K330" s="110">
        <v>33</v>
      </c>
      <c r="L330" s="30">
        <f t="shared" si="51"/>
        <v>1194000</v>
      </c>
      <c r="M330" s="30">
        <f t="shared" si="52"/>
        <v>39402000</v>
      </c>
      <c r="N330" s="38">
        <f>F330-(H330*3)</f>
        <v>27498000</v>
      </c>
      <c r="O330" s="34" t="s">
        <v>235</v>
      </c>
      <c r="P330" s="34" t="s">
        <v>75</v>
      </c>
      <c r="Q330" s="111">
        <f t="shared" si="54"/>
        <v>27498000</v>
      </c>
      <c r="R330" s="175">
        <f>+[1]N2!AE354</f>
        <v>27498000</v>
      </c>
      <c r="S330" s="107">
        <f t="shared" si="55"/>
        <v>0</v>
      </c>
      <c r="T330" s="2"/>
      <c r="U330" s="2"/>
      <c r="V330" s="2"/>
      <c r="W330" s="2"/>
      <c r="X330" s="2"/>
      <c r="Y330" s="2"/>
      <c r="Z330" s="2"/>
      <c r="AA330" s="2"/>
      <c r="AB330" s="2"/>
    </row>
    <row r="331" spans="1:28" s="46" customFormat="1">
      <c r="A331" s="36">
        <f t="shared" si="53"/>
        <v>327</v>
      </c>
      <c r="B331" s="104" t="s">
        <v>1196</v>
      </c>
      <c r="C331" s="105" t="s">
        <v>1197</v>
      </c>
      <c r="D331" s="106" t="s">
        <v>1198</v>
      </c>
      <c r="E331" s="41">
        <v>42942</v>
      </c>
      <c r="F331" s="107">
        <f>2078000+51950+12377300</f>
        <v>14507250</v>
      </c>
      <c r="G331" s="33">
        <f t="shared" si="49"/>
        <v>16614000</v>
      </c>
      <c r="H331" s="126">
        <f>1384500-I331</f>
        <v>1210413</v>
      </c>
      <c r="I331" s="107">
        <f>+F331*1.2%</f>
        <v>174087</v>
      </c>
      <c r="J331" s="36">
        <v>12</v>
      </c>
      <c r="K331" s="110">
        <v>4</v>
      </c>
      <c r="L331" s="30">
        <f t="shared" si="51"/>
        <v>1384500</v>
      </c>
      <c r="M331" s="30">
        <f t="shared" si="52"/>
        <v>5538000</v>
      </c>
      <c r="N331" s="112">
        <f>F331-(H331*8)</f>
        <v>4823946</v>
      </c>
      <c r="O331" s="34" t="s">
        <v>1199</v>
      </c>
      <c r="P331" s="34" t="s">
        <v>31</v>
      </c>
      <c r="Q331" s="111">
        <f t="shared" si="54"/>
        <v>4823946</v>
      </c>
      <c r="R331" s="175">
        <f>+[1]N2!AE355</f>
        <v>4823946</v>
      </c>
      <c r="S331" s="107">
        <f t="shared" si="55"/>
        <v>0</v>
      </c>
      <c r="T331" s="2"/>
      <c r="U331" s="2"/>
      <c r="V331" s="2"/>
      <c r="W331" s="2"/>
      <c r="X331" s="2"/>
      <c r="Y331" s="2"/>
      <c r="Z331" s="2"/>
      <c r="AA331" s="2"/>
      <c r="AB331" s="2"/>
    </row>
    <row r="332" spans="1:28" s="46" customFormat="1">
      <c r="A332" s="36">
        <f t="shared" si="53"/>
        <v>328</v>
      </c>
      <c r="B332" s="104" t="s">
        <v>1200</v>
      </c>
      <c r="C332" s="105" t="s">
        <v>1201</v>
      </c>
      <c r="D332" s="28" t="s">
        <v>1202</v>
      </c>
      <c r="E332" s="41">
        <v>42906</v>
      </c>
      <c r="F332" s="107">
        <f>4712605+117815+15000000</f>
        <v>19830420</v>
      </c>
      <c r="G332" s="33">
        <f t="shared" si="49"/>
        <v>25572000</v>
      </c>
      <c r="H332" s="107">
        <v>827535</v>
      </c>
      <c r="I332" s="107">
        <v>237965</v>
      </c>
      <c r="J332" s="36">
        <v>24</v>
      </c>
      <c r="K332" s="110">
        <v>15</v>
      </c>
      <c r="L332" s="30">
        <f t="shared" si="51"/>
        <v>1065500</v>
      </c>
      <c r="M332" s="30">
        <f t="shared" si="52"/>
        <v>15982500</v>
      </c>
      <c r="N332" s="112">
        <f>F332-(H332*9)</f>
        <v>12382605</v>
      </c>
      <c r="O332" s="34" t="s">
        <v>111</v>
      </c>
      <c r="P332" s="34" t="s">
        <v>31</v>
      </c>
      <c r="Q332" s="111">
        <f t="shared" si="54"/>
        <v>12382605</v>
      </c>
      <c r="R332" s="175">
        <f>+[1]N2!AE356</f>
        <v>12382605</v>
      </c>
      <c r="S332" s="107">
        <f t="shared" si="55"/>
        <v>0</v>
      </c>
      <c r="T332" s="2"/>
      <c r="U332" s="2"/>
      <c r="V332" s="2"/>
      <c r="W332" s="2"/>
      <c r="X332" s="2"/>
      <c r="Y332" s="2"/>
      <c r="Z332" s="2"/>
      <c r="AA332" s="2"/>
      <c r="AB332" s="2"/>
    </row>
    <row r="333" spans="1:28" s="46" customFormat="1">
      <c r="A333" s="36">
        <f t="shared" si="53"/>
        <v>329</v>
      </c>
      <c r="B333" s="104" t="s">
        <v>1203</v>
      </c>
      <c r="C333" s="105" t="s">
        <v>1204</v>
      </c>
      <c r="D333" s="106" t="s">
        <v>1205</v>
      </c>
      <c r="E333" s="41">
        <v>42831</v>
      </c>
      <c r="F333" s="107">
        <f>3750000+93750+201290+25954960</f>
        <v>30000000</v>
      </c>
      <c r="G333" s="33">
        <f t="shared" si="49"/>
        <v>42984000</v>
      </c>
      <c r="H333" s="107">
        <f>1194000-I333</f>
        <v>834000</v>
      </c>
      <c r="I333" s="107">
        <f>+F333*1.2%</f>
        <v>360000</v>
      </c>
      <c r="J333" s="36">
        <v>36</v>
      </c>
      <c r="K333" s="110">
        <v>24</v>
      </c>
      <c r="L333" s="30">
        <f t="shared" si="51"/>
        <v>1194000</v>
      </c>
      <c r="M333" s="30">
        <f t="shared" si="52"/>
        <v>28656000</v>
      </c>
      <c r="N333" s="112">
        <f>F333-(H333*12)</f>
        <v>19992000</v>
      </c>
      <c r="O333" s="34" t="s">
        <v>987</v>
      </c>
      <c r="P333" s="34" t="s">
        <v>31</v>
      </c>
      <c r="Q333" s="111">
        <f t="shared" si="54"/>
        <v>19992000</v>
      </c>
      <c r="R333" s="175">
        <f>+[1]N2!AE357</f>
        <v>19992000</v>
      </c>
      <c r="S333" s="107">
        <f t="shared" si="55"/>
        <v>0</v>
      </c>
      <c r="T333" s="2"/>
      <c r="U333" s="2"/>
      <c r="V333" s="2"/>
      <c r="W333" s="2"/>
      <c r="X333" s="2"/>
      <c r="Y333" s="2"/>
      <c r="Z333" s="2"/>
      <c r="AA333" s="2"/>
      <c r="AB333" s="2"/>
    </row>
    <row r="334" spans="1:28" s="46" customFormat="1">
      <c r="A334" s="36">
        <f t="shared" si="53"/>
        <v>330</v>
      </c>
      <c r="B334" s="104" t="s">
        <v>1206</v>
      </c>
      <c r="C334" s="105" t="s">
        <v>1207</v>
      </c>
      <c r="D334" s="106" t="s">
        <v>1208</v>
      </c>
      <c r="E334" s="41">
        <v>42972</v>
      </c>
      <c r="F334" s="107">
        <f>30000000</f>
        <v>30000000</v>
      </c>
      <c r="G334" s="33">
        <f t="shared" si="49"/>
        <v>38640000</v>
      </c>
      <c r="H334" s="126">
        <f>+F334/J334</f>
        <v>1250000</v>
      </c>
      <c r="I334" s="118">
        <f>F334*1.2%</f>
        <v>360000</v>
      </c>
      <c r="J334" s="36">
        <v>24</v>
      </c>
      <c r="K334" s="110">
        <v>17</v>
      </c>
      <c r="L334" s="30">
        <f t="shared" si="51"/>
        <v>1610000</v>
      </c>
      <c r="M334" s="30">
        <f t="shared" si="52"/>
        <v>27370000</v>
      </c>
      <c r="N334" s="33">
        <f>+H334*K334</f>
        <v>21250000</v>
      </c>
      <c r="O334" s="34" t="s">
        <v>358</v>
      </c>
      <c r="P334" s="34" t="s">
        <v>36</v>
      </c>
      <c r="Q334" s="111">
        <f t="shared" si="54"/>
        <v>21250000</v>
      </c>
      <c r="R334" s="175">
        <f>+[1]N2!AE358</f>
        <v>21250000</v>
      </c>
      <c r="S334" s="107">
        <f t="shared" si="55"/>
        <v>0</v>
      </c>
      <c r="T334" s="2"/>
      <c r="U334" s="2"/>
      <c r="V334" s="2"/>
      <c r="W334" s="2"/>
      <c r="X334" s="2"/>
      <c r="Y334" s="2"/>
      <c r="Z334" s="2"/>
      <c r="AA334" s="2"/>
      <c r="AB334" s="2"/>
    </row>
    <row r="335" spans="1:28" s="46" customFormat="1">
      <c r="A335" s="36">
        <f t="shared" si="53"/>
        <v>331</v>
      </c>
      <c r="B335" s="107" t="s">
        <v>1209</v>
      </c>
      <c r="C335" s="119" t="s">
        <v>1210</v>
      </c>
      <c r="D335" s="119"/>
      <c r="E335" s="125">
        <v>42405</v>
      </c>
      <c r="F335" s="108">
        <f>7000000+175000+193014+22631986</f>
        <v>30000000</v>
      </c>
      <c r="G335" s="176">
        <f t="shared" si="49"/>
        <v>40800000</v>
      </c>
      <c r="H335" s="107">
        <f>+F335/J335</f>
        <v>1000000</v>
      </c>
      <c r="I335" s="108">
        <f t="shared" ref="I335:I341" si="56">+F335*1.2%</f>
        <v>360000</v>
      </c>
      <c r="J335" s="120" t="s">
        <v>156</v>
      </c>
      <c r="K335" s="110">
        <v>4</v>
      </c>
      <c r="L335" s="107">
        <f t="shared" si="51"/>
        <v>1360000</v>
      </c>
      <c r="M335" s="107">
        <f t="shared" si="52"/>
        <v>5440000</v>
      </c>
      <c r="N335" s="108">
        <f>+H335*K335</f>
        <v>4000000</v>
      </c>
      <c r="O335" s="117" t="s">
        <v>1211</v>
      </c>
      <c r="P335" s="117" t="s">
        <v>84</v>
      </c>
      <c r="Q335" s="111">
        <f t="shared" si="54"/>
        <v>4000000</v>
      </c>
      <c r="R335" s="175">
        <f>+[1]N2!AE359</f>
        <v>4000000</v>
      </c>
      <c r="S335" s="107">
        <f t="shared" si="55"/>
        <v>0</v>
      </c>
      <c r="T335" s="2"/>
      <c r="U335" s="2"/>
      <c r="V335" s="2"/>
      <c r="W335" s="2"/>
      <c r="X335" s="2"/>
      <c r="Y335" s="2"/>
      <c r="Z335" s="2"/>
      <c r="AA335" s="2"/>
      <c r="AB335" s="2"/>
    </row>
    <row r="336" spans="1:28" s="46" customFormat="1">
      <c r="A336" s="36">
        <f t="shared" si="53"/>
        <v>332</v>
      </c>
      <c r="B336" s="104" t="s">
        <v>1212</v>
      </c>
      <c r="C336" s="105" t="s">
        <v>1213</v>
      </c>
      <c r="D336" s="106" t="s">
        <v>1214</v>
      </c>
      <c r="E336" s="41">
        <v>42895</v>
      </c>
      <c r="F336" s="107">
        <v>30000000</v>
      </c>
      <c r="G336" s="33">
        <f t="shared" si="49"/>
        <v>43002000</v>
      </c>
      <c r="H336" s="107">
        <v>834500</v>
      </c>
      <c r="I336" s="107">
        <f t="shared" si="56"/>
        <v>360000</v>
      </c>
      <c r="J336" s="36">
        <v>36</v>
      </c>
      <c r="K336" s="110">
        <v>26</v>
      </c>
      <c r="L336" s="30">
        <f t="shared" si="51"/>
        <v>1194500</v>
      </c>
      <c r="M336" s="30">
        <f t="shared" si="52"/>
        <v>31057000</v>
      </c>
      <c r="N336" s="112">
        <f>F336-(H336*10)</f>
        <v>21655000</v>
      </c>
      <c r="O336" s="34" t="s">
        <v>820</v>
      </c>
      <c r="P336" s="34" t="s">
        <v>36</v>
      </c>
      <c r="Q336" s="111">
        <f t="shared" si="54"/>
        <v>21655000</v>
      </c>
      <c r="R336" s="175">
        <f>+[1]N2!AE360</f>
        <v>21655000</v>
      </c>
      <c r="S336" s="107">
        <f t="shared" si="55"/>
        <v>0</v>
      </c>
      <c r="T336" s="2"/>
      <c r="U336" s="2"/>
      <c r="V336" s="2"/>
      <c r="W336" s="2"/>
      <c r="X336" s="2"/>
      <c r="Y336" s="2"/>
      <c r="Z336" s="2"/>
      <c r="AA336" s="2"/>
      <c r="AB336" s="2"/>
    </row>
    <row r="337" spans="1:28" s="46" customFormat="1">
      <c r="A337" s="36">
        <f t="shared" si="53"/>
        <v>333</v>
      </c>
      <c r="B337" s="107" t="s">
        <v>1215</v>
      </c>
      <c r="C337" s="119" t="s">
        <v>1216</v>
      </c>
      <c r="D337" s="119"/>
      <c r="E337" s="41">
        <v>42300</v>
      </c>
      <c r="F337" s="108">
        <f>30000000</f>
        <v>30000000</v>
      </c>
      <c r="G337" s="176">
        <f t="shared" si="49"/>
        <v>42966000</v>
      </c>
      <c r="H337" s="107">
        <v>833500</v>
      </c>
      <c r="I337" s="108">
        <f t="shared" si="56"/>
        <v>360000</v>
      </c>
      <c r="J337" s="120" t="s">
        <v>82</v>
      </c>
      <c r="K337" s="110">
        <v>7</v>
      </c>
      <c r="L337" s="107">
        <f t="shared" si="51"/>
        <v>1193500</v>
      </c>
      <c r="M337" s="107">
        <f t="shared" si="52"/>
        <v>8354500</v>
      </c>
      <c r="N337" s="180">
        <f>F337-(H337*29)</f>
        <v>5828500</v>
      </c>
      <c r="O337" s="117" t="s">
        <v>1217</v>
      </c>
      <c r="P337" s="117" t="s">
        <v>31</v>
      </c>
      <c r="Q337" s="111">
        <f t="shared" si="54"/>
        <v>5828500</v>
      </c>
      <c r="R337" s="175">
        <f>+[1]N2!AE361</f>
        <v>5828500</v>
      </c>
      <c r="S337" s="107">
        <f t="shared" si="55"/>
        <v>0</v>
      </c>
      <c r="T337" s="2"/>
      <c r="U337" s="2"/>
      <c r="V337" s="2"/>
      <c r="W337" s="2"/>
      <c r="X337" s="2"/>
      <c r="Y337" s="2"/>
      <c r="Z337" s="2"/>
      <c r="AA337" s="2"/>
      <c r="AB337" s="2"/>
    </row>
    <row r="338" spans="1:28" s="46" customFormat="1">
      <c r="A338" s="36">
        <f t="shared" si="53"/>
        <v>334</v>
      </c>
      <c r="B338" s="104" t="s">
        <v>1218</v>
      </c>
      <c r="C338" s="105" t="s">
        <v>1219</v>
      </c>
      <c r="D338" s="106" t="s">
        <v>1220</v>
      </c>
      <c r="E338" s="41">
        <v>43034</v>
      </c>
      <c r="F338" s="107">
        <f>15000000</f>
        <v>15000000</v>
      </c>
      <c r="G338" s="33">
        <f t="shared" si="49"/>
        <v>19320000</v>
      </c>
      <c r="H338" s="118">
        <f>+F338/J338</f>
        <v>625000</v>
      </c>
      <c r="I338" s="118">
        <f t="shared" si="56"/>
        <v>180000</v>
      </c>
      <c r="J338" s="36">
        <v>24</v>
      </c>
      <c r="K338" s="110">
        <v>19</v>
      </c>
      <c r="L338" s="30">
        <f t="shared" si="51"/>
        <v>805000</v>
      </c>
      <c r="M338" s="30">
        <f t="shared" si="52"/>
        <v>15295000</v>
      </c>
      <c r="N338" s="38">
        <f>F338-(H338*5)</f>
        <v>11875000</v>
      </c>
      <c r="O338" s="34" t="s">
        <v>959</v>
      </c>
      <c r="P338" s="34" t="s">
        <v>36</v>
      </c>
      <c r="Q338" s="111">
        <f t="shared" si="54"/>
        <v>11875000</v>
      </c>
      <c r="R338" s="175">
        <f>+[1]N2!AE362</f>
        <v>11875000</v>
      </c>
      <c r="S338" s="107">
        <f t="shared" si="55"/>
        <v>0</v>
      </c>
      <c r="T338" s="2"/>
      <c r="U338" s="2"/>
      <c r="V338" s="2"/>
      <c r="W338" s="2"/>
      <c r="X338" s="2"/>
      <c r="Y338" s="2"/>
      <c r="Z338" s="2"/>
      <c r="AA338" s="2"/>
      <c r="AB338" s="2"/>
    </row>
    <row r="339" spans="1:28" s="46" customFormat="1">
      <c r="A339" s="36">
        <f t="shared" si="53"/>
        <v>335</v>
      </c>
      <c r="B339" s="104" t="s">
        <v>1221</v>
      </c>
      <c r="C339" s="105" t="s">
        <v>1222</v>
      </c>
      <c r="D339" s="105" t="s">
        <v>1223</v>
      </c>
      <c r="E339" s="41">
        <v>42828</v>
      </c>
      <c r="F339" s="107">
        <f>30000000</f>
        <v>30000000</v>
      </c>
      <c r="G339" s="33">
        <f t="shared" si="49"/>
        <v>42984000</v>
      </c>
      <c r="H339" s="107">
        <v>834000</v>
      </c>
      <c r="I339" s="107">
        <f t="shared" si="56"/>
        <v>360000</v>
      </c>
      <c r="J339" s="36">
        <v>36</v>
      </c>
      <c r="K339" s="110">
        <v>24</v>
      </c>
      <c r="L339" s="30">
        <f t="shared" si="51"/>
        <v>1194000</v>
      </c>
      <c r="M339" s="30">
        <f t="shared" si="52"/>
        <v>28656000</v>
      </c>
      <c r="N339" s="112">
        <f>F339-(H339*12)</f>
        <v>19992000</v>
      </c>
      <c r="O339" s="34" t="s">
        <v>105</v>
      </c>
      <c r="P339" s="34" t="s">
        <v>36</v>
      </c>
      <c r="Q339" s="111">
        <f t="shared" si="54"/>
        <v>19992000</v>
      </c>
      <c r="R339" s="175">
        <f>+[1]N2!AE363</f>
        <v>19992000</v>
      </c>
      <c r="S339" s="107">
        <f t="shared" si="55"/>
        <v>0</v>
      </c>
      <c r="T339" s="2"/>
      <c r="U339" s="2"/>
      <c r="V339" s="2"/>
      <c r="W339" s="2"/>
      <c r="X339" s="2"/>
      <c r="Y339" s="2"/>
      <c r="Z339" s="2"/>
      <c r="AA339" s="2"/>
      <c r="AB339" s="2"/>
    </row>
    <row r="340" spans="1:28" s="46" customFormat="1">
      <c r="A340" s="36">
        <f t="shared" si="53"/>
        <v>336</v>
      </c>
      <c r="B340" s="107" t="s">
        <v>1224</v>
      </c>
      <c r="C340" s="119" t="s">
        <v>1225</v>
      </c>
      <c r="D340" s="119"/>
      <c r="E340" s="41">
        <v>42669</v>
      </c>
      <c r="F340" s="108">
        <v>30000000</v>
      </c>
      <c r="G340" s="111">
        <f t="shared" si="49"/>
        <v>42984000</v>
      </c>
      <c r="H340" s="107">
        <v>834000</v>
      </c>
      <c r="I340" s="107">
        <f t="shared" si="56"/>
        <v>360000</v>
      </c>
      <c r="J340" s="120" t="s">
        <v>82</v>
      </c>
      <c r="K340" s="110">
        <v>19</v>
      </c>
      <c r="L340" s="30">
        <f t="shared" si="51"/>
        <v>1194000</v>
      </c>
      <c r="M340" s="107">
        <f t="shared" si="52"/>
        <v>22686000</v>
      </c>
      <c r="N340" s="112">
        <f>F340-(H340*17)</f>
        <v>15822000</v>
      </c>
      <c r="O340" s="117" t="s">
        <v>1226</v>
      </c>
      <c r="P340" s="34" t="s">
        <v>84</v>
      </c>
      <c r="Q340" s="111">
        <f t="shared" si="54"/>
        <v>15822000</v>
      </c>
      <c r="R340" s="175">
        <f>+[1]N2!AE364</f>
        <v>15822000</v>
      </c>
      <c r="S340" s="107">
        <f t="shared" si="55"/>
        <v>0</v>
      </c>
      <c r="T340" s="2"/>
      <c r="U340" s="2"/>
      <c r="V340" s="2"/>
      <c r="W340" s="2"/>
      <c r="X340" s="2"/>
      <c r="Y340" s="2"/>
      <c r="Z340" s="2"/>
      <c r="AA340" s="2"/>
      <c r="AB340" s="2"/>
    </row>
    <row r="341" spans="1:28" s="46" customFormat="1">
      <c r="A341" s="36">
        <f t="shared" si="53"/>
        <v>337</v>
      </c>
      <c r="B341" s="107" t="s">
        <v>1227</v>
      </c>
      <c r="C341" s="119" t="s">
        <v>1228</v>
      </c>
      <c r="D341" s="119"/>
      <c r="E341" s="125">
        <v>42591</v>
      </c>
      <c r="F341" s="108">
        <f>25000000</f>
        <v>25000000</v>
      </c>
      <c r="G341" s="111">
        <f t="shared" si="49"/>
        <v>35820000</v>
      </c>
      <c r="H341" s="107">
        <f>995000-I341</f>
        <v>695000</v>
      </c>
      <c r="I341" s="108">
        <f t="shared" si="56"/>
        <v>300000</v>
      </c>
      <c r="J341" s="120" t="s">
        <v>82</v>
      </c>
      <c r="K341" s="110">
        <v>16</v>
      </c>
      <c r="L341" s="182">
        <f t="shared" si="51"/>
        <v>995000</v>
      </c>
      <c r="M341" s="107">
        <f t="shared" si="52"/>
        <v>15920000</v>
      </c>
      <c r="N341" s="180">
        <f>F341-(H341*20)</f>
        <v>11100000</v>
      </c>
      <c r="O341" s="117" t="s">
        <v>339</v>
      </c>
      <c r="P341" s="117" t="s">
        <v>36</v>
      </c>
      <c r="Q341" s="111">
        <f t="shared" si="54"/>
        <v>11100000</v>
      </c>
      <c r="R341" s="175">
        <f>+[1]N2!AE365</f>
        <v>11100000</v>
      </c>
      <c r="S341" s="107">
        <f t="shared" si="55"/>
        <v>0</v>
      </c>
      <c r="T341" s="2"/>
      <c r="U341" s="2"/>
      <c r="V341" s="2"/>
      <c r="W341" s="2"/>
      <c r="X341" s="2"/>
      <c r="Y341" s="2"/>
      <c r="Z341" s="2"/>
      <c r="AA341" s="2"/>
      <c r="AB341" s="2"/>
    </row>
    <row r="342" spans="1:28" s="46" customFormat="1">
      <c r="A342" s="36">
        <f t="shared" si="53"/>
        <v>338</v>
      </c>
      <c r="B342" s="104" t="s">
        <v>1229</v>
      </c>
      <c r="C342" s="105" t="s">
        <v>1230</v>
      </c>
      <c r="D342" s="106" t="s">
        <v>1231</v>
      </c>
      <c r="E342" s="41">
        <v>42908</v>
      </c>
      <c r="F342" s="107">
        <f>4164600+104115+22000000</f>
        <v>26268715</v>
      </c>
      <c r="G342" s="33">
        <f t="shared" si="49"/>
        <v>37638000</v>
      </c>
      <c r="H342" s="126">
        <v>730275</v>
      </c>
      <c r="I342" s="107">
        <v>315225</v>
      </c>
      <c r="J342" s="36">
        <v>36</v>
      </c>
      <c r="K342" s="110">
        <v>27</v>
      </c>
      <c r="L342" s="30">
        <f t="shared" si="51"/>
        <v>1045500</v>
      </c>
      <c r="M342" s="30">
        <f t="shared" si="52"/>
        <v>28228500</v>
      </c>
      <c r="N342" s="112">
        <f>F342-(H342*9)</f>
        <v>19696240</v>
      </c>
      <c r="O342" s="34" t="s">
        <v>1232</v>
      </c>
      <c r="P342" s="34" t="s">
        <v>31</v>
      </c>
      <c r="Q342" s="111">
        <f t="shared" si="54"/>
        <v>19696240</v>
      </c>
      <c r="R342" s="175">
        <f>+[1]N2!AE366</f>
        <v>19696240</v>
      </c>
      <c r="S342" s="107">
        <f t="shared" si="55"/>
        <v>0</v>
      </c>
      <c r="T342" s="2"/>
      <c r="U342" s="2"/>
      <c r="V342" s="2"/>
      <c r="W342" s="2"/>
      <c r="X342" s="2"/>
      <c r="Y342" s="2"/>
      <c r="Z342" s="2"/>
      <c r="AA342" s="2"/>
      <c r="AB342" s="2"/>
    </row>
    <row r="343" spans="1:28" s="46" customFormat="1">
      <c r="A343" s="36">
        <f t="shared" si="53"/>
        <v>339</v>
      </c>
      <c r="B343" s="104" t="s">
        <v>1233</v>
      </c>
      <c r="C343" s="105" t="s">
        <v>1234</v>
      </c>
      <c r="D343" s="106" t="s">
        <v>1235</v>
      </c>
      <c r="E343" s="41">
        <v>42978</v>
      </c>
      <c r="F343" s="107">
        <f>21660000+541500+7798500</f>
        <v>30000000</v>
      </c>
      <c r="G343" s="33">
        <f t="shared" si="49"/>
        <v>42984000</v>
      </c>
      <c r="H343" s="126">
        <f>1194000-I343</f>
        <v>834000</v>
      </c>
      <c r="I343" s="118">
        <f>F343*1.2%</f>
        <v>360000</v>
      </c>
      <c r="J343" s="36">
        <v>36</v>
      </c>
      <c r="K343" s="110">
        <v>29</v>
      </c>
      <c r="L343" s="30">
        <f t="shared" si="51"/>
        <v>1194000</v>
      </c>
      <c r="M343" s="30">
        <f t="shared" si="52"/>
        <v>34626000</v>
      </c>
      <c r="N343" s="112">
        <f>F343-(H343*7)</f>
        <v>24162000</v>
      </c>
      <c r="O343" s="34" t="s">
        <v>20</v>
      </c>
      <c r="P343" s="34" t="s">
        <v>31</v>
      </c>
      <c r="Q343" s="111">
        <f t="shared" si="54"/>
        <v>24162000</v>
      </c>
      <c r="R343" s="175">
        <f>+[1]N2!AE367</f>
        <v>24162000</v>
      </c>
      <c r="S343" s="107">
        <f t="shared" si="55"/>
        <v>0</v>
      </c>
      <c r="T343" s="2"/>
      <c r="U343" s="2"/>
      <c r="V343" s="2"/>
      <c r="W343" s="2"/>
      <c r="X343" s="2"/>
      <c r="Y343" s="2"/>
      <c r="Z343" s="2"/>
      <c r="AA343" s="2"/>
      <c r="AB343" s="2"/>
    </row>
    <row r="344" spans="1:28" s="46" customFormat="1">
      <c r="A344" s="36">
        <f t="shared" si="53"/>
        <v>340</v>
      </c>
      <c r="B344" s="107" t="s">
        <v>1236</v>
      </c>
      <c r="C344" s="119" t="s">
        <v>1237</v>
      </c>
      <c r="D344" s="119" t="s">
        <v>1238</v>
      </c>
      <c r="E344" s="41">
        <v>42702</v>
      </c>
      <c r="F344" s="108">
        <f>30000000</f>
        <v>30000000</v>
      </c>
      <c r="G344" s="33">
        <f t="shared" si="49"/>
        <v>42984000</v>
      </c>
      <c r="H344" s="107">
        <v>834000</v>
      </c>
      <c r="I344" s="107">
        <f t="shared" ref="I344:I375" si="57">+F344*1.2%</f>
        <v>360000</v>
      </c>
      <c r="J344" s="120" t="s">
        <v>82</v>
      </c>
      <c r="K344" s="110">
        <v>20</v>
      </c>
      <c r="L344" s="30">
        <f t="shared" si="51"/>
        <v>1194000</v>
      </c>
      <c r="M344" s="107">
        <f t="shared" si="52"/>
        <v>23880000</v>
      </c>
      <c r="N344" s="112">
        <f>F344-(H344*16)</f>
        <v>16656000</v>
      </c>
      <c r="O344" s="117" t="s">
        <v>339</v>
      </c>
      <c r="P344" s="117" t="s">
        <v>73</v>
      </c>
      <c r="Q344" s="111">
        <f t="shared" si="54"/>
        <v>16656000</v>
      </c>
      <c r="R344" s="175">
        <f>+[1]N2!AE368</f>
        <v>16656000</v>
      </c>
      <c r="S344" s="107">
        <f t="shared" si="55"/>
        <v>0</v>
      </c>
      <c r="T344" s="2"/>
      <c r="U344" s="2"/>
      <c r="V344" s="2"/>
      <c r="W344" s="2"/>
      <c r="X344" s="2"/>
      <c r="Y344" s="2"/>
      <c r="Z344" s="2"/>
      <c r="AA344" s="2"/>
      <c r="AB344" s="2"/>
    </row>
    <row r="345" spans="1:28" s="46" customFormat="1">
      <c r="A345" s="36">
        <f t="shared" si="53"/>
        <v>341</v>
      </c>
      <c r="B345" s="107" t="s">
        <v>1239</v>
      </c>
      <c r="C345" s="119" t="s">
        <v>1240</v>
      </c>
      <c r="D345" s="119"/>
      <c r="E345" s="41">
        <v>42355</v>
      </c>
      <c r="F345" s="108">
        <f>30000000</f>
        <v>30000000</v>
      </c>
      <c r="G345" s="176">
        <f t="shared" si="49"/>
        <v>42966000</v>
      </c>
      <c r="H345" s="107">
        <v>833500</v>
      </c>
      <c r="I345" s="108">
        <f t="shared" si="57"/>
        <v>360000</v>
      </c>
      <c r="J345" s="120" t="s">
        <v>82</v>
      </c>
      <c r="K345" s="110">
        <v>9</v>
      </c>
      <c r="L345" s="107">
        <f t="shared" si="51"/>
        <v>1193500</v>
      </c>
      <c r="M345" s="107">
        <f t="shared" si="52"/>
        <v>10741500</v>
      </c>
      <c r="N345" s="180">
        <f>F345-(H345*27)</f>
        <v>7495500</v>
      </c>
      <c r="O345" s="117" t="s">
        <v>130</v>
      </c>
      <c r="P345" s="117" t="s">
        <v>36</v>
      </c>
      <c r="Q345" s="111">
        <f t="shared" si="54"/>
        <v>7495500</v>
      </c>
      <c r="R345" s="175">
        <f>+[1]N2!AE369</f>
        <v>7495500</v>
      </c>
      <c r="S345" s="107">
        <f t="shared" si="55"/>
        <v>0</v>
      </c>
      <c r="T345" s="2"/>
      <c r="U345" s="2"/>
      <c r="V345" s="2"/>
      <c r="W345" s="2"/>
      <c r="X345" s="2"/>
      <c r="Y345" s="2"/>
      <c r="Z345" s="2"/>
      <c r="AA345" s="2"/>
      <c r="AB345" s="2"/>
    </row>
    <row r="346" spans="1:28" s="46" customFormat="1">
      <c r="A346" s="36">
        <f t="shared" si="53"/>
        <v>342</v>
      </c>
      <c r="B346" s="104" t="s">
        <v>1241</v>
      </c>
      <c r="C346" s="105" t="s">
        <v>1242</v>
      </c>
      <c r="D346" s="106" t="s">
        <v>1243</v>
      </c>
      <c r="E346" s="41">
        <v>43063</v>
      </c>
      <c r="F346" s="107">
        <f>25000000</f>
        <v>25000000</v>
      </c>
      <c r="G346" s="33">
        <f t="shared" si="49"/>
        <v>32208000</v>
      </c>
      <c r="H346" s="118">
        <v>1042000</v>
      </c>
      <c r="I346" s="118">
        <f t="shared" si="57"/>
        <v>300000</v>
      </c>
      <c r="J346" s="36">
        <v>24</v>
      </c>
      <c r="K346" s="110">
        <v>20</v>
      </c>
      <c r="L346" s="30">
        <f t="shared" si="51"/>
        <v>1342000</v>
      </c>
      <c r="M346" s="30">
        <f t="shared" si="52"/>
        <v>26840000</v>
      </c>
      <c r="N346" s="38">
        <f>F346-(H346*4)</f>
        <v>20832000</v>
      </c>
      <c r="O346" s="34" t="s">
        <v>1244</v>
      </c>
      <c r="P346" s="34" t="s">
        <v>36</v>
      </c>
      <c r="Q346" s="111">
        <f t="shared" si="54"/>
        <v>20832000</v>
      </c>
      <c r="R346" s="175">
        <f>+[1]N2!AE370</f>
        <v>20832000</v>
      </c>
      <c r="S346" s="107">
        <f t="shared" si="55"/>
        <v>0</v>
      </c>
      <c r="T346" s="2"/>
      <c r="U346" s="2"/>
      <c r="V346" s="2"/>
      <c r="W346" s="2"/>
      <c r="X346" s="2"/>
      <c r="Y346" s="2"/>
      <c r="Z346" s="2"/>
      <c r="AA346" s="2"/>
      <c r="AB346" s="2"/>
    </row>
    <row r="347" spans="1:28" s="46" customFormat="1">
      <c r="A347" s="36">
        <f t="shared" si="53"/>
        <v>343</v>
      </c>
      <c r="B347" s="107" t="s">
        <v>1245</v>
      </c>
      <c r="C347" s="119" t="s">
        <v>1246</v>
      </c>
      <c r="D347" s="119"/>
      <c r="E347" s="125">
        <v>42551</v>
      </c>
      <c r="F347" s="108">
        <f>30000000</f>
        <v>30000000</v>
      </c>
      <c r="G347" s="111">
        <f t="shared" si="49"/>
        <v>42984000</v>
      </c>
      <c r="H347" s="126">
        <v>834000</v>
      </c>
      <c r="I347" s="33">
        <f t="shared" si="57"/>
        <v>360000</v>
      </c>
      <c r="J347" s="120" t="s">
        <v>82</v>
      </c>
      <c r="K347" s="110">
        <v>15</v>
      </c>
      <c r="L347" s="182">
        <f t="shared" si="51"/>
        <v>1194000</v>
      </c>
      <c r="M347" s="107">
        <f t="shared" si="52"/>
        <v>17910000</v>
      </c>
      <c r="N347" s="179">
        <f>F347-(H347*21)</f>
        <v>12486000</v>
      </c>
      <c r="O347" s="117" t="s">
        <v>214</v>
      </c>
      <c r="P347" s="117" t="s">
        <v>444</v>
      </c>
      <c r="Q347" s="111">
        <f t="shared" si="54"/>
        <v>12486000</v>
      </c>
      <c r="R347" s="175">
        <f>+[1]N2!AE371</f>
        <v>12486000</v>
      </c>
      <c r="S347" s="107">
        <f t="shared" si="55"/>
        <v>0</v>
      </c>
      <c r="T347" s="2"/>
      <c r="U347" s="2"/>
      <c r="V347" s="2"/>
      <c r="W347" s="2"/>
      <c r="X347" s="2"/>
      <c r="Y347" s="2"/>
      <c r="Z347" s="2"/>
      <c r="AA347" s="2"/>
      <c r="AB347" s="2"/>
    </row>
    <row r="348" spans="1:28" s="46" customFormat="1">
      <c r="A348" s="36">
        <f t="shared" si="53"/>
        <v>344</v>
      </c>
      <c r="B348" s="107" t="s">
        <v>1247</v>
      </c>
      <c r="C348" s="119" t="s">
        <v>1248</v>
      </c>
      <c r="D348" s="119"/>
      <c r="E348" s="125">
        <v>42607</v>
      </c>
      <c r="F348" s="108">
        <f>7500060+187502+22312438</f>
        <v>30000000</v>
      </c>
      <c r="G348" s="111">
        <f t="shared" si="49"/>
        <v>42984000</v>
      </c>
      <c r="H348" s="108">
        <f>1194000-I348</f>
        <v>834000</v>
      </c>
      <c r="I348" s="108">
        <f t="shared" si="57"/>
        <v>360000</v>
      </c>
      <c r="J348" s="36">
        <v>36</v>
      </c>
      <c r="K348" s="110">
        <v>17</v>
      </c>
      <c r="L348" s="182">
        <f t="shared" si="51"/>
        <v>1194000</v>
      </c>
      <c r="M348" s="107">
        <f t="shared" si="52"/>
        <v>20298000</v>
      </c>
      <c r="N348" s="180">
        <f>F348-(H348*19)</f>
        <v>14154000</v>
      </c>
      <c r="O348" s="117" t="s">
        <v>532</v>
      </c>
      <c r="P348" s="134" t="s">
        <v>84</v>
      </c>
      <c r="Q348" s="111">
        <f t="shared" si="54"/>
        <v>14154000</v>
      </c>
      <c r="R348" s="175">
        <f>+[1]N2!AE372</f>
        <v>14154000</v>
      </c>
      <c r="S348" s="107">
        <f t="shared" si="55"/>
        <v>0</v>
      </c>
      <c r="T348" s="2"/>
      <c r="U348" s="2"/>
      <c r="V348" s="2"/>
      <c r="W348" s="2"/>
      <c r="X348" s="2"/>
      <c r="Y348" s="2"/>
      <c r="Z348" s="2"/>
      <c r="AA348" s="2"/>
      <c r="AB348" s="2"/>
    </row>
    <row r="349" spans="1:28" s="46" customFormat="1">
      <c r="A349" s="36">
        <f t="shared" si="53"/>
        <v>345</v>
      </c>
      <c r="B349" s="104" t="s">
        <v>1249</v>
      </c>
      <c r="C349" s="105" t="s">
        <v>1250</v>
      </c>
      <c r="D349" s="28" t="s">
        <v>1251</v>
      </c>
      <c r="E349" s="41">
        <v>43066</v>
      </c>
      <c r="F349" s="126">
        <f>30000000</f>
        <v>30000000</v>
      </c>
      <c r="G349" s="33">
        <f t="shared" si="49"/>
        <v>38640000</v>
      </c>
      <c r="H349" s="118">
        <f>+F349/J349</f>
        <v>1250000</v>
      </c>
      <c r="I349" s="118">
        <f t="shared" si="57"/>
        <v>360000</v>
      </c>
      <c r="J349" s="36">
        <v>24</v>
      </c>
      <c r="K349" s="110">
        <v>20</v>
      </c>
      <c r="L349" s="30">
        <f t="shared" si="51"/>
        <v>1610000</v>
      </c>
      <c r="M349" s="30">
        <f t="shared" si="52"/>
        <v>32200000</v>
      </c>
      <c r="N349" s="33">
        <f>+H349*K349</f>
        <v>25000000</v>
      </c>
      <c r="O349" s="34" t="s">
        <v>1252</v>
      </c>
      <c r="P349" s="34" t="s">
        <v>36</v>
      </c>
      <c r="Q349" s="111">
        <f t="shared" si="54"/>
        <v>25000000</v>
      </c>
      <c r="R349" s="175">
        <f>+[1]N2!AE373</f>
        <v>25000000</v>
      </c>
      <c r="S349" s="107">
        <f t="shared" si="55"/>
        <v>0</v>
      </c>
      <c r="T349" s="2"/>
      <c r="U349" s="2"/>
      <c r="V349" s="2"/>
      <c r="W349" s="2"/>
      <c r="X349" s="2"/>
      <c r="Y349" s="2"/>
      <c r="Z349" s="2"/>
      <c r="AA349" s="2"/>
      <c r="AB349" s="2"/>
    </row>
    <row r="350" spans="1:28" s="46" customFormat="1">
      <c r="A350" s="36">
        <f t="shared" si="53"/>
        <v>346</v>
      </c>
      <c r="B350" s="104" t="s">
        <v>1253</v>
      </c>
      <c r="C350" s="105" t="s">
        <v>1254</v>
      </c>
      <c r="D350" s="106" t="s">
        <v>1255</v>
      </c>
      <c r="E350" s="41">
        <v>42774</v>
      </c>
      <c r="F350" s="126">
        <f>104168+29895832</f>
        <v>30000000</v>
      </c>
      <c r="G350" s="33">
        <f t="shared" si="49"/>
        <v>42984000</v>
      </c>
      <c r="H350" s="107">
        <f>1194000-I350</f>
        <v>834000</v>
      </c>
      <c r="I350" s="107">
        <f t="shared" si="57"/>
        <v>360000</v>
      </c>
      <c r="J350" s="36">
        <v>36</v>
      </c>
      <c r="K350" s="110">
        <v>22</v>
      </c>
      <c r="L350" s="30">
        <f t="shared" si="51"/>
        <v>1194000</v>
      </c>
      <c r="M350" s="30">
        <f t="shared" si="52"/>
        <v>26268000</v>
      </c>
      <c r="N350" s="112">
        <f>F350-(H350*14)</f>
        <v>18324000</v>
      </c>
      <c r="O350" s="34" t="s">
        <v>1049</v>
      </c>
      <c r="P350" s="34" t="s">
        <v>36</v>
      </c>
      <c r="Q350" s="111">
        <f t="shared" si="54"/>
        <v>18324000</v>
      </c>
      <c r="R350" s="175">
        <f>+[1]N2!AE374</f>
        <v>18324000</v>
      </c>
      <c r="S350" s="107">
        <f t="shared" si="55"/>
        <v>0</v>
      </c>
      <c r="T350" s="2"/>
      <c r="U350" s="2"/>
      <c r="V350" s="2"/>
      <c r="W350" s="2"/>
      <c r="X350" s="2"/>
      <c r="Y350" s="2"/>
      <c r="Z350" s="2"/>
      <c r="AA350" s="2"/>
      <c r="AB350" s="2"/>
    </row>
    <row r="351" spans="1:28" s="46" customFormat="1">
      <c r="A351" s="36">
        <f t="shared" si="53"/>
        <v>347</v>
      </c>
      <c r="B351" s="107" t="s">
        <v>1256</v>
      </c>
      <c r="C351" s="119" t="s">
        <v>1257</v>
      </c>
      <c r="D351" s="119"/>
      <c r="E351" s="125">
        <v>42251</v>
      </c>
      <c r="F351" s="108">
        <f>30000000</f>
        <v>30000000</v>
      </c>
      <c r="G351" s="176">
        <f t="shared" si="49"/>
        <v>42966000</v>
      </c>
      <c r="H351" s="107">
        <v>833500</v>
      </c>
      <c r="I351" s="108">
        <f t="shared" si="57"/>
        <v>360000</v>
      </c>
      <c r="J351" s="120" t="s">
        <v>82</v>
      </c>
      <c r="K351" s="110">
        <v>5</v>
      </c>
      <c r="L351" s="108">
        <f t="shared" si="51"/>
        <v>1193500</v>
      </c>
      <c r="M351" s="108">
        <f t="shared" si="52"/>
        <v>5967500</v>
      </c>
      <c r="N351" s="179">
        <f>F351-(H351*31)</f>
        <v>4161500</v>
      </c>
      <c r="O351" s="117" t="s">
        <v>1258</v>
      </c>
      <c r="P351" s="117" t="s">
        <v>444</v>
      </c>
      <c r="Q351" s="111">
        <f t="shared" si="54"/>
        <v>4161500</v>
      </c>
      <c r="R351" s="175">
        <f>+[1]N2!AE375</f>
        <v>4161500</v>
      </c>
      <c r="S351" s="107">
        <f t="shared" si="55"/>
        <v>0</v>
      </c>
      <c r="T351" s="2"/>
      <c r="U351" s="2"/>
      <c r="V351" s="2"/>
      <c r="W351" s="2"/>
      <c r="X351" s="2"/>
      <c r="Y351" s="2"/>
      <c r="Z351" s="2"/>
      <c r="AA351" s="2"/>
      <c r="AB351" s="2"/>
    </row>
    <row r="352" spans="1:28" s="46" customFormat="1">
      <c r="A352" s="36">
        <f t="shared" si="53"/>
        <v>348</v>
      </c>
      <c r="B352" s="107" t="s">
        <v>1259</v>
      </c>
      <c r="C352" s="119" t="s">
        <v>1260</v>
      </c>
      <c r="D352" s="119"/>
      <c r="E352" s="41">
        <v>42333</v>
      </c>
      <c r="F352" s="145">
        <f>20000000</f>
        <v>20000000</v>
      </c>
      <c r="G352" s="176">
        <f t="shared" si="49"/>
        <v>28641600</v>
      </c>
      <c r="H352" s="107">
        <v>555600</v>
      </c>
      <c r="I352" s="108">
        <f t="shared" si="57"/>
        <v>240000</v>
      </c>
      <c r="J352" s="120" t="s">
        <v>82</v>
      </c>
      <c r="K352" s="110">
        <v>8</v>
      </c>
      <c r="L352" s="107">
        <f t="shared" si="51"/>
        <v>795600</v>
      </c>
      <c r="M352" s="107">
        <f t="shared" si="52"/>
        <v>6364800</v>
      </c>
      <c r="N352" s="180">
        <f>F352-(H352*28)</f>
        <v>4443200</v>
      </c>
      <c r="O352" s="117" t="s">
        <v>1261</v>
      </c>
      <c r="P352" s="117" t="s">
        <v>444</v>
      </c>
      <c r="Q352" s="111">
        <f t="shared" si="54"/>
        <v>4443200</v>
      </c>
      <c r="R352" s="175">
        <f>+[1]N2!AE376</f>
        <v>4443200</v>
      </c>
      <c r="S352" s="107">
        <f t="shared" si="55"/>
        <v>0</v>
      </c>
      <c r="T352" s="2"/>
      <c r="U352" s="2"/>
      <c r="V352" s="2"/>
      <c r="W352" s="2"/>
      <c r="X352" s="2"/>
      <c r="Y352" s="2"/>
      <c r="Z352" s="2"/>
      <c r="AA352" s="2"/>
      <c r="AB352" s="2"/>
    </row>
    <row r="353" spans="1:28" s="46" customFormat="1">
      <c r="A353" s="36">
        <f t="shared" si="53"/>
        <v>349</v>
      </c>
      <c r="B353" s="104" t="s">
        <v>1262</v>
      </c>
      <c r="C353" s="105" t="s">
        <v>1263</v>
      </c>
      <c r="D353" s="106" t="s">
        <v>1264</v>
      </c>
      <c r="E353" s="28">
        <v>43096</v>
      </c>
      <c r="F353" s="107">
        <f>5000000</f>
        <v>5000000</v>
      </c>
      <c r="G353" s="33">
        <f t="shared" si="49"/>
        <v>5724000</v>
      </c>
      <c r="H353" s="118">
        <f>477000-I353</f>
        <v>417000</v>
      </c>
      <c r="I353" s="118">
        <f t="shared" si="57"/>
        <v>60000</v>
      </c>
      <c r="J353" s="36">
        <v>12</v>
      </c>
      <c r="K353" s="110">
        <v>9</v>
      </c>
      <c r="L353" s="30">
        <f t="shared" si="51"/>
        <v>477000</v>
      </c>
      <c r="M353" s="30">
        <f t="shared" si="52"/>
        <v>4293000</v>
      </c>
      <c r="N353" s="38">
        <f>F353-(H353*3)</f>
        <v>3749000</v>
      </c>
      <c r="O353" s="34" t="s">
        <v>1265</v>
      </c>
      <c r="P353" s="42" t="s">
        <v>36</v>
      </c>
      <c r="Q353" s="111">
        <f t="shared" si="54"/>
        <v>3749000</v>
      </c>
      <c r="R353" s="175">
        <f>+[1]N2!AE377</f>
        <v>3749000</v>
      </c>
      <c r="S353" s="107">
        <f t="shared" si="55"/>
        <v>0</v>
      </c>
      <c r="T353" s="2"/>
      <c r="U353" s="2"/>
      <c r="V353" s="2"/>
      <c r="W353" s="2"/>
      <c r="X353" s="2"/>
      <c r="Y353" s="2"/>
      <c r="Z353" s="2"/>
      <c r="AA353" s="2"/>
      <c r="AB353" s="2"/>
    </row>
    <row r="354" spans="1:28" s="46" customFormat="1">
      <c r="A354" s="36">
        <f t="shared" si="53"/>
        <v>350</v>
      </c>
      <c r="B354" s="104" t="s">
        <v>1266</v>
      </c>
      <c r="C354" s="105" t="s">
        <v>1267</v>
      </c>
      <c r="D354" s="106" t="s">
        <v>1268</v>
      </c>
      <c r="E354" s="41">
        <v>42961</v>
      </c>
      <c r="F354" s="107">
        <f>30000000</f>
        <v>30000000</v>
      </c>
      <c r="G354" s="33">
        <f t="shared" si="49"/>
        <v>43002000</v>
      </c>
      <c r="H354" s="126">
        <f>1194500-I354</f>
        <v>834500</v>
      </c>
      <c r="I354" s="107">
        <f t="shared" si="57"/>
        <v>360000</v>
      </c>
      <c r="J354" s="36">
        <v>36</v>
      </c>
      <c r="K354" s="110">
        <v>28</v>
      </c>
      <c r="L354" s="30">
        <f t="shared" si="51"/>
        <v>1194500</v>
      </c>
      <c r="M354" s="30">
        <f t="shared" si="52"/>
        <v>33446000</v>
      </c>
      <c r="N354" s="112">
        <f>F354-(H354*8)</f>
        <v>23324000</v>
      </c>
      <c r="O354" s="34" t="s">
        <v>665</v>
      </c>
      <c r="P354" s="34" t="s">
        <v>36</v>
      </c>
      <c r="Q354" s="111">
        <f t="shared" si="54"/>
        <v>23324000</v>
      </c>
      <c r="R354" s="175">
        <f>+[1]N2!AE378</f>
        <v>23324000</v>
      </c>
      <c r="S354" s="107">
        <f t="shared" si="55"/>
        <v>0</v>
      </c>
      <c r="T354" s="2"/>
      <c r="U354" s="2"/>
      <c r="V354" s="2"/>
      <c r="W354" s="2"/>
      <c r="X354" s="2"/>
      <c r="Y354" s="2"/>
      <c r="Z354" s="2"/>
      <c r="AA354" s="2"/>
      <c r="AB354" s="2"/>
    </row>
    <row r="355" spans="1:28" s="46" customFormat="1">
      <c r="A355" s="36">
        <f t="shared" si="53"/>
        <v>351</v>
      </c>
      <c r="B355" s="107" t="s">
        <v>1269</v>
      </c>
      <c r="C355" s="119" t="s">
        <v>1270</v>
      </c>
      <c r="D355" s="119"/>
      <c r="E355" s="125">
        <v>42587</v>
      </c>
      <c r="F355" s="108">
        <f>13757500+343938+292683+15605879</f>
        <v>30000000</v>
      </c>
      <c r="G355" s="111">
        <f t="shared" si="49"/>
        <v>42984000</v>
      </c>
      <c r="H355" s="107">
        <f>1194000-I355</f>
        <v>834000</v>
      </c>
      <c r="I355" s="108">
        <f t="shared" si="57"/>
        <v>360000</v>
      </c>
      <c r="J355" s="120" t="s">
        <v>82</v>
      </c>
      <c r="K355" s="110">
        <v>16</v>
      </c>
      <c r="L355" s="182">
        <f t="shared" si="51"/>
        <v>1194000</v>
      </c>
      <c r="M355" s="107">
        <f t="shared" si="52"/>
        <v>19104000</v>
      </c>
      <c r="N355" s="180">
        <f>F355-(H355*20)</f>
        <v>13320000</v>
      </c>
      <c r="O355" s="117" t="s">
        <v>665</v>
      </c>
      <c r="P355" s="117" t="s">
        <v>84</v>
      </c>
      <c r="Q355" s="111">
        <f t="shared" si="54"/>
        <v>13320000</v>
      </c>
      <c r="R355" s="175">
        <f>+[1]N2!AE379</f>
        <v>13320000</v>
      </c>
      <c r="S355" s="107">
        <f t="shared" si="55"/>
        <v>0</v>
      </c>
      <c r="T355" s="2"/>
      <c r="U355" s="2"/>
      <c r="V355" s="2"/>
      <c r="W355" s="2"/>
      <c r="X355" s="2"/>
      <c r="Y355" s="2"/>
      <c r="Z355" s="2"/>
      <c r="AA355" s="2"/>
      <c r="AB355" s="2"/>
    </row>
    <row r="356" spans="1:28" s="46" customFormat="1">
      <c r="A356" s="36">
        <f t="shared" si="53"/>
        <v>352</v>
      </c>
      <c r="B356" s="104" t="s">
        <v>1271</v>
      </c>
      <c r="C356" s="105" t="s">
        <v>1272</v>
      </c>
      <c r="D356" s="106" t="s">
        <v>1273</v>
      </c>
      <c r="E356" s="41">
        <v>42950</v>
      </c>
      <c r="F356" s="107">
        <f>1040900+26023+174194+28758883</f>
        <v>30000000</v>
      </c>
      <c r="G356" s="33">
        <f t="shared" si="49"/>
        <v>43002000</v>
      </c>
      <c r="H356" s="126">
        <v>834500</v>
      </c>
      <c r="I356" s="107">
        <f t="shared" si="57"/>
        <v>360000</v>
      </c>
      <c r="J356" s="36">
        <v>36</v>
      </c>
      <c r="K356" s="110">
        <v>28</v>
      </c>
      <c r="L356" s="30">
        <f t="shared" si="51"/>
        <v>1194500</v>
      </c>
      <c r="M356" s="30">
        <f t="shared" si="52"/>
        <v>33446000</v>
      </c>
      <c r="N356" s="112">
        <f>F356-(H356*8)</f>
        <v>23324000</v>
      </c>
      <c r="O356" s="34" t="s">
        <v>415</v>
      </c>
      <c r="P356" s="34" t="s">
        <v>31</v>
      </c>
      <c r="Q356" s="111">
        <f t="shared" si="54"/>
        <v>23324000</v>
      </c>
      <c r="R356" s="175">
        <f>+[1]N2!AE380</f>
        <v>23324000</v>
      </c>
      <c r="S356" s="107">
        <f t="shared" si="55"/>
        <v>0</v>
      </c>
      <c r="T356" s="2"/>
      <c r="U356" s="2"/>
      <c r="V356" s="2"/>
      <c r="W356" s="2"/>
      <c r="X356" s="2"/>
      <c r="Y356" s="2"/>
      <c r="Z356" s="2"/>
      <c r="AA356" s="2"/>
      <c r="AB356" s="2"/>
    </row>
    <row r="357" spans="1:28" s="46" customFormat="1">
      <c r="A357" s="36">
        <f t="shared" si="53"/>
        <v>353</v>
      </c>
      <c r="B357" s="104" t="s">
        <v>1274</v>
      </c>
      <c r="C357" s="105" t="s">
        <v>1275</v>
      </c>
      <c r="D357" s="28" t="s">
        <v>1276</v>
      </c>
      <c r="E357" s="41">
        <v>43033</v>
      </c>
      <c r="F357" s="107">
        <f>18324000+458100+11217900</f>
        <v>30000000</v>
      </c>
      <c r="G357" s="33">
        <f t="shared" si="49"/>
        <v>42984000</v>
      </c>
      <c r="H357" s="118">
        <v>834000</v>
      </c>
      <c r="I357" s="118">
        <f t="shared" si="57"/>
        <v>360000</v>
      </c>
      <c r="J357" s="36">
        <v>36</v>
      </c>
      <c r="K357" s="110">
        <v>31</v>
      </c>
      <c r="L357" s="30">
        <f t="shared" si="51"/>
        <v>1194000</v>
      </c>
      <c r="M357" s="30">
        <f t="shared" si="52"/>
        <v>37014000</v>
      </c>
      <c r="N357" s="38">
        <f>F357-(H357*5)</f>
        <v>25830000</v>
      </c>
      <c r="O357" s="34" t="s">
        <v>191</v>
      </c>
      <c r="P357" s="34" t="s">
        <v>31</v>
      </c>
      <c r="Q357" s="111">
        <f t="shared" si="54"/>
        <v>25830000</v>
      </c>
      <c r="R357" s="175">
        <f>+[1]N2!AE381</f>
        <v>25830000</v>
      </c>
      <c r="S357" s="107">
        <f t="shared" si="55"/>
        <v>0</v>
      </c>
      <c r="T357" s="2"/>
      <c r="U357" s="2"/>
      <c r="V357" s="2"/>
      <c r="W357" s="2"/>
      <c r="X357" s="2"/>
      <c r="Y357" s="2"/>
      <c r="Z357" s="2"/>
      <c r="AA357" s="2"/>
      <c r="AB357" s="2"/>
    </row>
    <row r="358" spans="1:28" s="46" customFormat="1">
      <c r="A358" s="36">
        <f t="shared" si="53"/>
        <v>354</v>
      </c>
      <c r="B358" s="104" t="s">
        <v>1277</v>
      </c>
      <c r="C358" s="105" t="s">
        <v>1278</v>
      </c>
      <c r="D358" s="106" t="s">
        <v>1279</v>
      </c>
      <c r="E358" s="28">
        <v>43158</v>
      </c>
      <c r="F358" s="107">
        <f>30000000</f>
        <v>30000000</v>
      </c>
      <c r="G358" s="33">
        <f t="shared" si="49"/>
        <v>42984000</v>
      </c>
      <c r="H358" s="118">
        <v>834000</v>
      </c>
      <c r="I358" s="118">
        <f t="shared" si="57"/>
        <v>360000</v>
      </c>
      <c r="J358" s="36">
        <v>36</v>
      </c>
      <c r="K358" s="110">
        <v>35</v>
      </c>
      <c r="L358" s="30">
        <f t="shared" si="51"/>
        <v>1194000</v>
      </c>
      <c r="M358" s="30">
        <f t="shared" si="52"/>
        <v>41790000</v>
      </c>
      <c r="N358" s="38">
        <f>F358-(H358*1)</f>
        <v>29166000</v>
      </c>
      <c r="O358" s="34" t="s">
        <v>47</v>
      </c>
      <c r="P358" s="34" t="s">
        <v>145</v>
      </c>
      <c r="Q358" s="111">
        <f t="shared" si="54"/>
        <v>29166000</v>
      </c>
      <c r="R358" s="175">
        <f>+[1]N2!AE382</f>
        <v>29166000</v>
      </c>
      <c r="S358" s="107">
        <f t="shared" si="55"/>
        <v>0</v>
      </c>
      <c r="T358" s="2"/>
      <c r="U358" s="2"/>
      <c r="V358" s="2"/>
      <c r="W358" s="2"/>
      <c r="X358" s="2"/>
      <c r="Y358" s="2"/>
      <c r="Z358" s="2"/>
      <c r="AA358" s="2"/>
      <c r="AB358" s="2"/>
    </row>
    <row r="359" spans="1:28" s="46" customFormat="1">
      <c r="A359" s="36">
        <f t="shared" si="53"/>
        <v>355</v>
      </c>
      <c r="B359" s="138" t="s">
        <v>1280</v>
      </c>
      <c r="C359" s="139" t="s">
        <v>1281</v>
      </c>
      <c r="D359" s="139"/>
      <c r="E359" s="125">
        <v>42552</v>
      </c>
      <c r="F359" s="111">
        <f>9500000</f>
        <v>9500000</v>
      </c>
      <c r="G359" s="111">
        <f t="shared" si="49"/>
        <v>12240000</v>
      </c>
      <c r="H359" s="108">
        <v>396000</v>
      </c>
      <c r="I359" s="108">
        <f t="shared" si="57"/>
        <v>114000</v>
      </c>
      <c r="J359" s="36">
        <v>24</v>
      </c>
      <c r="K359" s="110">
        <v>3</v>
      </c>
      <c r="L359" s="182">
        <f t="shared" si="51"/>
        <v>510000</v>
      </c>
      <c r="M359" s="107">
        <f t="shared" si="52"/>
        <v>1530000</v>
      </c>
      <c r="N359" s="179">
        <f>F359-(H359*21)</f>
        <v>1184000</v>
      </c>
      <c r="O359" s="133" t="s">
        <v>380</v>
      </c>
      <c r="P359" s="134" t="s">
        <v>36</v>
      </c>
      <c r="Q359" s="111">
        <f t="shared" si="54"/>
        <v>1184000</v>
      </c>
      <c r="R359" s="175">
        <f>+[1]N2!AE383</f>
        <v>1184000</v>
      </c>
      <c r="S359" s="107">
        <f t="shared" si="55"/>
        <v>0</v>
      </c>
      <c r="T359" s="2"/>
      <c r="U359" s="2"/>
      <c r="V359" s="2"/>
      <c r="W359" s="2"/>
      <c r="X359" s="2"/>
      <c r="Y359" s="2"/>
      <c r="Z359" s="2"/>
      <c r="AA359" s="2"/>
      <c r="AB359" s="2"/>
    </row>
    <row r="360" spans="1:28" s="46" customFormat="1">
      <c r="A360" s="36">
        <f t="shared" si="53"/>
        <v>356</v>
      </c>
      <c r="B360" s="107" t="s">
        <v>1282</v>
      </c>
      <c r="C360" s="119" t="s">
        <v>1283</v>
      </c>
      <c r="D360" s="119"/>
      <c r="E360" s="41">
        <v>42300</v>
      </c>
      <c r="F360" s="108">
        <f>7500060+187502+22312438</f>
        <v>30000000</v>
      </c>
      <c r="G360" s="176">
        <f t="shared" si="49"/>
        <v>42966000</v>
      </c>
      <c r="H360" s="107">
        <v>833500</v>
      </c>
      <c r="I360" s="108">
        <f t="shared" si="57"/>
        <v>360000</v>
      </c>
      <c r="J360" s="120" t="s">
        <v>82</v>
      </c>
      <c r="K360" s="110">
        <v>7</v>
      </c>
      <c r="L360" s="107">
        <f t="shared" si="51"/>
        <v>1193500</v>
      </c>
      <c r="M360" s="107">
        <f t="shared" si="52"/>
        <v>8354500</v>
      </c>
      <c r="N360" s="180">
        <f>F360-(H360*29)</f>
        <v>5828500</v>
      </c>
      <c r="O360" s="117" t="s">
        <v>522</v>
      </c>
      <c r="P360" s="117" t="s">
        <v>31</v>
      </c>
      <c r="Q360" s="111">
        <f t="shared" si="54"/>
        <v>5828500</v>
      </c>
      <c r="R360" s="175">
        <f>+[1]N2!AE384</f>
        <v>5828500</v>
      </c>
      <c r="S360" s="107">
        <f t="shared" si="55"/>
        <v>0</v>
      </c>
      <c r="T360" s="2"/>
      <c r="U360" s="2"/>
      <c r="V360" s="2"/>
      <c r="W360" s="2"/>
      <c r="X360" s="2"/>
      <c r="Y360" s="2"/>
      <c r="Z360" s="2"/>
      <c r="AA360" s="2"/>
      <c r="AB360" s="2"/>
    </row>
    <row r="361" spans="1:28" s="46" customFormat="1">
      <c r="A361" s="36">
        <f t="shared" si="53"/>
        <v>357</v>
      </c>
      <c r="B361" s="104" t="s">
        <v>1284</v>
      </c>
      <c r="C361" s="105" t="s">
        <v>1285</v>
      </c>
      <c r="D361" s="28" t="s">
        <v>1286</v>
      </c>
      <c r="E361" s="41">
        <v>42879</v>
      </c>
      <c r="F361" s="107">
        <f>19992000+499800+9508200</f>
        <v>30000000</v>
      </c>
      <c r="G361" s="33">
        <f t="shared" si="49"/>
        <v>43002000</v>
      </c>
      <c r="H361" s="107">
        <v>834500</v>
      </c>
      <c r="I361" s="107">
        <f t="shared" si="57"/>
        <v>360000</v>
      </c>
      <c r="J361" s="36">
        <v>36</v>
      </c>
      <c r="K361" s="110">
        <v>26</v>
      </c>
      <c r="L361" s="30">
        <f t="shared" si="51"/>
        <v>1194500</v>
      </c>
      <c r="M361" s="30">
        <f t="shared" si="52"/>
        <v>31057000</v>
      </c>
      <c r="N361" s="112">
        <f>F361-(H361*10)</f>
        <v>21655000</v>
      </c>
      <c r="O361" s="34" t="s">
        <v>1287</v>
      </c>
      <c r="P361" s="34" t="s">
        <v>31</v>
      </c>
      <c r="Q361" s="111">
        <f t="shared" si="54"/>
        <v>21655000</v>
      </c>
      <c r="R361" s="175">
        <f>+[1]N2!AE385</f>
        <v>21655000</v>
      </c>
      <c r="S361" s="107">
        <f t="shared" si="55"/>
        <v>0</v>
      </c>
      <c r="T361" s="2"/>
      <c r="U361" s="2"/>
      <c r="V361" s="2"/>
      <c r="W361" s="2"/>
      <c r="X361" s="2"/>
      <c r="Y361" s="2"/>
      <c r="Z361" s="2"/>
      <c r="AA361" s="2"/>
      <c r="AB361" s="2"/>
    </row>
    <row r="362" spans="1:28" s="46" customFormat="1">
      <c r="A362" s="36">
        <f t="shared" si="53"/>
        <v>358</v>
      </c>
      <c r="B362" s="104" t="s">
        <v>1288</v>
      </c>
      <c r="C362" s="105" t="s">
        <v>1289</v>
      </c>
      <c r="D362" s="28" t="s">
        <v>1290</v>
      </c>
      <c r="E362" s="41">
        <v>43045</v>
      </c>
      <c r="F362" s="107">
        <f>27215755+680394+186202+1917649</f>
        <v>30000000</v>
      </c>
      <c r="G362" s="33">
        <f t="shared" si="49"/>
        <v>42984000</v>
      </c>
      <c r="H362" s="118">
        <f>1194000-I362</f>
        <v>834000</v>
      </c>
      <c r="I362" s="118">
        <f t="shared" si="57"/>
        <v>360000</v>
      </c>
      <c r="J362" s="36">
        <v>36</v>
      </c>
      <c r="K362" s="110">
        <v>31</v>
      </c>
      <c r="L362" s="30">
        <f t="shared" si="51"/>
        <v>1194000</v>
      </c>
      <c r="M362" s="30">
        <f t="shared" si="52"/>
        <v>37014000</v>
      </c>
      <c r="N362" s="38">
        <f>F362-(H362*5)</f>
        <v>25830000</v>
      </c>
      <c r="O362" s="34" t="s">
        <v>47</v>
      </c>
      <c r="P362" s="34" t="s">
        <v>75</v>
      </c>
      <c r="Q362" s="111">
        <f t="shared" si="54"/>
        <v>25830000</v>
      </c>
      <c r="R362" s="175">
        <f>+[1]N2!AE386</f>
        <v>25830000</v>
      </c>
      <c r="S362" s="107">
        <f t="shared" si="55"/>
        <v>0</v>
      </c>
      <c r="T362" s="2"/>
      <c r="U362" s="2"/>
      <c r="V362" s="2"/>
      <c r="W362" s="2"/>
      <c r="X362" s="2"/>
      <c r="Y362" s="2"/>
      <c r="Z362" s="2"/>
      <c r="AA362" s="2"/>
      <c r="AB362" s="2"/>
    </row>
    <row r="363" spans="1:28" s="46" customFormat="1">
      <c r="A363" s="36">
        <f t="shared" si="53"/>
        <v>359</v>
      </c>
      <c r="B363" s="104" t="s">
        <v>1291</v>
      </c>
      <c r="C363" s="105" t="s">
        <v>1292</v>
      </c>
      <c r="D363" s="28" t="s">
        <v>1293</v>
      </c>
      <c r="E363" s="41">
        <v>42790</v>
      </c>
      <c r="F363" s="107">
        <f>17497500+437438+12065062</f>
        <v>30000000</v>
      </c>
      <c r="G363" s="33">
        <f t="shared" si="49"/>
        <v>42984000</v>
      </c>
      <c r="H363" s="107">
        <f>1194000-I363</f>
        <v>834000</v>
      </c>
      <c r="I363" s="107">
        <f t="shared" si="57"/>
        <v>360000</v>
      </c>
      <c r="J363" s="36">
        <v>36</v>
      </c>
      <c r="K363" s="110">
        <v>23</v>
      </c>
      <c r="L363" s="30">
        <f t="shared" si="51"/>
        <v>1194000</v>
      </c>
      <c r="M363" s="30">
        <f t="shared" si="52"/>
        <v>27462000</v>
      </c>
      <c r="N363" s="112">
        <f>F363-(H363*13)</f>
        <v>19158000</v>
      </c>
      <c r="O363" s="34" t="s">
        <v>47</v>
      </c>
      <c r="P363" s="34" t="s">
        <v>31</v>
      </c>
      <c r="Q363" s="111">
        <f t="shared" si="54"/>
        <v>19158000</v>
      </c>
      <c r="R363" s="175">
        <f>+[1]N2!AE387</f>
        <v>19158000</v>
      </c>
      <c r="S363" s="107">
        <f t="shared" si="55"/>
        <v>0</v>
      </c>
      <c r="T363" s="2"/>
      <c r="U363" s="2"/>
      <c r="V363" s="2"/>
      <c r="W363" s="2"/>
      <c r="X363" s="2"/>
      <c r="Y363" s="2"/>
      <c r="Z363" s="2"/>
      <c r="AA363" s="2"/>
      <c r="AB363" s="2"/>
    </row>
    <row r="364" spans="1:28" s="46" customFormat="1">
      <c r="A364" s="36">
        <f t="shared" si="53"/>
        <v>360</v>
      </c>
      <c r="B364" s="104" t="s">
        <v>1294</v>
      </c>
      <c r="C364" s="105" t="s">
        <v>1295</v>
      </c>
      <c r="D364" s="106"/>
      <c r="E364" s="41">
        <v>42872</v>
      </c>
      <c r="F364" s="107">
        <f>15000000</f>
        <v>15000000</v>
      </c>
      <c r="G364" s="33">
        <f t="shared" si="49"/>
        <v>19320000</v>
      </c>
      <c r="H364" s="107">
        <f>+F364/J364</f>
        <v>625000</v>
      </c>
      <c r="I364" s="107">
        <f t="shared" si="57"/>
        <v>180000</v>
      </c>
      <c r="J364" s="36">
        <v>24</v>
      </c>
      <c r="K364" s="110">
        <v>13</v>
      </c>
      <c r="L364" s="30">
        <f t="shared" si="51"/>
        <v>805000</v>
      </c>
      <c r="M364" s="30">
        <f t="shared" si="52"/>
        <v>10465000</v>
      </c>
      <c r="N364" s="112">
        <f>F364-(H364*11)</f>
        <v>8125000</v>
      </c>
      <c r="O364" s="34" t="s">
        <v>47</v>
      </c>
      <c r="P364" s="34" t="s">
        <v>36</v>
      </c>
      <c r="Q364" s="111">
        <f t="shared" si="54"/>
        <v>8125000</v>
      </c>
      <c r="R364" s="175">
        <f>+[1]N2!AE388</f>
        <v>8125000</v>
      </c>
      <c r="S364" s="107">
        <f t="shared" si="55"/>
        <v>0</v>
      </c>
      <c r="T364" s="2"/>
      <c r="U364" s="2"/>
      <c r="V364" s="2"/>
      <c r="W364" s="2"/>
      <c r="X364" s="2"/>
      <c r="Y364" s="2"/>
      <c r="Z364" s="2"/>
      <c r="AA364" s="2"/>
      <c r="AB364" s="2"/>
    </row>
    <row r="365" spans="1:28" s="46" customFormat="1">
      <c r="A365" s="36">
        <f t="shared" si="53"/>
        <v>361</v>
      </c>
      <c r="B365" s="104" t="s">
        <v>1296</v>
      </c>
      <c r="C365" s="105" t="s">
        <v>1297</v>
      </c>
      <c r="D365" s="28" t="s">
        <v>1298</v>
      </c>
      <c r="E365" s="28">
        <v>43154</v>
      </c>
      <c r="F365" s="126">
        <f>9988000+249700+19762300</f>
        <v>30000000</v>
      </c>
      <c r="G365" s="33">
        <f t="shared" si="49"/>
        <v>25200000</v>
      </c>
      <c r="H365" s="118">
        <f>700000-I365</f>
        <v>340000</v>
      </c>
      <c r="I365" s="118">
        <f t="shared" si="57"/>
        <v>360000</v>
      </c>
      <c r="J365" s="36">
        <v>36</v>
      </c>
      <c r="K365" s="110">
        <v>35</v>
      </c>
      <c r="L365" s="30">
        <f t="shared" si="51"/>
        <v>700000</v>
      </c>
      <c r="M365" s="30">
        <f t="shared" si="52"/>
        <v>24500000</v>
      </c>
      <c r="N365" s="38">
        <f>F365-(H365*1)</f>
        <v>29660000</v>
      </c>
      <c r="O365" s="34" t="s">
        <v>114</v>
      </c>
      <c r="P365" s="34" t="s">
        <v>93</v>
      </c>
      <c r="Q365" s="111">
        <f t="shared" si="54"/>
        <v>29660000</v>
      </c>
      <c r="R365" s="175">
        <f>+[1]N2!AE389</f>
        <v>29660000</v>
      </c>
      <c r="S365" s="107">
        <f t="shared" si="55"/>
        <v>0</v>
      </c>
      <c r="T365" s="2"/>
      <c r="U365" s="2"/>
      <c r="V365" s="2"/>
      <c r="W365" s="2"/>
      <c r="X365" s="2"/>
      <c r="Y365" s="2"/>
      <c r="Z365" s="2"/>
      <c r="AA365" s="2"/>
      <c r="AB365" s="2"/>
    </row>
    <row r="366" spans="1:28" s="46" customFormat="1">
      <c r="A366" s="36">
        <f t="shared" si="53"/>
        <v>362</v>
      </c>
      <c r="B366" s="104" t="s">
        <v>1299</v>
      </c>
      <c r="C366" s="105" t="s">
        <v>1300</v>
      </c>
      <c r="D366" s="28" t="s">
        <v>1301</v>
      </c>
      <c r="E366" s="41">
        <v>42906</v>
      </c>
      <c r="F366" s="107">
        <f>4998000+124950+24877050</f>
        <v>30000000</v>
      </c>
      <c r="G366" s="33">
        <f t="shared" si="49"/>
        <v>38640000</v>
      </c>
      <c r="H366" s="126">
        <f>F366/J366</f>
        <v>1250000</v>
      </c>
      <c r="I366" s="107">
        <f t="shared" si="57"/>
        <v>360000</v>
      </c>
      <c r="J366" s="36">
        <v>24</v>
      </c>
      <c r="K366" s="110">
        <v>15</v>
      </c>
      <c r="L366" s="30">
        <f t="shared" si="51"/>
        <v>1610000</v>
      </c>
      <c r="M366" s="30">
        <f t="shared" si="52"/>
        <v>24150000</v>
      </c>
      <c r="N366" s="112">
        <f>F366-(H366*9)</f>
        <v>18750000</v>
      </c>
      <c r="O366" s="34" t="s">
        <v>47</v>
      </c>
      <c r="P366" s="34" t="s">
        <v>31</v>
      </c>
      <c r="Q366" s="111">
        <f t="shared" si="54"/>
        <v>18750000</v>
      </c>
      <c r="R366" s="175">
        <f>+[1]N2!AE390</f>
        <v>18750000</v>
      </c>
      <c r="S366" s="107">
        <f t="shared" si="55"/>
        <v>0</v>
      </c>
      <c r="T366" s="2"/>
      <c r="U366" s="2"/>
      <c r="V366" s="2"/>
      <c r="W366" s="2"/>
      <c r="X366" s="2"/>
      <c r="Y366" s="2"/>
      <c r="Z366" s="2"/>
      <c r="AA366" s="2"/>
      <c r="AB366" s="2"/>
    </row>
    <row r="367" spans="1:28" s="46" customFormat="1">
      <c r="A367" s="36">
        <f t="shared" si="53"/>
        <v>363</v>
      </c>
      <c r="B367" s="104" t="s">
        <v>1304</v>
      </c>
      <c r="C367" s="105" t="s">
        <v>1305</v>
      </c>
      <c r="D367" s="106" t="s">
        <v>1306</v>
      </c>
      <c r="E367" s="41">
        <v>42790</v>
      </c>
      <c r="F367" s="107">
        <f>17497500+437438+12065062</f>
        <v>30000000</v>
      </c>
      <c r="G367" s="33">
        <f t="shared" si="49"/>
        <v>42984000</v>
      </c>
      <c r="H367" s="107">
        <f>1194000-I367</f>
        <v>834000</v>
      </c>
      <c r="I367" s="107">
        <f t="shared" si="57"/>
        <v>360000</v>
      </c>
      <c r="J367" s="36">
        <v>36</v>
      </c>
      <c r="K367" s="110">
        <v>23</v>
      </c>
      <c r="L367" s="30">
        <f t="shared" si="51"/>
        <v>1194000</v>
      </c>
      <c r="M367" s="30">
        <f t="shared" si="52"/>
        <v>27462000</v>
      </c>
      <c r="N367" s="112">
        <f>F367-(H367*13)</f>
        <v>19158000</v>
      </c>
      <c r="O367" s="34" t="s">
        <v>47</v>
      </c>
      <c r="P367" s="34" t="s">
        <v>31</v>
      </c>
      <c r="Q367" s="111">
        <f t="shared" si="54"/>
        <v>19158000</v>
      </c>
      <c r="R367" s="175">
        <f>+[1]N2!AE392</f>
        <v>19158000</v>
      </c>
      <c r="S367" s="107">
        <f t="shared" si="55"/>
        <v>0</v>
      </c>
      <c r="T367" s="2"/>
      <c r="U367" s="2"/>
      <c r="V367" s="2"/>
      <c r="W367" s="2"/>
      <c r="X367" s="2"/>
      <c r="Y367" s="2"/>
      <c r="Z367" s="2"/>
      <c r="AA367" s="2"/>
      <c r="AB367" s="2"/>
    </row>
    <row r="368" spans="1:28" s="46" customFormat="1">
      <c r="A368" s="36">
        <f t="shared" si="53"/>
        <v>364</v>
      </c>
      <c r="B368" s="104" t="s">
        <v>1307</v>
      </c>
      <c r="C368" s="105" t="s">
        <v>1308</v>
      </c>
      <c r="D368" s="106" t="s">
        <v>1309</v>
      </c>
      <c r="E368" s="41">
        <v>43034</v>
      </c>
      <c r="F368" s="107">
        <f>12496500+312413+17191087</f>
        <v>30000000</v>
      </c>
      <c r="G368" s="33">
        <f t="shared" si="49"/>
        <v>42984000</v>
      </c>
      <c r="H368" s="118">
        <v>834000</v>
      </c>
      <c r="I368" s="118">
        <f t="shared" si="57"/>
        <v>360000</v>
      </c>
      <c r="J368" s="36">
        <v>36</v>
      </c>
      <c r="K368" s="110">
        <v>31</v>
      </c>
      <c r="L368" s="30">
        <f t="shared" si="51"/>
        <v>1194000</v>
      </c>
      <c r="M368" s="30">
        <f t="shared" si="52"/>
        <v>37014000</v>
      </c>
      <c r="N368" s="38">
        <f>F368-(H368*5)</f>
        <v>25830000</v>
      </c>
      <c r="O368" s="34" t="s">
        <v>114</v>
      </c>
      <c r="P368" s="34" t="s">
        <v>31</v>
      </c>
      <c r="Q368" s="111">
        <f t="shared" si="54"/>
        <v>25830000</v>
      </c>
      <c r="R368" s="175">
        <f>+[1]N2!AE393</f>
        <v>25830000</v>
      </c>
      <c r="S368" s="107">
        <f t="shared" si="55"/>
        <v>0</v>
      </c>
      <c r="T368" s="2"/>
      <c r="U368" s="2"/>
      <c r="V368" s="2"/>
      <c r="W368" s="2"/>
      <c r="X368" s="2"/>
      <c r="Y368" s="2"/>
      <c r="Z368" s="2"/>
      <c r="AA368" s="2"/>
      <c r="AB368" s="2"/>
    </row>
    <row r="369" spans="1:28" s="46" customFormat="1">
      <c r="A369" s="36">
        <f t="shared" si="53"/>
        <v>365</v>
      </c>
      <c r="B369" s="107" t="s">
        <v>1310</v>
      </c>
      <c r="C369" s="119" t="s">
        <v>1311</v>
      </c>
      <c r="D369" s="119"/>
      <c r="E369" s="41">
        <v>42655</v>
      </c>
      <c r="F369" s="108">
        <f>30000000</f>
        <v>30000000</v>
      </c>
      <c r="G369" s="111">
        <f t="shared" si="49"/>
        <v>42984000</v>
      </c>
      <c r="H369" s="107">
        <v>834000</v>
      </c>
      <c r="I369" s="107">
        <f t="shared" si="57"/>
        <v>360000</v>
      </c>
      <c r="J369" s="120" t="s">
        <v>82</v>
      </c>
      <c r="K369" s="110">
        <v>18</v>
      </c>
      <c r="L369" s="30">
        <f t="shared" si="51"/>
        <v>1194000</v>
      </c>
      <c r="M369" s="107">
        <f t="shared" si="52"/>
        <v>21492000</v>
      </c>
      <c r="N369" s="112">
        <f>F369-(H369*18)</f>
        <v>14988000</v>
      </c>
      <c r="O369" s="117" t="s">
        <v>20</v>
      </c>
      <c r="P369" s="34" t="s">
        <v>36</v>
      </c>
      <c r="Q369" s="111">
        <f t="shared" si="54"/>
        <v>14988000</v>
      </c>
      <c r="R369" s="175">
        <f>+[1]N2!AE394</f>
        <v>14988000</v>
      </c>
      <c r="S369" s="107">
        <f t="shared" si="55"/>
        <v>0</v>
      </c>
      <c r="T369" s="2"/>
      <c r="U369" s="2"/>
      <c r="V369" s="2"/>
      <c r="W369" s="2"/>
      <c r="X369" s="2"/>
      <c r="Y369" s="2"/>
      <c r="Z369" s="2"/>
      <c r="AA369" s="2"/>
      <c r="AB369" s="2"/>
    </row>
    <row r="370" spans="1:28" s="46" customFormat="1">
      <c r="A370" s="36">
        <f t="shared" si="53"/>
        <v>366</v>
      </c>
      <c r="B370" s="107" t="s">
        <v>1312</v>
      </c>
      <c r="C370" s="119" t="s">
        <v>1313</v>
      </c>
      <c r="D370" s="106" t="s">
        <v>1314</v>
      </c>
      <c r="E370" s="41">
        <v>42871</v>
      </c>
      <c r="F370" s="126">
        <f>30000000</f>
        <v>30000000</v>
      </c>
      <c r="G370" s="33">
        <f t="shared" si="49"/>
        <v>38640000</v>
      </c>
      <c r="H370" s="107">
        <f>+F370/J370</f>
        <v>1250000</v>
      </c>
      <c r="I370" s="107">
        <f t="shared" si="57"/>
        <v>360000</v>
      </c>
      <c r="J370" s="36">
        <v>24</v>
      </c>
      <c r="K370" s="110">
        <v>13</v>
      </c>
      <c r="L370" s="181">
        <f t="shared" si="51"/>
        <v>1610000</v>
      </c>
      <c r="M370" s="30">
        <f t="shared" si="52"/>
        <v>20930000</v>
      </c>
      <c r="N370" s="33">
        <f>+H370*K370</f>
        <v>16250000</v>
      </c>
      <c r="O370" s="34" t="s">
        <v>249</v>
      </c>
      <c r="P370" s="34" t="s">
        <v>36</v>
      </c>
      <c r="Q370" s="111">
        <f t="shared" si="54"/>
        <v>16250000</v>
      </c>
      <c r="R370" s="175">
        <f>+[1]N2!AE395</f>
        <v>16250000</v>
      </c>
      <c r="S370" s="107">
        <f t="shared" si="55"/>
        <v>0</v>
      </c>
      <c r="T370" s="2"/>
      <c r="U370" s="2"/>
      <c r="V370" s="2"/>
      <c r="W370" s="2"/>
      <c r="X370" s="2"/>
      <c r="Y370" s="2"/>
      <c r="Z370" s="2"/>
      <c r="AA370" s="2"/>
      <c r="AB370" s="2"/>
    </row>
    <row r="371" spans="1:28" s="46" customFormat="1">
      <c r="A371" s="36">
        <f t="shared" si="53"/>
        <v>367</v>
      </c>
      <c r="B371" s="104" t="s">
        <v>1315</v>
      </c>
      <c r="C371" s="105" t="s">
        <v>1316</v>
      </c>
      <c r="D371" s="106" t="s">
        <v>1317</v>
      </c>
      <c r="E371" s="28">
        <v>43130</v>
      </c>
      <c r="F371" s="107">
        <f>17490000+437250+12072750</f>
        <v>30000000</v>
      </c>
      <c r="G371" s="33">
        <f t="shared" si="49"/>
        <v>42984000</v>
      </c>
      <c r="H371" s="118">
        <f>1194000-I371</f>
        <v>834000</v>
      </c>
      <c r="I371" s="118">
        <f t="shared" si="57"/>
        <v>360000</v>
      </c>
      <c r="J371" s="36">
        <v>36</v>
      </c>
      <c r="K371" s="110">
        <v>34</v>
      </c>
      <c r="L371" s="30">
        <f t="shared" si="51"/>
        <v>1194000</v>
      </c>
      <c r="M371" s="30">
        <f t="shared" si="52"/>
        <v>40596000</v>
      </c>
      <c r="N371" s="38">
        <f>F371-(H371*2)</f>
        <v>28332000</v>
      </c>
      <c r="O371" s="34" t="s">
        <v>460</v>
      </c>
      <c r="P371" s="34" t="s">
        <v>31</v>
      </c>
      <c r="Q371" s="111">
        <f t="shared" si="54"/>
        <v>28332000</v>
      </c>
      <c r="R371" s="175">
        <f>+[1]N2!AE396</f>
        <v>28332000</v>
      </c>
      <c r="S371" s="107">
        <f t="shared" si="55"/>
        <v>0</v>
      </c>
      <c r="T371" s="2"/>
      <c r="U371" s="2"/>
      <c r="V371" s="2"/>
      <c r="W371" s="2"/>
      <c r="X371" s="2"/>
      <c r="Y371" s="2"/>
      <c r="Z371" s="2"/>
      <c r="AA371" s="2"/>
      <c r="AB371" s="2"/>
    </row>
    <row r="372" spans="1:28" s="46" customFormat="1">
      <c r="A372" s="36">
        <f t="shared" si="53"/>
        <v>368</v>
      </c>
      <c r="B372" s="107" t="s">
        <v>1318</v>
      </c>
      <c r="C372" s="119" t="s">
        <v>1319</v>
      </c>
      <c r="D372" s="119"/>
      <c r="E372" s="41">
        <v>42636</v>
      </c>
      <c r="F372" s="108">
        <f>17499000+437475+12063525</f>
        <v>30000000</v>
      </c>
      <c r="G372" s="111">
        <f t="shared" si="49"/>
        <v>42984000</v>
      </c>
      <c r="H372" s="107">
        <v>834000</v>
      </c>
      <c r="I372" s="108">
        <f t="shared" si="57"/>
        <v>360000</v>
      </c>
      <c r="J372" s="120" t="s">
        <v>82</v>
      </c>
      <c r="K372" s="110">
        <v>18</v>
      </c>
      <c r="L372" s="30">
        <f t="shared" si="51"/>
        <v>1194000</v>
      </c>
      <c r="M372" s="107">
        <f t="shared" si="52"/>
        <v>21492000</v>
      </c>
      <c r="N372" s="112">
        <f>F372-(H372*18)</f>
        <v>14988000</v>
      </c>
      <c r="O372" s="117" t="s">
        <v>1320</v>
      </c>
      <c r="P372" s="117" t="s">
        <v>31</v>
      </c>
      <c r="Q372" s="111">
        <f t="shared" si="54"/>
        <v>14988000</v>
      </c>
      <c r="R372" s="175">
        <f>+[1]N2!AE397</f>
        <v>14988000</v>
      </c>
      <c r="S372" s="107">
        <f t="shared" si="55"/>
        <v>0</v>
      </c>
      <c r="T372" s="2"/>
      <c r="U372" s="2"/>
      <c r="V372" s="2"/>
      <c r="W372" s="2"/>
      <c r="X372" s="2"/>
      <c r="Y372" s="2"/>
      <c r="Z372" s="2"/>
      <c r="AA372" s="2"/>
      <c r="AB372" s="2"/>
    </row>
    <row r="373" spans="1:28" s="46" customFormat="1">
      <c r="A373" s="36">
        <f t="shared" si="53"/>
        <v>369</v>
      </c>
      <c r="B373" s="107" t="s">
        <v>1321</v>
      </c>
      <c r="C373" s="119" t="s">
        <v>1322</v>
      </c>
      <c r="D373" s="119" t="s">
        <v>1323</v>
      </c>
      <c r="E373" s="41">
        <v>42702</v>
      </c>
      <c r="F373" s="108">
        <f>30000000</f>
        <v>30000000</v>
      </c>
      <c r="G373" s="33">
        <f t="shared" si="49"/>
        <v>42984000</v>
      </c>
      <c r="H373" s="107">
        <v>834000</v>
      </c>
      <c r="I373" s="107">
        <f t="shared" si="57"/>
        <v>360000</v>
      </c>
      <c r="J373" s="120" t="s">
        <v>82</v>
      </c>
      <c r="K373" s="110">
        <v>20</v>
      </c>
      <c r="L373" s="30">
        <f t="shared" si="51"/>
        <v>1194000</v>
      </c>
      <c r="M373" s="107">
        <f t="shared" si="52"/>
        <v>23880000</v>
      </c>
      <c r="N373" s="112">
        <f>F373-(H373*16)</f>
        <v>16656000</v>
      </c>
      <c r="O373" s="117" t="s">
        <v>550</v>
      </c>
      <c r="P373" s="117" t="s">
        <v>73</v>
      </c>
      <c r="Q373" s="111">
        <f t="shared" si="54"/>
        <v>16656000</v>
      </c>
      <c r="R373" s="175">
        <f>+[1]N2!AE398</f>
        <v>16656000</v>
      </c>
      <c r="S373" s="107">
        <f t="shared" si="55"/>
        <v>0</v>
      </c>
      <c r="T373" s="2"/>
      <c r="U373" s="2"/>
      <c r="V373" s="2"/>
      <c r="W373" s="2"/>
      <c r="X373" s="2"/>
      <c r="Y373" s="2"/>
      <c r="Z373" s="2"/>
      <c r="AA373" s="2"/>
      <c r="AB373" s="2"/>
    </row>
    <row r="374" spans="1:28" s="46" customFormat="1">
      <c r="A374" s="36">
        <f t="shared" si="53"/>
        <v>370</v>
      </c>
      <c r="B374" s="107" t="s">
        <v>1324</v>
      </c>
      <c r="C374" s="119" t="s">
        <v>1325</v>
      </c>
      <c r="D374" s="119"/>
      <c r="E374" s="125">
        <v>42549</v>
      </c>
      <c r="F374" s="108">
        <v>30000000</v>
      </c>
      <c r="G374" s="111">
        <f t="shared" si="49"/>
        <v>42984000</v>
      </c>
      <c r="H374" s="107">
        <v>834000</v>
      </c>
      <c r="I374" s="33">
        <f t="shared" si="57"/>
        <v>360000</v>
      </c>
      <c r="J374" s="120" t="s">
        <v>82</v>
      </c>
      <c r="K374" s="110">
        <v>15</v>
      </c>
      <c r="L374" s="182">
        <f t="shared" si="51"/>
        <v>1194000</v>
      </c>
      <c r="M374" s="107">
        <f t="shared" si="52"/>
        <v>17910000</v>
      </c>
      <c r="N374" s="179">
        <f>F374-(H374*21)</f>
        <v>12486000</v>
      </c>
      <c r="O374" s="117" t="s">
        <v>1013</v>
      </c>
      <c r="P374" s="117" t="s">
        <v>444</v>
      </c>
      <c r="Q374" s="111">
        <f t="shared" si="54"/>
        <v>12486000</v>
      </c>
      <c r="R374" s="175">
        <f>+[1]N2!AE399</f>
        <v>12486000</v>
      </c>
      <c r="S374" s="107">
        <f t="shared" si="55"/>
        <v>0</v>
      </c>
      <c r="T374" s="2"/>
      <c r="U374" s="2"/>
      <c r="V374" s="2"/>
      <c r="W374" s="2"/>
      <c r="X374" s="2"/>
      <c r="Y374" s="2"/>
      <c r="Z374" s="2"/>
      <c r="AA374" s="2"/>
      <c r="AB374" s="2"/>
    </row>
    <row r="375" spans="1:28" s="46" customFormat="1">
      <c r="A375" s="36">
        <f t="shared" si="53"/>
        <v>371</v>
      </c>
      <c r="B375" s="104" t="s">
        <v>1326</v>
      </c>
      <c r="C375" s="105" t="s">
        <v>1327</v>
      </c>
      <c r="D375" s="28" t="s">
        <v>1328</v>
      </c>
      <c r="E375" s="41">
        <v>42879</v>
      </c>
      <c r="F375" s="107">
        <f>3958000</f>
        <v>3958000</v>
      </c>
      <c r="G375" s="33">
        <f t="shared" si="49"/>
        <v>4542000</v>
      </c>
      <c r="H375" s="107">
        <f>378500-I375</f>
        <v>331004</v>
      </c>
      <c r="I375" s="107">
        <f t="shared" si="57"/>
        <v>47496</v>
      </c>
      <c r="J375" s="36">
        <v>12</v>
      </c>
      <c r="K375" s="110">
        <v>2</v>
      </c>
      <c r="L375" s="30">
        <f t="shared" si="51"/>
        <v>378500</v>
      </c>
      <c r="M375" s="30">
        <f t="shared" si="52"/>
        <v>757000</v>
      </c>
      <c r="N375" s="112">
        <f>F375-(H375*10)</f>
        <v>647960</v>
      </c>
      <c r="O375" s="34" t="s">
        <v>312</v>
      </c>
      <c r="P375" s="34" t="s">
        <v>36</v>
      </c>
      <c r="Q375" s="111">
        <f t="shared" si="54"/>
        <v>647960</v>
      </c>
      <c r="R375" s="175">
        <f>+[1]N2!AE400</f>
        <v>647960</v>
      </c>
      <c r="S375" s="107">
        <f t="shared" si="55"/>
        <v>0</v>
      </c>
      <c r="T375" s="2"/>
      <c r="U375" s="2"/>
      <c r="V375" s="2"/>
      <c r="W375" s="2"/>
      <c r="X375" s="2"/>
      <c r="Y375" s="2"/>
      <c r="Z375" s="2"/>
      <c r="AA375" s="2"/>
      <c r="AB375" s="2"/>
    </row>
    <row r="376" spans="1:28" s="46" customFormat="1">
      <c r="A376" s="36">
        <f t="shared" si="53"/>
        <v>372</v>
      </c>
      <c r="B376" s="104" t="s">
        <v>1329</v>
      </c>
      <c r="C376" s="105" t="s">
        <v>1330</v>
      </c>
      <c r="D376" s="106" t="s">
        <v>1331</v>
      </c>
      <c r="E376" s="41">
        <v>43003</v>
      </c>
      <c r="F376" s="107">
        <f>4998000+124950+24877050</f>
        <v>30000000</v>
      </c>
      <c r="G376" s="33">
        <f t="shared" si="49"/>
        <v>42984000</v>
      </c>
      <c r="H376" s="118">
        <v>834000</v>
      </c>
      <c r="I376" s="118">
        <f>F376*1.2%</f>
        <v>360000</v>
      </c>
      <c r="J376" s="36">
        <v>36</v>
      </c>
      <c r="K376" s="110">
        <v>30</v>
      </c>
      <c r="L376" s="30">
        <f t="shared" si="51"/>
        <v>1194000</v>
      </c>
      <c r="M376" s="30">
        <f t="shared" si="52"/>
        <v>35820000</v>
      </c>
      <c r="N376" s="112">
        <f>F376-(H376*6)</f>
        <v>24996000</v>
      </c>
      <c r="O376" s="34" t="s">
        <v>755</v>
      </c>
      <c r="P376" s="34" t="s">
        <v>75</v>
      </c>
      <c r="Q376" s="111">
        <f t="shared" si="54"/>
        <v>24996000</v>
      </c>
      <c r="R376" s="175">
        <f>+[1]N2!AE401</f>
        <v>24996000</v>
      </c>
      <c r="S376" s="107">
        <f t="shared" si="55"/>
        <v>0</v>
      </c>
      <c r="T376" s="2"/>
      <c r="U376" s="2"/>
      <c r="V376" s="2"/>
      <c r="W376" s="2"/>
      <c r="X376" s="2"/>
      <c r="Y376" s="2"/>
      <c r="Z376" s="2"/>
      <c r="AA376" s="2"/>
      <c r="AB376" s="2"/>
    </row>
    <row r="377" spans="1:28" s="46" customFormat="1">
      <c r="A377" s="36">
        <f t="shared" si="53"/>
        <v>373</v>
      </c>
      <c r="B377" s="104" t="s">
        <v>1332</v>
      </c>
      <c r="C377" s="105" t="s">
        <v>1333</v>
      </c>
      <c r="D377" s="106" t="s">
        <v>1334</v>
      </c>
      <c r="E377" s="41">
        <v>42929</v>
      </c>
      <c r="F377" s="107">
        <f>19158000+478950+246581+10116469</f>
        <v>30000000</v>
      </c>
      <c r="G377" s="33">
        <f t="shared" si="49"/>
        <v>43002000</v>
      </c>
      <c r="H377" s="126">
        <f>1194500-I377</f>
        <v>834500</v>
      </c>
      <c r="I377" s="107">
        <f t="shared" ref="I377:I385" si="58">+F377*1.2%</f>
        <v>360000</v>
      </c>
      <c r="J377" s="36">
        <v>36</v>
      </c>
      <c r="K377" s="110">
        <v>27</v>
      </c>
      <c r="L377" s="30">
        <f t="shared" si="51"/>
        <v>1194500</v>
      </c>
      <c r="M377" s="30">
        <f t="shared" si="52"/>
        <v>32251500</v>
      </c>
      <c r="N377" s="112">
        <f>F377-(H377*9)</f>
        <v>22489500</v>
      </c>
      <c r="O377" s="34" t="s">
        <v>1335</v>
      </c>
      <c r="P377" s="34" t="s">
        <v>31</v>
      </c>
      <c r="Q377" s="111">
        <f t="shared" si="54"/>
        <v>22489500</v>
      </c>
      <c r="R377" s="175">
        <f>+[1]N2!AE402</f>
        <v>22489500</v>
      </c>
      <c r="S377" s="107">
        <f t="shared" si="55"/>
        <v>0</v>
      </c>
      <c r="T377" s="2"/>
      <c r="U377" s="2"/>
      <c r="V377" s="2"/>
      <c r="W377" s="2"/>
      <c r="X377" s="2"/>
      <c r="Y377" s="2"/>
      <c r="Z377" s="2"/>
      <c r="AA377" s="2"/>
      <c r="AB377" s="2"/>
    </row>
    <row r="378" spans="1:28" s="46" customFormat="1">
      <c r="A378" s="36">
        <f t="shared" si="53"/>
        <v>374</v>
      </c>
      <c r="B378" s="107" t="s">
        <v>1336</v>
      </c>
      <c r="C378" s="119" t="s">
        <v>1337</v>
      </c>
      <c r="D378" s="119" t="s">
        <v>1338</v>
      </c>
      <c r="E378" s="41">
        <v>42704</v>
      </c>
      <c r="F378" s="108">
        <f>12000000</f>
        <v>12000000</v>
      </c>
      <c r="G378" s="33">
        <f t="shared" si="49"/>
        <v>17208000</v>
      </c>
      <c r="H378" s="146">
        <v>334000</v>
      </c>
      <c r="I378" s="107">
        <f t="shared" si="58"/>
        <v>144000</v>
      </c>
      <c r="J378" s="120" t="s">
        <v>82</v>
      </c>
      <c r="K378" s="110">
        <v>20</v>
      </c>
      <c r="L378" s="30">
        <f t="shared" si="51"/>
        <v>478000</v>
      </c>
      <c r="M378" s="107">
        <f t="shared" si="52"/>
        <v>9560000</v>
      </c>
      <c r="N378" s="112">
        <f>F378-(H378*16)</f>
        <v>6656000</v>
      </c>
      <c r="O378" s="117" t="s">
        <v>987</v>
      </c>
      <c r="P378" s="117" t="s">
        <v>73</v>
      </c>
      <c r="Q378" s="111">
        <f t="shared" si="54"/>
        <v>6656000</v>
      </c>
      <c r="R378" s="175">
        <f>+[1]N2!AE403</f>
        <v>6656000</v>
      </c>
      <c r="S378" s="107">
        <f t="shared" si="55"/>
        <v>0</v>
      </c>
      <c r="T378" s="2"/>
      <c r="U378" s="2"/>
      <c r="V378" s="2"/>
      <c r="W378" s="2"/>
      <c r="X378" s="2"/>
      <c r="Y378" s="2"/>
      <c r="Z378" s="2"/>
      <c r="AA378" s="2"/>
      <c r="AB378" s="2"/>
    </row>
    <row r="379" spans="1:28" s="46" customFormat="1">
      <c r="A379" s="36">
        <f t="shared" si="53"/>
        <v>375</v>
      </c>
      <c r="B379" s="104" t="s">
        <v>1339</v>
      </c>
      <c r="C379" s="105" t="s">
        <v>1340</v>
      </c>
      <c r="D379" s="28" t="s">
        <v>1341</v>
      </c>
      <c r="E379" s="41">
        <v>42902</v>
      </c>
      <c r="F379" s="107">
        <f>23328000+583200+284903+5803897</f>
        <v>30000000</v>
      </c>
      <c r="G379" s="33">
        <f t="shared" si="49"/>
        <v>43002000</v>
      </c>
      <c r="H379" s="107">
        <v>834500</v>
      </c>
      <c r="I379" s="107">
        <f t="shared" si="58"/>
        <v>360000</v>
      </c>
      <c r="J379" s="36">
        <v>36</v>
      </c>
      <c r="K379" s="110">
        <v>26</v>
      </c>
      <c r="L379" s="30">
        <f t="shared" si="51"/>
        <v>1194500</v>
      </c>
      <c r="M379" s="30">
        <f t="shared" si="52"/>
        <v>31057000</v>
      </c>
      <c r="N379" s="112">
        <f>F379-(H379*10)</f>
        <v>21655000</v>
      </c>
      <c r="O379" s="34" t="s">
        <v>1342</v>
      </c>
      <c r="P379" s="34" t="s">
        <v>31</v>
      </c>
      <c r="Q379" s="111">
        <f t="shared" si="54"/>
        <v>21655000</v>
      </c>
      <c r="R379" s="175">
        <f>+[1]N2!AE404</f>
        <v>21655000</v>
      </c>
      <c r="S379" s="107">
        <f t="shared" si="55"/>
        <v>0</v>
      </c>
      <c r="T379" s="2"/>
      <c r="U379" s="2"/>
      <c r="V379" s="2"/>
      <c r="W379" s="2"/>
      <c r="X379" s="2"/>
      <c r="Y379" s="2"/>
      <c r="Z379" s="2"/>
      <c r="AA379" s="2"/>
      <c r="AB379" s="2"/>
    </row>
    <row r="380" spans="1:28" s="46" customFormat="1">
      <c r="A380" s="36">
        <f t="shared" si="53"/>
        <v>376</v>
      </c>
      <c r="B380" s="107" t="s">
        <v>1343</v>
      </c>
      <c r="C380" s="119" t="s">
        <v>1344</v>
      </c>
      <c r="D380" s="119"/>
      <c r="E380" s="125">
        <v>42516</v>
      </c>
      <c r="F380" s="108">
        <f>30000000</f>
        <v>30000000</v>
      </c>
      <c r="G380" s="108">
        <f t="shared" si="49"/>
        <v>42984000</v>
      </c>
      <c r="H380" s="131">
        <f>1194000-I380</f>
        <v>834000</v>
      </c>
      <c r="I380" s="108">
        <f t="shared" si="58"/>
        <v>360000</v>
      </c>
      <c r="J380" s="120" t="s">
        <v>82</v>
      </c>
      <c r="K380" s="110">
        <v>14</v>
      </c>
      <c r="L380" s="107">
        <f t="shared" si="51"/>
        <v>1194000</v>
      </c>
      <c r="M380" s="107">
        <f t="shared" si="52"/>
        <v>16716000</v>
      </c>
      <c r="N380" s="179">
        <f>F380-(H380*22)</f>
        <v>11652000</v>
      </c>
      <c r="O380" s="117" t="s">
        <v>1345</v>
      </c>
      <c r="P380" s="117" t="s">
        <v>363</v>
      </c>
      <c r="Q380" s="111">
        <f t="shared" si="54"/>
        <v>11652000</v>
      </c>
      <c r="R380" s="175">
        <f>+[1]N2!AE405</f>
        <v>11652000</v>
      </c>
      <c r="S380" s="107">
        <f t="shared" si="55"/>
        <v>0</v>
      </c>
      <c r="T380" s="2"/>
      <c r="U380" s="2"/>
      <c r="V380" s="2"/>
      <c r="W380" s="2"/>
      <c r="X380" s="2"/>
      <c r="Y380" s="2"/>
      <c r="Z380" s="2"/>
      <c r="AA380" s="2"/>
      <c r="AB380" s="2"/>
    </row>
    <row r="381" spans="1:28" s="46" customFormat="1">
      <c r="A381" s="36">
        <f t="shared" si="53"/>
        <v>377</v>
      </c>
      <c r="B381" s="104" t="s">
        <v>1346</v>
      </c>
      <c r="C381" s="105" t="s">
        <v>1347</v>
      </c>
      <c r="D381" s="106" t="s">
        <v>1348</v>
      </c>
      <c r="E381" s="41">
        <v>43034</v>
      </c>
      <c r="F381" s="107">
        <f>12496500+312413+17191087</f>
        <v>30000000</v>
      </c>
      <c r="G381" s="33">
        <f t="shared" si="49"/>
        <v>42984000</v>
      </c>
      <c r="H381" s="118">
        <v>834000</v>
      </c>
      <c r="I381" s="118">
        <f t="shared" si="58"/>
        <v>360000</v>
      </c>
      <c r="J381" s="36">
        <v>36</v>
      </c>
      <c r="K381" s="110">
        <v>31</v>
      </c>
      <c r="L381" s="30">
        <f t="shared" si="51"/>
        <v>1194000</v>
      </c>
      <c r="M381" s="30">
        <f t="shared" si="52"/>
        <v>37014000</v>
      </c>
      <c r="N381" s="38">
        <f>F381-(H381*5)</f>
        <v>25830000</v>
      </c>
      <c r="O381" s="34" t="s">
        <v>1349</v>
      </c>
      <c r="P381" s="34" t="s">
        <v>31</v>
      </c>
      <c r="Q381" s="111">
        <f t="shared" si="54"/>
        <v>25830000</v>
      </c>
      <c r="R381" s="175">
        <f>+[1]N2!AE406</f>
        <v>25830000</v>
      </c>
      <c r="S381" s="107">
        <f t="shared" si="55"/>
        <v>0</v>
      </c>
      <c r="T381" s="2"/>
      <c r="U381" s="2"/>
      <c r="V381" s="2"/>
      <c r="W381" s="2"/>
      <c r="X381" s="2"/>
      <c r="Y381" s="2"/>
      <c r="Z381" s="2"/>
      <c r="AA381" s="2"/>
      <c r="AB381" s="2"/>
    </row>
    <row r="382" spans="1:28" s="46" customFormat="1">
      <c r="A382" s="36">
        <f t="shared" si="53"/>
        <v>378</v>
      </c>
      <c r="B382" s="107" t="s">
        <v>1350</v>
      </c>
      <c r="C382" s="119" t="s">
        <v>1351</v>
      </c>
      <c r="D382" s="119"/>
      <c r="E382" s="41">
        <v>42639</v>
      </c>
      <c r="F382" s="108">
        <f>30000000</f>
        <v>30000000</v>
      </c>
      <c r="G382" s="111">
        <f t="shared" si="49"/>
        <v>27972000</v>
      </c>
      <c r="H382" s="107">
        <v>417000</v>
      </c>
      <c r="I382" s="108">
        <f t="shared" si="58"/>
        <v>360000</v>
      </c>
      <c r="J382" s="120" t="s">
        <v>82</v>
      </c>
      <c r="K382" s="110">
        <v>18</v>
      </c>
      <c r="L382" s="30">
        <f t="shared" si="51"/>
        <v>777000</v>
      </c>
      <c r="M382" s="107">
        <f t="shared" si="52"/>
        <v>13986000</v>
      </c>
      <c r="N382" s="112">
        <f>F382-(H382*18)-5000000</f>
        <v>17494000</v>
      </c>
      <c r="O382" s="117" t="s">
        <v>114</v>
      </c>
      <c r="P382" s="117" t="s">
        <v>36</v>
      </c>
      <c r="Q382" s="111">
        <f t="shared" si="54"/>
        <v>17494000</v>
      </c>
      <c r="R382" s="175">
        <f>+[1]N2!AE407</f>
        <v>17494000</v>
      </c>
      <c r="S382" s="107">
        <f t="shared" si="55"/>
        <v>0</v>
      </c>
      <c r="T382" s="2"/>
      <c r="U382" s="2"/>
      <c r="V382" s="2"/>
      <c r="W382" s="2"/>
      <c r="X382" s="2"/>
      <c r="Y382" s="2"/>
      <c r="Z382" s="2"/>
      <c r="AA382" s="2"/>
      <c r="AB382" s="2"/>
    </row>
    <row r="383" spans="1:28" s="46" customFormat="1">
      <c r="A383" s="36">
        <f t="shared" si="53"/>
        <v>379</v>
      </c>
      <c r="B383" s="104" t="s">
        <v>1352</v>
      </c>
      <c r="C383" s="105" t="s">
        <v>1353</v>
      </c>
      <c r="D383" s="106" t="s">
        <v>1354</v>
      </c>
      <c r="E383" s="41">
        <v>42830</v>
      </c>
      <c r="F383" s="107">
        <f>15000000</f>
        <v>15000000</v>
      </c>
      <c r="G383" s="33">
        <f t="shared" si="49"/>
        <v>21510000</v>
      </c>
      <c r="H383" s="107">
        <f>597500-I383</f>
        <v>417500</v>
      </c>
      <c r="I383" s="107">
        <f t="shared" si="58"/>
        <v>180000</v>
      </c>
      <c r="J383" s="36">
        <v>36</v>
      </c>
      <c r="K383" s="110">
        <v>24</v>
      </c>
      <c r="L383" s="30">
        <f t="shared" si="51"/>
        <v>597500</v>
      </c>
      <c r="M383" s="30">
        <f t="shared" si="52"/>
        <v>14340000</v>
      </c>
      <c r="N383" s="112">
        <f>F383-(H383*12)</f>
        <v>9990000</v>
      </c>
      <c r="O383" s="34" t="s">
        <v>95</v>
      </c>
      <c r="P383" s="34" t="s">
        <v>36</v>
      </c>
      <c r="Q383" s="111">
        <f t="shared" si="54"/>
        <v>9990000</v>
      </c>
      <c r="R383" s="175">
        <f>+[1]N2!AE408</f>
        <v>9990000</v>
      </c>
      <c r="S383" s="107">
        <f t="shared" si="55"/>
        <v>0</v>
      </c>
      <c r="T383" s="2"/>
      <c r="U383" s="2"/>
      <c r="V383" s="2"/>
      <c r="W383" s="2"/>
      <c r="X383" s="2"/>
      <c r="Y383" s="2"/>
      <c r="Z383" s="2"/>
      <c r="AA383" s="2"/>
      <c r="AB383" s="2"/>
    </row>
    <row r="384" spans="1:28" s="46" customFormat="1">
      <c r="A384" s="36">
        <f t="shared" si="53"/>
        <v>380</v>
      </c>
      <c r="B384" s="107" t="s">
        <v>1355</v>
      </c>
      <c r="C384" s="119" t="s">
        <v>1356</v>
      </c>
      <c r="D384" s="119"/>
      <c r="E384" s="41">
        <v>42272</v>
      </c>
      <c r="F384" s="108">
        <f>11666760+291669+18041571</f>
        <v>30000000</v>
      </c>
      <c r="G384" s="176">
        <f t="shared" si="49"/>
        <v>42966000</v>
      </c>
      <c r="H384" s="107">
        <v>833500</v>
      </c>
      <c r="I384" s="108">
        <f t="shared" si="58"/>
        <v>360000</v>
      </c>
      <c r="J384" s="120" t="s">
        <v>82</v>
      </c>
      <c r="K384" s="110">
        <v>6</v>
      </c>
      <c r="L384" s="107">
        <f t="shared" si="51"/>
        <v>1193500</v>
      </c>
      <c r="M384" s="107">
        <f t="shared" ref="M384:M397" si="59">+K384*L384</f>
        <v>7161000</v>
      </c>
      <c r="N384" s="179">
        <f>F384-(H384*30)</f>
        <v>4995000</v>
      </c>
      <c r="O384" s="117" t="s">
        <v>1357</v>
      </c>
      <c r="P384" s="117" t="s">
        <v>84</v>
      </c>
      <c r="Q384" s="111">
        <f t="shared" si="54"/>
        <v>4995000</v>
      </c>
      <c r="R384" s="175">
        <f>+[1]N2!AE409</f>
        <v>4995000</v>
      </c>
      <c r="S384" s="107">
        <f t="shared" si="55"/>
        <v>0</v>
      </c>
      <c r="T384" s="2"/>
      <c r="U384" s="2"/>
      <c r="V384" s="2"/>
      <c r="W384" s="2"/>
      <c r="X384" s="2"/>
      <c r="Y384" s="2"/>
      <c r="Z384" s="2"/>
      <c r="AA384" s="2"/>
      <c r="AB384" s="2"/>
    </row>
    <row r="385" spans="1:28" s="46" customFormat="1">
      <c r="A385" s="36">
        <f t="shared" ref="A385:A403" si="60">+A384+1</f>
        <v>381</v>
      </c>
      <c r="B385" s="104" t="s">
        <v>1358</v>
      </c>
      <c r="C385" s="105" t="s">
        <v>1359</v>
      </c>
      <c r="D385" s="106" t="s">
        <v>1360</v>
      </c>
      <c r="E385" s="41">
        <v>42867</v>
      </c>
      <c r="F385" s="107">
        <f>30000000</f>
        <v>30000000</v>
      </c>
      <c r="G385" s="33">
        <f t="shared" si="49"/>
        <v>43002000</v>
      </c>
      <c r="H385" s="107">
        <f>1194500-I385</f>
        <v>834500</v>
      </c>
      <c r="I385" s="107">
        <f t="shared" si="58"/>
        <v>360000</v>
      </c>
      <c r="J385" s="36">
        <v>36</v>
      </c>
      <c r="K385" s="110">
        <v>25</v>
      </c>
      <c r="L385" s="30">
        <f t="shared" si="51"/>
        <v>1194500</v>
      </c>
      <c r="M385" s="30">
        <f t="shared" si="59"/>
        <v>29862500</v>
      </c>
      <c r="N385" s="112">
        <f>F385-(H385*11)</f>
        <v>20820500</v>
      </c>
      <c r="O385" s="34" t="s">
        <v>47</v>
      </c>
      <c r="P385" s="34" t="s">
        <v>36</v>
      </c>
      <c r="Q385" s="111">
        <f t="shared" ref="Q385:Q402" si="61">+N385</f>
        <v>20820500</v>
      </c>
      <c r="R385" s="175">
        <f>+[1]N2!AE410</f>
        <v>20820500</v>
      </c>
      <c r="S385" s="107">
        <f t="shared" ref="S385:S402" si="62">+Q385-R385</f>
        <v>0</v>
      </c>
      <c r="T385" s="2"/>
      <c r="U385" s="2"/>
      <c r="V385" s="2"/>
      <c r="W385" s="2"/>
      <c r="X385" s="2"/>
      <c r="Y385" s="2"/>
      <c r="Z385" s="2"/>
      <c r="AA385" s="2"/>
      <c r="AB385" s="2"/>
    </row>
    <row r="386" spans="1:28" s="46" customFormat="1">
      <c r="A386" s="36">
        <f t="shared" si="60"/>
        <v>382</v>
      </c>
      <c r="B386" s="104" t="s">
        <v>1361</v>
      </c>
      <c r="C386" s="105" t="s">
        <v>1362</v>
      </c>
      <c r="D386" s="106" t="s">
        <v>1363</v>
      </c>
      <c r="E386" s="41">
        <v>42989</v>
      </c>
      <c r="F386" s="107">
        <f>19992000+499800+177290+9330910</f>
        <v>30000000</v>
      </c>
      <c r="G386" s="33">
        <f t="shared" si="49"/>
        <v>42984000</v>
      </c>
      <c r="H386" s="126">
        <f>1194000-I386</f>
        <v>834000</v>
      </c>
      <c r="I386" s="118">
        <f>F386*1.2%</f>
        <v>360000</v>
      </c>
      <c r="J386" s="36">
        <v>36</v>
      </c>
      <c r="K386" s="110">
        <v>29</v>
      </c>
      <c r="L386" s="30">
        <f t="shared" si="51"/>
        <v>1194000</v>
      </c>
      <c r="M386" s="30">
        <f t="shared" si="59"/>
        <v>34626000</v>
      </c>
      <c r="N386" s="112">
        <f>F386-(H386*7)</f>
        <v>24162000</v>
      </c>
      <c r="O386" s="34" t="s">
        <v>262</v>
      </c>
      <c r="P386" s="34" t="s">
        <v>93</v>
      </c>
      <c r="Q386" s="111">
        <f t="shared" si="61"/>
        <v>24162000</v>
      </c>
      <c r="R386" s="175">
        <f>+[1]N2!AE411</f>
        <v>24162000</v>
      </c>
      <c r="S386" s="107">
        <f t="shared" si="62"/>
        <v>0</v>
      </c>
      <c r="T386" s="2"/>
      <c r="U386" s="2"/>
      <c r="V386" s="2"/>
      <c r="W386" s="2"/>
      <c r="X386" s="2"/>
      <c r="Y386" s="2"/>
      <c r="Z386" s="2"/>
      <c r="AA386" s="2"/>
      <c r="AB386" s="2"/>
    </row>
    <row r="387" spans="1:28" s="46" customFormat="1">
      <c r="A387" s="36">
        <f t="shared" si="60"/>
        <v>383</v>
      </c>
      <c r="B387" s="104" t="s">
        <v>1364</v>
      </c>
      <c r="C387" s="105" t="s">
        <v>1365</v>
      </c>
      <c r="D387" s="28" t="s">
        <v>1366</v>
      </c>
      <c r="E387" s="28">
        <v>43165</v>
      </c>
      <c r="F387" s="126">
        <f>10750000+268750+256935+3724315</f>
        <v>15000000</v>
      </c>
      <c r="G387" s="33">
        <f t="shared" ref="G387:G397" si="63">+J387*L387</f>
        <v>19320000</v>
      </c>
      <c r="H387" s="118">
        <f>+F387/J387</f>
        <v>625000</v>
      </c>
      <c r="I387" s="118">
        <f t="shared" ref="I387:I402" si="64">+F387*1.2%</f>
        <v>180000</v>
      </c>
      <c r="J387" s="36">
        <v>24</v>
      </c>
      <c r="K387" s="110">
        <v>23</v>
      </c>
      <c r="L387" s="30">
        <f t="shared" ref="L387:L397" si="65">+H387+I387</f>
        <v>805000</v>
      </c>
      <c r="M387" s="30">
        <f t="shared" si="59"/>
        <v>18515000</v>
      </c>
      <c r="N387" s="33">
        <f>+H387*K387</f>
        <v>14375000</v>
      </c>
      <c r="O387" s="34" t="s">
        <v>1367</v>
      </c>
      <c r="P387" s="34" t="s">
        <v>75</v>
      </c>
      <c r="Q387" s="111">
        <f t="shared" si="61"/>
        <v>14375000</v>
      </c>
      <c r="R387" s="175">
        <f>+[1]N2!AE412</f>
        <v>14375000</v>
      </c>
      <c r="S387" s="107">
        <f t="shared" si="62"/>
        <v>0</v>
      </c>
      <c r="T387" s="2"/>
      <c r="U387" s="2"/>
      <c r="V387" s="2"/>
      <c r="W387" s="2"/>
      <c r="X387" s="2"/>
      <c r="Y387" s="2"/>
      <c r="Z387" s="2"/>
      <c r="AA387" s="2"/>
      <c r="AB387" s="2"/>
    </row>
    <row r="388" spans="1:28" s="46" customFormat="1">
      <c r="A388" s="36">
        <f t="shared" si="60"/>
        <v>384</v>
      </c>
      <c r="B388" s="104" t="s">
        <v>1368</v>
      </c>
      <c r="C388" s="105" t="s">
        <v>1369</v>
      </c>
      <c r="D388" s="28" t="s">
        <v>1370</v>
      </c>
      <c r="E388" s="28">
        <v>43167</v>
      </c>
      <c r="F388" s="107">
        <f>10000000</f>
        <v>10000000</v>
      </c>
      <c r="G388" s="33">
        <f t="shared" si="63"/>
        <v>11442000</v>
      </c>
      <c r="H388" s="118">
        <f>953500-I388</f>
        <v>833500</v>
      </c>
      <c r="I388" s="118">
        <f t="shared" si="64"/>
        <v>120000</v>
      </c>
      <c r="J388" s="36">
        <v>12</v>
      </c>
      <c r="K388" s="110">
        <v>11</v>
      </c>
      <c r="L388" s="30">
        <f t="shared" si="65"/>
        <v>953500</v>
      </c>
      <c r="M388" s="30">
        <f t="shared" si="59"/>
        <v>10488500</v>
      </c>
      <c r="N388" s="38">
        <f>F388-(H388*1)</f>
        <v>9166500</v>
      </c>
      <c r="O388" s="34" t="s">
        <v>1371</v>
      </c>
      <c r="P388" s="34" t="s">
        <v>36</v>
      </c>
      <c r="Q388" s="111">
        <f t="shared" si="61"/>
        <v>9166500</v>
      </c>
      <c r="R388" s="175">
        <f>+[1]N2!AE413</f>
        <v>9166500</v>
      </c>
      <c r="S388" s="107">
        <f t="shared" si="62"/>
        <v>0</v>
      </c>
      <c r="T388" s="2"/>
      <c r="U388" s="2"/>
      <c r="V388" s="2"/>
      <c r="W388" s="2"/>
      <c r="X388" s="2"/>
      <c r="Y388" s="2"/>
      <c r="Z388" s="2"/>
      <c r="AA388" s="2"/>
      <c r="AB388" s="2"/>
    </row>
    <row r="389" spans="1:28" s="46" customFormat="1">
      <c r="A389" s="36">
        <f t="shared" si="60"/>
        <v>385</v>
      </c>
      <c r="B389" s="104" t="s">
        <v>1372</v>
      </c>
      <c r="C389" s="105" t="s">
        <v>1373</v>
      </c>
      <c r="D389" s="28" t="s">
        <v>1374</v>
      </c>
      <c r="E389" s="28">
        <v>43167</v>
      </c>
      <c r="F389" s="107">
        <f>30000000</f>
        <v>30000000</v>
      </c>
      <c r="G389" s="33">
        <f t="shared" si="63"/>
        <v>38640000</v>
      </c>
      <c r="H389" s="118">
        <f t="shared" ref="H389:H393" si="66">+F389/J389</f>
        <v>1250000</v>
      </c>
      <c r="I389" s="118">
        <f t="shared" si="64"/>
        <v>360000</v>
      </c>
      <c r="J389" s="36">
        <v>24</v>
      </c>
      <c r="K389" s="110">
        <v>23</v>
      </c>
      <c r="L389" s="30">
        <f t="shared" si="65"/>
        <v>1610000</v>
      </c>
      <c r="M389" s="30">
        <f t="shared" si="59"/>
        <v>37030000</v>
      </c>
      <c r="N389" s="33">
        <f>+H389*K389</f>
        <v>28750000</v>
      </c>
      <c r="O389" s="34" t="s">
        <v>567</v>
      </c>
      <c r="P389" s="34" t="s">
        <v>36</v>
      </c>
      <c r="Q389" s="111">
        <f t="shared" si="61"/>
        <v>28750000</v>
      </c>
      <c r="R389" s="175">
        <f>+[1]N2!AE414</f>
        <v>28750000</v>
      </c>
      <c r="S389" s="107">
        <f t="shared" si="62"/>
        <v>0</v>
      </c>
      <c r="T389" s="2"/>
      <c r="U389" s="2"/>
      <c r="V389" s="2"/>
      <c r="W389" s="2"/>
      <c r="X389" s="2"/>
      <c r="Y389" s="2"/>
      <c r="Z389" s="2"/>
      <c r="AA389" s="2"/>
      <c r="AB389" s="2"/>
    </row>
    <row r="390" spans="1:28" s="46" customFormat="1">
      <c r="A390" s="36">
        <f t="shared" si="60"/>
        <v>386</v>
      </c>
      <c r="B390" s="104" t="s">
        <v>69</v>
      </c>
      <c r="C390" s="105" t="s">
        <v>70</v>
      </c>
      <c r="D390" s="106" t="s">
        <v>1375</v>
      </c>
      <c r="E390" s="28">
        <v>43168</v>
      </c>
      <c r="F390" s="107">
        <f>3747500+93688+38226+16120586</f>
        <v>20000000</v>
      </c>
      <c r="G390" s="33">
        <f t="shared" si="63"/>
        <v>23360008</v>
      </c>
      <c r="H390" s="118">
        <f>1668572-I390</f>
        <v>1428572</v>
      </c>
      <c r="I390" s="118">
        <f t="shared" si="64"/>
        <v>240000</v>
      </c>
      <c r="J390" s="36">
        <v>14</v>
      </c>
      <c r="K390" s="110">
        <v>13</v>
      </c>
      <c r="L390" s="30">
        <f t="shared" si="65"/>
        <v>1668572</v>
      </c>
      <c r="M390" s="30">
        <f t="shared" si="59"/>
        <v>21691436</v>
      </c>
      <c r="N390" s="38">
        <f>F390-(H390*1)</f>
        <v>18571428</v>
      </c>
      <c r="O390" s="34" t="s">
        <v>71</v>
      </c>
      <c r="P390" s="34" t="s">
        <v>75</v>
      </c>
      <c r="Q390" s="111">
        <f t="shared" si="61"/>
        <v>18571428</v>
      </c>
      <c r="R390" s="175">
        <f>+[1]N2!AE415</f>
        <v>18571428</v>
      </c>
      <c r="S390" s="107">
        <f t="shared" si="62"/>
        <v>0</v>
      </c>
      <c r="T390" s="2"/>
      <c r="U390" s="2"/>
      <c r="V390" s="2"/>
      <c r="W390" s="2"/>
      <c r="X390" s="2"/>
      <c r="Y390" s="2"/>
      <c r="Z390" s="2"/>
      <c r="AA390" s="2"/>
      <c r="AB390" s="2"/>
    </row>
    <row r="391" spans="1:28" s="46" customFormat="1">
      <c r="A391" s="36">
        <f t="shared" si="60"/>
        <v>387</v>
      </c>
      <c r="B391" s="104" t="s">
        <v>1376</v>
      </c>
      <c r="C391" s="105" t="s">
        <v>1377</v>
      </c>
      <c r="D391" s="106" t="s">
        <v>1378</v>
      </c>
      <c r="E391" s="28">
        <v>43168</v>
      </c>
      <c r="F391" s="107">
        <f>10000000</f>
        <v>10000000</v>
      </c>
      <c r="G391" s="33">
        <f t="shared" si="63"/>
        <v>14320008</v>
      </c>
      <c r="H391" s="118">
        <f>397778-I391</f>
        <v>277778</v>
      </c>
      <c r="I391" s="118">
        <f t="shared" si="64"/>
        <v>120000</v>
      </c>
      <c r="J391" s="36">
        <v>36</v>
      </c>
      <c r="K391" s="110">
        <v>35</v>
      </c>
      <c r="L391" s="30">
        <f t="shared" si="65"/>
        <v>397778</v>
      </c>
      <c r="M391" s="30">
        <f t="shared" si="59"/>
        <v>13922230</v>
      </c>
      <c r="N391" s="38">
        <f>F391-(H391*1)</f>
        <v>9722222</v>
      </c>
      <c r="O391" s="34" t="s">
        <v>1379</v>
      </c>
      <c r="P391" s="34" t="s">
        <v>36</v>
      </c>
      <c r="Q391" s="111">
        <f t="shared" si="61"/>
        <v>9722222</v>
      </c>
      <c r="R391" s="175">
        <f>+[1]N2!AE416</f>
        <v>9722222</v>
      </c>
      <c r="S391" s="107">
        <f t="shared" si="62"/>
        <v>0</v>
      </c>
      <c r="T391" s="2"/>
      <c r="U391" s="2"/>
      <c r="V391" s="2"/>
      <c r="W391" s="2"/>
      <c r="X391" s="2"/>
      <c r="Y391" s="2"/>
      <c r="Z391" s="2"/>
      <c r="AA391" s="2"/>
      <c r="AB391" s="2"/>
    </row>
    <row r="392" spans="1:28" s="46" customFormat="1">
      <c r="A392" s="36">
        <f t="shared" si="60"/>
        <v>388</v>
      </c>
      <c r="B392" s="104" t="s">
        <v>1380</v>
      </c>
      <c r="C392" s="105" t="s">
        <v>1381</v>
      </c>
      <c r="D392" s="106" t="s">
        <v>1382</v>
      </c>
      <c r="E392" s="28">
        <v>43168</v>
      </c>
      <c r="F392" s="107">
        <f>200000+5000+6484+1788516</f>
        <v>2000000</v>
      </c>
      <c r="G392" s="33">
        <f t="shared" si="63"/>
        <v>2240000</v>
      </c>
      <c r="H392" s="118">
        <f t="shared" si="66"/>
        <v>200000</v>
      </c>
      <c r="I392" s="118">
        <f t="shared" si="64"/>
        <v>24000</v>
      </c>
      <c r="J392" s="36">
        <v>10</v>
      </c>
      <c r="K392" s="110">
        <f>9</f>
        <v>9</v>
      </c>
      <c r="L392" s="30">
        <f t="shared" si="65"/>
        <v>224000</v>
      </c>
      <c r="M392" s="30">
        <f t="shared" si="59"/>
        <v>2016000</v>
      </c>
      <c r="N392" s="33">
        <f>+H392*K392</f>
        <v>1800000</v>
      </c>
      <c r="O392" s="34" t="s">
        <v>1383</v>
      </c>
      <c r="P392" s="34" t="s">
        <v>183</v>
      </c>
      <c r="Q392" s="111">
        <f t="shared" si="61"/>
        <v>1800000</v>
      </c>
      <c r="R392" s="175">
        <f>+[1]N2!AE417</f>
        <v>1800000</v>
      </c>
      <c r="S392" s="107">
        <f t="shared" si="62"/>
        <v>0</v>
      </c>
      <c r="T392" s="2"/>
      <c r="U392" s="2"/>
      <c r="V392" s="2"/>
      <c r="W392" s="2"/>
      <c r="X392" s="2"/>
      <c r="Y392" s="2"/>
      <c r="Z392" s="2"/>
      <c r="AA392" s="2"/>
      <c r="AB392" s="2"/>
    </row>
    <row r="393" spans="1:28" s="46" customFormat="1">
      <c r="A393" s="36">
        <f t="shared" si="60"/>
        <v>389</v>
      </c>
      <c r="B393" s="104" t="s">
        <v>77</v>
      </c>
      <c r="C393" s="105" t="s">
        <v>78</v>
      </c>
      <c r="D393" s="106" t="s">
        <v>1384</v>
      </c>
      <c r="E393" s="28">
        <v>43173</v>
      </c>
      <c r="F393" s="107">
        <f>1500000+37500+21401+1441099</f>
        <v>3000000</v>
      </c>
      <c r="G393" s="33">
        <f t="shared" si="63"/>
        <v>3216000</v>
      </c>
      <c r="H393" s="118">
        <f t="shared" si="66"/>
        <v>500000</v>
      </c>
      <c r="I393" s="118">
        <f t="shared" si="64"/>
        <v>36000</v>
      </c>
      <c r="J393" s="36">
        <v>6</v>
      </c>
      <c r="K393" s="110">
        <v>5</v>
      </c>
      <c r="L393" s="30">
        <f t="shared" si="65"/>
        <v>536000</v>
      </c>
      <c r="M393" s="30">
        <f t="shared" si="59"/>
        <v>2680000</v>
      </c>
      <c r="N393" s="33">
        <f>+H393*K393</f>
        <v>2500000</v>
      </c>
      <c r="O393" s="26" t="s">
        <v>79</v>
      </c>
      <c r="P393" s="42" t="s">
        <v>75</v>
      </c>
      <c r="Q393" s="111">
        <f t="shared" si="61"/>
        <v>2500000</v>
      </c>
      <c r="R393" s="175">
        <f>+[1]N2!AE418</f>
        <v>2500000</v>
      </c>
      <c r="S393" s="107">
        <f t="shared" si="62"/>
        <v>0</v>
      </c>
      <c r="T393" s="2"/>
      <c r="U393" s="2"/>
      <c r="V393" s="2"/>
      <c r="W393" s="2"/>
      <c r="X393" s="2"/>
      <c r="Y393" s="2"/>
      <c r="Z393" s="2"/>
      <c r="AA393" s="2"/>
      <c r="AB393" s="2"/>
    </row>
    <row r="394" spans="1:28" s="46" customFormat="1">
      <c r="A394" s="36">
        <f t="shared" si="60"/>
        <v>390</v>
      </c>
      <c r="B394" s="104" t="s">
        <v>80</v>
      </c>
      <c r="C394" s="105" t="s">
        <v>81</v>
      </c>
      <c r="D394" s="106" t="s">
        <v>1385</v>
      </c>
      <c r="E394" s="28">
        <v>43173</v>
      </c>
      <c r="F394" s="107">
        <f>5552000+138800+88065+3250+15000000</f>
        <v>20782115</v>
      </c>
      <c r="G394" s="33">
        <f t="shared" si="63"/>
        <v>29761200</v>
      </c>
      <c r="H394" s="118">
        <v>577315</v>
      </c>
      <c r="I394" s="118">
        <v>249385</v>
      </c>
      <c r="J394" s="36">
        <v>36</v>
      </c>
      <c r="K394" s="110">
        <v>35</v>
      </c>
      <c r="L394" s="30">
        <f t="shared" si="65"/>
        <v>826700</v>
      </c>
      <c r="M394" s="30">
        <f t="shared" si="59"/>
        <v>28934500</v>
      </c>
      <c r="N394" s="38">
        <f>F394-(H394*1)</f>
        <v>20204800</v>
      </c>
      <c r="O394" s="26" t="s">
        <v>1121</v>
      </c>
      <c r="P394" s="42" t="s">
        <v>75</v>
      </c>
      <c r="Q394" s="111">
        <f t="shared" si="61"/>
        <v>20204800</v>
      </c>
      <c r="R394" s="175">
        <f>+[1]N2!AE419</f>
        <v>20204800</v>
      </c>
      <c r="S394" s="107">
        <f t="shared" si="62"/>
        <v>0</v>
      </c>
      <c r="T394" s="2"/>
      <c r="U394" s="2"/>
      <c r="V394" s="2"/>
      <c r="W394" s="2"/>
      <c r="X394" s="2"/>
      <c r="Y394" s="2"/>
      <c r="Z394" s="2"/>
      <c r="AA394" s="2"/>
      <c r="AB394" s="2"/>
    </row>
    <row r="395" spans="1:28" s="46" customFormat="1">
      <c r="A395" s="36">
        <f t="shared" si="60"/>
        <v>391</v>
      </c>
      <c r="B395" s="104" t="s">
        <v>85</v>
      </c>
      <c r="C395" s="105" t="s">
        <v>86</v>
      </c>
      <c r="D395" s="106" t="s">
        <v>1386</v>
      </c>
      <c r="E395" s="28">
        <v>43171</v>
      </c>
      <c r="F395" s="107">
        <f>16656000+416400+190783+12736817</f>
        <v>30000000</v>
      </c>
      <c r="G395" s="33">
        <f t="shared" si="63"/>
        <v>42966000</v>
      </c>
      <c r="H395" s="107">
        <f>1193500-I395</f>
        <v>833500</v>
      </c>
      <c r="I395" s="118">
        <f t="shared" si="64"/>
        <v>360000</v>
      </c>
      <c r="J395" s="36">
        <v>36</v>
      </c>
      <c r="K395" s="110">
        <v>35</v>
      </c>
      <c r="L395" s="30">
        <f t="shared" si="65"/>
        <v>1193500</v>
      </c>
      <c r="M395" s="30">
        <f t="shared" si="59"/>
        <v>41772500</v>
      </c>
      <c r="N395" s="38">
        <f>F395-(H395*1)</f>
        <v>29166500</v>
      </c>
      <c r="O395" s="26" t="s">
        <v>1387</v>
      </c>
      <c r="P395" s="42" t="s">
        <v>75</v>
      </c>
      <c r="Q395" s="111">
        <f t="shared" si="61"/>
        <v>29166500</v>
      </c>
      <c r="R395" s="175">
        <f>+[1]N2!AE420</f>
        <v>29166500</v>
      </c>
      <c r="S395" s="107">
        <f t="shared" si="62"/>
        <v>0</v>
      </c>
      <c r="T395" s="2"/>
      <c r="U395" s="2"/>
      <c r="V395" s="2"/>
      <c r="W395" s="2"/>
      <c r="X395" s="2"/>
      <c r="Y395" s="2"/>
      <c r="Z395" s="2"/>
      <c r="AA395" s="2"/>
      <c r="AB395" s="2"/>
    </row>
    <row r="396" spans="1:28" s="46" customFormat="1">
      <c r="A396" s="36">
        <f t="shared" si="60"/>
        <v>392</v>
      </c>
      <c r="B396" s="104" t="s">
        <v>88</v>
      </c>
      <c r="C396" s="105" t="s">
        <v>89</v>
      </c>
      <c r="D396" s="106" t="s">
        <v>1388</v>
      </c>
      <c r="E396" s="28">
        <v>43174</v>
      </c>
      <c r="F396" s="107">
        <f>12216000+305400+183871+12294729</f>
        <v>25000000</v>
      </c>
      <c r="G396" s="33">
        <f t="shared" si="63"/>
        <v>35802000</v>
      </c>
      <c r="H396" s="107">
        <f>994500-I396</f>
        <v>694500</v>
      </c>
      <c r="I396" s="118">
        <f t="shared" si="64"/>
        <v>300000</v>
      </c>
      <c r="J396" s="36">
        <v>36</v>
      </c>
      <c r="K396" s="110">
        <v>35</v>
      </c>
      <c r="L396" s="30">
        <f t="shared" si="65"/>
        <v>994500</v>
      </c>
      <c r="M396" s="30">
        <f t="shared" si="59"/>
        <v>34807500</v>
      </c>
      <c r="N396" s="38">
        <f>F396-(H396*1)</f>
        <v>24305500</v>
      </c>
      <c r="O396" s="26" t="s">
        <v>87</v>
      </c>
      <c r="P396" s="42" t="s">
        <v>75</v>
      </c>
      <c r="Q396" s="111">
        <f t="shared" si="61"/>
        <v>24305500</v>
      </c>
      <c r="R396" s="175">
        <f>+[1]N2!AE421</f>
        <v>24305500</v>
      </c>
      <c r="S396" s="107">
        <f t="shared" si="62"/>
        <v>0</v>
      </c>
      <c r="T396" s="2"/>
      <c r="U396" s="2"/>
      <c r="V396" s="2"/>
      <c r="W396" s="2"/>
      <c r="X396" s="2"/>
      <c r="Y396" s="2"/>
      <c r="Z396" s="2"/>
      <c r="AA396" s="2"/>
      <c r="AB396" s="2"/>
    </row>
    <row r="397" spans="1:28" s="46" customFormat="1">
      <c r="A397" s="36">
        <f t="shared" si="60"/>
        <v>393</v>
      </c>
      <c r="B397" s="104" t="s">
        <v>1389</v>
      </c>
      <c r="C397" s="105" t="s">
        <v>1390</v>
      </c>
      <c r="D397" s="106" t="s">
        <v>1391</v>
      </c>
      <c r="E397" s="28">
        <v>43174</v>
      </c>
      <c r="F397" s="107">
        <f>23600000+590000+376037+5433963</f>
        <v>30000000</v>
      </c>
      <c r="G397" s="33">
        <f t="shared" si="63"/>
        <v>42966000</v>
      </c>
      <c r="H397" s="107">
        <f>1193500-I397</f>
        <v>833500</v>
      </c>
      <c r="I397" s="118">
        <f t="shared" si="64"/>
        <v>360000</v>
      </c>
      <c r="J397" s="36">
        <v>36</v>
      </c>
      <c r="K397" s="110">
        <v>35</v>
      </c>
      <c r="L397" s="30">
        <f t="shared" si="65"/>
        <v>1193500</v>
      </c>
      <c r="M397" s="30">
        <f t="shared" si="59"/>
        <v>41772500</v>
      </c>
      <c r="N397" s="38">
        <f>F397-(H397*1)</f>
        <v>29166500</v>
      </c>
      <c r="O397" s="26" t="s">
        <v>52</v>
      </c>
      <c r="P397" s="42" t="s">
        <v>75</v>
      </c>
      <c r="Q397" s="111">
        <f t="shared" si="61"/>
        <v>29166500</v>
      </c>
      <c r="R397" s="175">
        <f>+[1]N2!AE422</f>
        <v>29166500</v>
      </c>
      <c r="S397" s="107">
        <f t="shared" si="62"/>
        <v>0</v>
      </c>
      <c r="T397" s="2"/>
      <c r="U397" s="2"/>
      <c r="V397" s="2"/>
      <c r="W397" s="2"/>
      <c r="X397" s="2"/>
      <c r="Y397" s="2"/>
      <c r="Z397" s="2"/>
      <c r="AA397" s="2"/>
      <c r="AB397" s="2"/>
    </row>
    <row r="398" spans="1:28" s="428" customFormat="1">
      <c r="A398" s="416">
        <f t="shared" si="60"/>
        <v>394</v>
      </c>
      <c r="B398" s="417" t="s">
        <v>96</v>
      </c>
      <c r="C398" s="418" t="s">
        <v>97</v>
      </c>
      <c r="D398" s="419" t="s">
        <v>1392</v>
      </c>
      <c r="E398" s="419">
        <v>43186</v>
      </c>
      <c r="F398" s="420">
        <f>30000000</f>
        <v>30000000</v>
      </c>
      <c r="G398" s="421">
        <f>+J398*L398</f>
        <v>38640000</v>
      </c>
      <c r="H398" s="422">
        <f>+F398/J398</f>
        <v>1250000</v>
      </c>
      <c r="I398" s="422">
        <f t="shared" si="64"/>
        <v>360000</v>
      </c>
      <c r="J398" s="416">
        <v>24</v>
      </c>
      <c r="K398" s="416">
        <v>24</v>
      </c>
      <c r="L398" s="421">
        <f>+H398+I398</f>
        <v>1610000</v>
      </c>
      <c r="M398" s="421">
        <f>+K398*L398</f>
        <v>38640000</v>
      </c>
      <c r="N398" s="421">
        <f t="shared" ref="N398" si="67">+H398*K398</f>
        <v>30000000</v>
      </c>
      <c r="O398" s="423" t="s">
        <v>20</v>
      </c>
      <c r="P398" s="423" t="s">
        <v>145</v>
      </c>
      <c r="Q398" s="424">
        <f t="shared" si="61"/>
        <v>30000000</v>
      </c>
      <c r="R398" s="425">
        <f>+[1]N2!AE423</f>
        <v>30000000</v>
      </c>
      <c r="S398" s="426">
        <f t="shared" si="62"/>
        <v>0</v>
      </c>
      <c r="T398" s="427"/>
      <c r="U398" s="427"/>
      <c r="V398" s="427"/>
      <c r="W398" s="427"/>
      <c r="X398" s="427"/>
      <c r="Y398" s="427"/>
      <c r="Z398" s="427"/>
      <c r="AA398" s="427"/>
      <c r="AB398" s="427"/>
    </row>
    <row r="399" spans="1:28" s="46" customFormat="1">
      <c r="A399" s="36">
        <f t="shared" si="60"/>
        <v>395</v>
      </c>
      <c r="B399" s="26" t="s">
        <v>91</v>
      </c>
      <c r="C399" s="27" t="s">
        <v>92</v>
      </c>
      <c r="D399" s="28" t="s">
        <v>1393</v>
      </c>
      <c r="E399" s="28">
        <v>43185</v>
      </c>
      <c r="F399" s="37">
        <f>7680000+192000+22128000</f>
        <v>30000000</v>
      </c>
      <c r="G399" s="30">
        <f t="shared" ref="G399:G402" si="68">+J399*L399</f>
        <v>28000000</v>
      </c>
      <c r="H399" s="31">
        <v>440000</v>
      </c>
      <c r="I399" s="31">
        <f t="shared" si="64"/>
        <v>360000</v>
      </c>
      <c r="J399" s="32">
        <v>35</v>
      </c>
      <c r="K399" s="32">
        <v>35</v>
      </c>
      <c r="L399" s="30">
        <f t="shared" ref="L399:L402" si="69">+H399+I399</f>
        <v>800000</v>
      </c>
      <c r="M399" s="30">
        <f t="shared" ref="M399:M402" si="70">+K399*L399</f>
        <v>28000000</v>
      </c>
      <c r="N399" s="38">
        <f t="shared" ref="N399:N401" si="71">F399-(H399*0)</f>
        <v>30000000</v>
      </c>
      <c r="O399" s="34" t="s">
        <v>1394</v>
      </c>
      <c r="P399" s="34" t="s">
        <v>75</v>
      </c>
      <c r="Q399" s="111">
        <f t="shared" si="61"/>
        <v>30000000</v>
      </c>
      <c r="R399" s="175">
        <f>+[1]N2!AE424</f>
        <v>30000000</v>
      </c>
      <c r="S399" s="107">
        <f t="shared" si="62"/>
        <v>0</v>
      </c>
      <c r="T399" s="2"/>
      <c r="U399" s="2"/>
      <c r="V399" s="2"/>
      <c r="W399" s="2"/>
      <c r="X399" s="2"/>
      <c r="Y399" s="2"/>
      <c r="Z399" s="2"/>
      <c r="AA399" s="2"/>
      <c r="AB399" s="2"/>
    </row>
    <row r="400" spans="1:28" s="46" customFormat="1">
      <c r="A400" s="36">
        <f t="shared" si="60"/>
        <v>396</v>
      </c>
      <c r="B400" s="26" t="s">
        <v>1395</v>
      </c>
      <c r="C400" s="27" t="s">
        <v>1396</v>
      </c>
      <c r="D400" s="28" t="s">
        <v>1397</v>
      </c>
      <c r="E400" s="28">
        <v>43185</v>
      </c>
      <c r="F400" s="37">
        <f>20000000</f>
        <v>20000000</v>
      </c>
      <c r="G400" s="30">
        <f t="shared" si="68"/>
        <v>25776000</v>
      </c>
      <c r="H400" s="31">
        <f>1074000-I400</f>
        <v>834000</v>
      </c>
      <c r="I400" s="31">
        <f t="shared" si="64"/>
        <v>240000</v>
      </c>
      <c r="J400" s="32">
        <v>24</v>
      </c>
      <c r="K400" s="32">
        <v>24</v>
      </c>
      <c r="L400" s="30">
        <f t="shared" si="69"/>
        <v>1074000</v>
      </c>
      <c r="M400" s="30">
        <f t="shared" si="70"/>
        <v>25776000</v>
      </c>
      <c r="N400" s="38">
        <f t="shared" si="71"/>
        <v>20000000</v>
      </c>
      <c r="O400" s="34" t="s">
        <v>1398</v>
      </c>
      <c r="P400" s="34" t="s">
        <v>145</v>
      </c>
      <c r="Q400" s="111">
        <f t="shared" si="61"/>
        <v>20000000</v>
      </c>
      <c r="R400" s="175">
        <f>+[1]N2!AE425</f>
        <v>20000000</v>
      </c>
      <c r="S400" s="107">
        <f t="shared" si="62"/>
        <v>0</v>
      </c>
      <c r="T400" s="2"/>
      <c r="U400" s="2"/>
      <c r="V400" s="2"/>
      <c r="W400" s="2"/>
      <c r="X400" s="2"/>
      <c r="Y400" s="2"/>
      <c r="Z400" s="2"/>
      <c r="AA400" s="2"/>
      <c r="AB400" s="2"/>
    </row>
    <row r="401" spans="1:30" s="46" customFormat="1">
      <c r="A401" s="36">
        <f t="shared" si="60"/>
        <v>397</v>
      </c>
      <c r="B401" s="26" t="s">
        <v>1399</v>
      </c>
      <c r="C401" s="27" t="s">
        <v>1400</v>
      </c>
      <c r="D401" s="39" t="s">
        <v>1401</v>
      </c>
      <c r="E401" s="28">
        <v>43188</v>
      </c>
      <c r="F401" s="40">
        <f>24162000+604050+5233950</f>
        <v>30000000</v>
      </c>
      <c r="G401" s="30">
        <f t="shared" si="68"/>
        <v>42984000</v>
      </c>
      <c r="H401" s="31">
        <f>1194000-I401</f>
        <v>834000</v>
      </c>
      <c r="I401" s="31">
        <f t="shared" si="64"/>
        <v>360000</v>
      </c>
      <c r="J401" s="32">
        <v>36</v>
      </c>
      <c r="K401" s="32">
        <v>36</v>
      </c>
      <c r="L401" s="30">
        <f t="shared" si="69"/>
        <v>1194000</v>
      </c>
      <c r="M401" s="30">
        <f t="shared" si="70"/>
        <v>42984000</v>
      </c>
      <c r="N401" s="38">
        <f t="shared" si="71"/>
        <v>30000000</v>
      </c>
      <c r="O401" s="34" t="s">
        <v>95</v>
      </c>
      <c r="P401" s="34" t="s">
        <v>75</v>
      </c>
      <c r="Q401" s="111">
        <f t="shared" si="61"/>
        <v>30000000</v>
      </c>
      <c r="R401" s="175">
        <f>+[1]N2!AE426</f>
        <v>30000000</v>
      </c>
      <c r="S401" s="107">
        <f t="shared" si="62"/>
        <v>0</v>
      </c>
      <c r="T401" s="2"/>
      <c r="U401" s="2"/>
      <c r="V401" s="2"/>
      <c r="W401" s="2"/>
      <c r="X401" s="2"/>
      <c r="Y401" s="2"/>
      <c r="Z401" s="2"/>
      <c r="AA401" s="2"/>
      <c r="AB401" s="2"/>
    </row>
    <row r="402" spans="1:30" s="46" customFormat="1">
      <c r="A402" s="36">
        <f t="shared" si="60"/>
        <v>398</v>
      </c>
      <c r="B402" s="26" t="s">
        <v>739</v>
      </c>
      <c r="C402" s="27" t="s">
        <v>740</v>
      </c>
      <c r="D402" s="39" t="s">
        <v>1402</v>
      </c>
      <c r="E402" s="28">
        <v>43185</v>
      </c>
      <c r="F402" s="37">
        <f>7000000</f>
        <v>7000000</v>
      </c>
      <c r="G402" s="30">
        <f t="shared" si="68"/>
        <v>7840000</v>
      </c>
      <c r="H402" s="37">
        <f>+F402/J402</f>
        <v>700000</v>
      </c>
      <c r="I402" s="31">
        <f t="shared" si="64"/>
        <v>84000</v>
      </c>
      <c r="J402" s="32">
        <v>10</v>
      </c>
      <c r="K402" s="32">
        <v>10</v>
      </c>
      <c r="L402" s="30">
        <f t="shared" si="69"/>
        <v>784000</v>
      </c>
      <c r="M402" s="30">
        <f t="shared" si="70"/>
        <v>7840000</v>
      </c>
      <c r="N402" s="33">
        <f t="shared" ref="N402" si="72">+H402*K402</f>
        <v>7000000</v>
      </c>
      <c r="O402" s="34" t="s">
        <v>1403</v>
      </c>
      <c r="P402" s="42" t="s">
        <v>183</v>
      </c>
      <c r="Q402" s="111">
        <f t="shared" si="61"/>
        <v>7000000</v>
      </c>
      <c r="R402" s="175">
        <f>+[1]N2!AE427</f>
        <v>7000000</v>
      </c>
      <c r="S402" s="107">
        <f t="shared" si="62"/>
        <v>0</v>
      </c>
      <c r="T402" s="2"/>
      <c r="U402" s="2"/>
      <c r="V402" s="2"/>
      <c r="W402" s="2"/>
      <c r="X402" s="2"/>
      <c r="Y402" s="2"/>
      <c r="Z402" s="2"/>
      <c r="AA402" s="2"/>
      <c r="AB402" s="2"/>
    </row>
    <row r="403" spans="1:30" s="46" customFormat="1">
      <c r="A403" s="36">
        <f t="shared" si="60"/>
        <v>399</v>
      </c>
      <c r="B403" s="26" t="s">
        <v>28</v>
      </c>
      <c r="C403" s="27" t="s">
        <v>29</v>
      </c>
      <c r="D403" s="28" t="s">
        <v>30</v>
      </c>
      <c r="E403" s="28">
        <v>43200</v>
      </c>
      <c r="F403" s="29">
        <f>1299405+32485+14951+5000000</f>
        <v>6346841</v>
      </c>
      <c r="G403" s="30">
        <f>+J403*L403</f>
        <v>8175600</v>
      </c>
      <c r="H403" s="31">
        <v>264488</v>
      </c>
      <c r="I403" s="31">
        <v>76162</v>
      </c>
      <c r="J403" s="32">
        <v>24</v>
      </c>
      <c r="K403" s="32">
        <v>24</v>
      </c>
      <c r="L403" s="30">
        <f>+H403+I403</f>
        <v>340650</v>
      </c>
      <c r="M403" s="30">
        <f>+K403*L403</f>
        <v>8175600</v>
      </c>
      <c r="N403" s="38">
        <f t="shared" ref="N403:N409" si="73">F403-(H403*0)</f>
        <v>6346841</v>
      </c>
      <c r="O403" s="34" t="s">
        <v>32</v>
      </c>
      <c r="P403" s="34" t="s">
        <v>31</v>
      </c>
      <c r="Q403" s="111">
        <f t="shared" ref="Q403" si="74">+N403</f>
        <v>6346841</v>
      </c>
      <c r="R403" s="175">
        <f>+[1]N2!AE428</f>
        <v>0</v>
      </c>
      <c r="S403" s="107">
        <f t="shared" ref="S403" si="75">+Q403-R403</f>
        <v>6346841</v>
      </c>
      <c r="T403" s="2"/>
      <c r="U403" s="2"/>
      <c r="V403" s="2"/>
      <c r="W403" s="2"/>
      <c r="X403" s="2"/>
      <c r="Y403" s="2"/>
      <c r="Z403" s="2"/>
      <c r="AA403" s="2"/>
      <c r="AB403" s="2"/>
    </row>
    <row r="404" spans="1:30" s="46" customFormat="1">
      <c r="A404" s="36">
        <f t="shared" ref="A404:A409" si="76">+A403+1</f>
        <v>400</v>
      </c>
      <c r="B404" s="26" t="s">
        <v>33</v>
      </c>
      <c r="C404" s="27" t="s">
        <v>34</v>
      </c>
      <c r="D404" s="28" t="s">
        <v>35</v>
      </c>
      <c r="E404" s="28">
        <v>43196</v>
      </c>
      <c r="F404" s="37">
        <f>10000000</f>
        <v>10000000</v>
      </c>
      <c r="G404" s="30">
        <f t="shared" ref="G404:G409" si="77">+J404*L404</f>
        <v>12880800</v>
      </c>
      <c r="H404" s="31">
        <f>536700-I404</f>
        <v>416700</v>
      </c>
      <c r="I404" s="31">
        <f t="shared" ref="I404:I409" si="78">+F404*1.2%</f>
        <v>120000</v>
      </c>
      <c r="J404" s="32">
        <v>24</v>
      </c>
      <c r="K404" s="32">
        <v>24</v>
      </c>
      <c r="L404" s="30">
        <f t="shared" ref="L404:L409" si="79">+H404+I404</f>
        <v>536700</v>
      </c>
      <c r="M404" s="30">
        <f t="shared" ref="M404:M409" si="80">+K404*L404</f>
        <v>12880800</v>
      </c>
      <c r="N404" s="38">
        <f t="shared" si="73"/>
        <v>10000000</v>
      </c>
      <c r="O404" s="34" t="s">
        <v>20</v>
      </c>
      <c r="P404" s="34" t="s">
        <v>36</v>
      </c>
      <c r="Q404" s="111">
        <f t="shared" ref="Q404:Q409" si="81">+N404</f>
        <v>10000000</v>
      </c>
      <c r="R404" s="175">
        <f>+[1]N2!AE429</f>
        <v>5963013671</v>
      </c>
      <c r="S404" s="107">
        <f t="shared" ref="S404:S409" si="82">+Q404-R404</f>
        <v>-5953013671</v>
      </c>
      <c r="T404" s="2"/>
      <c r="U404" s="2"/>
      <c r="V404" s="2"/>
      <c r="W404" s="2"/>
      <c r="X404" s="2"/>
      <c r="Y404" s="2"/>
      <c r="Z404" s="2"/>
      <c r="AA404" s="2"/>
      <c r="AB404" s="2"/>
    </row>
    <row r="405" spans="1:30" s="46" customFormat="1">
      <c r="A405" s="36">
        <f t="shared" si="76"/>
        <v>401</v>
      </c>
      <c r="B405" s="26" t="s">
        <v>37</v>
      </c>
      <c r="C405" s="27" t="s">
        <v>38</v>
      </c>
      <c r="D405" s="28" t="s">
        <v>39</v>
      </c>
      <c r="E405" s="28">
        <v>43196</v>
      </c>
      <c r="F405" s="37">
        <f>30000000</f>
        <v>30000000</v>
      </c>
      <c r="G405" s="30">
        <f t="shared" si="77"/>
        <v>34320000</v>
      </c>
      <c r="H405" s="31">
        <f>+F405/J405</f>
        <v>2500000</v>
      </c>
      <c r="I405" s="31">
        <f t="shared" si="78"/>
        <v>360000</v>
      </c>
      <c r="J405" s="32">
        <v>12</v>
      </c>
      <c r="K405" s="32">
        <v>12</v>
      </c>
      <c r="L405" s="30">
        <f t="shared" si="79"/>
        <v>2860000</v>
      </c>
      <c r="M405" s="30">
        <f t="shared" si="80"/>
        <v>34320000</v>
      </c>
      <c r="N405" s="33">
        <f>+H405*K405</f>
        <v>30000000</v>
      </c>
      <c r="O405" s="34" t="s">
        <v>40</v>
      </c>
      <c r="P405" s="34" t="s">
        <v>36</v>
      </c>
      <c r="Q405" s="111">
        <f t="shared" si="81"/>
        <v>30000000</v>
      </c>
      <c r="R405" s="175">
        <f>+[1]N2!AE430</f>
        <v>5963013671</v>
      </c>
      <c r="S405" s="107">
        <f t="shared" si="82"/>
        <v>-5933013671</v>
      </c>
      <c r="T405" s="2"/>
      <c r="U405" s="2"/>
      <c r="V405" s="2"/>
      <c r="W405" s="2"/>
      <c r="X405" s="2"/>
      <c r="Y405" s="2"/>
      <c r="Z405" s="2"/>
      <c r="AA405" s="2"/>
      <c r="AB405" s="2"/>
    </row>
    <row r="406" spans="1:30" s="46" customFormat="1">
      <c r="A406" s="36">
        <f t="shared" si="76"/>
        <v>402</v>
      </c>
      <c r="B406" s="26" t="s">
        <v>41</v>
      </c>
      <c r="C406" s="27" t="s">
        <v>43</v>
      </c>
      <c r="D406" s="39" t="s">
        <v>45</v>
      </c>
      <c r="E406" s="28">
        <v>43194</v>
      </c>
      <c r="F406" s="40">
        <f>22489500+562238+129290+6818972</f>
        <v>30000000</v>
      </c>
      <c r="G406" s="30">
        <f t="shared" si="77"/>
        <v>42962400</v>
      </c>
      <c r="H406" s="31">
        <f>1193400-I406</f>
        <v>833400</v>
      </c>
      <c r="I406" s="31">
        <f t="shared" si="78"/>
        <v>360000</v>
      </c>
      <c r="J406" s="32">
        <v>36</v>
      </c>
      <c r="K406" s="32">
        <v>36</v>
      </c>
      <c r="L406" s="30">
        <f t="shared" si="79"/>
        <v>1193400</v>
      </c>
      <c r="M406" s="30">
        <f t="shared" si="80"/>
        <v>42962400</v>
      </c>
      <c r="N406" s="38">
        <f t="shared" si="73"/>
        <v>30000000</v>
      </c>
      <c r="O406" s="34" t="s">
        <v>47</v>
      </c>
      <c r="P406" s="34" t="s">
        <v>31</v>
      </c>
      <c r="Q406" s="111">
        <f t="shared" si="81"/>
        <v>30000000</v>
      </c>
      <c r="R406" s="175">
        <f>+[1]N2!AE431</f>
        <v>0</v>
      </c>
      <c r="S406" s="107">
        <f t="shared" si="82"/>
        <v>30000000</v>
      </c>
      <c r="T406" s="2"/>
      <c r="U406" s="2"/>
      <c r="V406" s="2"/>
      <c r="W406" s="2"/>
      <c r="X406" s="2"/>
      <c r="Y406" s="2"/>
      <c r="Z406" s="2"/>
      <c r="AA406" s="2"/>
      <c r="AB406" s="2"/>
    </row>
    <row r="407" spans="1:30" s="46" customFormat="1">
      <c r="A407" s="36">
        <f t="shared" si="76"/>
        <v>403</v>
      </c>
      <c r="B407" s="26" t="s">
        <v>42</v>
      </c>
      <c r="C407" s="27" t="s">
        <v>44</v>
      </c>
      <c r="D407" s="39" t="s">
        <v>46</v>
      </c>
      <c r="E407" s="28">
        <v>43194</v>
      </c>
      <c r="F407" s="40">
        <f>24162000+604050+129290+5104660</f>
        <v>30000000</v>
      </c>
      <c r="G407" s="30">
        <f t="shared" si="77"/>
        <v>42962400</v>
      </c>
      <c r="H407" s="31">
        <f>1193400-I407</f>
        <v>833400</v>
      </c>
      <c r="I407" s="31">
        <f t="shared" si="78"/>
        <v>360000</v>
      </c>
      <c r="J407" s="32">
        <v>36</v>
      </c>
      <c r="K407" s="32">
        <v>36</v>
      </c>
      <c r="L407" s="30">
        <f t="shared" si="79"/>
        <v>1193400</v>
      </c>
      <c r="M407" s="30">
        <f t="shared" si="80"/>
        <v>42962400</v>
      </c>
      <c r="N407" s="38">
        <f t="shared" si="73"/>
        <v>30000000</v>
      </c>
      <c r="O407" s="34" t="s">
        <v>48</v>
      </c>
      <c r="P407" s="34" t="s">
        <v>31</v>
      </c>
      <c r="Q407" s="111">
        <f t="shared" si="81"/>
        <v>30000000</v>
      </c>
      <c r="R407" s="175">
        <f>+[1]N2!AE432</f>
        <v>0</v>
      </c>
      <c r="S407" s="107">
        <f t="shared" si="82"/>
        <v>30000000</v>
      </c>
      <c r="T407" s="2"/>
      <c r="U407" s="2"/>
      <c r="V407" s="2"/>
      <c r="W407" s="2"/>
      <c r="X407" s="2"/>
      <c r="Y407" s="2"/>
      <c r="Z407" s="2"/>
      <c r="AA407" s="2"/>
      <c r="AB407" s="2"/>
    </row>
    <row r="408" spans="1:30" s="46" customFormat="1">
      <c r="A408" s="36">
        <f t="shared" si="76"/>
        <v>404</v>
      </c>
      <c r="B408" s="26" t="s">
        <v>49</v>
      </c>
      <c r="C408" s="27" t="s">
        <v>50</v>
      </c>
      <c r="D408" s="39" t="s">
        <v>51</v>
      </c>
      <c r="E408" s="28">
        <v>43194</v>
      </c>
      <c r="F408" s="40">
        <f>13324000+333100+94194+16248706</f>
        <v>30000000</v>
      </c>
      <c r="G408" s="30">
        <f t="shared" si="77"/>
        <v>42962400</v>
      </c>
      <c r="H408" s="31">
        <f>1193400-I408</f>
        <v>833400</v>
      </c>
      <c r="I408" s="31">
        <f t="shared" si="78"/>
        <v>360000</v>
      </c>
      <c r="J408" s="32">
        <v>36</v>
      </c>
      <c r="K408" s="32">
        <v>36</v>
      </c>
      <c r="L408" s="30">
        <f t="shared" si="79"/>
        <v>1193400</v>
      </c>
      <c r="M408" s="30">
        <f t="shared" si="80"/>
        <v>42962400</v>
      </c>
      <c r="N408" s="38">
        <f t="shared" si="73"/>
        <v>30000000</v>
      </c>
      <c r="O408" s="34" t="s">
        <v>52</v>
      </c>
      <c r="P408" s="34" t="s">
        <v>31</v>
      </c>
      <c r="Q408" s="111">
        <f t="shared" si="81"/>
        <v>30000000</v>
      </c>
      <c r="R408" s="175">
        <f>+[1]N2!AE433</f>
        <v>0</v>
      </c>
      <c r="S408" s="107">
        <f t="shared" si="82"/>
        <v>30000000</v>
      </c>
      <c r="T408" s="2"/>
      <c r="U408" s="2"/>
      <c r="V408" s="2"/>
      <c r="W408" s="2"/>
      <c r="X408" s="2"/>
      <c r="Y408" s="2"/>
      <c r="Z408" s="2"/>
      <c r="AA408" s="2"/>
      <c r="AB408" s="2"/>
    </row>
    <row r="409" spans="1:30" s="46" customFormat="1">
      <c r="A409" s="36">
        <f t="shared" si="76"/>
        <v>405</v>
      </c>
      <c r="B409" s="26" t="s">
        <v>53</v>
      </c>
      <c r="C409" s="27" t="s">
        <v>54</v>
      </c>
      <c r="D409" s="39" t="s">
        <v>55</v>
      </c>
      <c r="E409" s="28">
        <v>43194</v>
      </c>
      <c r="F409" s="40">
        <f>20000000</f>
        <v>20000000</v>
      </c>
      <c r="G409" s="30">
        <f t="shared" si="77"/>
        <v>22880400</v>
      </c>
      <c r="H409" s="31">
        <f>1906700-I409</f>
        <v>1666700</v>
      </c>
      <c r="I409" s="31">
        <f t="shared" si="78"/>
        <v>240000</v>
      </c>
      <c r="J409" s="32">
        <v>12</v>
      </c>
      <c r="K409" s="32">
        <v>12</v>
      </c>
      <c r="L409" s="30">
        <f t="shared" si="79"/>
        <v>1906700</v>
      </c>
      <c r="M409" s="30">
        <f t="shared" si="80"/>
        <v>22880400</v>
      </c>
      <c r="N409" s="38">
        <f t="shared" si="73"/>
        <v>20000000</v>
      </c>
      <c r="O409" s="34" t="s">
        <v>56</v>
      </c>
      <c r="P409" s="34" t="s">
        <v>36</v>
      </c>
      <c r="Q409" s="111">
        <f t="shared" si="81"/>
        <v>20000000</v>
      </c>
      <c r="R409" s="175">
        <f>+[1]N2!AE434</f>
        <v>0</v>
      </c>
      <c r="S409" s="107">
        <f t="shared" si="82"/>
        <v>20000000</v>
      </c>
      <c r="T409" s="2"/>
      <c r="U409" s="2"/>
      <c r="V409" s="2"/>
      <c r="W409" s="2"/>
      <c r="X409" s="2"/>
      <c r="Y409" s="2"/>
      <c r="Z409" s="2"/>
      <c r="AA409" s="2"/>
      <c r="AB409" s="2"/>
    </row>
    <row r="410" spans="1:30" s="46" customFormat="1">
      <c r="A410" s="36"/>
      <c r="B410" s="186"/>
      <c r="C410" s="36"/>
      <c r="D410" s="36"/>
      <c r="E410" s="129"/>
      <c r="F410" s="111"/>
      <c r="G410" s="111"/>
      <c r="H410" s="187"/>
      <c r="I410" s="108"/>
      <c r="J410" s="36"/>
      <c r="K410" s="104"/>
      <c r="L410" s="182"/>
      <c r="M410" s="182"/>
      <c r="N410" s="182"/>
      <c r="O410" s="150"/>
      <c r="P410" s="151"/>
      <c r="Q410" s="188"/>
      <c r="R410" s="104"/>
      <c r="S410" s="107"/>
      <c r="T410" s="2"/>
      <c r="U410" s="2"/>
      <c r="V410" s="2"/>
      <c r="W410" s="2"/>
      <c r="X410" s="2"/>
      <c r="Y410" s="2"/>
      <c r="Z410" s="2"/>
      <c r="AA410" s="2"/>
      <c r="AB410" s="2"/>
    </row>
    <row r="411" spans="1:30" s="46" customFormat="1">
      <c r="A411" s="36"/>
      <c r="B411" s="147" t="s">
        <v>6</v>
      </c>
      <c r="C411" s="36"/>
      <c r="D411" s="36"/>
      <c r="E411" s="129"/>
      <c r="F411" s="108">
        <f>SUM(F5:F410)</f>
        <v>9264575434</v>
      </c>
      <c r="G411" s="108">
        <f t="shared" ref="G411:N411" si="83">SUM(G5:G410)</f>
        <v>12624926016</v>
      </c>
      <c r="H411" s="108">
        <f t="shared" si="83"/>
        <v>308025634</v>
      </c>
      <c r="I411" s="108">
        <f t="shared" si="83"/>
        <v>111174906</v>
      </c>
      <c r="J411" s="108">
        <f t="shared" si="83"/>
        <v>9225</v>
      </c>
      <c r="K411" s="108">
        <f t="shared" si="83"/>
        <v>7923</v>
      </c>
      <c r="L411" s="108">
        <f t="shared" si="83"/>
        <v>419200540</v>
      </c>
      <c r="M411" s="108">
        <f t="shared" si="83"/>
        <v>8215860146</v>
      </c>
      <c r="N411" s="108">
        <f t="shared" si="83"/>
        <v>6033089607</v>
      </c>
      <c r="O411" s="111"/>
      <c r="P411" s="111"/>
      <c r="Q411" s="108">
        <f t="shared" ref="Q411" si="84">SUM(Q5:Q410)</f>
        <v>6033089607</v>
      </c>
      <c r="R411" s="108">
        <f t="shared" ref="R411" si="85">SUM(R5:R410)</f>
        <v>17802770108</v>
      </c>
      <c r="S411" s="108">
        <f t="shared" ref="S411" si="86">SUM(S5:S410)</f>
        <v>-11769680501</v>
      </c>
      <c r="T411" s="2"/>
      <c r="U411" s="2"/>
      <c r="V411" s="2"/>
      <c r="W411" s="2"/>
      <c r="X411" s="2"/>
      <c r="Y411" s="2"/>
      <c r="Z411" s="2"/>
      <c r="AA411" s="2"/>
      <c r="AB411" s="2"/>
    </row>
    <row r="412" spans="1:30" s="46" customFormat="1" ht="20.25">
      <c r="A412" s="189" t="s">
        <v>1406</v>
      </c>
      <c r="B412" s="2"/>
      <c r="C412" s="190"/>
      <c r="D412" s="190"/>
      <c r="E412" s="191"/>
      <c r="F412" s="154"/>
      <c r="G412" s="154"/>
      <c r="H412" s="192"/>
      <c r="I412" s="82"/>
      <c r="J412" s="8"/>
      <c r="L412" s="193"/>
      <c r="M412" s="194"/>
      <c r="N412" s="194"/>
      <c r="O412" s="155"/>
      <c r="P412" s="153"/>
      <c r="Q412" s="2"/>
      <c r="R412" s="2"/>
      <c r="S412" s="7"/>
      <c r="T412" s="2"/>
      <c r="U412" s="2"/>
      <c r="V412" s="2"/>
      <c r="W412" s="2"/>
      <c r="X412" s="2"/>
      <c r="Y412" s="2"/>
      <c r="Z412" s="2"/>
      <c r="AA412" s="2"/>
      <c r="AB412" s="2"/>
    </row>
    <row r="413" spans="1:30" s="46" customFormat="1">
      <c r="A413" s="195" t="s">
        <v>1</v>
      </c>
      <c r="B413" s="195" t="s">
        <v>2</v>
      </c>
      <c r="C413" s="195" t="s">
        <v>3</v>
      </c>
      <c r="D413" s="195"/>
      <c r="E413" s="196" t="s">
        <v>1407</v>
      </c>
      <c r="F413" s="197" t="s">
        <v>1408</v>
      </c>
      <c r="G413" s="197" t="s">
        <v>1409</v>
      </c>
      <c r="H413" s="195" t="s">
        <v>1410</v>
      </c>
      <c r="I413" s="198" t="s">
        <v>1411</v>
      </c>
      <c r="J413" s="3"/>
      <c r="K413" s="2"/>
      <c r="L413" s="157"/>
      <c r="M413" s="157"/>
      <c r="N413" s="194"/>
      <c r="O413" s="155"/>
      <c r="P413" s="153"/>
      <c r="Q413" s="2"/>
      <c r="R413" s="2"/>
      <c r="S413" s="7"/>
      <c r="T413" s="2"/>
      <c r="U413" s="2"/>
      <c r="V413" s="2"/>
      <c r="W413" s="2"/>
      <c r="X413" s="2"/>
      <c r="Y413" s="2"/>
      <c r="Z413" s="2"/>
      <c r="AA413" s="2"/>
      <c r="AB413" s="2"/>
    </row>
    <row r="414" spans="1:30">
      <c r="A414" s="36">
        <v>1</v>
      </c>
      <c r="B414" s="107" t="s">
        <v>1412</v>
      </c>
      <c r="C414" s="119" t="s">
        <v>573</v>
      </c>
      <c r="D414" s="119"/>
      <c r="E414" s="41">
        <v>42160</v>
      </c>
      <c r="F414" s="108">
        <v>6000000</v>
      </c>
      <c r="G414" s="145">
        <v>0</v>
      </c>
      <c r="H414" s="108">
        <v>0</v>
      </c>
      <c r="I414" s="30">
        <v>0</v>
      </c>
      <c r="J414" s="3"/>
      <c r="K414" s="2"/>
      <c r="L414" s="157"/>
      <c r="M414" s="157"/>
      <c r="AC414" s="200"/>
      <c r="AD414" s="200"/>
    </row>
    <row r="415" spans="1:30">
      <c r="A415" s="36">
        <f>+A414+1</f>
        <v>2</v>
      </c>
      <c r="B415" s="107" t="s">
        <v>1350</v>
      </c>
      <c r="C415" s="119" t="s">
        <v>1351</v>
      </c>
      <c r="D415" s="119"/>
      <c r="E415" s="41">
        <v>42639</v>
      </c>
      <c r="F415" s="145">
        <v>5000000</v>
      </c>
      <c r="G415" s="107">
        <v>0</v>
      </c>
      <c r="H415" s="108">
        <v>0</v>
      </c>
      <c r="I415" s="30">
        <v>0</v>
      </c>
      <c r="J415" s="3"/>
      <c r="K415" s="2"/>
      <c r="L415" s="157"/>
      <c r="M415" s="157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  <c r="AA415" s="200"/>
      <c r="AB415" s="200"/>
      <c r="AC415" s="200"/>
      <c r="AD415" s="200"/>
    </row>
    <row r="416" spans="1:30">
      <c r="A416" s="36">
        <f t="shared" ref="A416:A426" si="87">+A415+1</f>
        <v>3</v>
      </c>
      <c r="B416" s="107" t="s">
        <v>310</v>
      </c>
      <c r="C416" s="119" t="s">
        <v>311</v>
      </c>
      <c r="D416" s="36"/>
      <c r="E416" s="41">
        <v>42699</v>
      </c>
      <c r="F416" s="108">
        <v>6500000</v>
      </c>
      <c r="G416" s="145">
        <v>2000000</v>
      </c>
      <c r="H416" s="107">
        <v>0</v>
      </c>
      <c r="I416" s="30">
        <v>0</v>
      </c>
      <c r="J416" s="3"/>
      <c r="K416" s="2"/>
      <c r="L416" s="157"/>
      <c r="M416" s="157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  <c r="AA416" s="200"/>
      <c r="AB416" s="200"/>
      <c r="AC416" s="200"/>
      <c r="AD416" s="200"/>
    </row>
    <row r="417" spans="1:30">
      <c r="A417" s="36">
        <f t="shared" si="87"/>
        <v>4</v>
      </c>
      <c r="B417" s="107" t="s">
        <v>585</v>
      </c>
      <c r="C417" s="119" t="s">
        <v>586</v>
      </c>
      <c r="D417" s="36"/>
      <c r="E417" s="41">
        <v>42702</v>
      </c>
      <c r="F417" s="108">
        <v>10000000</v>
      </c>
      <c r="G417" s="145">
        <v>0</v>
      </c>
      <c r="H417" s="107">
        <v>0</v>
      </c>
      <c r="I417" s="30">
        <v>0</v>
      </c>
      <c r="J417" s="3"/>
      <c r="K417" s="2"/>
      <c r="L417" s="157"/>
      <c r="M417" s="157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  <c r="AA417" s="200"/>
      <c r="AB417" s="200"/>
      <c r="AC417" s="200"/>
      <c r="AD417" s="200"/>
    </row>
    <row r="418" spans="1:30">
      <c r="A418" s="36">
        <f t="shared" si="87"/>
        <v>5</v>
      </c>
      <c r="B418" s="104" t="s">
        <v>388</v>
      </c>
      <c r="C418" s="105" t="s">
        <v>389</v>
      </c>
      <c r="D418" s="106" t="s">
        <v>390</v>
      </c>
      <c r="E418" s="41">
        <v>42811</v>
      </c>
      <c r="F418" s="107">
        <v>5000000</v>
      </c>
      <c r="G418" s="33">
        <v>0</v>
      </c>
      <c r="H418" s="107">
        <v>0</v>
      </c>
      <c r="I418" s="30">
        <v>0</v>
      </c>
      <c r="J418" s="3"/>
      <c r="K418" s="2"/>
      <c r="L418" s="157"/>
      <c r="M418" s="157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  <c r="AA418" s="200"/>
      <c r="AB418" s="200"/>
      <c r="AC418" s="200"/>
      <c r="AD418" s="200"/>
    </row>
    <row r="419" spans="1:30">
      <c r="A419" s="36">
        <f t="shared" si="87"/>
        <v>6</v>
      </c>
      <c r="B419" s="107" t="s">
        <v>931</v>
      </c>
      <c r="C419" s="119" t="s">
        <v>932</v>
      </c>
      <c r="D419" s="106" t="s">
        <v>933</v>
      </c>
      <c r="E419" s="41">
        <v>42871</v>
      </c>
      <c r="F419" s="33">
        <v>5000000</v>
      </c>
      <c r="G419" s="33">
        <v>0</v>
      </c>
      <c r="H419" s="33">
        <v>2000000</v>
      </c>
      <c r="I419" s="30">
        <v>0</v>
      </c>
      <c r="J419" s="3"/>
      <c r="K419" s="2"/>
      <c r="L419" s="157"/>
      <c r="M419" s="157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  <c r="AA419" s="200"/>
      <c r="AB419" s="200"/>
      <c r="AC419" s="200"/>
      <c r="AD419" s="200"/>
    </row>
    <row r="420" spans="1:30">
      <c r="A420" s="36">
        <f t="shared" si="87"/>
        <v>7</v>
      </c>
      <c r="B420" s="107" t="s">
        <v>928</v>
      </c>
      <c r="C420" s="119" t="s">
        <v>929</v>
      </c>
      <c r="D420" s="106" t="s">
        <v>930</v>
      </c>
      <c r="E420" s="41">
        <v>42881</v>
      </c>
      <c r="F420" s="33">
        <v>6000000</v>
      </c>
      <c r="G420" s="33">
        <v>0</v>
      </c>
      <c r="H420" s="33">
        <v>0</v>
      </c>
      <c r="I420" s="30">
        <v>0</v>
      </c>
      <c r="J420" s="3"/>
      <c r="K420" s="2"/>
      <c r="L420" s="157"/>
      <c r="M420" s="157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  <c r="AA420" s="200"/>
      <c r="AB420" s="200"/>
      <c r="AC420" s="200"/>
      <c r="AD420" s="200"/>
    </row>
    <row r="421" spans="1:30">
      <c r="A421" s="36">
        <f t="shared" si="87"/>
        <v>8</v>
      </c>
      <c r="B421" s="104" t="s">
        <v>831</v>
      </c>
      <c r="C421" s="105" t="s">
        <v>832</v>
      </c>
      <c r="D421" s="106" t="s">
        <v>833</v>
      </c>
      <c r="E421" s="41">
        <v>42930</v>
      </c>
      <c r="F421" s="33">
        <v>10000000</v>
      </c>
      <c r="G421" s="33">
        <v>0</v>
      </c>
      <c r="H421" s="33">
        <v>0</v>
      </c>
      <c r="I421" s="30">
        <v>0</v>
      </c>
    </row>
    <row r="422" spans="1:30">
      <c r="A422" s="36">
        <f t="shared" si="87"/>
        <v>9</v>
      </c>
      <c r="B422" s="104" t="s">
        <v>835</v>
      </c>
      <c r="C422" s="105" t="s">
        <v>836</v>
      </c>
      <c r="D422" s="106" t="s">
        <v>837</v>
      </c>
      <c r="E422" s="41">
        <v>42972</v>
      </c>
      <c r="F422" s="111">
        <v>7000000</v>
      </c>
      <c r="G422" s="33">
        <v>0</v>
      </c>
      <c r="H422" s="33">
        <v>0</v>
      </c>
      <c r="I422" s="30">
        <v>0</v>
      </c>
    </row>
    <row r="423" spans="1:30">
      <c r="A423" s="36">
        <f t="shared" si="87"/>
        <v>10</v>
      </c>
      <c r="B423" s="104" t="s">
        <v>472</v>
      </c>
      <c r="C423" s="105" t="s">
        <v>473</v>
      </c>
      <c r="D423" s="106" t="s">
        <v>474</v>
      </c>
      <c r="E423" s="41">
        <v>43063</v>
      </c>
      <c r="F423" s="201">
        <v>2000000</v>
      </c>
      <c r="G423" s="201">
        <v>3000000</v>
      </c>
      <c r="H423" s="201">
        <v>2000000</v>
      </c>
      <c r="I423" s="30">
        <v>0</v>
      </c>
      <c r="J423" s="46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  <c r="AA423" s="200"/>
      <c r="AB423" s="200"/>
      <c r="AC423" s="200"/>
      <c r="AD423" s="200"/>
    </row>
    <row r="424" spans="1:30">
      <c r="A424" s="36">
        <f t="shared" si="87"/>
        <v>11</v>
      </c>
      <c r="B424" s="104" t="s">
        <v>1143</v>
      </c>
      <c r="C424" s="105" t="s">
        <v>1144</v>
      </c>
      <c r="D424" s="106" t="s">
        <v>1145</v>
      </c>
      <c r="E424" s="28">
        <v>43143</v>
      </c>
      <c r="F424" s="201">
        <v>5000000</v>
      </c>
      <c r="G424" s="201">
        <v>0</v>
      </c>
      <c r="H424" s="201">
        <v>2000000</v>
      </c>
      <c r="I424" s="30">
        <v>0</v>
      </c>
      <c r="J424" s="46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  <c r="AA424" s="200"/>
      <c r="AB424" s="200"/>
      <c r="AC424" s="200"/>
      <c r="AD424" s="200"/>
    </row>
    <row r="425" spans="1:30">
      <c r="A425" s="36">
        <f t="shared" si="87"/>
        <v>12</v>
      </c>
      <c r="B425" s="26" t="s">
        <v>1296</v>
      </c>
      <c r="C425" s="27" t="s">
        <v>1297</v>
      </c>
      <c r="D425" s="28" t="s">
        <v>1298</v>
      </c>
      <c r="E425" s="28">
        <v>43154</v>
      </c>
      <c r="F425" s="30">
        <v>5000000</v>
      </c>
      <c r="G425" s="30">
        <v>0</v>
      </c>
      <c r="H425" s="30">
        <v>1000000</v>
      </c>
      <c r="I425" s="30">
        <v>0</v>
      </c>
      <c r="J425" s="46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  <c r="AA425" s="200"/>
      <c r="AB425" s="200"/>
      <c r="AC425" s="200"/>
      <c r="AD425" s="200"/>
    </row>
    <row r="426" spans="1:30">
      <c r="A426" s="36">
        <f t="shared" si="87"/>
        <v>13</v>
      </c>
      <c r="B426" s="26" t="s">
        <v>91</v>
      </c>
      <c r="C426" s="27" t="s">
        <v>92</v>
      </c>
      <c r="D426" s="28" t="s">
        <v>1393</v>
      </c>
      <c r="E426" s="28">
        <v>43185</v>
      </c>
      <c r="F426" s="77">
        <v>5000000</v>
      </c>
      <c r="G426" s="77">
        <v>0</v>
      </c>
      <c r="H426" s="77">
        <v>0</v>
      </c>
      <c r="I426" s="30">
        <v>0</v>
      </c>
      <c r="J426" s="46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200"/>
      <c r="AC426" s="200"/>
      <c r="AD426" s="200"/>
    </row>
    <row r="427" spans="1:30">
      <c r="A427" s="104"/>
      <c r="B427" s="104"/>
      <c r="C427" s="104"/>
      <c r="D427" s="104"/>
      <c r="E427" s="104"/>
      <c r="F427" s="30">
        <v>0</v>
      </c>
      <c r="G427" s="30">
        <v>0</v>
      </c>
      <c r="H427" s="30">
        <v>0</v>
      </c>
      <c r="I427" s="30">
        <v>0</v>
      </c>
      <c r="J427" s="46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200"/>
      <c r="AC427" s="200"/>
      <c r="AD427" s="200"/>
    </row>
    <row r="428" spans="1:30">
      <c r="A428" s="46"/>
      <c r="C428" s="46"/>
      <c r="D428" s="46"/>
      <c r="E428" s="46"/>
      <c r="F428" s="46"/>
      <c r="G428" s="46"/>
      <c r="H428" s="46"/>
      <c r="I428" s="46"/>
      <c r="J428" s="46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  <c r="AC428" s="200"/>
      <c r="AD428" s="200"/>
    </row>
    <row r="429" spans="1:30">
      <c r="A429" s="46"/>
      <c r="C429" s="46"/>
      <c r="D429" s="46"/>
      <c r="E429" s="46"/>
      <c r="F429" s="46"/>
      <c r="G429" s="46"/>
      <c r="H429" s="46"/>
      <c r="I429" s="46"/>
      <c r="J429" s="46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200"/>
      <c r="AC429" s="200"/>
      <c r="AD429" s="200"/>
    </row>
    <row r="430" spans="1:30">
      <c r="A430" s="46"/>
      <c r="C430" s="46"/>
      <c r="D430" s="46"/>
      <c r="E430" s="46"/>
      <c r="F430" s="46"/>
      <c r="G430" s="46"/>
      <c r="H430" s="46"/>
      <c r="I430" s="46"/>
      <c r="J430" s="46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200"/>
      <c r="AC430" s="200"/>
      <c r="AD430" s="200"/>
    </row>
    <row r="431" spans="1:30">
      <c r="A431" s="46"/>
      <c r="C431" s="46"/>
      <c r="D431" s="46"/>
      <c r="E431" s="46"/>
      <c r="F431" s="46"/>
      <c r="G431" s="46"/>
      <c r="H431" s="46"/>
      <c r="I431" s="46"/>
      <c r="J431" s="46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  <c r="AA431" s="200"/>
      <c r="AB431" s="200"/>
      <c r="AC431" s="200"/>
      <c r="AD431" s="200"/>
    </row>
    <row r="432" spans="1:30">
      <c r="A432" s="46"/>
      <c r="C432" s="46"/>
      <c r="D432" s="46"/>
      <c r="E432" s="46"/>
      <c r="F432" s="46"/>
      <c r="G432" s="46"/>
      <c r="H432" s="46"/>
      <c r="I432" s="46"/>
      <c r="J432" s="46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  <c r="AA432" s="200"/>
      <c r="AB432" s="200"/>
      <c r="AC432" s="200"/>
      <c r="AD432" s="200"/>
    </row>
    <row r="433" spans="1:30">
      <c r="A433" s="46"/>
      <c r="C433" s="46"/>
      <c r="D433" s="46"/>
      <c r="E433" s="46"/>
      <c r="F433" s="46"/>
      <c r="G433" s="46"/>
      <c r="H433" s="46"/>
      <c r="I433" s="46"/>
      <c r="J433" s="46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  <c r="AA433" s="200"/>
      <c r="AB433" s="200"/>
      <c r="AC433" s="200"/>
      <c r="AD433" s="200"/>
    </row>
    <row r="434" spans="1:30">
      <c r="A434" s="46"/>
      <c r="C434" s="46"/>
      <c r="D434" s="46"/>
      <c r="E434" s="46"/>
      <c r="F434" s="46"/>
      <c r="G434" s="46"/>
      <c r="H434" s="46"/>
      <c r="I434" s="46"/>
      <c r="J434" s="46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  <c r="AA434" s="200"/>
      <c r="AB434" s="200"/>
      <c r="AC434" s="200"/>
      <c r="AD434" s="200"/>
    </row>
    <row r="435" spans="1:30">
      <c r="A435" s="46"/>
      <c r="C435" s="46"/>
      <c r="D435" s="46"/>
      <c r="E435" s="46"/>
      <c r="F435" s="46"/>
      <c r="G435" s="46"/>
      <c r="H435" s="46"/>
      <c r="I435" s="46"/>
      <c r="J435" s="46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  <c r="AA435" s="200"/>
      <c r="AB435" s="200"/>
      <c r="AC435" s="200"/>
      <c r="AD435" s="200"/>
    </row>
    <row r="436" spans="1:30">
      <c r="A436" s="46"/>
      <c r="C436" s="46"/>
      <c r="D436" s="46"/>
      <c r="E436" s="46"/>
      <c r="F436" s="46"/>
      <c r="G436" s="46"/>
      <c r="H436" s="46"/>
      <c r="I436" s="46"/>
      <c r="J436" s="46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  <c r="AA436" s="200"/>
      <c r="AB436" s="200"/>
      <c r="AC436" s="200"/>
      <c r="AD436" s="200"/>
    </row>
  </sheetData>
  <pageMargins left="0.7" right="0.7" top="0.75" bottom="0.75" header="0.3" footer="0.3"/>
  <pageSetup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04"/>
  <sheetViews>
    <sheetView showGridLines="0" view="pageBreakPreview" topLeftCell="B1" zoomScaleSheetLayoutView="100" workbookViewId="0">
      <pane ySplit="4" topLeftCell="A5" activePane="bottomLeft" state="frozen"/>
      <selection pane="bottomLeft" activeCell="F9" sqref="F9"/>
    </sheetView>
  </sheetViews>
  <sheetFormatPr defaultRowHeight="15.75"/>
  <cols>
    <col min="1" max="1" width="9.85546875" style="8" bestFit="1" customWidth="1"/>
    <col min="2" max="2" width="29" style="46" bestFit="1" customWidth="1"/>
    <col min="3" max="3" width="10.5703125" style="8" bestFit="1" customWidth="1"/>
    <col min="4" max="4" width="10.5703125" style="8" customWidth="1"/>
    <col min="5" max="5" width="13.85546875" style="152" bestFit="1" customWidth="1"/>
    <col min="6" max="7" width="20" style="154" bestFit="1" customWidth="1"/>
    <col min="8" max="8" width="17.5703125" style="192" bestFit="1" customWidth="1"/>
    <col min="9" max="9" width="17" style="82" bestFit="1" customWidth="1"/>
    <col min="10" max="10" width="11.5703125" style="8" bestFit="1" customWidth="1"/>
    <col min="11" max="11" width="11.5703125" style="46" bestFit="1" customWidth="1"/>
    <col min="12" max="12" width="21.42578125" style="194" bestFit="1" customWidth="1"/>
    <col min="13" max="13" width="20" style="194" bestFit="1" customWidth="1"/>
    <col min="14" max="14" width="19.42578125" style="194" bestFit="1" customWidth="1"/>
    <col min="15" max="15" width="27.140625" style="155" customWidth="1"/>
    <col min="16" max="16" width="40.28515625" style="153" bestFit="1" customWidth="1"/>
    <col min="17" max="18" width="16.140625" style="2" bestFit="1" customWidth="1"/>
    <col min="19" max="19" width="15.7109375" style="2" bestFit="1" customWidth="1"/>
    <col min="20" max="28" width="9.140625" style="2"/>
    <col min="29" max="16384" width="9.140625" style="46"/>
  </cols>
  <sheetData>
    <row r="1" spans="1:29" ht="20.25">
      <c r="A1" s="78" t="s">
        <v>0</v>
      </c>
      <c r="B1" s="2"/>
      <c r="C1" s="3"/>
      <c r="D1" s="3"/>
      <c r="E1" s="4"/>
      <c r="F1" s="79"/>
      <c r="G1" s="79"/>
      <c r="H1" s="156"/>
      <c r="I1" s="5"/>
      <c r="L1" s="157"/>
      <c r="M1" s="157"/>
      <c r="N1" s="157"/>
      <c r="O1" s="83"/>
      <c r="P1" s="1"/>
    </row>
    <row r="2" spans="1:29" ht="20.25">
      <c r="A2" s="85" t="s">
        <v>1830</v>
      </c>
      <c r="B2" s="2"/>
      <c r="C2" s="3"/>
      <c r="D2" s="3"/>
      <c r="E2" s="4"/>
      <c r="F2" s="79"/>
      <c r="G2" s="79"/>
      <c r="H2" s="156"/>
      <c r="I2" s="5"/>
      <c r="L2" s="157"/>
      <c r="M2" s="157"/>
      <c r="N2" s="157"/>
      <c r="O2" s="83"/>
      <c r="P2" s="1"/>
    </row>
    <row r="3" spans="1:29" s="8" customFormat="1">
      <c r="A3" s="86" t="s">
        <v>1413</v>
      </c>
      <c r="B3" s="86" t="s">
        <v>2</v>
      </c>
      <c r="C3" s="86" t="s">
        <v>3</v>
      </c>
      <c r="D3" s="86"/>
      <c r="E3" s="87" t="s">
        <v>4</v>
      </c>
      <c r="F3" s="88" t="s">
        <v>5</v>
      </c>
      <c r="G3" s="88" t="s">
        <v>6</v>
      </c>
      <c r="H3" s="86" t="s">
        <v>7</v>
      </c>
      <c r="I3" s="89" t="s">
        <v>8</v>
      </c>
      <c r="J3" s="91" t="s">
        <v>9</v>
      </c>
      <c r="K3" s="86" t="s">
        <v>10</v>
      </c>
      <c r="L3" s="92" t="s">
        <v>11</v>
      </c>
      <c r="M3" s="93" t="s">
        <v>12</v>
      </c>
      <c r="N3" s="93" t="s">
        <v>13</v>
      </c>
      <c r="O3" s="202" t="s">
        <v>67</v>
      </c>
      <c r="P3" s="86" t="s">
        <v>68</v>
      </c>
      <c r="Q3" s="86"/>
      <c r="R3" s="86"/>
      <c r="S3" s="86"/>
      <c r="T3" s="3"/>
      <c r="U3" s="3"/>
      <c r="V3" s="3"/>
      <c r="W3" s="3"/>
      <c r="X3" s="3"/>
      <c r="Y3" s="3"/>
      <c r="Z3" s="3"/>
      <c r="AA3" s="3"/>
      <c r="AB3" s="3"/>
    </row>
    <row r="4" spans="1:29" s="8" customFormat="1">
      <c r="A4" s="162"/>
      <c r="B4" s="162"/>
      <c r="C4" s="162"/>
      <c r="D4" s="162"/>
      <c r="E4" s="164" t="s">
        <v>17</v>
      </c>
      <c r="F4" s="165"/>
      <c r="G4" s="166" t="s">
        <v>5</v>
      </c>
      <c r="H4" s="162"/>
      <c r="I4" s="167"/>
      <c r="J4" s="168"/>
      <c r="K4" s="162" t="s">
        <v>18</v>
      </c>
      <c r="L4" s="169" t="s">
        <v>19</v>
      </c>
      <c r="M4" s="170" t="s">
        <v>8</v>
      </c>
      <c r="N4" s="170"/>
      <c r="O4" s="203"/>
      <c r="P4" s="204"/>
      <c r="Q4" s="162"/>
      <c r="R4" s="162"/>
      <c r="S4" s="162"/>
      <c r="T4" s="3"/>
      <c r="U4" s="3"/>
      <c r="V4" s="3"/>
      <c r="W4" s="3"/>
      <c r="X4" s="3"/>
      <c r="Y4" s="3"/>
      <c r="Z4" s="3"/>
      <c r="AA4" s="3"/>
      <c r="AB4" s="3"/>
    </row>
    <row r="5" spans="1:29" customFormat="1">
      <c r="A5" s="36">
        <v>1</v>
      </c>
      <c r="B5" s="121" t="s">
        <v>1414</v>
      </c>
      <c r="C5" s="122" t="s">
        <v>1415</v>
      </c>
      <c r="D5" s="122"/>
      <c r="E5" s="115">
        <v>42195</v>
      </c>
      <c r="F5" s="205">
        <f>360000-14415</f>
        <v>345585</v>
      </c>
      <c r="G5" s="206">
        <f t="shared" ref="G5:G15" si="0">+J5*L5</f>
        <v>345585</v>
      </c>
      <c r="H5" s="113">
        <f>+F5/J5</f>
        <v>345585</v>
      </c>
      <c r="I5" s="116">
        <v>0</v>
      </c>
      <c r="J5" s="124">
        <v>1</v>
      </c>
      <c r="K5" s="124">
        <v>1</v>
      </c>
      <c r="L5" s="207">
        <f t="shared" ref="L5:L15" si="1">+H5+I5</f>
        <v>345585</v>
      </c>
      <c r="M5" s="107">
        <f t="shared" ref="M5:M15" si="2">+K5*L5</f>
        <v>345585</v>
      </c>
      <c r="N5" s="208">
        <f>+H5*K5</f>
        <v>345585</v>
      </c>
      <c r="O5" s="209"/>
      <c r="P5" s="209" t="s">
        <v>1416</v>
      </c>
      <c r="Q5" s="111">
        <f t="shared" ref="Q5" si="3">+N5</f>
        <v>345585</v>
      </c>
      <c r="R5" s="175" t="e">
        <f>+#REF!</f>
        <v>#REF!</v>
      </c>
      <c r="S5" s="210" t="e">
        <f t="shared" ref="S5" si="4">+Q5-R5</f>
        <v>#REF!</v>
      </c>
    </row>
    <row r="6" spans="1:29" customFormat="1">
      <c r="A6" s="61">
        <f t="shared" ref="A6:A15" si="5">+A5+1</f>
        <v>2</v>
      </c>
      <c r="B6" s="121" t="s">
        <v>1414</v>
      </c>
      <c r="C6" s="122" t="s">
        <v>1415</v>
      </c>
      <c r="D6" s="122"/>
      <c r="E6" s="115">
        <v>42226</v>
      </c>
      <c r="F6" s="205">
        <v>360000</v>
      </c>
      <c r="G6" s="206">
        <f t="shared" si="0"/>
        <v>360000</v>
      </c>
      <c r="H6" s="113">
        <f>+F6/J6</f>
        <v>360000</v>
      </c>
      <c r="I6" s="116">
        <v>0</v>
      </c>
      <c r="J6" s="124">
        <v>1</v>
      </c>
      <c r="K6" s="124">
        <v>1</v>
      </c>
      <c r="L6" s="207">
        <f t="shared" si="1"/>
        <v>360000</v>
      </c>
      <c r="M6" s="107">
        <f t="shared" si="2"/>
        <v>360000</v>
      </c>
      <c r="N6" s="208">
        <f>+H6*K6</f>
        <v>360000</v>
      </c>
      <c r="O6" s="211"/>
      <c r="P6" s="209" t="s">
        <v>1417</v>
      </c>
      <c r="Q6" s="111">
        <f t="shared" ref="Q6:Q15" si="6">+N6</f>
        <v>360000</v>
      </c>
      <c r="R6" s="175" t="e">
        <f>+#REF!</f>
        <v>#REF!</v>
      </c>
      <c r="S6" s="210" t="e">
        <f t="shared" ref="S6:S15" si="7">+Q6-R6</f>
        <v>#REF!</v>
      </c>
    </row>
    <row r="7" spans="1:29" customFormat="1">
      <c r="A7" s="61">
        <f t="shared" si="5"/>
        <v>3</v>
      </c>
      <c r="B7" s="121" t="s">
        <v>1414</v>
      </c>
      <c r="C7" s="122" t="s">
        <v>1415</v>
      </c>
      <c r="D7" s="122"/>
      <c r="E7" s="212">
        <v>42257</v>
      </c>
      <c r="F7" s="213">
        <v>360000</v>
      </c>
      <c r="G7" s="206">
        <f t="shared" si="0"/>
        <v>360000</v>
      </c>
      <c r="H7" s="113">
        <f>+F7/J7</f>
        <v>360000</v>
      </c>
      <c r="I7" s="116">
        <v>0</v>
      </c>
      <c r="J7" s="124">
        <v>1</v>
      </c>
      <c r="K7" s="124">
        <v>1</v>
      </c>
      <c r="L7" s="207">
        <f t="shared" si="1"/>
        <v>360000</v>
      </c>
      <c r="M7" s="107">
        <f t="shared" si="2"/>
        <v>360000</v>
      </c>
      <c r="N7" s="208">
        <f>+H7*K7</f>
        <v>360000</v>
      </c>
      <c r="O7" s="211"/>
      <c r="P7" s="209" t="s">
        <v>1418</v>
      </c>
      <c r="Q7" s="111">
        <f t="shared" si="6"/>
        <v>360000</v>
      </c>
      <c r="R7" s="175" t="e">
        <f>+#REF!</f>
        <v>#REF!</v>
      </c>
      <c r="S7" s="210" t="e">
        <f t="shared" si="7"/>
        <v>#REF!</v>
      </c>
    </row>
    <row r="8" spans="1:29" customFormat="1">
      <c r="A8" s="61">
        <f t="shared" si="5"/>
        <v>4</v>
      </c>
      <c r="B8" s="121" t="s">
        <v>1414</v>
      </c>
      <c r="C8" s="122" t="s">
        <v>1415</v>
      </c>
      <c r="D8" s="122"/>
      <c r="E8" s="212">
        <v>41815</v>
      </c>
      <c r="F8" s="214">
        <f>25000200+625005+4374795</f>
        <v>30000000</v>
      </c>
      <c r="G8" s="214">
        <f t="shared" si="0"/>
        <v>42960600</v>
      </c>
      <c r="H8" s="116">
        <v>833350</v>
      </c>
      <c r="I8" s="214">
        <f>+F8*1.2%</f>
        <v>360000</v>
      </c>
      <c r="J8" s="124">
        <v>36</v>
      </c>
      <c r="K8" s="124">
        <f>23+1</f>
        <v>24</v>
      </c>
      <c r="L8" s="135">
        <f t="shared" si="1"/>
        <v>1193350</v>
      </c>
      <c r="M8" s="107">
        <f t="shared" si="2"/>
        <v>28640400</v>
      </c>
      <c r="N8" s="149">
        <f>+H8*K8-(5000000)-(2000000)-(2000000)</f>
        <v>11000400</v>
      </c>
      <c r="O8" s="215" t="s">
        <v>1419</v>
      </c>
      <c r="P8" s="216" t="s">
        <v>101</v>
      </c>
      <c r="Q8" s="111">
        <f t="shared" si="6"/>
        <v>11000400</v>
      </c>
      <c r="R8" s="175" t="e">
        <f>+#REF!</f>
        <v>#REF!</v>
      </c>
      <c r="S8" s="210" t="e">
        <f t="shared" si="7"/>
        <v>#REF!</v>
      </c>
    </row>
    <row r="9" spans="1:29" customFormat="1">
      <c r="A9" s="67">
        <f t="shared" si="5"/>
        <v>5</v>
      </c>
      <c r="B9" s="217" t="s">
        <v>1420</v>
      </c>
      <c r="C9" s="67">
        <v>330817</v>
      </c>
      <c r="D9" s="218" t="s">
        <v>1421</v>
      </c>
      <c r="E9" s="41">
        <v>42949</v>
      </c>
      <c r="F9" s="219">
        <f>21985000+900000</f>
        <v>22885000</v>
      </c>
      <c r="G9" s="219">
        <f t="shared" si="0"/>
        <v>29508000</v>
      </c>
      <c r="H9" s="219">
        <v>954880</v>
      </c>
      <c r="I9" s="219">
        <f>+F9*1.2%</f>
        <v>274620</v>
      </c>
      <c r="J9" s="67">
        <v>24</v>
      </c>
      <c r="K9" s="36">
        <f>16</f>
        <v>16</v>
      </c>
      <c r="L9" s="65">
        <f t="shared" si="1"/>
        <v>1229500</v>
      </c>
      <c r="M9" s="64">
        <f t="shared" si="2"/>
        <v>19672000</v>
      </c>
      <c r="N9" s="220">
        <f>F9-(H9*8)</f>
        <v>15245960</v>
      </c>
      <c r="O9" s="221" t="s">
        <v>1422</v>
      </c>
      <c r="P9" s="72" t="s">
        <v>1423</v>
      </c>
      <c r="Q9" s="111">
        <f t="shared" si="6"/>
        <v>15245960</v>
      </c>
      <c r="R9" s="175" t="e">
        <f>+#REF!</f>
        <v>#REF!</v>
      </c>
      <c r="S9" s="210" t="e">
        <f t="shared" si="7"/>
        <v>#REF!</v>
      </c>
    </row>
    <row r="10" spans="1:29" customFormat="1">
      <c r="A10" s="61">
        <f t="shared" si="5"/>
        <v>6</v>
      </c>
      <c r="B10" s="121" t="s">
        <v>1424</v>
      </c>
      <c r="C10" s="122">
        <v>897708</v>
      </c>
      <c r="D10" s="122"/>
      <c r="E10" s="123">
        <v>40913</v>
      </c>
      <c r="F10" s="113">
        <f>11666900+291673+75484+2965943</f>
        <v>15000000</v>
      </c>
      <c r="G10" s="116">
        <f t="shared" si="0"/>
        <v>19680000</v>
      </c>
      <c r="H10" s="113">
        <f>F10/J10</f>
        <v>625000</v>
      </c>
      <c r="I10" s="214">
        <f>+F10*1.3%</f>
        <v>195000.00000000003</v>
      </c>
      <c r="J10" s="222">
        <v>24</v>
      </c>
      <c r="K10" s="124">
        <f>11</f>
        <v>11</v>
      </c>
      <c r="L10" s="108">
        <f t="shared" si="1"/>
        <v>820000</v>
      </c>
      <c r="M10" s="108">
        <f t="shared" si="2"/>
        <v>9020000</v>
      </c>
      <c r="N10" s="108">
        <f>8125000-305000-(636755)-(211547)-(1273000)-625000</f>
        <v>5073698</v>
      </c>
      <c r="O10" s="211" t="s">
        <v>1425</v>
      </c>
      <c r="P10" s="209" t="s">
        <v>101</v>
      </c>
      <c r="Q10" s="111">
        <f t="shared" si="6"/>
        <v>5073698</v>
      </c>
      <c r="R10" s="175" t="e">
        <f>+#REF!</f>
        <v>#REF!</v>
      </c>
      <c r="S10" s="210" t="e">
        <f t="shared" si="7"/>
        <v>#REF!</v>
      </c>
    </row>
    <row r="11" spans="1:29" customFormat="1">
      <c r="A11" s="61">
        <f t="shared" si="5"/>
        <v>7</v>
      </c>
      <c r="B11" s="223" t="s">
        <v>1426</v>
      </c>
      <c r="C11" s="224">
        <v>981316</v>
      </c>
      <c r="D11" s="224"/>
      <c r="E11" s="225">
        <v>41122</v>
      </c>
      <c r="F11" s="226">
        <v>94390</v>
      </c>
      <c r="G11" s="227">
        <f t="shared" si="0"/>
        <v>94390</v>
      </c>
      <c r="H11" s="228">
        <f>+F11/J11</f>
        <v>94390</v>
      </c>
      <c r="I11" s="227">
        <v>0</v>
      </c>
      <c r="J11" s="229">
        <v>1</v>
      </c>
      <c r="K11" s="230">
        <v>1</v>
      </c>
      <c r="L11" s="108">
        <f t="shared" si="1"/>
        <v>94390</v>
      </c>
      <c r="M11" s="108">
        <f t="shared" si="2"/>
        <v>94390</v>
      </c>
      <c r="N11" s="108">
        <f>+H11*K11</f>
        <v>94390</v>
      </c>
      <c r="O11" s="231" t="s">
        <v>1427</v>
      </c>
      <c r="P11" s="209" t="s">
        <v>1428</v>
      </c>
      <c r="Q11" s="111">
        <f t="shared" si="6"/>
        <v>94390</v>
      </c>
      <c r="R11" s="175" t="e">
        <f>+#REF!</f>
        <v>#REF!</v>
      </c>
      <c r="S11" s="210" t="e">
        <f t="shared" si="7"/>
        <v>#REF!</v>
      </c>
    </row>
    <row r="12" spans="1:29" customFormat="1">
      <c r="A12" s="61">
        <f t="shared" si="5"/>
        <v>8</v>
      </c>
      <c r="B12" s="223" t="s">
        <v>1426</v>
      </c>
      <c r="C12" s="224">
        <v>981316</v>
      </c>
      <c r="D12" s="224"/>
      <c r="E12" s="225">
        <v>41163</v>
      </c>
      <c r="F12" s="227">
        <v>144950</v>
      </c>
      <c r="G12" s="227">
        <f t="shared" si="0"/>
        <v>144950</v>
      </c>
      <c r="H12" s="228">
        <f>+F12/J12</f>
        <v>144950</v>
      </c>
      <c r="I12" s="227">
        <v>0</v>
      </c>
      <c r="J12" s="229">
        <v>1</v>
      </c>
      <c r="K12" s="230">
        <v>1</v>
      </c>
      <c r="L12" s="108">
        <f t="shared" si="1"/>
        <v>144950</v>
      </c>
      <c r="M12" s="108">
        <f t="shared" si="2"/>
        <v>144950</v>
      </c>
      <c r="N12" s="108">
        <f>+H12*K12</f>
        <v>144950</v>
      </c>
      <c r="O12" s="231" t="s">
        <v>1427</v>
      </c>
      <c r="P12" s="232" t="s">
        <v>1429</v>
      </c>
      <c r="Q12" s="111">
        <f t="shared" si="6"/>
        <v>144950</v>
      </c>
      <c r="R12" s="175" t="e">
        <f>+#REF!</f>
        <v>#REF!</v>
      </c>
      <c r="S12" s="210" t="e">
        <f t="shared" si="7"/>
        <v>#REF!</v>
      </c>
    </row>
    <row r="13" spans="1:29">
      <c r="A13" s="36">
        <f t="shared" si="5"/>
        <v>9</v>
      </c>
      <c r="B13" s="233" t="s">
        <v>1426</v>
      </c>
      <c r="C13" s="234">
        <v>981316</v>
      </c>
      <c r="D13" s="234"/>
      <c r="E13" s="235">
        <v>40561</v>
      </c>
      <c r="F13" s="226">
        <f>5041422+6108578</f>
        <v>11150000</v>
      </c>
      <c r="G13" s="227">
        <f t="shared" si="0"/>
        <v>16368300</v>
      </c>
      <c r="H13" s="228">
        <v>309725</v>
      </c>
      <c r="I13" s="236">
        <f>+F13*1.3%</f>
        <v>144950</v>
      </c>
      <c r="J13" s="229">
        <v>36</v>
      </c>
      <c r="K13" s="230">
        <f>23+1</f>
        <v>24</v>
      </c>
      <c r="L13" s="108">
        <f t="shared" si="1"/>
        <v>454675</v>
      </c>
      <c r="M13" s="108">
        <f t="shared" si="2"/>
        <v>10912200</v>
      </c>
      <c r="N13" s="108">
        <f>+H13*K13-(460238)-(122680)-(103819)</f>
        <v>6746663</v>
      </c>
      <c r="O13" s="216" t="s">
        <v>1427</v>
      </c>
      <c r="P13" s="209" t="s">
        <v>1430</v>
      </c>
      <c r="Q13" s="111">
        <f t="shared" si="6"/>
        <v>6746663</v>
      </c>
      <c r="R13" s="175" t="e">
        <f>+#REF!</f>
        <v>#REF!</v>
      </c>
      <c r="S13" s="210" t="e">
        <f t="shared" si="7"/>
        <v>#REF!</v>
      </c>
      <c r="AC13" s="2"/>
    </row>
    <row r="14" spans="1:29">
      <c r="A14" s="67">
        <f t="shared" si="5"/>
        <v>10</v>
      </c>
      <c r="B14" s="217" t="s">
        <v>1431</v>
      </c>
      <c r="C14" s="218" t="s">
        <v>1432</v>
      </c>
      <c r="D14" s="414" t="s">
        <v>1433</v>
      </c>
      <c r="E14" s="41">
        <v>42941</v>
      </c>
      <c r="F14" s="219">
        <f>26675000+100000</f>
        <v>26775000</v>
      </c>
      <c r="G14" s="219">
        <f t="shared" si="0"/>
        <v>38341800</v>
      </c>
      <c r="H14" s="219">
        <f>+F14/J14</f>
        <v>743750</v>
      </c>
      <c r="I14" s="219">
        <f>+F14*1.2%</f>
        <v>321300</v>
      </c>
      <c r="J14" s="67">
        <v>36</v>
      </c>
      <c r="K14" s="67">
        <f>29</f>
        <v>29</v>
      </c>
      <c r="L14" s="65">
        <f t="shared" si="1"/>
        <v>1065050</v>
      </c>
      <c r="M14" s="219">
        <f t="shared" si="2"/>
        <v>30886450</v>
      </c>
      <c r="N14" s="219">
        <f>+H14*K14</f>
        <v>21568750</v>
      </c>
      <c r="O14" s="132" t="s">
        <v>1434</v>
      </c>
      <c r="P14" s="241" t="s">
        <v>1435</v>
      </c>
      <c r="Q14" s="111">
        <f t="shared" si="6"/>
        <v>21568750</v>
      </c>
      <c r="R14" s="175" t="e">
        <f>+#REF!</f>
        <v>#REF!</v>
      </c>
      <c r="S14" s="210" t="e">
        <f t="shared" si="7"/>
        <v>#REF!</v>
      </c>
      <c r="T14" s="46"/>
      <c r="U14" s="46"/>
      <c r="V14" s="46"/>
      <c r="W14" s="46"/>
      <c r="X14" s="46"/>
      <c r="Y14" s="46"/>
      <c r="Z14" s="46"/>
      <c r="AA14" s="46"/>
      <c r="AB14" s="46"/>
    </row>
    <row r="15" spans="1:29">
      <c r="A15" s="36">
        <f t="shared" si="5"/>
        <v>11</v>
      </c>
      <c r="B15" s="26" t="s">
        <v>1436</v>
      </c>
      <c r="C15" s="27" t="s">
        <v>1437</v>
      </c>
      <c r="D15" s="39" t="s">
        <v>1438</v>
      </c>
      <c r="E15" s="28">
        <v>43157</v>
      </c>
      <c r="F15" s="37">
        <f>4000000</f>
        <v>4000000</v>
      </c>
      <c r="G15" s="30">
        <f t="shared" si="0"/>
        <v>4290000</v>
      </c>
      <c r="H15" s="31">
        <v>667000</v>
      </c>
      <c r="I15" s="31">
        <f t="shared" ref="I15" si="8">+F15*1.2%</f>
        <v>48000</v>
      </c>
      <c r="J15" s="32">
        <v>6</v>
      </c>
      <c r="K15" s="32">
        <v>5</v>
      </c>
      <c r="L15" s="30">
        <f t="shared" si="1"/>
        <v>715000</v>
      </c>
      <c r="M15" s="30">
        <f t="shared" si="2"/>
        <v>3575000</v>
      </c>
      <c r="N15" s="38">
        <f>F15-(H15*1)</f>
        <v>3333000</v>
      </c>
      <c r="O15" s="34" t="s">
        <v>1439</v>
      </c>
      <c r="P15" s="34" t="s">
        <v>1440</v>
      </c>
      <c r="Q15" s="111">
        <f t="shared" si="6"/>
        <v>3333000</v>
      </c>
      <c r="R15" s="175" t="e">
        <f>+#REF!</f>
        <v>#REF!</v>
      </c>
      <c r="S15" s="210" t="e">
        <f t="shared" si="7"/>
        <v>#REF!</v>
      </c>
      <c r="AC15" s="2"/>
    </row>
    <row r="16" spans="1:29">
      <c r="A16" s="36"/>
      <c r="B16" s="107"/>
      <c r="C16" s="119"/>
      <c r="D16" s="119"/>
      <c r="E16" s="129"/>
      <c r="F16" s="242"/>
      <c r="G16" s="176"/>
      <c r="H16" s="107"/>
      <c r="I16" s="108"/>
      <c r="J16" s="36"/>
      <c r="K16" s="36"/>
      <c r="L16" s="107"/>
      <c r="M16" s="107"/>
      <c r="N16" s="208"/>
      <c r="O16" s="243"/>
      <c r="P16" s="104"/>
      <c r="Q16" s="104"/>
      <c r="R16" s="104"/>
      <c r="S16" s="104"/>
      <c r="T16" s="46"/>
      <c r="U16" s="46"/>
      <c r="V16" s="46"/>
      <c r="W16" s="46"/>
      <c r="X16" s="46"/>
      <c r="Y16" s="46"/>
      <c r="Z16" s="46"/>
      <c r="AA16" s="46"/>
      <c r="AB16" s="46"/>
    </row>
    <row r="17" spans="1:28">
      <c r="A17" s="36"/>
      <c r="B17" s="147" t="s">
        <v>6</v>
      </c>
      <c r="C17" s="36"/>
      <c r="D17" s="36"/>
      <c r="E17" s="129"/>
      <c r="F17" s="111">
        <f>SUM(F5:F16)</f>
        <v>111114925</v>
      </c>
      <c r="G17" s="111">
        <f t="shared" ref="G17:N17" si="9">SUM(G5:G16)</f>
        <v>152453625</v>
      </c>
      <c r="H17" s="111">
        <f t="shared" si="9"/>
        <v>5438630</v>
      </c>
      <c r="I17" s="111">
        <f t="shared" si="9"/>
        <v>1343870</v>
      </c>
      <c r="J17" s="111">
        <f t="shared" si="9"/>
        <v>167</v>
      </c>
      <c r="K17" s="111">
        <f t="shared" si="9"/>
        <v>114</v>
      </c>
      <c r="L17" s="111">
        <f t="shared" si="9"/>
        <v>6782500</v>
      </c>
      <c r="M17" s="111">
        <f t="shared" si="9"/>
        <v>104010975</v>
      </c>
      <c r="N17" s="111">
        <f t="shared" si="9"/>
        <v>64273396</v>
      </c>
      <c r="O17" s="244"/>
      <c r="P17" s="151"/>
      <c r="Q17" s="111">
        <f t="shared" ref="Q17:S17" si="10">SUM(Q5:Q16)</f>
        <v>64273396</v>
      </c>
      <c r="R17" s="111" t="e">
        <f t="shared" si="10"/>
        <v>#REF!</v>
      </c>
      <c r="S17" s="111" t="e">
        <f t="shared" si="10"/>
        <v>#REF!</v>
      </c>
      <c r="T17" s="46"/>
      <c r="U17" s="46"/>
      <c r="V17" s="46"/>
      <c r="W17" s="46"/>
      <c r="X17" s="46"/>
      <c r="Y17" s="46"/>
      <c r="Z17" s="46"/>
      <c r="AA17" s="46"/>
      <c r="AB17" s="46"/>
    </row>
    <row r="25" spans="1:28">
      <c r="A25" s="46"/>
      <c r="C25" s="46"/>
      <c r="D25" s="46"/>
      <c r="E25" s="46"/>
      <c r="F25" s="46"/>
      <c r="G25" s="46"/>
      <c r="H25" s="46"/>
      <c r="I25" s="46"/>
      <c r="J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1:28">
      <c r="A26" s="46"/>
      <c r="C26" s="46"/>
      <c r="D26" s="46"/>
      <c r="E26" s="46"/>
      <c r="F26" s="46"/>
      <c r="G26" s="46"/>
      <c r="H26" s="46"/>
      <c r="I26" s="46"/>
      <c r="J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spans="1:28">
      <c r="A27" s="46"/>
      <c r="C27" s="46"/>
      <c r="D27" s="46"/>
      <c r="E27" s="46"/>
      <c r="F27" s="46"/>
      <c r="G27" s="46"/>
      <c r="H27" s="46"/>
      <c r="I27" s="46"/>
      <c r="J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spans="1:28">
      <c r="A28" s="46"/>
      <c r="C28" s="46"/>
      <c r="D28" s="46"/>
      <c r="E28" s="46"/>
      <c r="F28" s="46"/>
      <c r="G28" s="46"/>
      <c r="H28" s="46"/>
      <c r="I28" s="46"/>
      <c r="J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spans="1:28">
      <c r="A29" s="46"/>
      <c r="C29" s="46"/>
      <c r="D29" s="46"/>
      <c r="E29" s="46"/>
      <c r="F29" s="46"/>
      <c r="G29" s="46"/>
      <c r="H29" s="46"/>
      <c r="I29" s="46"/>
      <c r="J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spans="1:28">
      <c r="A30" s="46"/>
      <c r="C30" s="46"/>
      <c r="D30" s="46"/>
      <c r="E30" s="46"/>
      <c r="F30" s="46"/>
      <c r="G30" s="46"/>
      <c r="H30" s="46"/>
      <c r="I30" s="46"/>
      <c r="J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1:28">
      <c r="A31" s="46"/>
      <c r="C31" s="46"/>
      <c r="D31" s="46"/>
      <c r="E31" s="46"/>
      <c r="F31" s="46"/>
      <c r="G31" s="46"/>
      <c r="H31" s="46"/>
      <c r="I31" s="46"/>
      <c r="J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spans="1:28">
      <c r="A32" s="46"/>
      <c r="C32" s="46"/>
      <c r="D32" s="46"/>
      <c r="E32" s="46"/>
      <c r="F32" s="46"/>
      <c r="G32" s="46"/>
      <c r="H32" s="46"/>
      <c r="I32" s="46"/>
      <c r="J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spans="1:28">
      <c r="A33" s="46"/>
      <c r="C33" s="46"/>
      <c r="D33" s="46"/>
      <c r="E33" s="46"/>
      <c r="F33" s="46"/>
      <c r="G33" s="46"/>
      <c r="H33" s="46"/>
      <c r="I33" s="46"/>
      <c r="J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1:28">
      <c r="A34" s="46"/>
      <c r="C34" s="46"/>
      <c r="D34" s="46"/>
      <c r="E34" s="46"/>
      <c r="F34" s="46"/>
      <c r="G34" s="46"/>
      <c r="H34" s="46"/>
      <c r="I34" s="46"/>
      <c r="J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8">
      <c r="A35" s="46"/>
      <c r="C35" s="46"/>
      <c r="D35" s="46"/>
      <c r="E35" s="46"/>
      <c r="F35" s="46"/>
      <c r="G35" s="46"/>
      <c r="H35" s="46"/>
      <c r="I35" s="46"/>
      <c r="J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spans="1:28">
      <c r="A36" s="46"/>
      <c r="C36" s="46"/>
      <c r="D36" s="46"/>
      <c r="E36" s="46"/>
      <c r="F36" s="46"/>
      <c r="G36" s="46"/>
      <c r="H36" s="46"/>
      <c r="I36" s="46"/>
      <c r="J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spans="1:28">
      <c r="A37" s="46"/>
      <c r="C37" s="46"/>
      <c r="D37" s="46"/>
      <c r="E37" s="46"/>
      <c r="F37" s="46"/>
      <c r="G37" s="46"/>
      <c r="H37" s="46"/>
      <c r="I37" s="46"/>
      <c r="J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spans="1:28">
      <c r="A38" s="46"/>
      <c r="C38" s="46"/>
      <c r="D38" s="46"/>
      <c r="E38" s="46"/>
      <c r="F38" s="46"/>
      <c r="G38" s="46"/>
      <c r="H38" s="46"/>
      <c r="I38" s="46"/>
      <c r="J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>
      <c r="A39" s="46"/>
      <c r="C39" s="46"/>
      <c r="D39" s="46"/>
      <c r="E39" s="46"/>
      <c r="F39" s="46"/>
      <c r="G39" s="46"/>
      <c r="H39" s="46"/>
      <c r="I39" s="46"/>
      <c r="J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>
      <c r="A40" s="46"/>
      <c r="C40" s="46"/>
      <c r="D40" s="46"/>
      <c r="E40" s="46"/>
      <c r="F40" s="46"/>
      <c r="G40" s="46"/>
      <c r="H40" s="46"/>
      <c r="I40" s="46"/>
      <c r="J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28">
      <c r="A41" s="46"/>
      <c r="C41" s="46"/>
      <c r="D41" s="46"/>
      <c r="E41" s="46"/>
      <c r="F41" s="46"/>
      <c r="G41" s="46"/>
      <c r="H41" s="46"/>
      <c r="I41" s="46"/>
      <c r="J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28">
      <c r="A42" s="46"/>
      <c r="C42" s="46"/>
      <c r="D42" s="46"/>
      <c r="E42" s="46"/>
      <c r="F42" s="46"/>
      <c r="G42" s="46"/>
      <c r="H42" s="46"/>
      <c r="I42" s="46"/>
      <c r="J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spans="1:28">
      <c r="A43" s="46"/>
      <c r="C43" s="46"/>
      <c r="D43" s="46"/>
      <c r="E43" s="46"/>
      <c r="F43" s="46"/>
      <c r="G43" s="46"/>
      <c r="H43" s="46"/>
      <c r="I43" s="46"/>
      <c r="J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spans="1:28">
      <c r="A44" s="46"/>
      <c r="C44" s="46"/>
      <c r="D44" s="46"/>
      <c r="E44" s="46"/>
      <c r="F44" s="46"/>
      <c r="G44" s="46"/>
      <c r="H44" s="46"/>
      <c r="I44" s="46"/>
      <c r="J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spans="1:28">
      <c r="A45" s="46"/>
      <c r="C45" s="46"/>
      <c r="D45" s="46"/>
      <c r="E45" s="46"/>
      <c r="F45" s="46"/>
      <c r="G45" s="46"/>
      <c r="H45" s="46"/>
      <c r="I45" s="46"/>
      <c r="J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>
      <c r="A46" s="46"/>
      <c r="C46" s="46"/>
      <c r="D46" s="46"/>
      <c r="E46" s="46"/>
      <c r="F46" s="46"/>
      <c r="G46" s="46"/>
      <c r="H46" s="46"/>
      <c r="I46" s="46"/>
      <c r="J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>
      <c r="A47" s="46"/>
      <c r="C47" s="46"/>
      <c r="D47" s="46"/>
      <c r="E47" s="46"/>
      <c r="F47" s="46"/>
      <c r="G47" s="46"/>
      <c r="H47" s="46"/>
      <c r="I47" s="46"/>
      <c r="J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>
      <c r="A48" s="46"/>
      <c r="C48" s="46"/>
      <c r="D48" s="46"/>
      <c r="E48" s="46"/>
      <c r="F48" s="46"/>
      <c r="G48" s="46"/>
      <c r="H48" s="46"/>
      <c r="I48" s="46"/>
      <c r="J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spans="1:28">
      <c r="A49" s="46"/>
      <c r="C49" s="46"/>
      <c r="D49" s="46"/>
      <c r="E49" s="46"/>
      <c r="F49" s="46"/>
      <c r="G49" s="46"/>
      <c r="H49" s="46"/>
      <c r="I49" s="46"/>
      <c r="J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pans="1:28">
      <c r="A50" s="46"/>
      <c r="C50" s="46"/>
      <c r="D50" s="46"/>
      <c r="E50" s="46"/>
      <c r="F50" s="46"/>
      <c r="G50" s="46"/>
      <c r="H50" s="46"/>
      <c r="I50" s="46"/>
      <c r="J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pans="1:28">
      <c r="A51" s="46"/>
      <c r="C51" s="46"/>
      <c r="D51" s="46"/>
      <c r="E51" s="46"/>
      <c r="F51" s="46"/>
      <c r="G51" s="46"/>
      <c r="H51" s="46"/>
      <c r="I51" s="46"/>
      <c r="J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spans="1:28">
      <c r="A52" s="46"/>
      <c r="C52" s="46"/>
      <c r="D52" s="46"/>
      <c r="E52" s="46"/>
      <c r="F52" s="46"/>
      <c r="G52" s="46"/>
      <c r="H52" s="46"/>
      <c r="I52" s="46"/>
      <c r="J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spans="1:28">
      <c r="A53" s="46"/>
      <c r="C53" s="46"/>
      <c r="D53" s="46"/>
      <c r="E53" s="46"/>
      <c r="F53" s="46"/>
      <c r="G53" s="46"/>
      <c r="H53" s="46"/>
      <c r="I53" s="46"/>
      <c r="J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pans="1:28">
      <c r="A54" s="46"/>
      <c r="C54" s="46"/>
      <c r="D54" s="46"/>
      <c r="E54" s="46"/>
      <c r="F54" s="46"/>
      <c r="G54" s="46"/>
      <c r="H54" s="46"/>
      <c r="I54" s="46"/>
      <c r="J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spans="1:28">
      <c r="A55" s="46"/>
      <c r="C55" s="46"/>
      <c r="D55" s="46"/>
      <c r="E55" s="46"/>
      <c r="F55" s="46"/>
      <c r="G55" s="46"/>
      <c r="H55" s="46"/>
      <c r="I55" s="46"/>
      <c r="J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spans="1:28">
      <c r="A56" s="46"/>
      <c r="C56" s="46"/>
      <c r="D56" s="46"/>
      <c r="E56" s="46"/>
      <c r="F56" s="46"/>
      <c r="G56" s="46"/>
      <c r="H56" s="46"/>
      <c r="I56" s="46"/>
      <c r="J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spans="1:28">
      <c r="A57" s="46"/>
      <c r="C57" s="46"/>
      <c r="D57" s="46"/>
      <c r="E57" s="46"/>
      <c r="F57" s="46"/>
      <c r="G57" s="46"/>
      <c r="H57" s="46"/>
      <c r="I57" s="46"/>
      <c r="J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spans="1:28">
      <c r="A58" s="46"/>
      <c r="C58" s="46"/>
      <c r="D58" s="46"/>
      <c r="E58" s="46"/>
      <c r="F58" s="46"/>
      <c r="G58" s="46"/>
      <c r="H58" s="46"/>
      <c r="I58" s="46"/>
      <c r="J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spans="1:28">
      <c r="A59" s="46"/>
      <c r="C59" s="46"/>
      <c r="D59" s="46"/>
      <c r="E59" s="46"/>
      <c r="F59" s="46"/>
      <c r="G59" s="46"/>
      <c r="H59" s="46"/>
      <c r="I59" s="46"/>
      <c r="J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spans="1:28">
      <c r="A60" s="46"/>
      <c r="C60" s="46"/>
      <c r="D60" s="46"/>
      <c r="E60" s="46"/>
      <c r="F60" s="46"/>
      <c r="G60" s="46"/>
      <c r="H60" s="46"/>
      <c r="I60" s="46"/>
      <c r="J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spans="1:28">
      <c r="A61" s="46"/>
      <c r="C61" s="46"/>
      <c r="D61" s="46"/>
      <c r="E61" s="46"/>
      <c r="F61" s="46"/>
      <c r="G61" s="46"/>
      <c r="H61" s="46"/>
      <c r="I61" s="46"/>
      <c r="J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spans="1:28">
      <c r="A62" s="46"/>
      <c r="C62" s="46"/>
      <c r="D62" s="46"/>
      <c r="E62" s="46"/>
      <c r="F62" s="46"/>
      <c r="G62" s="46"/>
      <c r="H62" s="46"/>
      <c r="I62" s="46"/>
      <c r="J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spans="1:28">
      <c r="A63" s="46"/>
      <c r="C63" s="46"/>
      <c r="D63" s="46"/>
      <c r="E63" s="46"/>
      <c r="F63" s="46"/>
      <c r="G63" s="46"/>
      <c r="H63" s="46"/>
      <c r="I63" s="46"/>
      <c r="J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spans="1:28">
      <c r="A64" s="46"/>
      <c r="C64" s="46"/>
      <c r="D64" s="46"/>
      <c r="E64" s="46"/>
      <c r="F64" s="46"/>
      <c r="G64" s="46"/>
      <c r="H64" s="46"/>
      <c r="I64" s="46"/>
      <c r="J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spans="1:28">
      <c r="A65" s="46"/>
      <c r="C65" s="46"/>
      <c r="D65" s="46"/>
      <c r="E65" s="46"/>
      <c r="F65" s="46"/>
      <c r="G65" s="46"/>
      <c r="H65" s="46"/>
      <c r="I65" s="46"/>
      <c r="J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 spans="1:28">
      <c r="A66" s="46"/>
      <c r="C66" s="46"/>
      <c r="D66" s="46"/>
      <c r="E66" s="46"/>
      <c r="F66" s="46"/>
      <c r="G66" s="46"/>
      <c r="H66" s="46"/>
      <c r="I66" s="46"/>
      <c r="J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 spans="1:28">
      <c r="A67" s="46"/>
      <c r="C67" s="46"/>
      <c r="D67" s="46"/>
      <c r="E67" s="46"/>
      <c r="F67" s="46"/>
      <c r="G67" s="46"/>
      <c r="H67" s="46"/>
      <c r="I67" s="46"/>
      <c r="J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 spans="1:28">
      <c r="A68" s="46"/>
      <c r="C68" s="46"/>
      <c r="D68" s="46"/>
      <c r="E68" s="46"/>
      <c r="F68" s="46"/>
      <c r="G68" s="46"/>
      <c r="H68" s="46"/>
      <c r="I68" s="46"/>
      <c r="J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 spans="1:28">
      <c r="A69" s="46"/>
      <c r="C69" s="46"/>
      <c r="D69" s="46"/>
      <c r="E69" s="46"/>
      <c r="F69" s="46"/>
      <c r="G69" s="46"/>
      <c r="H69" s="46"/>
      <c r="I69" s="46"/>
      <c r="J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 spans="1:28">
      <c r="A70" s="46"/>
      <c r="C70" s="46"/>
      <c r="D70" s="46"/>
      <c r="E70" s="46"/>
      <c r="F70" s="46"/>
      <c r="G70" s="46"/>
      <c r="H70" s="46"/>
      <c r="I70" s="46"/>
      <c r="J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 spans="1:28">
      <c r="A71" s="46"/>
      <c r="C71" s="46"/>
      <c r="D71" s="46"/>
      <c r="E71" s="46"/>
      <c r="F71" s="46"/>
      <c r="G71" s="46"/>
      <c r="H71" s="46"/>
      <c r="I71" s="46"/>
      <c r="J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28">
      <c r="A72" s="46"/>
      <c r="C72" s="46"/>
      <c r="D72" s="46"/>
      <c r="E72" s="46"/>
      <c r="F72" s="46"/>
      <c r="G72" s="46"/>
      <c r="H72" s="46"/>
      <c r="I72" s="46"/>
      <c r="J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 spans="1:28">
      <c r="A73" s="46"/>
      <c r="C73" s="46"/>
      <c r="D73" s="46"/>
      <c r="E73" s="46"/>
      <c r="F73" s="46"/>
      <c r="G73" s="46"/>
      <c r="H73" s="46"/>
      <c r="I73" s="46"/>
      <c r="J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28">
      <c r="A74" s="46"/>
      <c r="C74" s="46"/>
      <c r="D74" s="46"/>
      <c r="E74" s="46"/>
      <c r="F74" s="46"/>
      <c r="G74" s="46"/>
      <c r="H74" s="46"/>
      <c r="I74" s="46"/>
      <c r="J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 spans="1:28">
      <c r="A75" s="46"/>
      <c r="C75" s="46"/>
      <c r="D75" s="46"/>
      <c r="E75" s="46"/>
      <c r="F75" s="46"/>
      <c r="G75" s="46"/>
      <c r="H75" s="46"/>
      <c r="I75" s="46"/>
      <c r="J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 spans="1:28">
      <c r="A76" s="46"/>
      <c r="C76" s="46"/>
      <c r="D76" s="46"/>
      <c r="E76" s="46"/>
      <c r="F76" s="46"/>
      <c r="G76" s="46"/>
      <c r="H76" s="46"/>
      <c r="I76" s="46"/>
      <c r="J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 spans="1:28">
      <c r="A77" s="46"/>
      <c r="C77" s="46"/>
      <c r="D77" s="46"/>
      <c r="E77" s="46"/>
      <c r="F77" s="46"/>
      <c r="G77" s="46"/>
      <c r="H77" s="46"/>
      <c r="I77" s="46"/>
      <c r="J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 spans="1:28">
      <c r="A78" s="46"/>
      <c r="C78" s="46"/>
      <c r="D78" s="46"/>
      <c r="E78" s="46"/>
      <c r="F78" s="46"/>
      <c r="G78" s="46"/>
      <c r="H78" s="46"/>
      <c r="I78" s="46"/>
      <c r="J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 spans="1:28">
      <c r="A79" s="46"/>
      <c r="C79" s="46"/>
      <c r="D79" s="46"/>
      <c r="E79" s="46"/>
      <c r="F79" s="46"/>
      <c r="G79" s="46"/>
      <c r="H79" s="46"/>
      <c r="I79" s="46"/>
      <c r="J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 spans="1:28">
      <c r="A80" s="46"/>
      <c r="C80" s="46"/>
      <c r="D80" s="46"/>
      <c r="E80" s="46"/>
      <c r="F80" s="46"/>
      <c r="G80" s="46"/>
      <c r="H80" s="46"/>
      <c r="I80" s="46"/>
      <c r="J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 spans="1:28">
      <c r="A81" s="46"/>
      <c r="C81" s="46"/>
      <c r="D81" s="46"/>
      <c r="E81" s="46"/>
      <c r="F81" s="46"/>
      <c r="G81" s="46"/>
      <c r="H81" s="46"/>
      <c r="I81" s="46"/>
      <c r="J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 spans="1:28">
      <c r="A82" s="46"/>
      <c r="C82" s="46"/>
      <c r="D82" s="46"/>
      <c r="E82" s="46"/>
      <c r="F82" s="46"/>
      <c r="G82" s="46"/>
      <c r="H82" s="46"/>
      <c r="I82" s="46"/>
      <c r="J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spans="1:28">
      <c r="A83" s="46"/>
      <c r="C83" s="46"/>
      <c r="D83" s="46"/>
      <c r="E83" s="46"/>
      <c r="F83" s="46"/>
      <c r="G83" s="46"/>
      <c r="H83" s="46"/>
      <c r="I83" s="46"/>
      <c r="J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spans="1:28">
      <c r="A84" s="46"/>
      <c r="C84" s="46"/>
      <c r="D84" s="46"/>
      <c r="E84" s="46"/>
      <c r="F84" s="46"/>
      <c r="G84" s="46"/>
      <c r="H84" s="46"/>
      <c r="I84" s="46"/>
      <c r="J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spans="1:28">
      <c r="A85" s="46"/>
      <c r="C85" s="46"/>
      <c r="D85" s="46"/>
      <c r="E85" s="46"/>
      <c r="F85" s="46"/>
      <c r="G85" s="46"/>
      <c r="H85" s="46"/>
      <c r="I85" s="46"/>
      <c r="J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spans="1:28">
      <c r="A86" s="46"/>
      <c r="C86" s="46"/>
      <c r="D86" s="46"/>
      <c r="E86" s="46"/>
      <c r="F86" s="46"/>
      <c r="G86" s="46"/>
      <c r="H86" s="46"/>
      <c r="I86" s="46"/>
      <c r="J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spans="1:28">
      <c r="A87" s="46"/>
      <c r="C87" s="46"/>
      <c r="D87" s="46"/>
      <c r="E87" s="46"/>
      <c r="F87" s="46"/>
      <c r="G87" s="46"/>
      <c r="H87" s="46"/>
      <c r="I87" s="46"/>
      <c r="J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spans="1:28">
      <c r="A88" s="46"/>
      <c r="C88" s="46"/>
      <c r="D88" s="46"/>
      <c r="E88" s="46"/>
      <c r="F88" s="46"/>
      <c r="G88" s="46"/>
      <c r="H88" s="46"/>
      <c r="I88" s="46"/>
      <c r="J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spans="1:28">
      <c r="A89" s="46"/>
      <c r="C89" s="46"/>
      <c r="D89" s="46"/>
      <c r="E89" s="46"/>
      <c r="F89" s="46"/>
      <c r="G89" s="46"/>
      <c r="H89" s="46"/>
      <c r="I89" s="46"/>
      <c r="J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spans="1:28">
      <c r="A90" s="46"/>
      <c r="C90" s="46"/>
      <c r="D90" s="46"/>
      <c r="E90" s="46"/>
      <c r="F90" s="46"/>
      <c r="G90" s="46"/>
      <c r="H90" s="46"/>
      <c r="I90" s="46"/>
      <c r="J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spans="1:28">
      <c r="A91" s="46"/>
      <c r="C91" s="46"/>
      <c r="D91" s="46"/>
      <c r="E91" s="46"/>
      <c r="F91" s="46"/>
      <c r="G91" s="46"/>
      <c r="H91" s="46"/>
      <c r="I91" s="46"/>
      <c r="J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spans="1:28">
      <c r="A92" s="46"/>
      <c r="C92" s="46"/>
      <c r="D92" s="46"/>
      <c r="E92" s="46"/>
      <c r="F92" s="46"/>
      <c r="G92" s="46"/>
      <c r="H92" s="46"/>
      <c r="I92" s="46"/>
      <c r="J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spans="1:28">
      <c r="A93" s="46"/>
      <c r="C93" s="46"/>
      <c r="D93" s="46"/>
      <c r="E93" s="46"/>
      <c r="F93" s="46"/>
      <c r="G93" s="46"/>
      <c r="H93" s="46"/>
      <c r="I93" s="46"/>
      <c r="J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spans="1:28">
      <c r="A94" s="46"/>
      <c r="C94" s="46"/>
      <c r="D94" s="46"/>
      <c r="E94" s="46"/>
      <c r="F94" s="46"/>
      <c r="G94" s="46"/>
      <c r="H94" s="46"/>
      <c r="I94" s="46"/>
      <c r="J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spans="1:28">
      <c r="A95" s="46"/>
      <c r="C95" s="46"/>
      <c r="D95" s="46"/>
      <c r="E95" s="46"/>
      <c r="F95" s="46"/>
      <c r="G95" s="46"/>
      <c r="H95" s="46"/>
      <c r="I95" s="46"/>
      <c r="J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spans="1:28">
      <c r="A96" s="46"/>
      <c r="C96" s="46"/>
      <c r="D96" s="46"/>
      <c r="E96" s="46"/>
      <c r="F96" s="46"/>
      <c r="G96" s="46"/>
      <c r="H96" s="46"/>
      <c r="I96" s="46"/>
      <c r="J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spans="1:28">
      <c r="A97" s="46"/>
      <c r="C97" s="46"/>
      <c r="D97" s="46"/>
      <c r="E97" s="46"/>
      <c r="F97" s="46"/>
      <c r="G97" s="46"/>
      <c r="H97" s="46"/>
      <c r="I97" s="46"/>
      <c r="J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spans="1:28">
      <c r="A98" s="46"/>
      <c r="C98" s="46"/>
      <c r="D98" s="46"/>
      <c r="E98" s="46"/>
      <c r="F98" s="46"/>
      <c r="G98" s="46"/>
      <c r="H98" s="46"/>
      <c r="I98" s="46"/>
      <c r="J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spans="1:28">
      <c r="A99" s="46"/>
      <c r="C99" s="46"/>
      <c r="D99" s="46"/>
      <c r="E99" s="46"/>
      <c r="F99" s="46"/>
      <c r="G99" s="46"/>
      <c r="H99" s="46"/>
      <c r="I99" s="46"/>
      <c r="J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spans="1:28">
      <c r="A100" s="46"/>
      <c r="C100" s="46"/>
      <c r="D100" s="46"/>
      <c r="E100" s="46"/>
      <c r="F100" s="46"/>
      <c r="G100" s="46"/>
      <c r="H100" s="46"/>
      <c r="I100" s="46"/>
      <c r="J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1:28">
      <c r="A101" s="46"/>
      <c r="C101" s="46"/>
      <c r="D101" s="46"/>
      <c r="E101" s="46"/>
      <c r="F101" s="46"/>
      <c r="G101" s="46"/>
      <c r="H101" s="46"/>
      <c r="I101" s="46"/>
      <c r="J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spans="1:28">
      <c r="A102" s="46"/>
      <c r="C102" s="46"/>
      <c r="D102" s="46"/>
      <c r="E102" s="46"/>
      <c r="F102" s="46"/>
      <c r="G102" s="46"/>
      <c r="H102" s="46"/>
      <c r="I102" s="46"/>
      <c r="J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spans="1:28">
      <c r="A103" s="46"/>
      <c r="C103" s="46"/>
      <c r="D103" s="46"/>
      <c r="E103" s="46"/>
      <c r="F103" s="46"/>
      <c r="G103" s="46"/>
      <c r="H103" s="46"/>
      <c r="I103" s="46"/>
      <c r="J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1:28">
      <c r="A104" s="46"/>
      <c r="C104" s="46"/>
      <c r="D104" s="46"/>
      <c r="E104" s="46"/>
      <c r="F104" s="46"/>
      <c r="G104" s="46"/>
      <c r="H104" s="46"/>
      <c r="I104" s="46"/>
      <c r="J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1:28">
      <c r="A105" s="46"/>
      <c r="C105" s="46"/>
      <c r="D105" s="46"/>
      <c r="E105" s="46"/>
      <c r="F105" s="46"/>
      <c r="G105" s="46"/>
      <c r="H105" s="46"/>
      <c r="I105" s="46"/>
      <c r="J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1:28">
      <c r="A106" s="46"/>
      <c r="C106" s="46"/>
      <c r="D106" s="46"/>
      <c r="E106" s="46"/>
      <c r="F106" s="46"/>
      <c r="G106" s="46"/>
      <c r="H106" s="46"/>
      <c r="I106" s="46"/>
      <c r="J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spans="1:28">
      <c r="A107" s="46"/>
      <c r="C107" s="46"/>
      <c r="D107" s="46"/>
      <c r="E107" s="46"/>
      <c r="F107" s="46"/>
      <c r="G107" s="46"/>
      <c r="H107" s="46"/>
      <c r="I107" s="46"/>
      <c r="J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spans="1:28">
      <c r="A108" s="46"/>
      <c r="C108" s="46"/>
      <c r="D108" s="46"/>
      <c r="E108" s="46"/>
      <c r="F108" s="46"/>
      <c r="G108" s="46"/>
      <c r="H108" s="46"/>
      <c r="I108" s="46"/>
      <c r="J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spans="1:28">
      <c r="A109" s="46"/>
      <c r="C109" s="46"/>
      <c r="D109" s="46"/>
      <c r="E109" s="46"/>
      <c r="F109" s="46"/>
      <c r="G109" s="46"/>
      <c r="H109" s="46"/>
      <c r="I109" s="46"/>
      <c r="J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spans="1:28">
      <c r="A110" s="46"/>
      <c r="C110" s="46"/>
      <c r="D110" s="46"/>
      <c r="E110" s="46"/>
      <c r="F110" s="46"/>
      <c r="G110" s="46"/>
      <c r="H110" s="46"/>
      <c r="I110" s="46"/>
      <c r="J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spans="1:28">
      <c r="A111" s="46"/>
      <c r="C111" s="46"/>
      <c r="D111" s="46"/>
      <c r="E111" s="46"/>
      <c r="F111" s="46"/>
      <c r="G111" s="46"/>
      <c r="H111" s="46"/>
      <c r="I111" s="46"/>
      <c r="J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spans="1:28">
      <c r="A112" s="46"/>
      <c r="C112" s="46"/>
      <c r="D112" s="46"/>
      <c r="E112" s="46"/>
      <c r="F112" s="46"/>
      <c r="G112" s="46"/>
      <c r="H112" s="46"/>
      <c r="I112" s="46"/>
      <c r="J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spans="1:28">
      <c r="A113" s="46"/>
      <c r="C113" s="46"/>
      <c r="D113" s="46"/>
      <c r="E113" s="46"/>
      <c r="F113" s="46"/>
      <c r="G113" s="46"/>
      <c r="H113" s="46"/>
      <c r="I113" s="46"/>
      <c r="J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spans="1:28">
      <c r="A114" s="46"/>
      <c r="C114" s="46"/>
      <c r="D114" s="46"/>
      <c r="E114" s="46"/>
      <c r="F114" s="46"/>
      <c r="G114" s="46"/>
      <c r="H114" s="46"/>
      <c r="I114" s="46"/>
      <c r="J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spans="1:28">
      <c r="A115" s="46"/>
      <c r="C115" s="46"/>
      <c r="D115" s="46"/>
      <c r="E115" s="46"/>
      <c r="F115" s="46"/>
      <c r="G115" s="46"/>
      <c r="H115" s="46"/>
      <c r="I115" s="46"/>
      <c r="J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spans="1:28">
      <c r="A116" s="46"/>
      <c r="C116" s="46"/>
      <c r="D116" s="46"/>
      <c r="E116" s="46"/>
      <c r="F116" s="46"/>
      <c r="G116" s="46"/>
      <c r="H116" s="46"/>
      <c r="I116" s="46"/>
      <c r="J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28">
      <c r="A117" s="46"/>
      <c r="C117" s="46"/>
      <c r="D117" s="46"/>
      <c r="E117" s="46"/>
      <c r="F117" s="46"/>
      <c r="G117" s="46"/>
      <c r="H117" s="46"/>
      <c r="I117" s="46"/>
      <c r="J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spans="1:28">
      <c r="A118" s="46"/>
      <c r="C118" s="46"/>
      <c r="D118" s="46"/>
      <c r="E118" s="46"/>
      <c r="F118" s="46"/>
      <c r="G118" s="46"/>
      <c r="H118" s="46"/>
      <c r="I118" s="46"/>
      <c r="J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spans="1:28">
      <c r="A119" s="46"/>
      <c r="C119" s="46"/>
      <c r="D119" s="46"/>
      <c r="E119" s="46"/>
      <c r="F119" s="46"/>
      <c r="G119" s="46"/>
      <c r="H119" s="46"/>
      <c r="I119" s="46"/>
      <c r="J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spans="1:28">
      <c r="A120" s="46"/>
      <c r="C120" s="46"/>
      <c r="D120" s="46"/>
      <c r="E120" s="46"/>
      <c r="F120" s="46"/>
      <c r="G120" s="46"/>
      <c r="H120" s="46"/>
      <c r="I120" s="46"/>
      <c r="J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1:28">
      <c r="A121" s="46"/>
      <c r="C121" s="46"/>
      <c r="D121" s="46"/>
      <c r="E121" s="46"/>
      <c r="F121" s="46"/>
      <c r="G121" s="46"/>
      <c r="H121" s="46"/>
      <c r="I121" s="46"/>
      <c r="J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spans="1:28">
      <c r="A122" s="46"/>
      <c r="C122" s="46"/>
      <c r="D122" s="46"/>
      <c r="E122" s="46"/>
      <c r="F122" s="46"/>
      <c r="G122" s="46"/>
      <c r="H122" s="46"/>
      <c r="I122" s="46"/>
      <c r="J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spans="1:28">
      <c r="A123" s="46"/>
      <c r="C123" s="46"/>
      <c r="D123" s="46"/>
      <c r="E123" s="46"/>
      <c r="F123" s="46"/>
      <c r="G123" s="46"/>
      <c r="H123" s="46"/>
      <c r="I123" s="46"/>
      <c r="J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spans="1:28">
      <c r="A124" s="46"/>
      <c r="C124" s="46"/>
      <c r="D124" s="46"/>
      <c r="E124" s="46"/>
      <c r="F124" s="46"/>
      <c r="G124" s="46"/>
      <c r="H124" s="46"/>
      <c r="I124" s="46"/>
      <c r="J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1:28">
      <c r="A125" s="46"/>
      <c r="C125" s="46"/>
      <c r="D125" s="46"/>
      <c r="E125" s="46"/>
      <c r="F125" s="46"/>
      <c r="G125" s="46"/>
      <c r="H125" s="46"/>
      <c r="I125" s="46"/>
      <c r="J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1:28">
      <c r="A126" s="46"/>
      <c r="C126" s="46"/>
      <c r="D126" s="46"/>
      <c r="E126" s="46"/>
      <c r="F126" s="46"/>
      <c r="G126" s="46"/>
      <c r="H126" s="46"/>
      <c r="I126" s="46"/>
      <c r="J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spans="1:28">
      <c r="A127" s="46"/>
      <c r="C127" s="46"/>
      <c r="D127" s="46"/>
      <c r="E127" s="46"/>
      <c r="F127" s="46"/>
      <c r="G127" s="46"/>
      <c r="H127" s="46"/>
      <c r="I127" s="46"/>
      <c r="J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spans="1:28">
      <c r="A128" s="46"/>
      <c r="C128" s="46"/>
      <c r="D128" s="46"/>
      <c r="E128" s="46"/>
      <c r="F128" s="46"/>
      <c r="G128" s="46"/>
      <c r="H128" s="46"/>
      <c r="I128" s="46"/>
      <c r="J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:28">
      <c r="A129" s="46"/>
      <c r="C129" s="46"/>
      <c r="D129" s="46"/>
      <c r="E129" s="46"/>
      <c r="F129" s="46"/>
      <c r="G129" s="46"/>
      <c r="H129" s="46"/>
      <c r="I129" s="46"/>
      <c r="J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1:28">
      <c r="A130" s="46"/>
      <c r="C130" s="46"/>
      <c r="D130" s="46"/>
      <c r="E130" s="46"/>
      <c r="F130" s="46"/>
      <c r="G130" s="46"/>
      <c r="H130" s="46"/>
      <c r="I130" s="46"/>
      <c r="J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1:28">
      <c r="A131" s="46"/>
      <c r="C131" s="46"/>
      <c r="D131" s="46"/>
      <c r="E131" s="46"/>
      <c r="F131" s="46"/>
      <c r="G131" s="46"/>
      <c r="H131" s="46"/>
      <c r="I131" s="46"/>
      <c r="J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1:28">
      <c r="A132" s="46"/>
      <c r="C132" s="46"/>
      <c r="D132" s="46"/>
      <c r="E132" s="46"/>
      <c r="F132" s="46"/>
      <c r="G132" s="46"/>
      <c r="H132" s="46"/>
      <c r="I132" s="46"/>
      <c r="J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spans="1:28">
      <c r="A133" s="46"/>
      <c r="C133" s="46"/>
      <c r="D133" s="46"/>
      <c r="E133" s="46"/>
      <c r="F133" s="46"/>
      <c r="G133" s="46"/>
      <c r="H133" s="46"/>
      <c r="I133" s="46"/>
      <c r="J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spans="1:28">
      <c r="A134" s="46"/>
      <c r="C134" s="46"/>
      <c r="D134" s="46"/>
      <c r="E134" s="46"/>
      <c r="F134" s="46"/>
      <c r="G134" s="46"/>
      <c r="H134" s="46"/>
      <c r="I134" s="46"/>
      <c r="J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spans="1:28">
      <c r="A135" s="46"/>
      <c r="C135" s="46"/>
      <c r="D135" s="46"/>
      <c r="E135" s="46"/>
      <c r="F135" s="46"/>
      <c r="G135" s="46"/>
      <c r="H135" s="46"/>
      <c r="I135" s="46"/>
      <c r="J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spans="1:28">
      <c r="A136" s="46"/>
      <c r="C136" s="46"/>
      <c r="D136" s="46"/>
      <c r="E136" s="46"/>
      <c r="F136" s="46"/>
      <c r="G136" s="46"/>
      <c r="H136" s="46"/>
      <c r="I136" s="46"/>
      <c r="J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28">
      <c r="A137" s="46"/>
      <c r="C137" s="46"/>
      <c r="D137" s="46"/>
      <c r="E137" s="46"/>
      <c r="F137" s="46"/>
      <c r="G137" s="46"/>
      <c r="H137" s="46"/>
      <c r="I137" s="46"/>
      <c r="J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spans="1:28">
      <c r="A138" s="46"/>
      <c r="C138" s="46"/>
      <c r="D138" s="46"/>
      <c r="E138" s="46"/>
      <c r="F138" s="46"/>
      <c r="G138" s="46"/>
      <c r="H138" s="46"/>
      <c r="I138" s="46"/>
      <c r="J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spans="1:28">
      <c r="A139" s="46"/>
      <c r="C139" s="46"/>
      <c r="D139" s="46"/>
      <c r="E139" s="46"/>
      <c r="F139" s="46"/>
      <c r="G139" s="46"/>
      <c r="H139" s="46"/>
      <c r="I139" s="46"/>
      <c r="J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spans="1:28">
      <c r="A140" s="46"/>
      <c r="C140" s="46"/>
      <c r="D140" s="46"/>
      <c r="E140" s="46"/>
      <c r="F140" s="46"/>
      <c r="G140" s="46"/>
      <c r="H140" s="46"/>
      <c r="I140" s="46"/>
      <c r="J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spans="1:28">
      <c r="A141" s="46"/>
      <c r="C141" s="46"/>
      <c r="D141" s="46"/>
      <c r="E141" s="46"/>
      <c r="F141" s="46"/>
      <c r="G141" s="46"/>
      <c r="H141" s="46"/>
      <c r="I141" s="46"/>
      <c r="J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spans="1:28">
      <c r="A142" s="46"/>
      <c r="C142" s="46"/>
      <c r="D142" s="46"/>
      <c r="E142" s="46"/>
      <c r="F142" s="46"/>
      <c r="G142" s="46"/>
      <c r="H142" s="46"/>
      <c r="I142" s="46"/>
      <c r="J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28">
      <c r="A143" s="46"/>
      <c r="C143" s="46"/>
      <c r="D143" s="46"/>
      <c r="E143" s="46"/>
      <c r="F143" s="46"/>
      <c r="G143" s="46"/>
      <c r="H143" s="46"/>
      <c r="I143" s="46"/>
      <c r="J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spans="1:28">
      <c r="A144" s="46"/>
      <c r="C144" s="46"/>
      <c r="D144" s="46"/>
      <c r="E144" s="46"/>
      <c r="F144" s="46"/>
      <c r="G144" s="46"/>
      <c r="H144" s="46"/>
      <c r="I144" s="46"/>
      <c r="J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spans="1:28">
      <c r="A145" s="46"/>
      <c r="C145" s="46"/>
      <c r="D145" s="46"/>
      <c r="E145" s="46"/>
      <c r="F145" s="46"/>
      <c r="G145" s="46"/>
      <c r="H145" s="46"/>
      <c r="I145" s="46"/>
      <c r="J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spans="1:28">
      <c r="A146" s="46"/>
      <c r="C146" s="46"/>
      <c r="D146" s="46"/>
      <c r="E146" s="46"/>
      <c r="F146" s="46"/>
      <c r="G146" s="46"/>
      <c r="H146" s="46"/>
      <c r="I146" s="46"/>
      <c r="J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spans="1:28">
      <c r="A147" s="46"/>
      <c r="C147" s="46"/>
      <c r="D147" s="46"/>
      <c r="E147" s="46"/>
      <c r="F147" s="46"/>
      <c r="G147" s="46"/>
      <c r="H147" s="46"/>
      <c r="I147" s="46"/>
      <c r="J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spans="1:28">
      <c r="A148" s="46"/>
      <c r="C148" s="46"/>
      <c r="D148" s="46"/>
      <c r="E148" s="46"/>
      <c r="F148" s="46"/>
      <c r="G148" s="46"/>
      <c r="H148" s="46"/>
      <c r="I148" s="46"/>
      <c r="J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spans="1:28">
      <c r="A149" s="46"/>
      <c r="C149" s="46"/>
      <c r="D149" s="46"/>
      <c r="E149" s="46"/>
      <c r="F149" s="46"/>
      <c r="G149" s="46"/>
      <c r="H149" s="46"/>
      <c r="I149" s="46"/>
      <c r="J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spans="1:28">
      <c r="A150" s="46"/>
      <c r="C150" s="46"/>
      <c r="D150" s="46"/>
      <c r="E150" s="46"/>
      <c r="F150" s="46"/>
      <c r="G150" s="46"/>
      <c r="H150" s="46"/>
      <c r="I150" s="46"/>
      <c r="J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spans="1:28">
      <c r="A151" s="46"/>
      <c r="C151" s="46"/>
      <c r="D151" s="46"/>
      <c r="E151" s="46"/>
      <c r="F151" s="46"/>
      <c r="G151" s="46"/>
      <c r="H151" s="46"/>
      <c r="I151" s="46"/>
      <c r="J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spans="1:28">
      <c r="A152" s="46"/>
      <c r="C152" s="46"/>
      <c r="D152" s="46"/>
      <c r="E152" s="46"/>
      <c r="F152" s="46"/>
      <c r="G152" s="46"/>
      <c r="H152" s="46"/>
      <c r="I152" s="46"/>
      <c r="J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spans="1:28">
      <c r="A153" s="46"/>
      <c r="C153" s="46"/>
      <c r="D153" s="46"/>
      <c r="E153" s="46"/>
      <c r="F153" s="46"/>
      <c r="G153" s="46"/>
      <c r="H153" s="46"/>
      <c r="I153" s="46"/>
      <c r="J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spans="1:28">
      <c r="A154" s="46"/>
      <c r="C154" s="46"/>
      <c r="D154" s="46"/>
      <c r="E154" s="46"/>
      <c r="F154" s="46"/>
      <c r="G154" s="46"/>
      <c r="H154" s="46"/>
      <c r="I154" s="46"/>
      <c r="J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spans="1:28">
      <c r="A155" s="46"/>
      <c r="C155" s="46"/>
      <c r="D155" s="46"/>
      <c r="E155" s="46"/>
      <c r="F155" s="46"/>
      <c r="G155" s="46"/>
      <c r="H155" s="46"/>
      <c r="I155" s="46"/>
      <c r="J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spans="1:28">
      <c r="A156" s="46"/>
      <c r="C156" s="46"/>
      <c r="D156" s="46"/>
      <c r="E156" s="46"/>
      <c r="F156" s="46"/>
      <c r="G156" s="46"/>
      <c r="H156" s="46"/>
      <c r="I156" s="46"/>
      <c r="J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spans="1:28">
      <c r="A157" s="46"/>
      <c r="C157" s="46"/>
      <c r="D157" s="46"/>
      <c r="E157" s="46"/>
      <c r="F157" s="46"/>
      <c r="G157" s="46"/>
      <c r="H157" s="46"/>
      <c r="I157" s="46"/>
      <c r="J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spans="1:28">
      <c r="A158" s="46"/>
      <c r="C158" s="46"/>
      <c r="D158" s="46"/>
      <c r="E158" s="46"/>
      <c r="F158" s="46"/>
      <c r="G158" s="46"/>
      <c r="H158" s="46"/>
      <c r="I158" s="46"/>
      <c r="J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>
      <c r="A159" s="46"/>
      <c r="C159" s="46"/>
      <c r="D159" s="46"/>
      <c r="E159" s="46"/>
      <c r="F159" s="46"/>
      <c r="G159" s="46"/>
      <c r="H159" s="46"/>
      <c r="I159" s="46"/>
      <c r="J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spans="1:28">
      <c r="A160" s="46"/>
      <c r="C160" s="46"/>
      <c r="D160" s="46"/>
      <c r="E160" s="46"/>
      <c r="F160" s="46"/>
      <c r="G160" s="46"/>
      <c r="H160" s="46"/>
      <c r="I160" s="46"/>
      <c r="J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spans="1:28">
      <c r="A161" s="46"/>
      <c r="C161" s="46"/>
      <c r="D161" s="46"/>
      <c r="E161" s="46"/>
      <c r="F161" s="46"/>
      <c r="G161" s="46"/>
      <c r="H161" s="46"/>
      <c r="I161" s="46"/>
      <c r="J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spans="1:28">
      <c r="A162" s="46"/>
      <c r="C162" s="46"/>
      <c r="D162" s="46"/>
      <c r="E162" s="46"/>
      <c r="F162" s="46"/>
      <c r="G162" s="46"/>
      <c r="H162" s="46"/>
      <c r="I162" s="46"/>
      <c r="J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spans="1:28">
      <c r="A163" s="46"/>
      <c r="C163" s="46"/>
      <c r="D163" s="46"/>
      <c r="E163" s="46"/>
      <c r="F163" s="46"/>
      <c r="G163" s="46"/>
      <c r="H163" s="46"/>
      <c r="I163" s="46"/>
      <c r="J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spans="1:28">
      <c r="A164" s="46"/>
      <c r="C164" s="46"/>
      <c r="D164" s="46"/>
      <c r="E164" s="46"/>
      <c r="F164" s="46"/>
      <c r="G164" s="46"/>
      <c r="H164" s="46"/>
      <c r="I164" s="46"/>
      <c r="J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>
      <c r="A165" s="46"/>
      <c r="C165" s="46"/>
      <c r="D165" s="46"/>
      <c r="E165" s="46"/>
      <c r="F165" s="46"/>
      <c r="G165" s="46"/>
      <c r="H165" s="46"/>
      <c r="I165" s="46"/>
      <c r="J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spans="1:28">
      <c r="A166" s="46"/>
      <c r="C166" s="46"/>
      <c r="D166" s="46"/>
      <c r="E166" s="46"/>
      <c r="F166" s="46"/>
      <c r="G166" s="46"/>
      <c r="H166" s="46"/>
      <c r="I166" s="46"/>
      <c r="J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spans="1:28">
      <c r="A167" s="46"/>
      <c r="C167" s="46"/>
      <c r="D167" s="46"/>
      <c r="E167" s="46"/>
      <c r="F167" s="46"/>
      <c r="G167" s="46"/>
      <c r="H167" s="46"/>
      <c r="I167" s="46"/>
      <c r="J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spans="1:28">
      <c r="A168" s="46"/>
      <c r="C168" s="46"/>
      <c r="D168" s="46"/>
      <c r="E168" s="46"/>
      <c r="F168" s="46"/>
      <c r="G168" s="46"/>
      <c r="H168" s="46"/>
      <c r="I168" s="46"/>
      <c r="J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>
      <c r="A169" s="46"/>
      <c r="C169" s="46"/>
      <c r="D169" s="46"/>
      <c r="E169" s="46"/>
      <c r="F169" s="46"/>
      <c r="G169" s="46"/>
      <c r="H169" s="46"/>
      <c r="I169" s="46"/>
      <c r="J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spans="1:28">
      <c r="A170" s="46"/>
      <c r="C170" s="46"/>
      <c r="D170" s="46"/>
      <c r="E170" s="46"/>
      <c r="F170" s="46"/>
      <c r="G170" s="46"/>
      <c r="H170" s="46"/>
      <c r="I170" s="46"/>
      <c r="J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spans="1:28">
      <c r="A171" s="46"/>
      <c r="C171" s="46"/>
      <c r="D171" s="46"/>
      <c r="E171" s="46"/>
      <c r="F171" s="46"/>
      <c r="G171" s="46"/>
      <c r="H171" s="46"/>
      <c r="I171" s="46"/>
      <c r="J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spans="1:28">
      <c r="A172" s="46"/>
      <c r="C172" s="46"/>
      <c r="D172" s="46"/>
      <c r="E172" s="46"/>
      <c r="F172" s="46"/>
      <c r="G172" s="46"/>
      <c r="H172" s="46"/>
      <c r="I172" s="46"/>
      <c r="J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>
      <c r="A173" s="46"/>
      <c r="C173" s="46"/>
      <c r="D173" s="46"/>
      <c r="E173" s="46"/>
      <c r="F173" s="46"/>
      <c r="G173" s="46"/>
      <c r="H173" s="46"/>
      <c r="I173" s="46"/>
      <c r="J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spans="1:28">
      <c r="A174" s="46"/>
      <c r="C174" s="46"/>
      <c r="D174" s="46"/>
      <c r="E174" s="46"/>
      <c r="F174" s="46"/>
      <c r="G174" s="46"/>
      <c r="H174" s="46"/>
      <c r="I174" s="46"/>
      <c r="J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>
      <c r="A175" s="46"/>
      <c r="C175" s="46"/>
      <c r="D175" s="46"/>
      <c r="E175" s="46"/>
      <c r="F175" s="46"/>
      <c r="G175" s="46"/>
      <c r="H175" s="46"/>
      <c r="I175" s="46"/>
      <c r="J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spans="1:28">
      <c r="A176" s="46"/>
      <c r="C176" s="46"/>
      <c r="D176" s="46"/>
      <c r="E176" s="46"/>
      <c r="F176" s="46"/>
      <c r="G176" s="46"/>
      <c r="H176" s="46"/>
      <c r="I176" s="46"/>
      <c r="J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spans="1:28">
      <c r="A177" s="46"/>
      <c r="C177" s="46"/>
      <c r="D177" s="46"/>
      <c r="E177" s="46"/>
      <c r="F177" s="46"/>
      <c r="G177" s="46"/>
      <c r="H177" s="46"/>
      <c r="I177" s="46"/>
      <c r="J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spans="1:28">
      <c r="A178" s="46"/>
      <c r="C178" s="46"/>
      <c r="D178" s="46"/>
      <c r="E178" s="46"/>
      <c r="F178" s="46"/>
      <c r="G178" s="46"/>
      <c r="H178" s="46"/>
      <c r="I178" s="46"/>
      <c r="J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spans="1:28">
      <c r="A179" s="46"/>
      <c r="C179" s="46"/>
      <c r="D179" s="46"/>
      <c r="E179" s="46"/>
      <c r="F179" s="46"/>
      <c r="G179" s="46"/>
      <c r="H179" s="46"/>
      <c r="I179" s="46"/>
      <c r="J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>
      <c r="A180" s="46"/>
      <c r="C180" s="46"/>
      <c r="D180" s="46"/>
      <c r="E180" s="46"/>
      <c r="F180" s="46"/>
      <c r="G180" s="46"/>
      <c r="H180" s="46"/>
      <c r="I180" s="46"/>
      <c r="J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spans="1:28">
      <c r="A181" s="46"/>
      <c r="C181" s="46"/>
      <c r="D181" s="46"/>
      <c r="E181" s="46"/>
      <c r="F181" s="46"/>
      <c r="G181" s="46"/>
      <c r="H181" s="46"/>
      <c r="I181" s="46"/>
      <c r="J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>
      <c r="A182" s="46"/>
      <c r="C182" s="46"/>
      <c r="D182" s="46"/>
      <c r="E182" s="46"/>
      <c r="F182" s="46"/>
      <c r="G182" s="46"/>
      <c r="H182" s="46"/>
      <c r="I182" s="46"/>
      <c r="J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spans="1:28">
      <c r="A183" s="46"/>
      <c r="C183" s="46"/>
      <c r="D183" s="46"/>
      <c r="E183" s="46"/>
      <c r="F183" s="46"/>
      <c r="G183" s="46"/>
      <c r="H183" s="46"/>
      <c r="I183" s="46"/>
      <c r="J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spans="1:28">
      <c r="A184" s="46"/>
      <c r="C184" s="46"/>
      <c r="D184" s="46"/>
      <c r="E184" s="46"/>
      <c r="F184" s="46"/>
      <c r="G184" s="46"/>
      <c r="H184" s="46"/>
      <c r="I184" s="46"/>
      <c r="J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spans="1:28">
      <c r="A185" s="46"/>
      <c r="C185" s="46"/>
      <c r="D185" s="46"/>
      <c r="E185" s="46"/>
      <c r="F185" s="46"/>
      <c r="G185" s="46"/>
      <c r="H185" s="46"/>
      <c r="I185" s="46"/>
      <c r="J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spans="1:28">
      <c r="A186" s="46"/>
      <c r="C186" s="46"/>
      <c r="D186" s="46"/>
      <c r="E186" s="46"/>
      <c r="F186" s="46"/>
      <c r="G186" s="46"/>
      <c r="H186" s="46"/>
      <c r="I186" s="46"/>
      <c r="J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28">
      <c r="A187" s="46"/>
      <c r="C187" s="46"/>
      <c r="D187" s="46"/>
      <c r="E187" s="46"/>
      <c r="F187" s="46"/>
      <c r="G187" s="46"/>
      <c r="H187" s="46"/>
      <c r="I187" s="46"/>
      <c r="J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spans="1:28">
      <c r="A188" s="46"/>
      <c r="C188" s="46"/>
      <c r="D188" s="46"/>
      <c r="E188" s="46"/>
      <c r="F188" s="46"/>
      <c r="G188" s="46"/>
      <c r="H188" s="46"/>
      <c r="I188" s="46"/>
      <c r="J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spans="1:28">
      <c r="A189" s="46"/>
      <c r="C189" s="46"/>
      <c r="D189" s="46"/>
      <c r="E189" s="46"/>
      <c r="F189" s="46"/>
      <c r="G189" s="46"/>
      <c r="H189" s="46"/>
      <c r="I189" s="46"/>
      <c r="J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spans="1:28">
      <c r="A190" s="46"/>
      <c r="C190" s="46"/>
      <c r="D190" s="46"/>
      <c r="E190" s="46"/>
      <c r="F190" s="46"/>
      <c r="G190" s="46"/>
      <c r="H190" s="46"/>
      <c r="I190" s="46"/>
      <c r="J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spans="1:28">
      <c r="A191" s="46"/>
      <c r="C191" s="46"/>
      <c r="D191" s="46"/>
      <c r="E191" s="46"/>
      <c r="F191" s="46"/>
      <c r="G191" s="46"/>
      <c r="H191" s="46"/>
      <c r="I191" s="46"/>
      <c r="J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spans="1:28">
      <c r="A192" s="46"/>
      <c r="C192" s="46"/>
      <c r="D192" s="46"/>
      <c r="E192" s="46"/>
      <c r="F192" s="46"/>
      <c r="G192" s="46"/>
      <c r="H192" s="46"/>
      <c r="I192" s="46"/>
      <c r="J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spans="1:28">
      <c r="A193" s="46"/>
      <c r="C193" s="46"/>
      <c r="D193" s="46"/>
      <c r="E193" s="46"/>
      <c r="F193" s="46"/>
      <c r="G193" s="46"/>
      <c r="H193" s="46"/>
      <c r="I193" s="46"/>
      <c r="J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spans="1:28">
      <c r="A194" s="46"/>
      <c r="C194" s="46"/>
      <c r="D194" s="46"/>
      <c r="E194" s="46"/>
      <c r="F194" s="46"/>
      <c r="G194" s="46"/>
      <c r="H194" s="46"/>
      <c r="I194" s="46"/>
      <c r="J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spans="1:28">
      <c r="A195" s="46"/>
      <c r="C195" s="46"/>
      <c r="D195" s="46"/>
      <c r="E195" s="46"/>
      <c r="F195" s="46"/>
      <c r="G195" s="46"/>
      <c r="H195" s="46"/>
      <c r="I195" s="46"/>
      <c r="J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spans="1:28">
      <c r="A196" s="46"/>
      <c r="C196" s="46"/>
      <c r="D196" s="46"/>
      <c r="E196" s="46"/>
      <c r="F196" s="46"/>
      <c r="G196" s="46"/>
      <c r="H196" s="46"/>
      <c r="I196" s="46"/>
      <c r="J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spans="1:28">
      <c r="A197" s="46"/>
      <c r="C197" s="46"/>
      <c r="D197" s="46"/>
      <c r="E197" s="46"/>
      <c r="F197" s="46"/>
      <c r="G197" s="46"/>
      <c r="H197" s="46"/>
      <c r="I197" s="46"/>
      <c r="J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spans="1:28">
      <c r="A198" s="46"/>
      <c r="C198" s="46"/>
      <c r="D198" s="46"/>
      <c r="E198" s="46"/>
      <c r="F198" s="46"/>
      <c r="G198" s="46"/>
      <c r="H198" s="46"/>
      <c r="I198" s="46"/>
      <c r="J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>
      <c r="A199" s="46"/>
      <c r="C199" s="46"/>
      <c r="D199" s="46"/>
      <c r="E199" s="46"/>
      <c r="F199" s="46"/>
      <c r="G199" s="46"/>
      <c r="H199" s="46"/>
      <c r="I199" s="46"/>
      <c r="J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spans="1:28">
      <c r="A200" s="46"/>
      <c r="C200" s="46"/>
      <c r="D200" s="46"/>
      <c r="E200" s="46"/>
      <c r="F200" s="46"/>
      <c r="G200" s="46"/>
      <c r="H200" s="46"/>
      <c r="I200" s="46"/>
      <c r="J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>
      <c r="A201" s="46"/>
      <c r="C201" s="46"/>
      <c r="D201" s="46"/>
      <c r="E201" s="46"/>
      <c r="F201" s="46"/>
      <c r="G201" s="46"/>
      <c r="H201" s="46"/>
      <c r="I201" s="46"/>
      <c r="J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spans="1:28">
      <c r="A202" s="46"/>
      <c r="C202" s="46"/>
      <c r="D202" s="46"/>
      <c r="E202" s="46"/>
      <c r="F202" s="46"/>
      <c r="G202" s="46"/>
      <c r="H202" s="46"/>
      <c r="I202" s="46"/>
      <c r="J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spans="1:28">
      <c r="A203" s="46"/>
      <c r="C203" s="46"/>
      <c r="D203" s="46"/>
      <c r="E203" s="46"/>
      <c r="F203" s="46"/>
      <c r="G203" s="46"/>
      <c r="H203" s="46"/>
      <c r="I203" s="46"/>
      <c r="J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spans="1:28">
      <c r="A204" s="46"/>
      <c r="C204" s="46"/>
      <c r="D204" s="46"/>
      <c r="E204" s="46"/>
      <c r="F204" s="46"/>
      <c r="G204" s="46"/>
      <c r="H204" s="46"/>
      <c r="I204" s="46"/>
      <c r="J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spans="1:28">
      <c r="A205" s="46"/>
      <c r="C205" s="46"/>
      <c r="D205" s="46"/>
      <c r="E205" s="46"/>
      <c r="F205" s="46"/>
      <c r="G205" s="46"/>
      <c r="H205" s="46"/>
      <c r="I205" s="46"/>
      <c r="J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spans="1:28">
      <c r="A206" s="46"/>
      <c r="C206" s="46"/>
      <c r="D206" s="46"/>
      <c r="E206" s="46"/>
      <c r="F206" s="46"/>
      <c r="G206" s="46"/>
      <c r="H206" s="46"/>
      <c r="I206" s="46"/>
      <c r="J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spans="1:28">
      <c r="A207" s="46"/>
      <c r="C207" s="46"/>
      <c r="D207" s="46"/>
      <c r="E207" s="46"/>
      <c r="F207" s="46"/>
      <c r="G207" s="46"/>
      <c r="H207" s="46"/>
      <c r="I207" s="46"/>
      <c r="J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>
      <c r="A208" s="46"/>
      <c r="C208" s="46"/>
      <c r="D208" s="46"/>
      <c r="E208" s="46"/>
      <c r="F208" s="46"/>
      <c r="G208" s="46"/>
      <c r="H208" s="46"/>
      <c r="I208" s="46"/>
      <c r="J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spans="1:28">
      <c r="A209" s="46"/>
      <c r="C209" s="46"/>
      <c r="D209" s="46"/>
      <c r="E209" s="46"/>
      <c r="F209" s="46"/>
      <c r="G209" s="46"/>
      <c r="H209" s="46"/>
      <c r="I209" s="46"/>
      <c r="J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spans="1:28">
      <c r="A210" s="46"/>
      <c r="C210" s="46"/>
      <c r="D210" s="46"/>
      <c r="E210" s="46"/>
      <c r="F210" s="46"/>
      <c r="G210" s="46"/>
      <c r="H210" s="46"/>
      <c r="I210" s="46"/>
      <c r="J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spans="1:28">
      <c r="A211" s="46"/>
      <c r="C211" s="46"/>
      <c r="D211" s="46"/>
      <c r="E211" s="46"/>
      <c r="F211" s="46"/>
      <c r="G211" s="46"/>
      <c r="H211" s="46"/>
      <c r="I211" s="46"/>
      <c r="J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spans="1:28">
      <c r="A212" s="46"/>
      <c r="C212" s="46"/>
      <c r="D212" s="46"/>
      <c r="E212" s="46"/>
      <c r="F212" s="46"/>
      <c r="G212" s="46"/>
      <c r="H212" s="46"/>
      <c r="I212" s="46"/>
      <c r="J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spans="1:28">
      <c r="A213" s="46"/>
      <c r="C213" s="46"/>
      <c r="D213" s="46"/>
      <c r="E213" s="46"/>
      <c r="F213" s="46"/>
      <c r="G213" s="46"/>
      <c r="H213" s="46"/>
      <c r="I213" s="46"/>
      <c r="J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spans="1:28">
      <c r="A214" s="46"/>
      <c r="C214" s="46"/>
      <c r="D214" s="46"/>
      <c r="E214" s="46"/>
      <c r="F214" s="46"/>
      <c r="G214" s="46"/>
      <c r="H214" s="46"/>
      <c r="I214" s="46"/>
      <c r="J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spans="1:28">
      <c r="A215" s="46"/>
      <c r="C215" s="46"/>
      <c r="D215" s="46"/>
      <c r="E215" s="46"/>
      <c r="F215" s="46"/>
      <c r="G215" s="46"/>
      <c r="H215" s="46"/>
      <c r="I215" s="46"/>
      <c r="J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spans="1:28">
      <c r="A216" s="46"/>
      <c r="C216" s="46"/>
      <c r="D216" s="46"/>
      <c r="E216" s="46"/>
      <c r="F216" s="46"/>
      <c r="G216" s="46"/>
      <c r="H216" s="46"/>
      <c r="I216" s="46"/>
      <c r="J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spans="1:28">
      <c r="A217" s="46"/>
      <c r="C217" s="46"/>
      <c r="D217" s="46"/>
      <c r="E217" s="46"/>
      <c r="F217" s="46"/>
      <c r="G217" s="46"/>
      <c r="H217" s="46"/>
      <c r="I217" s="46"/>
      <c r="J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>
      <c r="A218" s="46"/>
      <c r="C218" s="46"/>
      <c r="D218" s="46"/>
      <c r="E218" s="46"/>
      <c r="F218" s="46"/>
      <c r="G218" s="46"/>
      <c r="H218" s="46"/>
      <c r="I218" s="46"/>
      <c r="J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spans="1:28">
      <c r="A219" s="46"/>
      <c r="C219" s="46"/>
      <c r="D219" s="46"/>
      <c r="E219" s="46"/>
      <c r="F219" s="46"/>
      <c r="G219" s="46"/>
      <c r="H219" s="46"/>
      <c r="I219" s="46"/>
      <c r="J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spans="1:28">
      <c r="A220" s="46"/>
      <c r="C220" s="46"/>
      <c r="D220" s="46"/>
      <c r="E220" s="46"/>
      <c r="F220" s="46"/>
      <c r="G220" s="46"/>
      <c r="H220" s="46"/>
      <c r="I220" s="46"/>
      <c r="J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spans="1:28">
      <c r="A221" s="46"/>
      <c r="C221" s="46"/>
      <c r="D221" s="46"/>
      <c r="E221" s="46"/>
      <c r="F221" s="46"/>
      <c r="G221" s="46"/>
      <c r="H221" s="46"/>
      <c r="I221" s="46"/>
      <c r="J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spans="1:28">
      <c r="A222" s="46"/>
      <c r="C222" s="46"/>
      <c r="D222" s="46"/>
      <c r="E222" s="46"/>
      <c r="F222" s="46"/>
      <c r="G222" s="46"/>
      <c r="H222" s="46"/>
      <c r="I222" s="46"/>
      <c r="J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spans="1:28">
      <c r="A223" s="46"/>
      <c r="C223" s="46"/>
      <c r="D223" s="46"/>
      <c r="E223" s="46"/>
      <c r="F223" s="46"/>
      <c r="G223" s="46"/>
      <c r="H223" s="46"/>
      <c r="I223" s="46"/>
      <c r="J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spans="1:28">
      <c r="A224" s="46"/>
      <c r="C224" s="46"/>
      <c r="D224" s="46"/>
      <c r="E224" s="46"/>
      <c r="F224" s="46"/>
      <c r="G224" s="46"/>
      <c r="H224" s="46"/>
      <c r="I224" s="46"/>
      <c r="J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spans="1:28">
      <c r="A225" s="46"/>
      <c r="C225" s="46"/>
      <c r="D225" s="46"/>
      <c r="E225" s="46"/>
      <c r="F225" s="46"/>
      <c r="G225" s="46"/>
      <c r="H225" s="46"/>
      <c r="I225" s="46"/>
      <c r="J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spans="1:28">
      <c r="A226" s="46"/>
      <c r="C226" s="46"/>
      <c r="D226" s="46"/>
      <c r="E226" s="46"/>
      <c r="F226" s="46"/>
      <c r="G226" s="46"/>
      <c r="H226" s="46"/>
      <c r="I226" s="46"/>
      <c r="J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spans="1:28">
      <c r="A227" s="46"/>
      <c r="C227" s="46"/>
      <c r="D227" s="46"/>
      <c r="E227" s="46"/>
      <c r="F227" s="46"/>
      <c r="G227" s="46"/>
      <c r="H227" s="46"/>
      <c r="I227" s="46"/>
      <c r="J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spans="1:28">
      <c r="A228" s="46"/>
      <c r="C228" s="46"/>
      <c r="D228" s="46"/>
      <c r="E228" s="46"/>
      <c r="F228" s="46"/>
      <c r="G228" s="46"/>
      <c r="H228" s="46"/>
      <c r="I228" s="46"/>
      <c r="J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spans="1:28">
      <c r="A229" s="46"/>
      <c r="C229" s="46"/>
      <c r="D229" s="46"/>
      <c r="E229" s="46"/>
      <c r="F229" s="46"/>
      <c r="G229" s="46"/>
      <c r="H229" s="46"/>
      <c r="I229" s="46"/>
      <c r="J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spans="1:28">
      <c r="A230" s="46"/>
      <c r="C230" s="46"/>
      <c r="D230" s="46"/>
      <c r="E230" s="46"/>
      <c r="F230" s="46"/>
      <c r="G230" s="46"/>
      <c r="H230" s="46"/>
      <c r="I230" s="46"/>
      <c r="J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spans="1:28">
      <c r="A231" s="46"/>
      <c r="C231" s="46"/>
      <c r="D231" s="46"/>
      <c r="E231" s="46"/>
      <c r="F231" s="46"/>
      <c r="G231" s="46"/>
      <c r="H231" s="46"/>
      <c r="I231" s="46"/>
      <c r="J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spans="1:28">
      <c r="A232" s="46"/>
      <c r="C232" s="46"/>
      <c r="D232" s="46"/>
      <c r="E232" s="46"/>
      <c r="F232" s="46"/>
      <c r="G232" s="46"/>
      <c r="H232" s="46"/>
      <c r="I232" s="46"/>
      <c r="J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spans="1:28">
      <c r="A233" s="46"/>
      <c r="C233" s="46"/>
      <c r="D233" s="46"/>
      <c r="E233" s="46"/>
      <c r="F233" s="46"/>
      <c r="G233" s="46"/>
      <c r="H233" s="46"/>
      <c r="I233" s="46"/>
      <c r="J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spans="1:28">
      <c r="A234" s="46"/>
      <c r="C234" s="46"/>
      <c r="D234" s="46"/>
      <c r="E234" s="46"/>
      <c r="F234" s="46"/>
      <c r="G234" s="46"/>
      <c r="H234" s="46"/>
      <c r="I234" s="46"/>
      <c r="J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spans="1:28">
      <c r="A235" s="46"/>
      <c r="C235" s="46"/>
      <c r="D235" s="46"/>
      <c r="E235" s="46"/>
      <c r="F235" s="46"/>
      <c r="G235" s="46"/>
      <c r="H235" s="46"/>
      <c r="I235" s="46"/>
      <c r="J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spans="1:28">
      <c r="A236" s="46"/>
      <c r="C236" s="46"/>
      <c r="D236" s="46"/>
      <c r="E236" s="46"/>
      <c r="F236" s="46"/>
      <c r="G236" s="46"/>
      <c r="H236" s="46"/>
      <c r="I236" s="46"/>
      <c r="J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spans="1:28">
      <c r="A237" s="46"/>
      <c r="C237" s="46"/>
      <c r="D237" s="46"/>
      <c r="E237" s="46"/>
      <c r="F237" s="46"/>
      <c r="G237" s="46"/>
      <c r="H237" s="46"/>
      <c r="I237" s="46"/>
      <c r="J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spans="1:28">
      <c r="A238" s="46"/>
      <c r="C238" s="46"/>
      <c r="D238" s="46"/>
      <c r="E238" s="46"/>
      <c r="F238" s="46"/>
      <c r="G238" s="46"/>
      <c r="H238" s="46"/>
      <c r="I238" s="46"/>
      <c r="J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spans="1:28">
      <c r="A239" s="46"/>
      <c r="C239" s="46"/>
      <c r="D239" s="46"/>
      <c r="E239" s="46"/>
      <c r="F239" s="46"/>
      <c r="G239" s="46"/>
      <c r="H239" s="46"/>
      <c r="I239" s="46"/>
      <c r="J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spans="1:28">
      <c r="A240" s="46"/>
      <c r="C240" s="46"/>
      <c r="D240" s="46"/>
      <c r="E240" s="46"/>
      <c r="F240" s="46"/>
      <c r="G240" s="46"/>
      <c r="H240" s="46"/>
      <c r="I240" s="46"/>
      <c r="J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spans="1:28">
      <c r="A241" s="46"/>
      <c r="C241" s="46"/>
      <c r="D241" s="46"/>
      <c r="E241" s="46"/>
      <c r="F241" s="46"/>
      <c r="G241" s="46"/>
      <c r="H241" s="46"/>
      <c r="I241" s="46"/>
      <c r="J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spans="1:28">
      <c r="A242" s="46"/>
      <c r="C242" s="46"/>
      <c r="D242" s="46"/>
      <c r="E242" s="46"/>
      <c r="F242" s="46"/>
      <c r="G242" s="46"/>
      <c r="H242" s="46"/>
      <c r="I242" s="46"/>
      <c r="J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spans="1:28">
      <c r="A243" s="46"/>
      <c r="C243" s="46"/>
      <c r="D243" s="46"/>
      <c r="E243" s="46"/>
      <c r="F243" s="46"/>
      <c r="G243" s="46"/>
      <c r="H243" s="46"/>
      <c r="I243" s="46"/>
      <c r="J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spans="1:28">
      <c r="A244" s="46"/>
      <c r="C244" s="46"/>
      <c r="D244" s="46"/>
      <c r="E244" s="46"/>
      <c r="F244" s="46"/>
      <c r="G244" s="46"/>
      <c r="H244" s="46"/>
      <c r="I244" s="46"/>
      <c r="J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spans="1:28">
      <c r="A245" s="46"/>
      <c r="C245" s="46"/>
      <c r="D245" s="46"/>
      <c r="E245" s="46"/>
      <c r="F245" s="46"/>
      <c r="G245" s="46"/>
      <c r="H245" s="46"/>
      <c r="I245" s="46"/>
      <c r="J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spans="1:28">
      <c r="A246" s="46"/>
      <c r="C246" s="46"/>
      <c r="D246" s="46"/>
      <c r="E246" s="46"/>
      <c r="F246" s="46"/>
      <c r="G246" s="46"/>
      <c r="H246" s="46"/>
      <c r="I246" s="46"/>
      <c r="J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spans="1:28">
      <c r="A247" s="46"/>
      <c r="C247" s="46"/>
      <c r="D247" s="46"/>
      <c r="E247" s="46"/>
      <c r="F247" s="46"/>
      <c r="G247" s="46"/>
      <c r="H247" s="46"/>
      <c r="I247" s="46"/>
      <c r="J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spans="1:28">
      <c r="A248" s="46"/>
      <c r="C248" s="46"/>
      <c r="D248" s="46"/>
      <c r="E248" s="46"/>
      <c r="F248" s="46"/>
      <c r="G248" s="46"/>
      <c r="H248" s="46"/>
      <c r="I248" s="46"/>
      <c r="J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spans="1:28">
      <c r="A249" s="46"/>
      <c r="C249" s="46"/>
      <c r="D249" s="46"/>
      <c r="E249" s="46"/>
      <c r="F249" s="46"/>
      <c r="G249" s="46"/>
      <c r="H249" s="46"/>
      <c r="I249" s="46"/>
      <c r="J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spans="1:28">
      <c r="A250" s="46"/>
      <c r="C250" s="46"/>
      <c r="D250" s="46"/>
      <c r="E250" s="46"/>
      <c r="F250" s="46"/>
      <c r="G250" s="46"/>
      <c r="H250" s="46"/>
      <c r="I250" s="46"/>
      <c r="J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spans="1:28">
      <c r="A251" s="46"/>
      <c r="C251" s="46"/>
      <c r="D251" s="46"/>
      <c r="E251" s="46"/>
      <c r="F251" s="46"/>
      <c r="G251" s="46"/>
      <c r="H251" s="46"/>
      <c r="I251" s="46"/>
      <c r="J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spans="1:28">
      <c r="A252" s="46"/>
      <c r="C252" s="46"/>
      <c r="D252" s="46"/>
      <c r="E252" s="46"/>
      <c r="F252" s="46"/>
      <c r="G252" s="46"/>
      <c r="H252" s="46"/>
      <c r="I252" s="46"/>
      <c r="J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spans="1:28">
      <c r="A253" s="46"/>
      <c r="C253" s="46"/>
      <c r="D253" s="46"/>
      <c r="E253" s="46"/>
      <c r="F253" s="46"/>
      <c r="G253" s="46"/>
      <c r="H253" s="46"/>
      <c r="I253" s="46"/>
      <c r="J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spans="1:28">
      <c r="A254" s="46"/>
      <c r="C254" s="46"/>
      <c r="D254" s="46"/>
      <c r="E254" s="46"/>
      <c r="F254" s="46"/>
      <c r="G254" s="46"/>
      <c r="H254" s="46"/>
      <c r="I254" s="46"/>
      <c r="J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spans="1:28">
      <c r="A255" s="46"/>
      <c r="C255" s="46"/>
      <c r="D255" s="46"/>
      <c r="E255" s="46"/>
      <c r="F255" s="46"/>
      <c r="G255" s="46"/>
      <c r="H255" s="46"/>
      <c r="I255" s="46"/>
      <c r="J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spans="1:28">
      <c r="A256" s="46"/>
      <c r="C256" s="46"/>
      <c r="D256" s="46"/>
      <c r="E256" s="46"/>
      <c r="F256" s="46"/>
      <c r="G256" s="46"/>
      <c r="H256" s="46"/>
      <c r="I256" s="46"/>
      <c r="J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spans="1:28">
      <c r="A257" s="46"/>
      <c r="C257" s="46"/>
      <c r="D257" s="46"/>
      <c r="E257" s="46"/>
      <c r="F257" s="46"/>
      <c r="G257" s="46"/>
      <c r="H257" s="46"/>
      <c r="I257" s="46"/>
      <c r="J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spans="1:28">
      <c r="A258" s="46"/>
      <c r="C258" s="46"/>
      <c r="D258" s="46"/>
      <c r="E258" s="46"/>
      <c r="F258" s="46"/>
      <c r="G258" s="46"/>
      <c r="H258" s="46"/>
      <c r="I258" s="46"/>
      <c r="J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spans="1:28">
      <c r="A259" s="46"/>
      <c r="C259" s="46"/>
      <c r="D259" s="46"/>
      <c r="E259" s="46"/>
      <c r="F259" s="46"/>
      <c r="G259" s="46"/>
      <c r="H259" s="46"/>
      <c r="I259" s="46"/>
      <c r="J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spans="1:28">
      <c r="A260" s="46"/>
      <c r="C260" s="46"/>
      <c r="D260" s="46"/>
      <c r="E260" s="46"/>
      <c r="F260" s="46"/>
      <c r="G260" s="46"/>
      <c r="H260" s="46"/>
      <c r="I260" s="46"/>
      <c r="J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spans="1:28">
      <c r="A261" s="46"/>
      <c r="C261" s="46"/>
      <c r="D261" s="46"/>
      <c r="E261" s="46"/>
      <c r="F261" s="46"/>
      <c r="G261" s="46"/>
      <c r="H261" s="46"/>
      <c r="I261" s="46"/>
      <c r="J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spans="1:28">
      <c r="A262" s="46"/>
      <c r="C262" s="46"/>
      <c r="D262" s="46"/>
      <c r="E262" s="46"/>
      <c r="F262" s="46"/>
      <c r="G262" s="46"/>
      <c r="H262" s="46"/>
      <c r="I262" s="46"/>
      <c r="J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spans="1:28">
      <c r="A263" s="46"/>
      <c r="C263" s="46"/>
      <c r="D263" s="46"/>
      <c r="E263" s="46"/>
      <c r="F263" s="46"/>
      <c r="G263" s="46"/>
      <c r="H263" s="46"/>
      <c r="I263" s="46"/>
      <c r="J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spans="1:28">
      <c r="A264" s="46"/>
      <c r="C264" s="46"/>
      <c r="D264" s="46"/>
      <c r="E264" s="46"/>
      <c r="F264" s="46"/>
      <c r="G264" s="46"/>
      <c r="H264" s="46"/>
      <c r="I264" s="46"/>
      <c r="J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spans="1:28">
      <c r="A265" s="46"/>
      <c r="C265" s="46"/>
      <c r="D265" s="46"/>
      <c r="E265" s="46"/>
      <c r="F265" s="46"/>
      <c r="G265" s="46"/>
      <c r="H265" s="46"/>
      <c r="I265" s="46"/>
      <c r="J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spans="1:28">
      <c r="A266" s="46"/>
      <c r="C266" s="46"/>
      <c r="D266" s="46"/>
      <c r="E266" s="46"/>
      <c r="F266" s="46"/>
      <c r="G266" s="46"/>
      <c r="H266" s="46"/>
      <c r="I266" s="46"/>
      <c r="J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spans="1:28">
      <c r="A267" s="46"/>
      <c r="C267" s="46"/>
      <c r="D267" s="46"/>
      <c r="E267" s="46"/>
      <c r="F267" s="46"/>
      <c r="G267" s="46"/>
      <c r="H267" s="46"/>
      <c r="I267" s="46"/>
      <c r="J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spans="1:28">
      <c r="A268" s="46"/>
      <c r="C268" s="46"/>
      <c r="D268" s="46"/>
      <c r="E268" s="46"/>
      <c r="F268" s="46"/>
      <c r="G268" s="46"/>
      <c r="H268" s="46"/>
      <c r="I268" s="46"/>
      <c r="J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spans="1:28">
      <c r="A269" s="46"/>
      <c r="C269" s="46"/>
      <c r="D269" s="46"/>
      <c r="E269" s="46"/>
      <c r="F269" s="46"/>
      <c r="G269" s="46"/>
      <c r="H269" s="46"/>
      <c r="I269" s="46"/>
      <c r="J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spans="1:28">
      <c r="A270" s="46"/>
      <c r="C270" s="46"/>
      <c r="D270" s="46"/>
      <c r="E270" s="46"/>
      <c r="F270" s="46"/>
      <c r="G270" s="46"/>
      <c r="H270" s="46"/>
      <c r="I270" s="46"/>
      <c r="J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spans="1:28">
      <c r="A271" s="46"/>
      <c r="C271" s="46"/>
      <c r="D271" s="46"/>
      <c r="E271" s="46"/>
      <c r="F271" s="46"/>
      <c r="G271" s="46"/>
      <c r="H271" s="46"/>
      <c r="I271" s="46"/>
      <c r="J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spans="1:28">
      <c r="A272" s="46"/>
      <c r="C272" s="46"/>
      <c r="D272" s="46"/>
      <c r="E272" s="46"/>
      <c r="F272" s="46"/>
      <c r="G272" s="46"/>
      <c r="H272" s="46"/>
      <c r="I272" s="46"/>
      <c r="J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spans="1:28">
      <c r="A273" s="46"/>
      <c r="C273" s="46"/>
      <c r="D273" s="46"/>
      <c r="E273" s="46"/>
      <c r="F273" s="46"/>
      <c r="G273" s="46"/>
      <c r="H273" s="46"/>
      <c r="I273" s="46"/>
      <c r="J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spans="1:28">
      <c r="A274" s="46"/>
      <c r="C274" s="46"/>
      <c r="D274" s="46"/>
      <c r="E274" s="46"/>
      <c r="F274" s="46"/>
      <c r="G274" s="46"/>
      <c r="H274" s="46"/>
      <c r="I274" s="46"/>
      <c r="J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spans="1:28">
      <c r="A275" s="46"/>
      <c r="C275" s="46"/>
      <c r="D275" s="46"/>
      <c r="E275" s="46"/>
      <c r="F275" s="46"/>
      <c r="G275" s="46"/>
      <c r="H275" s="46"/>
      <c r="I275" s="46"/>
      <c r="J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spans="1:28">
      <c r="A276" s="46"/>
      <c r="C276" s="46"/>
      <c r="D276" s="46"/>
      <c r="E276" s="46"/>
      <c r="F276" s="46"/>
      <c r="G276" s="46"/>
      <c r="H276" s="46"/>
      <c r="I276" s="46"/>
      <c r="J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spans="1:28">
      <c r="A277" s="46"/>
      <c r="C277" s="46"/>
      <c r="D277" s="46"/>
      <c r="E277" s="46"/>
      <c r="F277" s="46"/>
      <c r="G277" s="46"/>
      <c r="H277" s="46"/>
      <c r="I277" s="46"/>
      <c r="J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spans="1:28">
      <c r="A278" s="46"/>
      <c r="C278" s="46"/>
      <c r="D278" s="46"/>
      <c r="E278" s="46"/>
      <c r="F278" s="46"/>
      <c r="G278" s="46"/>
      <c r="H278" s="46"/>
      <c r="I278" s="46"/>
      <c r="J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spans="1:28">
      <c r="A279" s="46"/>
      <c r="C279" s="46"/>
      <c r="D279" s="46"/>
      <c r="E279" s="46"/>
      <c r="F279" s="46"/>
      <c r="G279" s="46"/>
      <c r="H279" s="46"/>
      <c r="I279" s="46"/>
      <c r="J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spans="1:28">
      <c r="A280" s="46"/>
      <c r="C280" s="46"/>
      <c r="D280" s="46"/>
      <c r="E280" s="46"/>
      <c r="F280" s="46"/>
      <c r="G280" s="46"/>
      <c r="H280" s="46"/>
      <c r="I280" s="46"/>
      <c r="J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spans="1:28">
      <c r="A281" s="46"/>
      <c r="C281" s="46"/>
      <c r="D281" s="46"/>
      <c r="E281" s="46"/>
      <c r="F281" s="46"/>
      <c r="G281" s="46"/>
      <c r="H281" s="46"/>
      <c r="I281" s="46"/>
      <c r="J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spans="1:28">
      <c r="A282" s="46"/>
      <c r="C282" s="46"/>
      <c r="D282" s="46"/>
      <c r="E282" s="46"/>
      <c r="F282" s="46"/>
      <c r="G282" s="46"/>
      <c r="H282" s="46"/>
      <c r="I282" s="46"/>
      <c r="J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spans="1:28">
      <c r="A283" s="46"/>
      <c r="C283" s="46"/>
      <c r="D283" s="46"/>
      <c r="E283" s="46"/>
      <c r="F283" s="46"/>
      <c r="G283" s="46"/>
      <c r="H283" s="46"/>
      <c r="I283" s="46"/>
      <c r="J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 spans="1:28">
      <c r="A284" s="46"/>
      <c r="C284" s="46"/>
      <c r="D284" s="46"/>
      <c r="E284" s="46"/>
      <c r="F284" s="46"/>
      <c r="G284" s="46"/>
      <c r="H284" s="46"/>
      <c r="I284" s="46"/>
      <c r="J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 spans="1:28">
      <c r="A285" s="46"/>
      <c r="C285" s="46"/>
      <c r="D285" s="46"/>
      <c r="E285" s="46"/>
      <c r="F285" s="46"/>
      <c r="G285" s="46"/>
      <c r="H285" s="46"/>
      <c r="I285" s="46"/>
      <c r="J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 spans="1:28">
      <c r="A286" s="46"/>
      <c r="C286" s="46"/>
      <c r="D286" s="46"/>
      <c r="E286" s="46"/>
      <c r="F286" s="46"/>
      <c r="G286" s="46"/>
      <c r="H286" s="46"/>
      <c r="I286" s="46"/>
      <c r="J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 spans="1:28">
      <c r="A287" s="46"/>
      <c r="C287" s="46"/>
      <c r="D287" s="46"/>
      <c r="E287" s="46"/>
      <c r="F287" s="46"/>
      <c r="G287" s="46"/>
      <c r="H287" s="46"/>
      <c r="I287" s="46"/>
      <c r="J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 spans="1:28">
      <c r="A288" s="46"/>
      <c r="C288" s="46"/>
      <c r="D288" s="46"/>
      <c r="E288" s="46"/>
      <c r="F288" s="46"/>
      <c r="G288" s="46"/>
      <c r="H288" s="46"/>
      <c r="I288" s="46"/>
      <c r="J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 spans="1:28">
      <c r="A289" s="46"/>
      <c r="C289" s="46"/>
      <c r="D289" s="46"/>
      <c r="E289" s="46"/>
      <c r="F289" s="46"/>
      <c r="G289" s="46"/>
      <c r="H289" s="46"/>
      <c r="I289" s="46"/>
      <c r="J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 spans="1:28">
      <c r="A290" s="46"/>
      <c r="C290" s="46"/>
      <c r="D290" s="46"/>
      <c r="E290" s="46"/>
      <c r="F290" s="46"/>
      <c r="G290" s="46"/>
      <c r="H290" s="46"/>
      <c r="I290" s="46"/>
      <c r="J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 spans="1:28">
      <c r="A291" s="46"/>
      <c r="C291" s="46"/>
      <c r="D291" s="46"/>
      <c r="E291" s="46"/>
      <c r="F291" s="46"/>
      <c r="G291" s="46"/>
      <c r="H291" s="46"/>
      <c r="I291" s="46"/>
      <c r="J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 spans="1:28">
      <c r="A292" s="46"/>
      <c r="C292" s="46"/>
      <c r="D292" s="46"/>
      <c r="E292" s="46"/>
      <c r="F292" s="46"/>
      <c r="G292" s="46"/>
      <c r="H292" s="46"/>
      <c r="I292" s="46"/>
      <c r="J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 spans="1:28">
      <c r="A293" s="46"/>
      <c r="C293" s="46"/>
      <c r="D293" s="46"/>
      <c r="E293" s="46"/>
      <c r="F293" s="46"/>
      <c r="G293" s="46"/>
      <c r="H293" s="46"/>
      <c r="I293" s="46"/>
      <c r="J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 spans="1:28">
      <c r="A294" s="46"/>
      <c r="C294" s="46"/>
      <c r="D294" s="46"/>
      <c r="E294" s="46"/>
      <c r="F294" s="46"/>
      <c r="G294" s="46"/>
      <c r="H294" s="46"/>
      <c r="I294" s="46"/>
      <c r="J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 spans="1:28">
      <c r="A295" s="46"/>
      <c r="C295" s="46"/>
      <c r="D295" s="46"/>
      <c r="E295" s="46"/>
      <c r="F295" s="46"/>
      <c r="G295" s="46"/>
      <c r="H295" s="46"/>
      <c r="I295" s="46"/>
      <c r="J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 spans="1:28">
      <c r="A296" s="46"/>
      <c r="C296" s="46"/>
      <c r="D296" s="46"/>
      <c r="E296" s="46"/>
      <c r="F296" s="46"/>
      <c r="G296" s="46"/>
      <c r="H296" s="46"/>
      <c r="I296" s="46"/>
      <c r="J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 spans="1:28">
      <c r="A297" s="46"/>
      <c r="C297" s="46"/>
      <c r="D297" s="46"/>
      <c r="E297" s="46"/>
      <c r="F297" s="46"/>
      <c r="G297" s="46"/>
      <c r="H297" s="46"/>
      <c r="I297" s="46"/>
      <c r="J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 spans="1:28">
      <c r="A298" s="46"/>
      <c r="C298" s="46"/>
      <c r="D298" s="46"/>
      <c r="E298" s="46"/>
      <c r="F298" s="46"/>
      <c r="G298" s="46"/>
      <c r="H298" s="46"/>
      <c r="I298" s="46"/>
      <c r="J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 spans="1:28">
      <c r="A299" s="46"/>
      <c r="C299" s="46"/>
      <c r="D299" s="46"/>
      <c r="E299" s="46"/>
      <c r="F299" s="46"/>
      <c r="G299" s="46"/>
      <c r="H299" s="46"/>
      <c r="I299" s="46"/>
      <c r="J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 spans="1:28">
      <c r="A300" s="46"/>
      <c r="C300" s="46"/>
      <c r="D300" s="46"/>
      <c r="E300" s="46"/>
      <c r="F300" s="46"/>
      <c r="G300" s="46"/>
      <c r="H300" s="46"/>
      <c r="I300" s="46"/>
      <c r="J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 spans="1:28">
      <c r="A301" s="46"/>
      <c r="C301" s="46"/>
      <c r="D301" s="46"/>
      <c r="E301" s="46"/>
      <c r="F301" s="46"/>
      <c r="G301" s="46"/>
      <c r="H301" s="46"/>
      <c r="I301" s="46"/>
      <c r="J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 spans="1:28">
      <c r="A302" s="46"/>
      <c r="C302" s="46"/>
      <c r="D302" s="46"/>
      <c r="E302" s="46"/>
      <c r="F302" s="46"/>
      <c r="G302" s="46"/>
      <c r="H302" s="46"/>
      <c r="I302" s="46"/>
      <c r="J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 spans="1:28">
      <c r="A303" s="46"/>
      <c r="C303" s="46"/>
      <c r="D303" s="46"/>
      <c r="E303" s="46"/>
      <c r="F303" s="46"/>
      <c r="G303" s="46"/>
      <c r="H303" s="46"/>
      <c r="I303" s="46"/>
      <c r="J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 spans="1:28">
      <c r="A304" s="46"/>
      <c r="C304" s="46"/>
      <c r="D304" s="46"/>
      <c r="E304" s="46"/>
      <c r="F304" s="46"/>
      <c r="G304" s="46"/>
      <c r="H304" s="46"/>
      <c r="I304" s="46"/>
      <c r="J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 spans="1:28">
      <c r="A305" s="46"/>
      <c r="C305" s="46"/>
      <c r="D305" s="46"/>
      <c r="E305" s="46"/>
      <c r="F305" s="46"/>
      <c r="G305" s="46"/>
      <c r="H305" s="46"/>
      <c r="I305" s="46"/>
      <c r="J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 spans="1:28">
      <c r="A306" s="46"/>
      <c r="C306" s="46"/>
      <c r="D306" s="46"/>
      <c r="E306" s="46"/>
      <c r="F306" s="46"/>
      <c r="G306" s="46"/>
      <c r="H306" s="46"/>
      <c r="I306" s="46"/>
      <c r="J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 spans="1:28">
      <c r="A307" s="46"/>
      <c r="C307" s="46"/>
      <c r="D307" s="46"/>
      <c r="E307" s="46"/>
      <c r="F307" s="46"/>
      <c r="G307" s="46"/>
      <c r="H307" s="46"/>
      <c r="I307" s="46"/>
      <c r="J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 spans="1:28">
      <c r="A308" s="46"/>
      <c r="C308" s="46"/>
      <c r="D308" s="46"/>
      <c r="E308" s="46"/>
      <c r="F308" s="46"/>
      <c r="G308" s="46"/>
      <c r="H308" s="46"/>
      <c r="I308" s="46"/>
      <c r="J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 spans="1:28">
      <c r="A309" s="46"/>
      <c r="C309" s="46"/>
      <c r="D309" s="46"/>
      <c r="E309" s="46"/>
      <c r="F309" s="46"/>
      <c r="G309" s="46"/>
      <c r="H309" s="46"/>
      <c r="I309" s="46"/>
      <c r="J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 spans="1:28">
      <c r="A310" s="46"/>
      <c r="C310" s="46"/>
      <c r="D310" s="46"/>
      <c r="E310" s="46"/>
      <c r="F310" s="46"/>
      <c r="G310" s="46"/>
      <c r="H310" s="46"/>
      <c r="I310" s="46"/>
      <c r="J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 spans="1:28">
      <c r="A311" s="46"/>
      <c r="C311" s="46"/>
      <c r="D311" s="46"/>
      <c r="E311" s="46"/>
      <c r="F311" s="46"/>
      <c r="G311" s="46"/>
      <c r="H311" s="46"/>
      <c r="I311" s="46"/>
      <c r="J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 spans="1:28">
      <c r="A312" s="46"/>
      <c r="C312" s="46"/>
      <c r="D312" s="46"/>
      <c r="E312" s="46"/>
      <c r="F312" s="46"/>
      <c r="G312" s="46"/>
      <c r="H312" s="46"/>
      <c r="I312" s="46"/>
      <c r="J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 spans="1:28">
      <c r="A313" s="46"/>
      <c r="C313" s="46"/>
      <c r="D313" s="46"/>
      <c r="E313" s="46"/>
      <c r="F313" s="46"/>
      <c r="G313" s="46"/>
      <c r="H313" s="46"/>
      <c r="I313" s="46"/>
      <c r="J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 spans="1:28">
      <c r="A314" s="46"/>
      <c r="C314" s="46"/>
      <c r="D314" s="46"/>
      <c r="E314" s="46"/>
      <c r="F314" s="46"/>
      <c r="G314" s="46"/>
      <c r="H314" s="46"/>
      <c r="I314" s="46"/>
      <c r="J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 spans="1:28">
      <c r="A315" s="46"/>
      <c r="C315" s="46"/>
      <c r="D315" s="46"/>
      <c r="E315" s="46"/>
      <c r="F315" s="46"/>
      <c r="G315" s="46"/>
      <c r="H315" s="46"/>
      <c r="I315" s="46"/>
      <c r="J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 spans="1:28">
      <c r="A316" s="46"/>
      <c r="C316" s="46"/>
      <c r="D316" s="46"/>
      <c r="E316" s="46"/>
      <c r="F316" s="46"/>
      <c r="G316" s="46"/>
      <c r="H316" s="46"/>
      <c r="I316" s="46"/>
      <c r="J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 spans="1:28">
      <c r="A317" s="46"/>
      <c r="C317" s="46"/>
      <c r="D317" s="46"/>
      <c r="E317" s="46"/>
      <c r="F317" s="46"/>
      <c r="G317" s="46"/>
      <c r="H317" s="46"/>
      <c r="I317" s="46"/>
      <c r="J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 spans="1:28">
      <c r="A318" s="46"/>
      <c r="C318" s="46"/>
      <c r="D318" s="46"/>
      <c r="E318" s="46"/>
      <c r="F318" s="46"/>
      <c r="G318" s="46"/>
      <c r="H318" s="46"/>
      <c r="I318" s="46"/>
      <c r="J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 spans="1:28">
      <c r="A319" s="46"/>
      <c r="C319" s="46"/>
      <c r="D319" s="46"/>
      <c r="E319" s="46"/>
      <c r="F319" s="46"/>
      <c r="G319" s="46"/>
      <c r="H319" s="46"/>
      <c r="I319" s="46"/>
      <c r="J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 spans="1:28">
      <c r="A320" s="46"/>
      <c r="C320" s="46"/>
      <c r="D320" s="46"/>
      <c r="E320" s="46"/>
      <c r="F320" s="46"/>
      <c r="G320" s="46"/>
      <c r="H320" s="46"/>
      <c r="I320" s="46"/>
      <c r="J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 spans="1:28">
      <c r="A321" s="46"/>
      <c r="C321" s="46"/>
      <c r="D321" s="46"/>
      <c r="E321" s="46"/>
      <c r="F321" s="46"/>
      <c r="G321" s="46"/>
      <c r="H321" s="46"/>
      <c r="I321" s="46"/>
      <c r="J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 spans="1:28">
      <c r="A322" s="46"/>
      <c r="C322" s="46"/>
      <c r="D322" s="46"/>
      <c r="E322" s="46"/>
      <c r="F322" s="46"/>
      <c r="G322" s="46"/>
      <c r="H322" s="46"/>
      <c r="I322" s="46"/>
      <c r="J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 spans="1:28">
      <c r="A323" s="46"/>
      <c r="C323" s="46"/>
      <c r="D323" s="46"/>
      <c r="E323" s="46"/>
      <c r="F323" s="46"/>
      <c r="G323" s="46"/>
      <c r="H323" s="46"/>
      <c r="I323" s="46"/>
      <c r="J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 spans="1:28">
      <c r="A324" s="46"/>
      <c r="C324" s="46"/>
      <c r="D324" s="46"/>
      <c r="E324" s="46"/>
      <c r="F324" s="46"/>
      <c r="G324" s="46"/>
      <c r="H324" s="46"/>
      <c r="I324" s="46"/>
      <c r="J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 spans="1:28">
      <c r="A325" s="46"/>
      <c r="C325" s="46"/>
      <c r="D325" s="46"/>
      <c r="E325" s="46"/>
      <c r="F325" s="46"/>
      <c r="G325" s="46"/>
      <c r="H325" s="46"/>
      <c r="I325" s="46"/>
      <c r="J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 spans="1:28">
      <c r="A326" s="46"/>
      <c r="C326" s="46"/>
      <c r="D326" s="46"/>
      <c r="E326" s="46"/>
      <c r="F326" s="46"/>
      <c r="G326" s="46"/>
      <c r="H326" s="46"/>
      <c r="I326" s="46"/>
      <c r="J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 spans="1:28">
      <c r="A327" s="46"/>
      <c r="C327" s="46"/>
      <c r="D327" s="46"/>
      <c r="E327" s="46"/>
      <c r="F327" s="46"/>
      <c r="G327" s="46"/>
      <c r="H327" s="46"/>
      <c r="I327" s="46"/>
      <c r="J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 spans="1:28">
      <c r="A328" s="46"/>
      <c r="C328" s="46"/>
      <c r="D328" s="46"/>
      <c r="E328" s="46"/>
      <c r="F328" s="46"/>
      <c r="G328" s="46"/>
      <c r="H328" s="46"/>
      <c r="I328" s="46"/>
      <c r="J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 spans="1:28">
      <c r="A329" s="46"/>
      <c r="C329" s="46"/>
      <c r="D329" s="46"/>
      <c r="E329" s="46"/>
      <c r="F329" s="46"/>
      <c r="G329" s="46"/>
      <c r="H329" s="46"/>
      <c r="I329" s="46"/>
      <c r="J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 spans="1:28">
      <c r="A330" s="46"/>
      <c r="C330" s="46"/>
      <c r="D330" s="46"/>
      <c r="E330" s="46"/>
      <c r="F330" s="46"/>
      <c r="G330" s="46"/>
      <c r="H330" s="46"/>
      <c r="I330" s="46"/>
      <c r="J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 spans="1:28">
      <c r="A331" s="46"/>
      <c r="C331" s="46"/>
      <c r="D331" s="46"/>
      <c r="E331" s="46"/>
      <c r="F331" s="46"/>
      <c r="G331" s="46"/>
      <c r="H331" s="46"/>
      <c r="I331" s="46"/>
      <c r="J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 spans="1:28">
      <c r="A332" s="46"/>
      <c r="C332" s="46"/>
      <c r="D332" s="46"/>
      <c r="E332" s="46"/>
      <c r="F332" s="46"/>
      <c r="G332" s="46"/>
      <c r="H332" s="46"/>
      <c r="I332" s="46"/>
      <c r="J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 spans="1:28">
      <c r="A333" s="46"/>
      <c r="C333" s="46"/>
      <c r="D333" s="46"/>
      <c r="E333" s="46"/>
      <c r="F333" s="46"/>
      <c r="G333" s="46"/>
      <c r="H333" s="46"/>
      <c r="I333" s="46"/>
      <c r="J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 spans="1:28">
      <c r="A334" s="46"/>
      <c r="C334" s="46"/>
      <c r="D334" s="46"/>
      <c r="E334" s="46"/>
      <c r="F334" s="46"/>
      <c r="G334" s="46"/>
      <c r="H334" s="46"/>
      <c r="I334" s="46"/>
      <c r="J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 spans="1:28">
      <c r="A335" s="46"/>
      <c r="C335" s="46"/>
      <c r="D335" s="46"/>
      <c r="E335" s="46"/>
      <c r="F335" s="46"/>
      <c r="G335" s="46"/>
      <c r="H335" s="46"/>
      <c r="I335" s="46"/>
      <c r="J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 spans="1:28">
      <c r="A336" s="46"/>
      <c r="C336" s="46"/>
      <c r="D336" s="46"/>
      <c r="E336" s="46"/>
      <c r="F336" s="46"/>
      <c r="G336" s="46"/>
      <c r="H336" s="46"/>
      <c r="I336" s="46"/>
      <c r="J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 spans="1:28">
      <c r="A337" s="46"/>
      <c r="C337" s="46"/>
      <c r="D337" s="46"/>
      <c r="E337" s="46"/>
      <c r="F337" s="46"/>
      <c r="G337" s="46"/>
      <c r="H337" s="46"/>
      <c r="I337" s="46"/>
      <c r="J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 spans="1:28">
      <c r="A338" s="46"/>
      <c r="C338" s="46"/>
      <c r="D338" s="46"/>
      <c r="E338" s="46"/>
      <c r="F338" s="46"/>
      <c r="G338" s="46"/>
      <c r="H338" s="46"/>
      <c r="I338" s="46"/>
      <c r="J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 spans="1:28">
      <c r="A339" s="46"/>
      <c r="C339" s="46"/>
      <c r="D339" s="46"/>
      <c r="E339" s="46"/>
      <c r="F339" s="46"/>
      <c r="G339" s="46"/>
      <c r="H339" s="46"/>
      <c r="I339" s="46"/>
      <c r="J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 spans="1:28">
      <c r="A340" s="46"/>
      <c r="C340" s="46"/>
      <c r="D340" s="46"/>
      <c r="E340" s="46"/>
      <c r="F340" s="46"/>
      <c r="G340" s="46"/>
      <c r="H340" s="46"/>
      <c r="I340" s="46"/>
      <c r="J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 spans="1:28">
      <c r="A341" s="46"/>
      <c r="C341" s="46"/>
      <c r="D341" s="46"/>
      <c r="E341" s="46"/>
      <c r="F341" s="46"/>
      <c r="G341" s="46"/>
      <c r="H341" s="46"/>
      <c r="I341" s="46"/>
      <c r="J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 spans="1:28">
      <c r="A342" s="46"/>
      <c r="C342" s="46"/>
      <c r="D342" s="46"/>
      <c r="E342" s="46"/>
      <c r="F342" s="46"/>
      <c r="G342" s="46"/>
      <c r="H342" s="46"/>
      <c r="I342" s="46"/>
      <c r="J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 spans="1:28">
      <c r="A343" s="46"/>
      <c r="C343" s="46"/>
      <c r="D343" s="46"/>
      <c r="E343" s="46"/>
      <c r="F343" s="46"/>
      <c r="G343" s="46"/>
      <c r="H343" s="46"/>
      <c r="I343" s="46"/>
      <c r="J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 spans="1:28">
      <c r="A344" s="46"/>
      <c r="C344" s="46"/>
      <c r="D344" s="46"/>
      <c r="E344" s="46"/>
      <c r="F344" s="46"/>
      <c r="G344" s="46"/>
      <c r="H344" s="46"/>
      <c r="I344" s="46"/>
      <c r="J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 spans="1:28">
      <c r="A345" s="46"/>
      <c r="C345" s="46"/>
      <c r="D345" s="46"/>
      <c r="E345" s="46"/>
      <c r="F345" s="46"/>
      <c r="G345" s="46"/>
      <c r="H345" s="46"/>
      <c r="I345" s="46"/>
      <c r="J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 spans="1:28">
      <c r="A346" s="46"/>
      <c r="C346" s="46"/>
      <c r="D346" s="46"/>
      <c r="E346" s="46"/>
      <c r="F346" s="46"/>
      <c r="G346" s="46"/>
      <c r="H346" s="46"/>
      <c r="I346" s="46"/>
      <c r="J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 spans="1:28">
      <c r="A347" s="46"/>
      <c r="C347" s="46"/>
      <c r="D347" s="46"/>
      <c r="E347" s="46"/>
      <c r="F347" s="46"/>
      <c r="G347" s="46"/>
      <c r="H347" s="46"/>
      <c r="I347" s="46"/>
      <c r="J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 spans="1:28">
      <c r="A348" s="46"/>
      <c r="C348" s="46"/>
      <c r="D348" s="46"/>
      <c r="E348" s="46"/>
      <c r="F348" s="46"/>
      <c r="G348" s="46"/>
      <c r="H348" s="46"/>
      <c r="I348" s="46"/>
      <c r="J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 spans="1:28">
      <c r="A349" s="46"/>
      <c r="C349" s="46"/>
      <c r="D349" s="46"/>
      <c r="E349" s="46"/>
      <c r="F349" s="46"/>
      <c r="G349" s="46"/>
      <c r="H349" s="46"/>
      <c r="I349" s="46"/>
      <c r="J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 spans="1:28">
      <c r="A350" s="46"/>
      <c r="C350" s="46"/>
      <c r="D350" s="46"/>
      <c r="E350" s="46"/>
      <c r="F350" s="46"/>
      <c r="G350" s="46"/>
      <c r="H350" s="46"/>
      <c r="I350" s="46"/>
      <c r="J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 spans="1:28">
      <c r="A351" s="46"/>
      <c r="C351" s="46"/>
      <c r="D351" s="46"/>
      <c r="E351" s="46"/>
      <c r="F351" s="46"/>
      <c r="G351" s="46"/>
      <c r="H351" s="46"/>
      <c r="I351" s="46"/>
      <c r="J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 spans="1:28">
      <c r="A352" s="46"/>
      <c r="C352" s="46"/>
      <c r="D352" s="46"/>
      <c r="E352" s="46"/>
      <c r="F352" s="46"/>
      <c r="G352" s="46"/>
      <c r="H352" s="46"/>
      <c r="I352" s="46"/>
      <c r="J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 spans="1:28">
      <c r="A353" s="46"/>
      <c r="C353" s="46"/>
      <c r="D353" s="46"/>
      <c r="E353" s="46"/>
      <c r="F353" s="46"/>
      <c r="G353" s="46"/>
      <c r="H353" s="46"/>
      <c r="I353" s="46"/>
      <c r="J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 spans="1:28">
      <c r="A354" s="46"/>
      <c r="C354" s="46"/>
      <c r="D354" s="46"/>
      <c r="E354" s="46"/>
      <c r="F354" s="46"/>
      <c r="G354" s="46"/>
      <c r="H354" s="46"/>
      <c r="I354" s="46"/>
      <c r="J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 spans="1:28">
      <c r="A355" s="46"/>
      <c r="C355" s="46"/>
      <c r="D355" s="46"/>
      <c r="E355" s="46"/>
      <c r="F355" s="46"/>
      <c r="G355" s="46"/>
      <c r="H355" s="46"/>
      <c r="I355" s="46"/>
      <c r="J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 spans="1:28">
      <c r="A356" s="46"/>
      <c r="C356" s="46"/>
      <c r="D356" s="46"/>
      <c r="E356" s="46"/>
      <c r="F356" s="46"/>
      <c r="G356" s="46"/>
      <c r="H356" s="46"/>
      <c r="I356" s="46"/>
      <c r="J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 spans="1:28">
      <c r="A357" s="46"/>
      <c r="C357" s="46"/>
      <c r="D357" s="46"/>
      <c r="E357" s="46"/>
      <c r="F357" s="46"/>
      <c r="G357" s="46"/>
      <c r="H357" s="46"/>
      <c r="I357" s="46"/>
      <c r="J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 spans="1:28">
      <c r="A358" s="46"/>
      <c r="C358" s="46"/>
      <c r="D358" s="46"/>
      <c r="E358" s="46"/>
      <c r="F358" s="46"/>
      <c r="G358" s="46"/>
      <c r="H358" s="46"/>
      <c r="I358" s="46"/>
      <c r="J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 spans="1:28">
      <c r="A359" s="46"/>
      <c r="C359" s="46"/>
      <c r="D359" s="46"/>
      <c r="E359" s="46"/>
      <c r="F359" s="46"/>
      <c r="G359" s="46"/>
      <c r="H359" s="46"/>
      <c r="I359" s="46"/>
      <c r="J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 spans="1:28">
      <c r="A360" s="46"/>
      <c r="C360" s="46"/>
      <c r="D360" s="46"/>
      <c r="E360" s="46"/>
      <c r="F360" s="46"/>
      <c r="G360" s="46"/>
      <c r="H360" s="46"/>
      <c r="I360" s="46"/>
      <c r="J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 spans="1:28">
      <c r="A361" s="46"/>
      <c r="C361" s="46"/>
      <c r="D361" s="46"/>
      <c r="E361" s="46"/>
      <c r="F361" s="46"/>
      <c r="G361" s="46"/>
      <c r="H361" s="46"/>
      <c r="I361" s="46"/>
      <c r="J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 spans="1:28">
      <c r="A362" s="46"/>
      <c r="C362" s="46"/>
      <c r="D362" s="46"/>
      <c r="E362" s="46"/>
      <c r="F362" s="46"/>
      <c r="G362" s="46"/>
      <c r="H362" s="46"/>
      <c r="I362" s="46"/>
      <c r="J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 spans="1:28">
      <c r="A363" s="46"/>
      <c r="C363" s="46"/>
      <c r="D363" s="46"/>
      <c r="E363" s="46"/>
      <c r="F363" s="46"/>
      <c r="G363" s="46"/>
      <c r="H363" s="46"/>
      <c r="I363" s="46"/>
      <c r="J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 spans="1:28">
      <c r="A364" s="46"/>
      <c r="C364" s="46"/>
      <c r="D364" s="46"/>
      <c r="E364" s="46"/>
      <c r="F364" s="46"/>
      <c r="G364" s="46"/>
      <c r="H364" s="46"/>
      <c r="I364" s="46"/>
      <c r="J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 spans="1:28">
      <c r="A365" s="46"/>
      <c r="C365" s="46"/>
      <c r="D365" s="46"/>
      <c r="E365" s="46"/>
      <c r="F365" s="46"/>
      <c r="G365" s="46"/>
      <c r="H365" s="46"/>
      <c r="I365" s="46"/>
      <c r="J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 spans="1:28">
      <c r="A366" s="46"/>
      <c r="C366" s="46"/>
      <c r="D366" s="46"/>
      <c r="E366" s="46"/>
      <c r="F366" s="46"/>
      <c r="G366" s="46"/>
      <c r="H366" s="46"/>
      <c r="I366" s="46"/>
      <c r="J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 spans="1:28">
      <c r="A367" s="46"/>
      <c r="C367" s="46"/>
      <c r="D367" s="46"/>
      <c r="E367" s="46"/>
      <c r="F367" s="46"/>
      <c r="G367" s="46"/>
      <c r="H367" s="46"/>
      <c r="I367" s="46"/>
      <c r="J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 spans="1:28">
      <c r="A368" s="46"/>
      <c r="C368" s="46"/>
      <c r="D368" s="46"/>
      <c r="E368" s="46"/>
      <c r="F368" s="46"/>
      <c r="G368" s="46"/>
      <c r="H368" s="46"/>
      <c r="I368" s="46"/>
      <c r="J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 spans="1:28">
      <c r="A369" s="46"/>
      <c r="C369" s="46"/>
      <c r="D369" s="46"/>
      <c r="E369" s="46"/>
      <c r="F369" s="46"/>
      <c r="G369" s="46"/>
      <c r="H369" s="46"/>
      <c r="I369" s="46"/>
      <c r="J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 spans="1:28">
      <c r="A370" s="46"/>
      <c r="C370" s="46"/>
      <c r="D370" s="46"/>
      <c r="E370" s="46"/>
      <c r="F370" s="46"/>
      <c r="G370" s="46"/>
      <c r="H370" s="46"/>
      <c r="I370" s="46"/>
      <c r="J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 spans="1:28">
      <c r="A371" s="46"/>
      <c r="C371" s="46"/>
      <c r="D371" s="46"/>
      <c r="E371" s="46"/>
      <c r="F371" s="46"/>
      <c r="G371" s="46"/>
      <c r="H371" s="46"/>
      <c r="I371" s="46"/>
      <c r="J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 spans="1:28">
      <c r="A372" s="46"/>
      <c r="C372" s="46"/>
      <c r="D372" s="46"/>
      <c r="E372" s="46"/>
      <c r="F372" s="46"/>
      <c r="G372" s="46"/>
      <c r="H372" s="46"/>
      <c r="I372" s="46"/>
      <c r="J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 spans="1:28">
      <c r="A373" s="46"/>
      <c r="C373" s="46"/>
      <c r="D373" s="46"/>
      <c r="E373" s="46"/>
      <c r="F373" s="46"/>
      <c r="G373" s="46"/>
      <c r="H373" s="46"/>
      <c r="I373" s="46"/>
      <c r="J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 spans="1:28">
      <c r="A374" s="46"/>
      <c r="C374" s="46"/>
      <c r="D374" s="46"/>
      <c r="E374" s="46"/>
      <c r="F374" s="46"/>
      <c r="G374" s="46"/>
      <c r="H374" s="46"/>
      <c r="I374" s="46"/>
      <c r="J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 spans="1:28">
      <c r="A375" s="46"/>
      <c r="C375" s="46"/>
      <c r="D375" s="46"/>
      <c r="E375" s="46"/>
      <c r="F375" s="46"/>
      <c r="G375" s="46"/>
      <c r="H375" s="46"/>
      <c r="I375" s="46"/>
      <c r="J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 spans="1:28">
      <c r="A376" s="46"/>
      <c r="C376" s="46"/>
      <c r="D376" s="46"/>
      <c r="E376" s="46"/>
      <c r="F376" s="46"/>
      <c r="G376" s="46"/>
      <c r="H376" s="46"/>
      <c r="I376" s="46"/>
      <c r="J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 spans="1:28">
      <c r="A377" s="46"/>
      <c r="C377" s="46"/>
      <c r="D377" s="46"/>
      <c r="E377" s="46"/>
      <c r="F377" s="46"/>
      <c r="G377" s="46"/>
      <c r="H377" s="46"/>
      <c r="I377" s="46"/>
      <c r="J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 spans="1:28">
      <c r="A378" s="46"/>
      <c r="C378" s="46"/>
      <c r="D378" s="46"/>
      <c r="E378" s="46"/>
      <c r="F378" s="46"/>
      <c r="G378" s="46"/>
      <c r="H378" s="46"/>
      <c r="I378" s="46"/>
      <c r="J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 spans="1:28">
      <c r="A379" s="46"/>
      <c r="C379" s="46"/>
      <c r="D379" s="46"/>
      <c r="E379" s="46"/>
      <c r="F379" s="46"/>
      <c r="G379" s="46"/>
      <c r="H379" s="46"/>
      <c r="I379" s="46"/>
      <c r="J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 spans="1:28">
      <c r="A380" s="46"/>
      <c r="C380" s="46"/>
      <c r="D380" s="46"/>
      <c r="E380" s="46"/>
      <c r="F380" s="46"/>
      <c r="G380" s="46"/>
      <c r="H380" s="46"/>
      <c r="I380" s="46"/>
      <c r="J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 spans="1:28">
      <c r="A381" s="46"/>
      <c r="C381" s="46"/>
      <c r="D381" s="46"/>
      <c r="E381" s="46"/>
      <c r="F381" s="46"/>
      <c r="G381" s="46"/>
      <c r="H381" s="46"/>
      <c r="I381" s="46"/>
      <c r="J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 spans="1:28">
      <c r="A382" s="46"/>
      <c r="C382" s="46"/>
      <c r="D382" s="46"/>
      <c r="E382" s="46"/>
      <c r="F382" s="46"/>
      <c r="G382" s="46"/>
      <c r="H382" s="46"/>
      <c r="I382" s="46"/>
      <c r="J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 spans="1:28">
      <c r="A383" s="46"/>
      <c r="C383" s="46"/>
      <c r="D383" s="46"/>
      <c r="E383" s="46"/>
      <c r="F383" s="46"/>
      <c r="G383" s="46"/>
      <c r="H383" s="46"/>
      <c r="I383" s="46"/>
      <c r="J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 spans="1:28">
      <c r="A384" s="46"/>
      <c r="C384" s="46"/>
      <c r="D384" s="46"/>
      <c r="E384" s="46"/>
      <c r="F384" s="46"/>
      <c r="G384" s="46"/>
      <c r="H384" s="46"/>
      <c r="I384" s="46"/>
      <c r="J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 spans="1:28">
      <c r="A385" s="46"/>
      <c r="C385" s="46"/>
      <c r="D385" s="46"/>
      <c r="E385" s="46"/>
      <c r="F385" s="46"/>
      <c r="G385" s="46"/>
      <c r="H385" s="46"/>
      <c r="I385" s="46"/>
      <c r="J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 spans="1:28">
      <c r="A386" s="46"/>
      <c r="C386" s="46"/>
      <c r="D386" s="46"/>
      <c r="E386" s="46"/>
      <c r="F386" s="46"/>
      <c r="G386" s="46"/>
      <c r="H386" s="46"/>
      <c r="I386" s="46"/>
      <c r="J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 spans="1:28">
      <c r="A387" s="46"/>
      <c r="C387" s="46"/>
      <c r="D387" s="46"/>
      <c r="E387" s="46"/>
      <c r="F387" s="46"/>
      <c r="G387" s="46"/>
      <c r="H387" s="46"/>
      <c r="I387" s="46"/>
      <c r="J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 spans="1:28">
      <c r="A388" s="46"/>
      <c r="C388" s="46"/>
      <c r="D388" s="46"/>
      <c r="E388" s="46"/>
      <c r="F388" s="46"/>
      <c r="G388" s="46"/>
      <c r="H388" s="46"/>
      <c r="I388" s="46"/>
      <c r="J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 spans="1:28">
      <c r="A389" s="46"/>
      <c r="C389" s="46"/>
      <c r="D389" s="46"/>
      <c r="E389" s="46"/>
      <c r="F389" s="46"/>
      <c r="G389" s="46"/>
      <c r="H389" s="46"/>
      <c r="I389" s="46"/>
      <c r="J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 spans="1:28">
      <c r="A390" s="46"/>
      <c r="C390" s="46"/>
      <c r="D390" s="46"/>
      <c r="E390" s="46"/>
      <c r="F390" s="46"/>
      <c r="G390" s="46"/>
      <c r="H390" s="46"/>
      <c r="I390" s="46"/>
      <c r="J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 spans="1:28">
      <c r="A391" s="46"/>
      <c r="C391" s="46"/>
      <c r="D391" s="46"/>
      <c r="E391" s="46"/>
      <c r="F391" s="46"/>
      <c r="G391" s="46"/>
      <c r="H391" s="46"/>
      <c r="I391" s="46"/>
      <c r="J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 spans="1:28">
      <c r="A392" s="46"/>
      <c r="C392" s="46"/>
      <c r="D392" s="46"/>
      <c r="E392" s="46"/>
      <c r="F392" s="46"/>
      <c r="G392" s="46"/>
      <c r="H392" s="46"/>
      <c r="I392" s="46"/>
      <c r="J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 spans="1:28">
      <c r="A393" s="46"/>
      <c r="C393" s="46"/>
      <c r="D393" s="46"/>
      <c r="E393" s="46"/>
      <c r="F393" s="46"/>
      <c r="G393" s="46"/>
      <c r="H393" s="46"/>
      <c r="I393" s="46"/>
      <c r="J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 spans="1:28">
      <c r="A394" s="46"/>
      <c r="C394" s="46"/>
      <c r="D394" s="46"/>
      <c r="E394" s="46"/>
      <c r="F394" s="46"/>
      <c r="G394" s="46"/>
      <c r="H394" s="46"/>
      <c r="I394" s="46"/>
      <c r="J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 spans="1:28">
      <c r="A395" s="46"/>
      <c r="C395" s="46"/>
      <c r="D395" s="46"/>
      <c r="E395" s="46"/>
      <c r="F395" s="46"/>
      <c r="G395" s="46"/>
      <c r="H395" s="46"/>
      <c r="I395" s="46"/>
      <c r="J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 spans="1:28">
      <c r="A396" s="46"/>
      <c r="C396" s="46"/>
      <c r="D396" s="46"/>
      <c r="E396" s="46"/>
      <c r="F396" s="46"/>
      <c r="G396" s="46"/>
      <c r="H396" s="46"/>
      <c r="I396" s="46"/>
      <c r="J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 spans="1:28">
      <c r="A397" s="46"/>
      <c r="C397" s="46"/>
      <c r="D397" s="46"/>
      <c r="E397" s="46"/>
      <c r="F397" s="46"/>
      <c r="G397" s="46"/>
      <c r="H397" s="46"/>
      <c r="I397" s="46"/>
      <c r="J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 spans="1:28">
      <c r="A398" s="46"/>
      <c r="C398" s="46"/>
      <c r="D398" s="46"/>
      <c r="E398" s="46"/>
      <c r="F398" s="46"/>
      <c r="G398" s="46"/>
      <c r="H398" s="46"/>
      <c r="I398" s="46"/>
      <c r="J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 spans="1:28">
      <c r="A399" s="46"/>
      <c r="C399" s="46"/>
      <c r="D399" s="46"/>
      <c r="E399" s="46"/>
      <c r="F399" s="46"/>
      <c r="G399" s="46"/>
      <c r="H399" s="46"/>
      <c r="I399" s="46"/>
      <c r="J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 spans="1:28">
      <c r="A400" s="46"/>
      <c r="C400" s="46"/>
      <c r="D400" s="46"/>
      <c r="E400" s="46"/>
      <c r="F400" s="46"/>
      <c r="G400" s="46"/>
      <c r="H400" s="46"/>
      <c r="I400" s="46"/>
      <c r="J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 spans="1:28">
      <c r="A401" s="46"/>
      <c r="C401" s="46"/>
      <c r="D401" s="46"/>
      <c r="E401" s="46"/>
      <c r="F401" s="46"/>
      <c r="G401" s="46"/>
      <c r="H401" s="46"/>
      <c r="I401" s="46"/>
      <c r="J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 spans="1:28">
      <c r="A402" s="46"/>
      <c r="C402" s="46"/>
      <c r="D402" s="46"/>
      <c r="E402" s="46"/>
      <c r="F402" s="46"/>
      <c r="G402" s="46"/>
      <c r="H402" s="46"/>
      <c r="I402" s="46"/>
      <c r="J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 spans="1:28">
      <c r="A403" s="46"/>
      <c r="C403" s="46"/>
      <c r="D403" s="46"/>
      <c r="E403" s="46"/>
      <c r="F403" s="46"/>
      <c r="G403" s="46"/>
      <c r="H403" s="46"/>
      <c r="I403" s="46"/>
      <c r="J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 spans="1:28">
      <c r="A404" s="46"/>
      <c r="C404" s="46"/>
      <c r="D404" s="46"/>
      <c r="E404" s="46"/>
      <c r="F404" s="46"/>
      <c r="G404" s="46"/>
      <c r="H404" s="46"/>
      <c r="I404" s="46"/>
      <c r="J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 spans="1:28">
      <c r="A405" s="46"/>
      <c r="C405" s="46"/>
      <c r="D405" s="46"/>
      <c r="E405" s="46"/>
      <c r="F405" s="46"/>
      <c r="G405" s="46"/>
      <c r="H405" s="46"/>
      <c r="I405" s="46"/>
      <c r="J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 spans="1:28">
      <c r="A406" s="46"/>
      <c r="C406" s="46"/>
      <c r="D406" s="46"/>
      <c r="E406" s="46"/>
      <c r="F406" s="46"/>
      <c r="G406" s="46"/>
      <c r="H406" s="46"/>
      <c r="I406" s="46"/>
      <c r="J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 spans="1:28">
      <c r="A407" s="46"/>
      <c r="C407" s="46"/>
      <c r="D407" s="46"/>
      <c r="E407" s="46"/>
      <c r="F407" s="46"/>
      <c r="G407" s="46"/>
      <c r="H407" s="46"/>
      <c r="I407" s="46"/>
      <c r="J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 spans="1:28">
      <c r="A408" s="46"/>
      <c r="C408" s="46"/>
      <c r="D408" s="46"/>
      <c r="E408" s="46"/>
      <c r="F408" s="46"/>
      <c r="G408" s="46"/>
      <c r="H408" s="46"/>
      <c r="I408" s="46"/>
      <c r="J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 spans="1:28">
      <c r="A409" s="46"/>
      <c r="C409" s="46"/>
      <c r="D409" s="46"/>
      <c r="E409" s="46"/>
      <c r="F409" s="46"/>
      <c r="G409" s="46"/>
      <c r="H409" s="46"/>
      <c r="I409" s="46"/>
      <c r="J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 spans="1:28">
      <c r="A410" s="46"/>
      <c r="C410" s="46"/>
      <c r="D410" s="46"/>
      <c r="E410" s="46"/>
      <c r="F410" s="46"/>
      <c r="G410" s="46"/>
      <c r="H410" s="46"/>
      <c r="I410" s="46"/>
      <c r="J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 spans="1:28">
      <c r="A411" s="46"/>
      <c r="C411" s="46"/>
      <c r="D411" s="46"/>
      <c r="E411" s="46"/>
      <c r="F411" s="46"/>
      <c r="G411" s="46"/>
      <c r="H411" s="46"/>
      <c r="I411" s="46"/>
      <c r="J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 spans="1:28">
      <c r="A412" s="46"/>
      <c r="C412" s="46"/>
      <c r="D412" s="46"/>
      <c r="E412" s="46"/>
      <c r="F412" s="46"/>
      <c r="G412" s="46"/>
      <c r="H412" s="46"/>
      <c r="I412" s="46"/>
      <c r="J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 spans="1:28">
      <c r="A413" s="46"/>
      <c r="C413" s="46"/>
      <c r="D413" s="46"/>
      <c r="E413" s="46"/>
      <c r="F413" s="46"/>
      <c r="G413" s="46"/>
      <c r="H413" s="46"/>
      <c r="I413" s="46"/>
      <c r="J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 spans="1:28">
      <c r="A414" s="46"/>
      <c r="C414" s="46"/>
      <c r="D414" s="46"/>
      <c r="E414" s="46"/>
      <c r="F414" s="46"/>
      <c r="G414" s="46"/>
      <c r="H414" s="46"/>
      <c r="I414" s="46"/>
      <c r="J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 spans="1:28">
      <c r="A415" s="46"/>
      <c r="C415" s="46"/>
      <c r="D415" s="46"/>
      <c r="E415" s="46"/>
      <c r="F415" s="46"/>
      <c r="G415" s="46"/>
      <c r="H415" s="46"/>
      <c r="I415" s="46"/>
      <c r="J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 spans="1:28">
      <c r="A416" s="46"/>
      <c r="C416" s="46"/>
      <c r="D416" s="46"/>
      <c r="E416" s="46"/>
      <c r="F416" s="46"/>
      <c r="G416" s="46"/>
      <c r="H416" s="46"/>
      <c r="I416" s="46"/>
      <c r="J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 spans="1:28">
      <c r="A417" s="46"/>
      <c r="C417" s="46"/>
      <c r="D417" s="46"/>
      <c r="E417" s="46"/>
      <c r="F417" s="46"/>
      <c r="G417" s="46"/>
      <c r="H417" s="46"/>
      <c r="I417" s="46"/>
      <c r="J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 spans="1:28">
      <c r="A418" s="46"/>
      <c r="C418" s="46"/>
      <c r="D418" s="46"/>
      <c r="E418" s="46"/>
      <c r="F418" s="46"/>
      <c r="G418" s="46"/>
      <c r="H418" s="46"/>
      <c r="I418" s="46"/>
      <c r="J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 spans="1:28">
      <c r="A419" s="46"/>
      <c r="C419" s="46"/>
      <c r="D419" s="46"/>
      <c r="E419" s="46"/>
      <c r="F419" s="46"/>
      <c r="G419" s="46"/>
      <c r="H419" s="46"/>
      <c r="I419" s="46"/>
      <c r="J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 spans="1:28">
      <c r="A420" s="46"/>
      <c r="C420" s="46"/>
      <c r="D420" s="46"/>
      <c r="E420" s="46"/>
      <c r="F420" s="46"/>
      <c r="G420" s="46"/>
      <c r="H420" s="46"/>
      <c r="I420" s="46"/>
      <c r="J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 spans="1:28">
      <c r="A421" s="46"/>
      <c r="C421" s="46"/>
      <c r="D421" s="46"/>
      <c r="E421" s="46"/>
      <c r="F421" s="46"/>
      <c r="G421" s="46"/>
      <c r="H421" s="46"/>
      <c r="I421" s="46"/>
      <c r="J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 spans="1:28">
      <c r="A422" s="46"/>
      <c r="C422" s="46"/>
      <c r="D422" s="46"/>
      <c r="E422" s="46"/>
      <c r="F422" s="46"/>
      <c r="G422" s="46"/>
      <c r="H422" s="46"/>
      <c r="I422" s="46"/>
      <c r="J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 spans="1:28">
      <c r="A423" s="46"/>
      <c r="C423" s="46"/>
      <c r="D423" s="46"/>
      <c r="E423" s="46"/>
      <c r="F423" s="46"/>
      <c r="G423" s="46"/>
      <c r="H423" s="46"/>
      <c r="I423" s="46"/>
      <c r="J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 spans="1:28">
      <c r="A424" s="46"/>
      <c r="C424" s="46"/>
      <c r="D424" s="46"/>
      <c r="E424" s="46"/>
      <c r="F424" s="46"/>
      <c r="G424" s="46"/>
      <c r="H424" s="46"/>
      <c r="I424" s="46"/>
      <c r="J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 spans="1:28">
      <c r="A425" s="46"/>
      <c r="C425" s="46"/>
      <c r="D425" s="46"/>
      <c r="E425" s="46"/>
      <c r="F425" s="46"/>
      <c r="G425" s="46"/>
      <c r="H425" s="46"/>
      <c r="I425" s="46"/>
      <c r="J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 spans="1:28">
      <c r="A426" s="46"/>
      <c r="C426" s="46"/>
      <c r="D426" s="46"/>
      <c r="E426" s="46"/>
      <c r="F426" s="46"/>
      <c r="G426" s="46"/>
      <c r="H426" s="46"/>
      <c r="I426" s="46"/>
      <c r="J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 spans="1:28">
      <c r="A427" s="46"/>
      <c r="C427" s="46"/>
      <c r="D427" s="46"/>
      <c r="E427" s="46"/>
      <c r="F427" s="46"/>
      <c r="G427" s="46"/>
      <c r="H427" s="46"/>
      <c r="I427" s="46"/>
      <c r="J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 spans="1:28">
      <c r="A428" s="46"/>
      <c r="C428" s="46"/>
      <c r="D428" s="46"/>
      <c r="E428" s="46"/>
      <c r="F428" s="46"/>
      <c r="G428" s="46"/>
      <c r="H428" s="46"/>
      <c r="I428" s="46"/>
      <c r="J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 spans="1:28">
      <c r="A429" s="46"/>
      <c r="C429" s="46"/>
      <c r="D429" s="46"/>
      <c r="E429" s="46"/>
      <c r="F429" s="46"/>
      <c r="G429" s="46"/>
      <c r="H429" s="46"/>
      <c r="I429" s="46"/>
      <c r="J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 spans="1:28">
      <c r="A430" s="46"/>
      <c r="C430" s="46"/>
      <c r="D430" s="46"/>
      <c r="E430" s="46"/>
      <c r="F430" s="46"/>
      <c r="G430" s="46"/>
      <c r="H430" s="46"/>
      <c r="I430" s="46"/>
      <c r="J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 spans="1:28">
      <c r="A431" s="46"/>
      <c r="C431" s="46"/>
      <c r="D431" s="46"/>
      <c r="E431" s="46"/>
      <c r="F431" s="46"/>
      <c r="G431" s="46"/>
      <c r="H431" s="46"/>
      <c r="I431" s="46"/>
      <c r="J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 spans="1:28">
      <c r="A432" s="46"/>
      <c r="C432" s="46"/>
      <c r="D432" s="46"/>
      <c r="E432" s="46"/>
      <c r="F432" s="46"/>
      <c r="G432" s="46"/>
      <c r="H432" s="46"/>
      <c r="I432" s="46"/>
      <c r="J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 spans="1:28">
      <c r="A433" s="46"/>
      <c r="C433" s="46"/>
      <c r="D433" s="46"/>
      <c r="E433" s="46"/>
      <c r="F433" s="46"/>
      <c r="G433" s="46"/>
      <c r="H433" s="46"/>
      <c r="I433" s="46"/>
      <c r="J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 spans="1:28">
      <c r="A434" s="46"/>
      <c r="C434" s="46"/>
      <c r="D434" s="46"/>
      <c r="E434" s="46"/>
      <c r="F434" s="46"/>
      <c r="G434" s="46"/>
      <c r="H434" s="46"/>
      <c r="I434" s="46"/>
      <c r="J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 spans="1:28">
      <c r="A435" s="46"/>
      <c r="C435" s="46"/>
      <c r="D435" s="46"/>
      <c r="E435" s="46"/>
      <c r="F435" s="46"/>
      <c r="G435" s="46"/>
      <c r="H435" s="46"/>
      <c r="I435" s="46"/>
      <c r="J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 spans="1:28">
      <c r="A436" s="46"/>
      <c r="C436" s="46"/>
      <c r="D436" s="46"/>
      <c r="E436" s="46"/>
      <c r="F436" s="46"/>
      <c r="G436" s="46"/>
      <c r="H436" s="46"/>
      <c r="I436" s="46"/>
      <c r="J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 spans="1:28">
      <c r="A437" s="46"/>
      <c r="C437" s="46"/>
      <c r="D437" s="46"/>
      <c r="E437" s="46"/>
      <c r="F437" s="46"/>
      <c r="G437" s="46"/>
      <c r="H437" s="46"/>
      <c r="I437" s="46"/>
      <c r="J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 spans="1:28">
      <c r="A438" s="46"/>
      <c r="C438" s="46"/>
      <c r="D438" s="46"/>
      <c r="E438" s="46"/>
      <c r="F438" s="46"/>
      <c r="G438" s="46"/>
      <c r="H438" s="46"/>
      <c r="I438" s="46"/>
      <c r="J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 spans="1:28">
      <c r="A439" s="46"/>
      <c r="C439" s="46"/>
      <c r="D439" s="46"/>
      <c r="E439" s="46"/>
      <c r="F439" s="46"/>
      <c r="G439" s="46"/>
      <c r="H439" s="46"/>
      <c r="I439" s="46"/>
      <c r="J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 spans="1:28">
      <c r="A440" s="46"/>
      <c r="C440" s="46"/>
      <c r="D440" s="46"/>
      <c r="E440" s="46"/>
      <c r="F440" s="46"/>
      <c r="G440" s="46"/>
      <c r="H440" s="46"/>
      <c r="I440" s="46"/>
      <c r="J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 spans="1:28">
      <c r="A441" s="46"/>
      <c r="C441" s="46"/>
      <c r="D441" s="46"/>
      <c r="E441" s="46"/>
      <c r="F441" s="46"/>
      <c r="G441" s="46"/>
      <c r="H441" s="46"/>
      <c r="I441" s="46"/>
      <c r="J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 spans="1:28">
      <c r="A442" s="46"/>
      <c r="C442" s="46"/>
      <c r="D442" s="46"/>
      <c r="E442" s="46"/>
      <c r="F442" s="46"/>
      <c r="G442" s="46"/>
      <c r="H442" s="46"/>
      <c r="I442" s="46"/>
      <c r="J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 spans="1:28">
      <c r="A443" s="46"/>
      <c r="C443" s="46"/>
      <c r="D443" s="46"/>
      <c r="E443" s="46"/>
      <c r="F443" s="46"/>
      <c r="G443" s="46"/>
      <c r="H443" s="46"/>
      <c r="I443" s="46"/>
      <c r="J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 spans="1:28">
      <c r="A444" s="46"/>
      <c r="C444" s="46"/>
      <c r="D444" s="46"/>
      <c r="E444" s="46"/>
      <c r="F444" s="46"/>
      <c r="G444" s="46"/>
      <c r="H444" s="46"/>
      <c r="I444" s="46"/>
      <c r="J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 spans="1:28">
      <c r="A445" s="46"/>
      <c r="C445" s="46"/>
      <c r="D445" s="46"/>
      <c r="E445" s="46"/>
      <c r="F445" s="46"/>
      <c r="G445" s="46"/>
      <c r="H445" s="46"/>
      <c r="I445" s="46"/>
      <c r="J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 spans="1:28">
      <c r="A446" s="46"/>
      <c r="C446" s="46"/>
      <c r="D446" s="46"/>
      <c r="E446" s="46"/>
      <c r="F446" s="46"/>
      <c r="G446" s="46"/>
      <c r="H446" s="46"/>
      <c r="I446" s="46"/>
      <c r="J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 spans="1:28">
      <c r="A447" s="46"/>
      <c r="C447" s="46"/>
      <c r="D447" s="46"/>
      <c r="E447" s="46"/>
      <c r="F447" s="46"/>
      <c r="G447" s="46"/>
      <c r="H447" s="46"/>
      <c r="I447" s="46"/>
      <c r="J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 spans="1:28">
      <c r="A448" s="46"/>
      <c r="C448" s="46"/>
      <c r="D448" s="46"/>
      <c r="E448" s="46"/>
      <c r="F448" s="46"/>
      <c r="G448" s="46"/>
      <c r="H448" s="46"/>
      <c r="I448" s="46"/>
      <c r="J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 spans="1:28">
      <c r="A449" s="46"/>
      <c r="C449" s="46"/>
      <c r="D449" s="46"/>
      <c r="E449" s="46"/>
      <c r="F449" s="46"/>
      <c r="G449" s="46"/>
      <c r="H449" s="46"/>
      <c r="I449" s="46"/>
      <c r="J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 spans="1:28">
      <c r="A450" s="46"/>
      <c r="C450" s="46"/>
      <c r="D450" s="46"/>
      <c r="E450" s="46"/>
      <c r="F450" s="46"/>
      <c r="G450" s="46"/>
      <c r="H450" s="46"/>
      <c r="I450" s="46"/>
      <c r="J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 spans="1:28">
      <c r="A451" s="46"/>
      <c r="C451" s="46"/>
      <c r="D451" s="46"/>
      <c r="E451" s="46"/>
      <c r="F451" s="46"/>
      <c r="G451" s="46"/>
      <c r="H451" s="46"/>
      <c r="I451" s="46"/>
      <c r="J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 spans="1:28">
      <c r="A452" s="46"/>
      <c r="C452" s="46"/>
      <c r="D452" s="46"/>
      <c r="E452" s="46"/>
      <c r="F452" s="46"/>
      <c r="G452" s="46"/>
      <c r="H452" s="46"/>
      <c r="I452" s="46"/>
      <c r="J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 spans="1:28">
      <c r="A453" s="46"/>
      <c r="C453" s="46"/>
      <c r="D453" s="46"/>
      <c r="E453" s="46"/>
      <c r="F453" s="46"/>
      <c r="G453" s="46"/>
      <c r="H453" s="46"/>
      <c r="I453" s="46"/>
      <c r="J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 spans="1:28">
      <c r="A454" s="46"/>
      <c r="C454" s="46"/>
      <c r="D454" s="46"/>
      <c r="E454" s="46"/>
      <c r="F454" s="46"/>
      <c r="G454" s="46"/>
      <c r="H454" s="46"/>
      <c r="I454" s="46"/>
      <c r="J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 spans="1:28">
      <c r="A455" s="46"/>
      <c r="C455" s="46"/>
      <c r="D455" s="46"/>
      <c r="E455" s="46"/>
      <c r="F455" s="46"/>
      <c r="G455" s="46"/>
      <c r="H455" s="46"/>
      <c r="I455" s="46"/>
      <c r="J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 spans="1:28">
      <c r="A456" s="46"/>
      <c r="C456" s="46"/>
      <c r="D456" s="46"/>
      <c r="E456" s="46"/>
      <c r="F456" s="46"/>
      <c r="G456" s="46"/>
      <c r="H456" s="46"/>
      <c r="I456" s="46"/>
      <c r="J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 spans="1:28">
      <c r="A457" s="46"/>
      <c r="C457" s="46"/>
      <c r="D457" s="46"/>
      <c r="E457" s="46"/>
      <c r="F457" s="46"/>
      <c r="G457" s="46"/>
      <c r="H457" s="46"/>
      <c r="I457" s="46"/>
      <c r="J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 spans="1:28">
      <c r="A458" s="46"/>
      <c r="C458" s="46"/>
      <c r="D458" s="46"/>
      <c r="E458" s="46"/>
      <c r="F458" s="46"/>
      <c r="G458" s="46"/>
      <c r="H458" s="46"/>
      <c r="I458" s="46"/>
      <c r="J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 spans="1:28">
      <c r="A459" s="46"/>
      <c r="C459" s="46"/>
      <c r="D459" s="46"/>
      <c r="E459" s="46"/>
      <c r="F459" s="46"/>
      <c r="G459" s="46"/>
      <c r="H459" s="46"/>
      <c r="I459" s="46"/>
      <c r="J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 spans="1:28">
      <c r="A460" s="46"/>
      <c r="C460" s="46"/>
      <c r="D460" s="46"/>
      <c r="E460" s="46"/>
      <c r="F460" s="46"/>
      <c r="G460" s="46"/>
      <c r="H460" s="46"/>
      <c r="I460" s="46"/>
      <c r="J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 spans="1:28">
      <c r="A461" s="46"/>
      <c r="C461" s="46"/>
      <c r="D461" s="46"/>
      <c r="E461" s="46"/>
      <c r="F461" s="46"/>
      <c r="G461" s="46"/>
      <c r="H461" s="46"/>
      <c r="I461" s="46"/>
      <c r="J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 spans="1:28">
      <c r="A462" s="46"/>
      <c r="C462" s="46"/>
      <c r="D462" s="46"/>
      <c r="E462" s="46"/>
      <c r="F462" s="46"/>
      <c r="G462" s="46"/>
      <c r="H462" s="46"/>
      <c r="I462" s="46"/>
      <c r="J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 spans="1:28">
      <c r="A463" s="46"/>
      <c r="C463" s="46"/>
      <c r="D463" s="46"/>
      <c r="E463" s="46"/>
      <c r="F463" s="46"/>
      <c r="G463" s="46"/>
      <c r="H463" s="46"/>
      <c r="I463" s="46"/>
      <c r="J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 spans="1:28">
      <c r="A464" s="46"/>
      <c r="C464" s="46"/>
      <c r="D464" s="46"/>
      <c r="E464" s="46"/>
      <c r="F464" s="46"/>
      <c r="G464" s="46"/>
      <c r="H464" s="46"/>
      <c r="I464" s="46"/>
      <c r="J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 spans="1:28">
      <c r="A465" s="46"/>
      <c r="C465" s="46"/>
      <c r="D465" s="46"/>
      <c r="E465" s="46"/>
      <c r="F465" s="46"/>
      <c r="G465" s="46"/>
      <c r="H465" s="46"/>
      <c r="I465" s="46"/>
      <c r="J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 spans="1:28">
      <c r="A466" s="46"/>
      <c r="C466" s="46"/>
      <c r="D466" s="46"/>
      <c r="E466" s="46"/>
      <c r="F466" s="46"/>
      <c r="G466" s="46"/>
      <c r="H466" s="46"/>
      <c r="I466" s="46"/>
      <c r="J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 spans="1:28">
      <c r="A467" s="46"/>
      <c r="C467" s="46"/>
      <c r="D467" s="46"/>
      <c r="E467" s="46"/>
      <c r="F467" s="46"/>
      <c r="G467" s="46"/>
      <c r="H467" s="46"/>
      <c r="I467" s="46"/>
      <c r="J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 spans="1:28">
      <c r="A468" s="46"/>
      <c r="C468" s="46"/>
      <c r="D468" s="46"/>
      <c r="E468" s="46"/>
      <c r="F468" s="46"/>
      <c r="G468" s="46"/>
      <c r="H468" s="46"/>
      <c r="I468" s="46"/>
      <c r="J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 spans="1:28">
      <c r="A469" s="46"/>
      <c r="C469" s="46"/>
      <c r="D469" s="46"/>
      <c r="E469" s="46"/>
      <c r="F469" s="46"/>
      <c r="G469" s="46"/>
      <c r="H469" s="46"/>
      <c r="I469" s="46"/>
      <c r="J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 spans="1:28">
      <c r="A470" s="46"/>
      <c r="C470" s="46"/>
      <c r="D470" s="46"/>
      <c r="E470" s="46"/>
      <c r="F470" s="46"/>
      <c r="G470" s="46"/>
      <c r="H470" s="46"/>
      <c r="I470" s="46"/>
      <c r="J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 spans="1:28">
      <c r="A471" s="46"/>
      <c r="C471" s="46"/>
      <c r="D471" s="46"/>
      <c r="E471" s="46"/>
      <c r="F471" s="46"/>
      <c r="G471" s="46"/>
      <c r="H471" s="46"/>
      <c r="I471" s="46"/>
      <c r="J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 spans="1:28">
      <c r="A472" s="46"/>
      <c r="C472" s="46"/>
      <c r="D472" s="46"/>
      <c r="E472" s="46"/>
      <c r="F472" s="46"/>
      <c r="G472" s="46"/>
      <c r="H472" s="46"/>
      <c r="I472" s="46"/>
      <c r="J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 spans="1:28">
      <c r="A473" s="46"/>
      <c r="C473" s="46"/>
      <c r="D473" s="46"/>
      <c r="E473" s="46"/>
      <c r="F473" s="46"/>
      <c r="G473" s="46"/>
      <c r="H473" s="46"/>
      <c r="I473" s="46"/>
      <c r="J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 spans="1:28">
      <c r="A474" s="46"/>
      <c r="C474" s="46"/>
      <c r="D474" s="46"/>
      <c r="E474" s="46"/>
      <c r="F474" s="46"/>
      <c r="G474" s="46"/>
      <c r="H474" s="46"/>
      <c r="I474" s="46"/>
      <c r="J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 spans="1:28">
      <c r="A475" s="46"/>
      <c r="C475" s="46"/>
      <c r="D475" s="46"/>
      <c r="E475" s="46"/>
      <c r="F475" s="46"/>
      <c r="G475" s="46"/>
      <c r="H475" s="46"/>
      <c r="I475" s="46"/>
      <c r="J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 spans="1:28">
      <c r="A476" s="46"/>
      <c r="C476" s="46"/>
      <c r="D476" s="46"/>
      <c r="E476" s="46"/>
      <c r="F476" s="46"/>
      <c r="G476" s="46"/>
      <c r="H476" s="46"/>
      <c r="I476" s="46"/>
      <c r="J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 spans="1:28">
      <c r="A477" s="46"/>
      <c r="C477" s="46"/>
      <c r="D477" s="46"/>
      <c r="E477" s="46"/>
      <c r="F477" s="46"/>
      <c r="G477" s="46"/>
      <c r="H477" s="46"/>
      <c r="I477" s="46"/>
      <c r="J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 spans="1:28">
      <c r="A478" s="46"/>
      <c r="C478" s="46"/>
      <c r="D478" s="46"/>
      <c r="E478" s="46"/>
      <c r="F478" s="46"/>
      <c r="G478" s="46"/>
      <c r="H478" s="46"/>
      <c r="I478" s="46"/>
      <c r="J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 spans="1:28">
      <c r="A479" s="46"/>
      <c r="C479" s="46"/>
      <c r="D479" s="46"/>
      <c r="E479" s="46"/>
      <c r="F479" s="46"/>
      <c r="G479" s="46"/>
      <c r="H479" s="46"/>
      <c r="I479" s="46"/>
      <c r="J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 spans="1:28">
      <c r="A480" s="46"/>
      <c r="C480" s="46"/>
      <c r="D480" s="46"/>
      <c r="E480" s="46"/>
      <c r="F480" s="46"/>
      <c r="G480" s="46"/>
      <c r="H480" s="46"/>
      <c r="I480" s="46"/>
      <c r="J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 spans="1:28">
      <c r="A481" s="46"/>
      <c r="C481" s="46"/>
      <c r="D481" s="46"/>
      <c r="E481" s="46"/>
      <c r="F481" s="46"/>
      <c r="G481" s="46"/>
      <c r="H481" s="46"/>
      <c r="I481" s="46"/>
      <c r="J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 spans="1:28">
      <c r="A482" s="46"/>
      <c r="C482" s="46"/>
      <c r="D482" s="46"/>
      <c r="E482" s="46"/>
      <c r="F482" s="46"/>
      <c r="G482" s="46"/>
      <c r="H482" s="46"/>
      <c r="I482" s="46"/>
      <c r="J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 spans="1:28">
      <c r="A483" s="46"/>
      <c r="C483" s="46"/>
      <c r="D483" s="46"/>
      <c r="E483" s="46"/>
      <c r="F483" s="46"/>
      <c r="G483" s="46"/>
      <c r="H483" s="46"/>
      <c r="I483" s="46"/>
      <c r="J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 spans="1:28">
      <c r="A484" s="46"/>
      <c r="C484" s="46"/>
      <c r="D484" s="46"/>
      <c r="E484" s="46"/>
      <c r="F484" s="46"/>
      <c r="G484" s="46"/>
      <c r="H484" s="46"/>
      <c r="I484" s="46"/>
      <c r="J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 spans="1:28">
      <c r="A485" s="46"/>
      <c r="C485" s="46"/>
      <c r="D485" s="46"/>
      <c r="E485" s="46"/>
      <c r="F485" s="46"/>
      <c r="G485" s="46"/>
      <c r="H485" s="46"/>
      <c r="I485" s="46"/>
      <c r="J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 spans="1:28">
      <c r="A486" s="46"/>
      <c r="C486" s="46"/>
      <c r="D486" s="46"/>
      <c r="E486" s="46"/>
      <c r="F486" s="46"/>
      <c r="G486" s="46"/>
      <c r="H486" s="46"/>
      <c r="I486" s="46"/>
      <c r="J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 spans="1:28">
      <c r="A487" s="46"/>
      <c r="C487" s="46"/>
      <c r="D487" s="46"/>
      <c r="E487" s="46"/>
      <c r="F487" s="46"/>
      <c r="G487" s="46"/>
      <c r="H487" s="46"/>
      <c r="I487" s="46"/>
      <c r="J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 spans="1:28">
      <c r="A488" s="46"/>
      <c r="C488" s="46"/>
      <c r="D488" s="46"/>
      <c r="E488" s="46"/>
      <c r="F488" s="46"/>
      <c r="G488" s="46"/>
      <c r="H488" s="46"/>
      <c r="I488" s="46"/>
      <c r="J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 spans="1:28">
      <c r="A489" s="46"/>
      <c r="C489" s="46"/>
      <c r="D489" s="46"/>
      <c r="E489" s="46"/>
      <c r="F489" s="46"/>
      <c r="G489" s="46"/>
      <c r="H489" s="46"/>
      <c r="I489" s="46"/>
      <c r="J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 spans="1:28">
      <c r="A490" s="46"/>
      <c r="C490" s="46"/>
      <c r="D490" s="46"/>
      <c r="E490" s="46"/>
      <c r="F490" s="46"/>
      <c r="G490" s="46"/>
      <c r="H490" s="46"/>
      <c r="I490" s="46"/>
      <c r="J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 spans="1:28">
      <c r="A491" s="46"/>
      <c r="C491" s="46"/>
      <c r="D491" s="46"/>
      <c r="E491" s="46"/>
      <c r="F491" s="46"/>
      <c r="G491" s="46"/>
      <c r="H491" s="46"/>
      <c r="I491" s="46"/>
      <c r="J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 spans="1:28">
      <c r="A492" s="46"/>
      <c r="C492" s="46"/>
      <c r="D492" s="46"/>
      <c r="E492" s="46"/>
      <c r="F492" s="46"/>
      <c r="G492" s="46"/>
      <c r="H492" s="46"/>
      <c r="I492" s="46"/>
      <c r="J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 spans="1:28">
      <c r="A493" s="46"/>
      <c r="C493" s="46"/>
      <c r="D493" s="46"/>
      <c r="E493" s="46"/>
      <c r="F493" s="46"/>
      <c r="G493" s="46"/>
      <c r="H493" s="46"/>
      <c r="I493" s="46"/>
      <c r="J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 spans="1:28">
      <c r="A494" s="46"/>
      <c r="C494" s="46"/>
      <c r="D494" s="46"/>
      <c r="E494" s="46"/>
      <c r="F494" s="46"/>
      <c r="G494" s="46"/>
      <c r="H494" s="46"/>
      <c r="I494" s="46"/>
      <c r="J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 spans="1:28">
      <c r="A495" s="46"/>
      <c r="C495" s="46"/>
      <c r="D495" s="46"/>
      <c r="E495" s="46"/>
      <c r="F495" s="46"/>
      <c r="G495" s="46"/>
      <c r="H495" s="46"/>
      <c r="I495" s="46"/>
      <c r="J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 spans="1:28">
      <c r="A496" s="46"/>
      <c r="C496" s="46"/>
      <c r="D496" s="46"/>
      <c r="E496" s="46"/>
      <c r="F496" s="46"/>
      <c r="G496" s="46"/>
      <c r="H496" s="46"/>
      <c r="I496" s="46"/>
      <c r="J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 spans="1:28">
      <c r="A497" s="46"/>
      <c r="C497" s="46"/>
      <c r="D497" s="46"/>
      <c r="E497" s="46"/>
      <c r="F497" s="46"/>
      <c r="G497" s="46"/>
      <c r="H497" s="46"/>
      <c r="I497" s="46"/>
      <c r="J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 spans="1:28">
      <c r="A498" s="46"/>
      <c r="C498" s="46"/>
      <c r="D498" s="46"/>
      <c r="E498" s="46"/>
      <c r="F498" s="46"/>
      <c r="G498" s="46"/>
      <c r="H498" s="46"/>
      <c r="I498" s="46"/>
      <c r="J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 spans="1:28">
      <c r="A499" s="46"/>
      <c r="C499" s="46"/>
      <c r="D499" s="46"/>
      <c r="E499" s="46"/>
      <c r="F499" s="46"/>
      <c r="G499" s="46"/>
      <c r="H499" s="46"/>
      <c r="I499" s="46"/>
      <c r="J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 spans="1:28">
      <c r="A500" s="46"/>
      <c r="C500" s="46"/>
      <c r="D500" s="46"/>
      <c r="E500" s="46"/>
      <c r="F500" s="46"/>
      <c r="G500" s="46"/>
      <c r="H500" s="46"/>
      <c r="I500" s="46"/>
      <c r="J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 spans="1:28">
      <c r="A501" s="46"/>
      <c r="C501" s="46"/>
      <c r="D501" s="46"/>
      <c r="E501" s="46"/>
      <c r="F501" s="46"/>
      <c r="G501" s="46"/>
      <c r="H501" s="46"/>
      <c r="I501" s="46"/>
      <c r="J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 spans="1:28">
      <c r="A502" s="46"/>
      <c r="C502" s="46"/>
      <c r="D502" s="46"/>
      <c r="E502" s="46"/>
      <c r="F502" s="46"/>
      <c r="G502" s="46"/>
      <c r="H502" s="46"/>
      <c r="I502" s="46"/>
      <c r="J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 spans="1:28">
      <c r="A503" s="46"/>
      <c r="C503" s="46"/>
      <c r="D503" s="46"/>
      <c r="E503" s="46"/>
      <c r="F503" s="46"/>
      <c r="G503" s="46"/>
      <c r="H503" s="46"/>
      <c r="I503" s="46"/>
      <c r="J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 spans="1:28">
      <c r="A504" s="46"/>
      <c r="C504" s="46"/>
      <c r="D504" s="46"/>
      <c r="E504" s="46"/>
      <c r="F504" s="46"/>
      <c r="G504" s="46"/>
      <c r="H504" s="46"/>
      <c r="I504" s="46"/>
      <c r="J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 spans="1:28">
      <c r="A505" s="46"/>
      <c r="C505" s="46"/>
      <c r="D505" s="46"/>
      <c r="E505" s="46"/>
      <c r="F505" s="46"/>
      <c r="G505" s="46"/>
      <c r="H505" s="46"/>
      <c r="I505" s="46"/>
      <c r="J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 spans="1:28">
      <c r="A506" s="46"/>
      <c r="C506" s="46"/>
      <c r="D506" s="46"/>
      <c r="E506" s="46"/>
      <c r="F506" s="46"/>
      <c r="G506" s="46"/>
      <c r="H506" s="46"/>
      <c r="I506" s="46"/>
      <c r="J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 spans="1:28">
      <c r="A507" s="46"/>
      <c r="C507" s="46"/>
      <c r="D507" s="46"/>
      <c r="E507" s="46"/>
      <c r="F507" s="46"/>
      <c r="G507" s="46"/>
      <c r="H507" s="46"/>
      <c r="I507" s="46"/>
      <c r="J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 spans="1:28">
      <c r="A508" s="46"/>
      <c r="C508" s="46"/>
      <c r="D508" s="46"/>
      <c r="E508" s="46"/>
      <c r="F508" s="46"/>
      <c r="G508" s="46"/>
      <c r="H508" s="46"/>
      <c r="I508" s="46"/>
      <c r="J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 spans="1:28">
      <c r="A509" s="46"/>
      <c r="C509" s="46"/>
      <c r="D509" s="46"/>
      <c r="E509" s="46"/>
      <c r="F509" s="46"/>
      <c r="G509" s="46"/>
      <c r="H509" s="46"/>
      <c r="I509" s="46"/>
      <c r="J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 spans="1:28">
      <c r="A510" s="46"/>
      <c r="C510" s="46"/>
      <c r="D510" s="46"/>
      <c r="E510" s="46"/>
      <c r="F510" s="46"/>
      <c r="G510" s="46"/>
      <c r="H510" s="46"/>
      <c r="I510" s="46"/>
      <c r="J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 spans="1:28">
      <c r="A511" s="46"/>
      <c r="C511" s="46"/>
      <c r="D511" s="46"/>
      <c r="E511" s="46"/>
      <c r="F511" s="46"/>
      <c r="G511" s="46"/>
      <c r="H511" s="46"/>
      <c r="I511" s="46"/>
      <c r="J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 spans="1:28">
      <c r="A512" s="46"/>
      <c r="C512" s="46"/>
      <c r="D512" s="46"/>
      <c r="E512" s="46"/>
      <c r="F512" s="46"/>
      <c r="G512" s="46"/>
      <c r="H512" s="46"/>
      <c r="I512" s="46"/>
      <c r="J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 spans="1:28">
      <c r="A513" s="46"/>
      <c r="C513" s="46"/>
      <c r="D513" s="46"/>
      <c r="E513" s="46"/>
      <c r="F513" s="46"/>
      <c r="G513" s="46"/>
      <c r="H513" s="46"/>
      <c r="I513" s="46"/>
      <c r="J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 spans="1:28">
      <c r="A514" s="46"/>
      <c r="C514" s="46"/>
      <c r="D514" s="46"/>
      <c r="E514" s="46"/>
      <c r="F514" s="46"/>
      <c r="G514" s="46"/>
      <c r="H514" s="46"/>
      <c r="I514" s="46"/>
      <c r="J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 spans="1:28">
      <c r="A515" s="46"/>
      <c r="C515" s="46"/>
      <c r="D515" s="46"/>
      <c r="E515" s="46"/>
      <c r="F515" s="46"/>
      <c r="G515" s="46"/>
      <c r="H515" s="46"/>
      <c r="I515" s="46"/>
      <c r="J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 spans="1:28">
      <c r="A516" s="46"/>
      <c r="C516" s="46"/>
      <c r="D516" s="46"/>
      <c r="E516" s="46"/>
      <c r="F516" s="46"/>
      <c r="G516" s="46"/>
      <c r="H516" s="46"/>
      <c r="I516" s="46"/>
      <c r="J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 spans="1:28">
      <c r="A517" s="46"/>
      <c r="C517" s="46"/>
      <c r="D517" s="46"/>
      <c r="E517" s="46"/>
      <c r="F517" s="46"/>
      <c r="G517" s="46"/>
      <c r="H517" s="46"/>
      <c r="I517" s="46"/>
      <c r="J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 spans="1:28">
      <c r="A518" s="46"/>
      <c r="C518" s="46"/>
      <c r="D518" s="46"/>
      <c r="E518" s="46"/>
      <c r="F518" s="46"/>
      <c r="G518" s="46"/>
      <c r="H518" s="46"/>
      <c r="I518" s="46"/>
      <c r="J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 spans="1:28">
      <c r="A519" s="46"/>
      <c r="C519" s="46"/>
      <c r="D519" s="46"/>
      <c r="E519" s="46"/>
      <c r="F519" s="46"/>
      <c r="G519" s="46"/>
      <c r="H519" s="46"/>
      <c r="I519" s="46"/>
      <c r="J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 spans="1:28">
      <c r="A520" s="46"/>
      <c r="C520" s="46"/>
      <c r="D520" s="46"/>
      <c r="E520" s="46"/>
      <c r="F520" s="46"/>
      <c r="G520" s="46"/>
      <c r="H520" s="46"/>
      <c r="I520" s="46"/>
      <c r="J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 spans="1:28">
      <c r="A521" s="46"/>
      <c r="C521" s="46"/>
      <c r="D521" s="46"/>
      <c r="E521" s="46"/>
      <c r="F521" s="46"/>
      <c r="G521" s="46"/>
      <c r="H521" s="46"/>
      <c r="I521" s="46"/>
      <c r="J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 spans="1:28">
      <c r="A522" s="46"/>
      <c r="C522" s="46"/>
      <c r="D522" s="46"/>
      <c r="E522" s="46"/>
      <c r="F522" s="46"/>
      <c r="G522" s="46"/>
      <c r="H522" s="46"/>
      <c r="I522" s="46"/>
      <c r="J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 spans="1:28">
      <c r="A523" s="46"/>
      <c r="C523" s="46"/>
      <c r="D523" s="46"/>
      <c r="E523" s="46"/>
      <c r="F523" s="46"/>
      <c r="G523" s="46"/>
      <c r="H523" s="46"/>
      <c r="I523" s="46"/>
      <c r="J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 spans="1:28">
      <c r="A524" s="46"/>
      <c r="C524" s="46"/>
      <c r="D524" s="46"/>
      <c r="E524" s="46"/>
      <c r="F524" s="46"/>
      <c r="G524" s="46"/>
      <c r="H524" s="46"/>
      <c r="I524" s="46"/>
      <c r="J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 spans="1:28">
      <c r="A525" s="46"/>
      <c r="C525" s="46"/>
      <c r="D525" s="46"/>
      <c r="E525" s="46"/>
      <c r="F525" s="46"/>
      <c r="G525" s="46"/>
      <c r="H525" s="46"/>
      <c r="I525" s="46"/>
      <c r="J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 spans="1:28">
      <c r="A526" s="46"/>
      <c r="C526" s="46"/>
      <c r="D526" s="46"/>
      <c r="E526" s="46"/>
      <c r="F526" s="46"/>
      <c r="G526" s="46"/>
      <c r="H526" s="46"/>
      <c r="I526" s="46"/>
      <c r="J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 spans="1:28">
      <c r="A527" s="46"/>
      <c r="C527" s="46"/>
      <c r="D527" s="46"/>
      <c r="E527" s="46"/>
      <c r="F527" s="46"/>
      <c r="G527" s="46"/>
      <c r="H527" s="46"/>
      <c r="I527" s="46"/>
      <c r="J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 spans="1:28">
      <c r="A528" s="46"/>
      <c r="C528" s="46"/>
      <c r="D528" s="46"/>
      <c r="E528" s="46"/>
      <c r="F528" s="46"/>
      <c r="G528" s="46"/>
      <c r="H528" s="46"/>
      <c r="I528" s="46"/>
      <c r="J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 spans="1:28">
      <c r="A529" s="46"/>
      <c r="C529" s="46"/>
      <c r="D529" s="46"/>
      <c r="E529" s="46"/>
      <c r="F529" s="46"/>
      <c r="G529" s="46"/>
      <c r="H529" s="46"/>
      <c r="I529" s="46"/>
      <c r="J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 spans="1:28">
      <c r="A530" s="46"/>
      <c r="C530" s="46"/>
      <c r="D530" s="46"/>
      <c r="E530" s="46"/>
      <c r="F530" s="46"/>
      <c r="G530" s="46"/>
      <c r="H530" s="46"/>
      <c r="I530" s="46"/>
      <c r="J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 spans="1:28">
      <c r="A531" s="46"/>
      <c r="C531" s="46"/>
      <c r="D531" s="46"/>
      <c r="E531" s="46"/>
      <c r="F531" s="46"/>
      <c r="G531" s="46"/>
      <c r="H531" s="46"/>
      <c r="I531" s="46"/>
      <c r="J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 spans="1:28">
      <c r="A532" s="46"/>
      <c r="C532" s="46"/>
      <c r="D532" s="46"/>
      <c r="E532" s="46"/>
      <c r="F532" s="46"/>
      <c r="G532" s="46"/>
      <c r="H532" s="46"/>
      <c r="I532" s="46"/>
      <c r="J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 spans="1:28">
      <c r="A533" s="46"/>
      <c r="C533" s="46"/>
      <c r="D533" s="46"/>
      <c r="E533" s="46"/>
      <c r="F533" s="46"/>
      <c r="G533" s="46"/>
      <c r="H533" s="46"/>
      <c r="I533" s="46"/>
      <c r="J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 spans="1:28">
      <c r="A534" s="46"/>
      <c r="C534" s="46"/>
      <c r="D534" s="46"/>
      <c r="E534" s="46"/>
      <c r="F534" s="46"/>
      <c r="G534" s="46"/>
      <c r="H534" s="46"/>
      <c r="I534" s="46"/>
      <c r="J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 spans="1:28">
      <c r="A535" s="46"/>
      <c r="C535" s="46"/>
      <c r="D535" s="46"/>
      <c r="E535" s="46"/>
      <c r="F535" s="46"/>
      <c r="G535" s="46"/>
      <c r="H535" s="46"/>
      <c r="I535" s="46"/>
      <c r="J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 spans="1:28">
      <c r="A536" s="46"/>
      <c r="C536" s="46"/>
      <c r="D536" s="46"/>
      <c r="E536" s="46"/>
      <c r="F536" s="46"/>
      <c r="G536" s="46"/>
      <c r="H536" s="46"/>
      <c r="I536" s="46"/>
      <c r="J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 spans="1:28">
      <c r="A537" s="46"/>
      <c r="C537" s="46"/>
      <c r="D537" s="46"/>
      <c r="E537" s="46"/>
      <c r="F537" s="46"/>
      <c r="G537" s="46"/>
      <c r="H537" s="46"/>
      <c r="I537" s="46"/>
      <c r="J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 spans="1:28">
      <c r="A538" s="46"/>
      <c r="C538" s="46"/>
      <c r="D538" s="46"/>
      <c r="E538" s="46"/>
      <c r="F538" s="46"/>
      <c r="G538" s="46"/>
      <c r="H538" s="46"/>
      <c r="I538" s="46"/>
      <c r="J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 spans="1:28">
      <c r="A539" s="46"/>
      <c r="C539" s="46"/>
      <c r="D539" s="46"/>
      <c r="E539" s="46"/>
      <c r="F539" s="46"/>
      <c r="G539" s="46"/>
      <c r="H539" s="46"/>
      <c r="I539" s="46"/>
      <c r="J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 spans="1:28">
      <c r="A540" s="46"/>
      <c r="C540" s="46"/>
      <c r="D540" s="46"/>
      <c r="E540" s="46"/>
      <c r="F540" s="46"/>
      <c r="G540" s="46"/>
      <c r="H540" s="46"/>
      <c r="I540" s="46"/>
      <c r="J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 spans="1:28">
      <c r="A541" s="46"/>
      <c r="C541" s="46"/>
      <c r="D541" s="46"/>
      <c r="E541" s="46"/>
      <c r="F541" s="46"/>
      <c r="G541" s="46"/>
      <c r="H541" s="46"/>
      <c r="I541" s="46"/>
      <c r="J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 spans="1:28">
      <c r="A542" s="46"/>
      <c r="C542" s="46"/>
      <c r="D542" s="46"/>
      <c r="E542" s="46"/>
      <c r="F542" s="46"/>
      <c r="G542" s="46"/>
      <c r="H542" s="46"/>
      <c r="I542" s="46"/>
      <c r="J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 spans="1:28">
      <c r="A543" s="46"/>
      <c r="C543" s="46"/>
      <c r="D543" s="46"/>
      <c r="E543" s="46"/>
      <c r="F543" s="46"/>
      <c r="G543" s="46"/>
      <c r="H543" s="46"/>
      <c r="I543" s="46"/>
      <c r="J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 spans="1:28">
      <c r="A544" s="46"/>
      <c r="C544" s="46"/>
      <c r="D544" s="46"/>
      <c r="E544" s="46"/>
      <c r="F544" s="46"/>
      <c r="G544" s="46"/>
      <c r="H544" s="46"/>
      <c r="I544" s="46"/>
      <c r="J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 spans="1:28">
      <c r="A545" s="46"/>
      <c r="C545" s="46"/>
      <c r="D545" s="46"/>
      <c r="E545" s="46"/>
      <c r="F545" s="46"/>
      <c r="G545" s="46"/>
      <c r="H545" s="46"/>
      <c r="I545" s="46"/>
      <c r="J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 spans="1:28">
      <c r="A546" s="46"/>
      <c r="C546" s="46"/>
      <c r="D546" s="46"/>
      <c r="E546" s="46"/>
      <c r="F546" s="46"/>
      <c r="G546" s="46"/>
      <c r="H546" s="46"/>
      <c r="I546" s="46"/>
      <c r="J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 spans="1:28">
      <c r="A547" s="46"/>
      <c r="C547" s="46"/>
      <c r="D547" s="46"/>
      <c r="E547" s="46"/>
      <c r="F547" s="46"/>
      <c r="G547" s="46"/>
      <c r="H547" s="46"/>
      <c r="I547" s="46"/>
      <c r="J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 spans="1:28">
      <c r="A548" s="46"/>
      <c r="C548" s="46"/>
      <c r="D548" s="46"/>
      <c r="E548" s="46"/>
      <c r="F548" s="46"/>
      <c r="G548" s="46"/>
      <c r="H548" s="46"/>
      <c r="I548" s="46"/>
      <c r="J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 spans="1:28">
      <c r="A549" s="46"/>
      <c r="C549" s="46"/>
      <c r="D549" s="46"/>
      <c r="E549" s="46"/>
      <c r="F549" s="46"/>
      <c r="G549" s="46"/>
      <c r="H549" s="46"/>
      <c r="I549" s="46"/>
      <c r="J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 spans="1:28">
      <c r="A550" s="46"/>
      <c r="C550" s="46"/>
      <c r="D550" s="46"/>
      <c r="E550" s="46"/>
      <c r="F550" s="46"/>
      <c r="G550" s="46"/>
      <c r="H550" s="46"/>
      <c r="I550" s="46"/>
      <c r="J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 spans="1:28">
      <c r="A551" s="46"/>
      <c r="C551" s="46"/>
      <c r="D551" s="46"/>
      <c r="E551" s="46"/>
      <c r="F551" s="46"/>
      <c r="G551" s="46"/>
      <c r="H551" s="46"/>
      <c r="I551" s="46"/>
      <c r="J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 spans="1:28">
      <c r="A552" s="46"/>
      <c r="C552" s="46"/>
      <c r="D552" s="46"/>
      <c r="E552" s="46"/>
      <c r="F552" s="46"/>
      <c r="G552" s="46"/>
      <c r="H552" s="46"/>
      <c r="I552" s="46"/>
      <c r="J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 spans="1:28">
      <c r="A553" s="46"/>
      <c r="C553" s="46"/>
      <c r="D553" s="46"/>
      <c r="E553" s="46"/>
      <c r="F553" s="46"/>
      <c r="G553" s="46"/>
      <c r="H553" s="46"/>
      <c r="I553" s="46"/>
      <c r="J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 spans="1:28">
      <c r="A554" s="46"/>
      <c r="C554" s="46"/>
      <c r="D554" s="46"/>
      <c r="E554" s="46"/>
      <c r="F554" s="46"/>
      <c r="G554" s="46"/>
      <c r="H554" s="46"/>
      <c r="I554" s="46"/>
      <c r="J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 spans="1:28">
      <c r="A555" s="46"/>
      <c r="C555" s="46"/>
      <c r="D555" s="46"/>
      <c r="E555" s="46"/>
      <c r="F555" s="46"/>
      <c r="G555" s="46"/>
      <c r="H555" s="46"/>
      <c r="I555" s="46"/>
      <c r="J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 spans="1:28">
      <c r="A556" s="46"/>
      <c r="C556" s="46"/>
      <c r="D556" s="46"/>
      <c r="E556" s="46"/>
      <c r="F556" s="46"/>
      <c r="G556" s="46"/>
      <c r="H556" s="46"/>
      <c r="I556" s="46"/>
      <c r="J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 spans="1:28">
      <c r="A557" s="46"/>
      <c r="C557" s="46"/>
      <c r="D557" s="46"/>
      <c r="E557" s="46"/>
      <c r="F557" s="46"/>
      <c r="G557" s="46"/>
      <c r="H557" s="46"/>
      <c r="I557" s="46"/>
      <c r="J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 spans="1:28">
      <c r="A558" s="46"/>
      <c r="C558" s="46"/>
      <c r="D558" s="46"/>
      <c r="E558" s="46"/>
      <c r="F558" s="46"/>
      <c r="G558" s="46"/>
      <c r="H558" s="46"/>
      <c r="I558" s="46"/>
      <c r="J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 spans="1:28">
      <c r="A559" s="46"/>
      <c r="C559" s="46"/>
      <c r="D559" s="46"/>
      <c r="E559" s="46"/>
      <c r="F559" s="46"/>
      <c r="G559" s="46"/>
      <c r="H559" s="46"/>
      <c r="I559" s="46"/>
      <c r="J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 spans="1:28">
      <c r="A560" s="46"/>
      <c r="C560" s="46"/>
      <c r="D560" s="46"/>
      <c r="E560" s="46"/>
      <c r="F560" s="46"/>
      <c r="G560" s="46"/>
      <c r="H560" s="46"/>
      <c r="I560" s="46"/>
      <c r="J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 spans="1:28">
      <c r="A561" s="46"/>
      <c r="C561" s="46"/>
      <c r="D561" s="46"/>
      <c r="E561" s="46"/>
      <c r="F561" s="46"/>
      <c r="G561" s="46"/>
      <c r="H561" s="46"/>
      <c r="I561" s="46"/>
      <c r="J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 spans="1:28">
      <c r="A562" s="46"/>
      <c r="C562" s="46"/>
      <c r="D562" s="46"/>
      <c r="E562" s="46"/>
      <c r="F562" s="46"/>
      <c r="G562" s="46"/>
      <c r="H562" s="46"/>
      <c r="I562" s="46"/>
      <c r="J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 spans="1:28">
      <c r="A563" s="46"/>
      <c r="C563" s="46"/>
      <c r="D563" s="46"/>
      <c r="E563" s="46"/>
      <c r="F563" s="46"/>
      <c r="G563" s="46"/>
      <c r="H563" s="46"/>
      <c r="I563" s="46"/>
      <c r="J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 spans="1:28">
      <c r="A564" s="46"/>
      <c r="C564" s="46"/>
      <c r="D564" s="46"/>
      <c r="E564" s="46"/>
      <c r="F564" s="46"/>
      <c r="G564" s="46"/>
      <c r="H564" s="46"/>
      <c r="I564" s="46"/>
      <c r="J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 spans="1:28">
      <c r="A565" s="46"/>
      <c r="C565" s="46"/>
      <c r="D565" s="46"/>
      <c r="E565" s="46"/>
      <c r="F565" s="46"/>
      <c r="G565" s="46"/>
      <c r="H565" s="46"/>
      <c r="I565" s="46"/>
      <c r="J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 spans="1:28">
      <c r="A566" s="46"/>
      <c r="C566" s="46"/>
      <c r="D566" s="46"/>
      <c r="E566" s="46"/>
      <c r="F566" s="46"/>
      <c r="G566" s="46"/>
      <c r="H566" s="46"/>
      <c r="I566" s="46"/>
      <c r="J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 spans="1:28">
      <c r="A567" s="46"/>
      <c r="C567" s="46"/>
      <c r="D567" s="46"/>
      <c r="E567" s="46"/>
      <c r="F567" s="46"/>
      <c r="G567" s="46"/>
      <c r="H567" s="46"/>
      <c r="I567" s="46"/>
      <c r="J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 spans="1:28">
      <c r="A568" s="46"/>
      <c r="C568" s="46"/>
      <c r="D568" s="46"/>
      <c r="E568" s="46"/>
      <c r="F568" s="46"/>
      <c r="G568" s="46"/>
      <c r="H568" s="46"/>
      <c r="I568" s="46"/>
      <c r="J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 spans="1:28">
      <c r="A569" s="46"/>
      <c r="C569" s="46"/>
      <c r="D569" s="46"/>
      <c r="E569" s="46"/>
      <c r="F569" s="46"/>
      <c r="G569" s="46"/>
      <c r="H569" s="46"/>
      <c r="I569" s="46"/>
      <c r="J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 spans="1:28">
      <c r="A570" s="46"/>
      <c r="C570" s="46"/>
      <c r="D570" s="46"/>
      <c r="E570" s="46"/>
      <c r="F570" s="46"/>
      <c r="G570" s="46"/>
      <c r="H570" s="46"/>
      <c r="I570" s="46"/>
      <c r="J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 spans="1:28">
      <c r="A571" s="46"/>
      <c r="C571" s="46"/>
      <c r="D571" s="46"/>
      <c r="E571" s="46"/>
      <c r="F571" s="46"/>
      <c r="G571" s="46"/>
      <c r="H571" s="46"/>
      <c r="I571" s="46"/>
      <c r="J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 spans="1:28">
      <c r="A572" s="46"/>
      <c r="C572" s="46"/>
      <c r="D572" s="46"/>
      <c r="E572" s="46"/>
      <c r="F572" s="46"/>
      <c r="G572" s="46"/>
      <c r="H572" s="46"/>
      <c r="I572" s="46"/>
      <c r="J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 spans="1:28">
      <c r="A573" s="46"/>
      <c r="C573" s="46"/>
      <c r="D573" s="46"/>
      <c r="E573" s="46"/>
      <c r="F573" s="46"/>
      <c r="G573" s="46"/>
      <c r="H573" s="46"/>
      <c r="I573" s="46"/>
      <c r="J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 spans="1:28">
      <c r="A574" s="46"/>
      <c r="C574" s="46"/>
      <c r="D574" s="46"/>
      <c r="E574" s="46"/>
      <c r="F574" s="46"/>
      <c r="G574" s="46"/>
      <c r="H574" s="46"/>
      <c r="I574" s="46"/>
      <c r="J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 spans="1:28">
      <c r="A575" s="46"/>
      <c r="C575" s="46"/>
      <c r="D575" s="46"/>
      <c r="E575" s="46"/>
      <c r="F575" s="46"/>
      <c r="G575" s="46"/>
      <c r="H575" s="46"/>
      <c r="I575" s="46"/>
      <c r="J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 spans="1:28">
      <c r="A576" s="46"/>
      <c r="C576" s="46"/>
      <c r="D576" s="46"/>
      <c r="E576" s="46"/>
      <c r="F576" s="46"/>
      <c r="G576" s="46"/>
      <c r="H576" s="46"/>
      <c r="I576" s="46"/>
      <c r="J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 spans="1:28">
      <c r="A577" s="46"/>
      <c r="C577" s="46"/>
      <c r="D577" s="46"/>
      <c r="E577" s="46"/>
      <c r="F577" s="46"/>
      <c r="G577" s="46"/>
      <c r="H577" s="46"/>
      <c r="I577" s="46"/>
      <c r="J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 spans="1:28">
      <c r="A578" s="46"/>
      <c r="C578" s="46"/>
      <c r="D578" s="46"/>
      <c r="E578" s="46"/>
      <c r="F578" s="46"/>
      <c r="G578" s="46"/>
      <c r="H578" s="46"/>
      <c r="I578" s="46"/>
      <c r="J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 spans="1:28">
      <c r="A579" s="46"/>
      <c r="C579" s="46"/>
      <c r="D579" s="46"/>
      <c r="E579" s="46"/>
      <c r="F579" s="46"/>
      <c r="G579" s="46"/>
      <c r="H579" s="46"/>
      <c r="I579" s="46"/>
      <c r="J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 spans="1:28">
      <c r="A580" s="46"/>
      <c r="C580" s="46"/>
      <c r="D580" s="46"/>
      <c r="E580" s="46"/>
      <c r="F580" s="46"/>
      <c r="G580" s="46"/>
      <c r="H580" s="46"/>
      <c r="I580" s="46"/>
      <c r="J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 spans="1:28">
      <c r="A581" s="46"/>
      <c r="C581" s="46"/>
      <c r="D581" s="46"/>
      <c r="E581" s="46"/>
      <c r="F581" s="46"/>
      <c r="G581" s="46"/>
      <c r="H581" s="46"/>
      <c r="I581" s="46"/>
      <c r="J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 spans="1:28">
      <c r="A582" s="46"/>
      <c r="C582" s="46"/>
      <c r="D582" s="46"/>
      <c r="E582" s="46"/>
      <c r="F582" s="46"/>
      <c r="G582" s="46"/>
      <c r="H582" s="46"/>
      <c r="I582" s="46"/>
      <c r="J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 spans="1:28">
      <c r="A583" s="46"/>
      <c r="C583" s="46"/>
      <c r="D583" s="46"/>
      <c r="E583" s="46"/>
      <c r="F583" s="46"/>
      <c r="G583" s="46"/>
      <c r="H583" s="46"/>
      <c r="I583" s="46"/>
      <c r="J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 spans="1:28">
      <c r="A584" s="46"/>
      <c r="C584" s="46"/>
      <c r="D584" s="46"/>
      <c r="E584" s="46"/>
      <c r="F584" s="46"/>
      <c r="G584" s="46"/>
      <c r="H584" s="46"/>
      <c r="I584" s="46"/>
      <c r="J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 spans="1:28">
      <c r="A585" s="46"/>
      <c r="C585" s="46"/>
      <c r="D585" s="46"/>
      <c r="E585" s="46"/>
      <c r="F585" s="46"/>
      <c r="G585" s="46"/>
      <c r="H585" s="46"/>
      <c r="I585" s="46"/>
      <c r="J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 spans="1:28">
      <c r="A586" s="46"/>
      <c r="C586" s="46"/>
      <c r="D586" s="46"/>
      <c r="E586" s="46"/>
      <c r="F586" s="46"/>
      <c r="G586" s="46"/>
      <c r="H586" s="46"/>
      <c r="I586" s="46"/>
      <c r="J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 spans="1:28">
      <c r="A587" s="46"/>
      <c r="C587" s="46"/>
      <c r="D587" s="46"/>
      <c r="E587" s="46"/>
      <c r="F587" s="46"/>
      <c r="G587" s="46"/>
      <c r="H587" s="46"/>
      <c r="I587" s="46"/>
      <c r="J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 spans="1:28">
      <c r="A588" s="46"/>
      <c r="C588" s="46"/>
      <c r="D588" s="46"/>
      <c r="E588" s="46"/>
      <c r="F588" s="46"/>
      <c r="G588" s="46"/>
      <c r="H588" s="46"/>
      <c r="I588" s="46"/>
      <c r="J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 spans="1:28">
      <c r="A589" s="46"/>
      <c r="C589" s="46"/>
      <c r="D589" s="46"/>
      <c r="E589" s="46"/>
      <c r="F589" s="46"/>
      <c r="G589" s="46"/>
      <c r="H589" s="46"/>
      <c r="I589" s="46"/>
      <c r="J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 spans="1:28">
      <c r="A590" s="46"/>
      <c r="C590" s="46"/>
      <c r="D590" s="46"/>
      <c r="E590" s="46"/>
      <c r="F590" s="46"/>
      <c r="G590" s="46"/>
      <c r="H590" s="46"/>
      <c r="I590" s="46"/>
      <c r="J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 spans="1:28">
      <c r="A591" s="46"/>
      <c r="C591" s="46"/>
      <c r="D591" s="46"/>
      <c r="E591" s="46"/>
      <c r="F591" s="46"/>
      <c r="G591" s="46"/>
      <c r="H591" s="46"/>
      <c r="I591" s="46"/>
      <c r="J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 spans="1:28">
      <c r="A592" s="46"/>
      <c r="C592" s="46"/>
      <c r="D592" s="46"/>
      <c r="E592" s="46"/>
      <c r="F592" s="46"/>
      <c r="G592" s="46"/>
      <c r="H592" s="46"/>
      <c r="I592" s="46"/>
      <c r="J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 spans="1:28">
      <c r="A593" s="46"/>
      <c r="C593" s="46"/>
      <c r="D593" s="46"/>
      <c r="E593" s="46"/>
      <c r="F593" s="46"/>
      <c r="G593" s="46"/>
      <c r="H593" s="46"/>
      <c r="I593" s="46"/>
      <c r="J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 spans="1:28">
      <c r="A594" s="46"/>
      <c r="C594" s="46"/>
      <c r="D594" s="46"/>
      <c r="E594" s="46"/>
      <c r="F594" s="46"/>
      <c r="G594" s="46"/>
      <c r="H594" s="46"/>
      <c r="I594" s="46"/>
      <c r="J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 spans="1:28">
      <c r="A595" s="46"/>
      <c r="C595" s="46"/>
      <c r="D595" s="46"/>
      <c r="E595" s="46"/>
      <c r="F595" s="46"/>
      <c r="G595" s="46"/>
      <c r="H595" s="46"/>
      <c r="I595" s="46"/>
      <c r="J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 spans="1:28">
      <c r="A596" s="46"/>
      <c r="C596" s="46"/>
      <c r="D596" s="46"/>
      <c r="E596" s="46"/>
      <c r="F596" s="46"/>
      <c r="G596" s="46"/>
      <c r="H596" s="46"/>
      <c r="I596" s="46"/>
      <c r="J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 spans="1:28">
      <c r="A597" s="46"/>
      <c r="C597" s="46"/>
      <c r="D597" s="46"/>
      <c r="E597" s="46"/>
      <c r="F597" s="46"/>
      <c r="G597" s="46"/>
      <c r="H597" s="46"/>
      <c r="I597" s="46"/>
      <c r="J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 spans="1:28">
      <c r="A598" s="46"/>
      <c r="C598" s="46"/>
      <c r="D598" s="46"/>
      <c r="E598" s="46"/>
      <c r="F598" s="46"/>
      <c r="G598" s="46"/>
      <c r="H598" s="46"/>
      <c r="I598" s="46"/>
      <c r="J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 spans="1:28">
      <c r="A599" s="46"/>
      <c r="C599" s="46"/>
      <c r="D599" s="46"/>
      <c r="E599" s="46"/>
      <c r="F599" s="46"/>
      <c r="G599" s="46"/>
      <c r="H599" s="46"/>
      <c r="I599" s="46"/>
      <c r="J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 spans="1:28">
      <c r="A600" s="46"/>
      <c r="C600" s="46"/>
      <c r="D600" s="46"/>
      <c r="E600" s="46"/>
      <c r="F600" s="46"/>
      <c r="G600" s="46"/>
      <c r="H600" s="46"/>
      <c r="I600" s="46"/>
      <c r="J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 spans="1:28">
      <c r="A601" s="46"/>
      <c r="C601" s="46"/>
      <c r="D601" s="46"/>
      <c r="E601" s="46"/>
      <c r="F601" s="46"/>
      <c r="G601" s="46"/>
      <c r="H601" s="46"/>
      <c r="I601" s="46"/>
      <c r="J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 spans="1:28">
      <c r="A602" s="46"/>
      <c r="C602" s="46"/>
      <c r="D602" s="46"/>
      <c r="E602" s="46"/>
      <c r="F602" s="46"/>
      <c r="G602" s="46"/>
      <c r="H602" s="46"/>
      <c r="I602" s="46"/>
      <c r="J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 spans="1:28">
      <c r="A603" s="46"/>
      <c r="C603" s="46"/>
      <c r="D603" s="46"/>
      <c r="E603" s="46"/>
      <c r="F603" s="46"/>
      <c r="G603" s="46"/>
      <c r="H603" s="46"/>
      <c r="I603" s="46"/>
      <c r="J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 spans="1:28">
      <c r="A604" s="46"/>
      <c r="C604" s="46"/>
      <c r="D604" s="46"/>
      <c r="E604" s="46"/>
      <c r="F604" s="46"/>
      <c r="G604" s="46"/>
      <c r="H604" s="46"/>
      <c r="I604" s="46"/>
      <c r="J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 spans="1:28">
      <c r="A605" s="46"/>
      <c r="C605" s="46"/>
      <c r="D605" s="46"/>
      <c r="E605" s="46"/>
      <c r="F605" s="46"/>
      <c r="G605" s="46"/>
      <c r="H605" s="46"/>
      <c r="I605" s="46"/>
      <c r="J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 spans="1:28">
      <c r="A606" s="46"/>
      <c r="C606" s="46"/>
      <c r="D606" s="46"/>
      <c r="E606" s="46"/>
      <c r="F606" s="46"/>
      <c r="G606" s="46"/>
      <c r="H606" s="46"/>
      <c r="I606" s="46"/>
      <c r="J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 spans="1:28">
      <c r="A607" s="46"/>
      <c r="C607" s="46"/>
      <c r="D607" s="46"/>
      <c r="E607" s="46"/>
      <c r="F607" s="46"/>
      <c r="G607" s="46"/>
      <c r="H607" s="46"/>
      <c r="I607" s="46"/>
      <c r="J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 spans="1:28">
      <c r="A608" s="46"/>
      <c r="C608" s="46"/>
      <c r="D608" s="46"/>
      <c r="E608" s="46"/>
      <c r="F608" s="46"/>
      <c r="G608" s="46"/>
      <c r="H608" s="46"/>
      <c r="I608" s="46"/>
      <c r="J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 spans="1:28">
      <c r="A609" s="46"/>
      <c r="C609" s="46"/>
      <c r="D609" s="46"/>
      <c r="E609" s="46"/>
      <c r="F609" s="46"/>
      <c r="G609" s="46"/>
      <c r="H609" s="46"/>
      <c r="I609" s="46"/>
      <c r="J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 spans="1:28">
      <c r="A610" s="46"/>
      <c r="C610" s="46"/>
      <c r="D610" s="46"/>
      <c r="E610" s="46"/>
      <c r="F610" s="46"/>
      <c r="G610" s="46"/>
      <c r="H610" s="46"/>
      <c r="I610" s="46"/>
      <c r="J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 spans="1:28">
      <c r="A611" s="46"/>
      <c r="C611" s="46"/>
      <c r="D611" s="46"/>
      <c r="E611" s="46"/>
      <c r="F611" s="46"/>
      <c r="G611" s="46"/>
      <c r="H611" s="46"/>
      <c r="I611" s="46"/>
      <c r="J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 spans="1:28">
      <c r="A612" s="46"/>
      <c r="C612" s="46"/>
      <c r="D612" s="46"/>
      <c r="E612" s="46"/>
      <c r="F612" s="46"/>
      <c r="G612" s="46"/>
      <c r="H612" s="46"/>
      <c r="I612" s="46"/>
      <c r="J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 spans="1:28">
      <c r="A613" s="46"/>
      <c r="C613" s="46"/>
      <c r="D613" s="46"/>
      <c r="E613" s="46"/>
      <c r="F613" s="46"/>
      <c r="G613" s="46"/>
      <c r="H613" s="46"/>
      <c r="I613" s="46"/>
      <c r="J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 spans="1:28">
      <c r="A614" s="46"/>
      <c r="C614" s="46"/>
      <c r="D614" s="46"/>
      <c r="E614" s="46"/>
      <c r="F614" s="46"/>
      <c r="G614" s="46"/>
      <c r="H614" s="46"/>
      <c r="I614" s="46"/>
      <c r="J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 spans="1:28">
      <c r="A615" s="46"/>
      <c r="C615" s="46"/>
      <c r="D615" s="46"/>
      <c r="E615" s="46"/>
      <c r="F615" s="46"/>
      <c r="G615" s="46"/>
      <c r="H615" s="46"/>
      <c r="I615" s="46"/>
      <c r="J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 spans="1:28">
      <c r="A616" s="46"/>
      <c r="C616" s="46"/>
      <c r="D616" s="46"/>
      <c r="E616" s="46"/>
      <c r="F616" s="46"/>
      <c r="G616" s="46"/>
      <c r="H616" s="46"/>
      <c r="I616" s="46"/>
      <c r="J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 spans="1:28">
      <c r="A617" s="46"/>
      <c r="C617" s="46"/>
      <c r="D617" s="46"/>
      <c r="E617" s="46"/>
      <c r="F617" s="46"/>
      <c r="G617" s="46"/>
      <c r="H617" s="46"/>
      <c r="I617" s="46"/>
      <c r="J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 spans="1:28">
      <c r="A618" s="46"/>
      <c r="C618" s="46"/>
      <c r="D618" s="46"/>
      <c r="E618" s="46"/>
      <c r="F618" s="46"/>
      <c r="G618" s="46"/>
      <c r="H618" s="46"/>
      <c r="I618" s="46"/>
      <c r="J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 spans="1:28">
      <c r="A619" s="46"/>
      <c r="C619" s="46"/>
      <c r="D619" s="46"/>
      <c r="E619" s="46"/>
      <c r="F619" s="46"/>
      <c r="G619" s="46"/>
      <c r="H619" s="46"/>
      <c r="I619" s="46"/>
      <c r="J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 spans="1:28">
      <c r="A620" s="46"/>
      <c r="C620" s="46"/>
      <c r="D620" s="46"/>
      <c r="E620" s="46"/>
      <c r="F620" s="46"/>
      <c r="G620" s="46"/>
      <c r="H620" s="46"/>
      <c r="I620" s="46"/>
      <c r="J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 spans="1:28">
      <c r="A621" s="46"/>
      <c r="C621" s="46"/>
      <c r="D621" s="46"/>
      <c r="E621" s="46"/>
      <c r="F621" s="46"/>
      <c r="G621" s="46"/>
      <c r="H621" s="46"/>
      <c r="I621" s="46"/>
      <c r="J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 spans="1:28">
      <c r="A622" s="46"/>
      <c r="C622" s="46"/>
      <c r="D622" s="46"/>
      <c r="E622" s="46"/>
      <c r="F622" s="46"/>
      <c r="G622" s="46"/>
      <c r="H622" s="46"/>
      <c r="I622" s="46"/>
      <c r="J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 spans="1:28">
      <c r="A623" s="46"/>
      <c r="C623" s="46"/>
      <c r="D623" s="46"/>
      <c r="E623" s="46"/>
      <c r="F623" s="46"/>
      <c r="G623" s="46"/>
      <c r="H623" s="46"/>
      <c r="I623" s="46"/>
      <c r="J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 spans="1:28">
      <c r="A624" s="46"/>
      <c r="C624" s="46"/>
      <c r="D624" s="46"/>
      <c r="E624" s="46"/>
      <c r="F624" s="46"/>
      <c r="G624" s="46"/>
      <c r="H624" s="46"/>
      <c r="I624" s="46"/>
      <c r="J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 spans="1:28">
      <c r="A625" s="46"/>
      <c r="C625" s="46"/>
      <c r="D625" s="46"/>
      <c r="E625" s="46"/>
      <c r="F625" s="46"/>
      <c r="G625" s="46"/>
      <c r="H625" s="46"/>
      <c r="I625" s="46"/>
      <c r="J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 spans="1:28">
      <c r="A626" s="46"/>
      <c r="C626" s="46"/>
      <c r="D626" s="46"/>
      <c r="E626" s="46"/>
      <c r="F626" s="46"/>
      <c r="G626" s="46"/>
      <c r="H626" s="46"/>
      <c r="I626" s="46"/>
      <c r="J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 spans="1:28">
      <c r="A627" s="46"/>
      <c r="C627" s="46"/>
      <c r="D627" s="46"/>
      <c r="E627" s="46"/>
      <c r="F627" s="46"/>
      <c r="G627" s="46"/>
      <c r="H627" s="46"/>
      <c r="I627" s="46"/>
      <c r="J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 spans="1:28">
      <c r="A628" s="46"/>
      <c r="C628" s="46"/>
      <c r="D628" s="46"/>
      <c r="E628" s="46"/>
      <c r="F628" s="46"/>
      <c r="G628" s="46"/>
      <c r="H628" s="46"/>
      <c r="I628" s="46"/>
      <c r="J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 spans="1:28">
      <c r="A629" s="46"/>
      <c r="C629" s="46"/>
      <c r="D629" s="46"/>
      <c r="E629" s="46"/>
      <c r="F629" s="46"/>
      <c r="G629" s="46"/>
      <c r="H629" s="46"/>
      <c r="I629" s="46"/>
      <c r="J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 spans="1:28">
      <c r="A630" s="46"/>
      <c r="C630" s="46"/>
      <c r="D630" s="46"/>
      <c r="E630" s="46"/>
      <c r="F630" s="46"/>
      <c r="G630" s="46"/>
      <c r="H630" s="46"/>
      <c r="I630" s="46"/>
      <c r="J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 spans="1:28">
      <c r="A631" s="46"/>
      <c r="C631" s="46"/>
      <c r="D631" s="46"/>
      <c r="E631" s="46"/>
      <c r="F631" s="46"/>
      <c r="G631" s="46"/>
      <c r="H631" s="46"/>
      <c r="I631" s="46"/>
      <c r="J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 spans="1:28">
      <c r="A632" s="46"/>
      <c r="C632" s="46"/>
      <c r="D632" s="46"/>
      <c r="E632" s="46"/>
      <c r="F632" s="46"/>
      <c r="G632" s="46"/>
      <c r="H632" s="46"/>
      <c r="I632" s="46"/>
      <c r="J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 spans="1:28">
      <c r="A633" s="46"/>
      <c r="C633" s="46"/>
      <c r="D633" s="46"/>
      <c r="E633" s="46"/>
      <c r="F633" s="46"/>
      <c r="G633" s="46"/>
      <c r="H633" s="46"/>
      <c r="I633" s="46"/>
      <c r="J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 spans="1:28">
      <c r="A634" s="46"/>
      <c r="C634" s="46"/>
      <c r="D634" s="46"/>
      <c r="E634" s="46"/>
      <c r="F634" s="46"/>
      <c r="G634" s="46"/>
      <c r="H634" s="46"/>
      <c r="I634" s="46"/>
      <c r="J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 spans="1:28">
      <c r="A635" s="46"/>
      <c r="C635" s="46"/>
      <c r="D635" s="46"/>
      <c r="E635" s="46"/>
      <c r="F635" s="46"/>
      <c r="G635" s="46"/>
      <c r="H635" s="46"/>
      <c r="I635" s="46"/>
      <c r="J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 spans="1:28">
      <c r="A636" s="46"/>
      <c r="C636" s="46"/>
      <c r="D636" s="46"/>
      <c r="E636" s="46"/>
      <c r="F636" s="46"/>
      <c r="G636" s="46"/>
      <c r="H636" s="46"/>
      <c r="I636" s="46"/>
      <c r="J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 spans="1:28">
      <c r="A637" s="46"/>
      <c r="C637" s="46"/>
      <c r="D637" s="46"/>
      <c r="E637" s="46"/>
      <c r="F637" s="46"/>
      <c r="G637" s="46"/>
      <c r="H637" s="46"/>
      <c r="I637" s="46"/>
      <c r="J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 spans="1:28">
      <c r="A638" s="46"/>
      <c r="C638" s="46"/>
      <c r="D638" s="46"/>
      <c r="E638" s="46"/>
      <c r="F638" s="46"/>
      <c r="G638" s="46"/>
      <c r="H638" s="46"/>
      <c r="I638" s="46"/>
      <c r="J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 spans="1:28">
      <c r="A639" s="46"/>
      <c r="C639" s="46"/>
      <c r="D639" s="46"/>
      <c r="E639" s="46"/>
      <c r="F639" s="46"/>
      <c r="G639" s="46"/>
      <c r="H639" s="46"/>
      <c r="I639" s="46"/>
      <c r="J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 spans="1:28">
      <c r="A640" s="46"/>
      <c r="C640" s="46"/>
      <c r="D640" s="46"/>
      <c r="E640" s="46"/>
      <c r="F640" s="46"/>
      <c r="G640" s="46"/>
      <c r="H640" s="46"/>
      <c r="I640" s="46"/>
      <c r="J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 spans="1:28">
      <c r="A641" s="46"/>
      <c r="C641" s="46"/>
      <c r="D641" s="46"/>
      <c r="E641" s="46"/>
      <c r="F641" s="46"/>
      <c r="G641" s="46"/>
      <c r="H641" s="46"/>
      <c r="I641" s="46"/>
      <c r="J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 spans="1:28">
      <c r="A642" s="46"/>
      <c r="C642" s="46"/>
      <c r="D642" s="46"/>
      <c r="E642" s="46"/>
      <c r="F642" s="46"/>
      <c r="G642" s="46"/>
      <c r="H642" s="46"/>
      <c r="I642" s="46"/>
      <c r="J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 spans="1:28">
      <c r="A643" s="46"/>
      <c r="C643" s="46"/>
      <c r="D643" s="46"/>
      <c r="E643" s="46"/>
      <c r="F643" s="46"/>
      <c r="G643" s="46"/>
      <c r="H643" s="46"/>
      <c r="I643" s="46"/>
      <c r="J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 spans="1:28">
      <c r="A644" s="46"/>
      <c r="C644" s="46"/>
      <c r="D644" s="46"/>
      <c r="E644" s="46"/>
      <c r="F644" s="46"/>
      <c r="G644" s="46"/>
      <c r="H644" s="46"/>
      <c r="I644" s="46"/>
      <c r="J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 spans="1:28">
      <c r="A645" s="46"/>
      <c r="C645" s="46"/>
      <c r="D645" s="46"/>
      <c r="E645" s="46"/>
      <c r="F645" s="46"/>
      <c r="G645" s="46"/>
      <c r="H645" s="46"/>
      <c r="I645" s="46"/>
      <c r="J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 spans="1:28">
      <c r="A646" s="46"/>
      <c r="C646" s="46"/>
      <c r="D646" s="46"/>
      <c r="E646" s="46"/>
      <c r="F646" s="46"/>
      <c r="G646" s="46"/>
      <c r="H646" s="46"/>
      <c r="I646" s="46"/>
      <c r="J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 spans="1:28">
      <c r="A647" s="46"/>
      <c r="C647" s="46"/>
      <c r="D647" s="46"/>
      <c r="E647" s="46"/>
      <c r="F647" s="46"/>
      <c r="G647" s="46"/>
      <c r="H647" s="46"/>
      <c r="I647" s="46"/>
      <c r="J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 spans="1:28">
      <c r="A648" s="46"/>
      <c r="C648" s="46"/>
      <c r="D648" s="46"/>
      <c r="E648" s="46"/>
      <c r="F648" s="46"/>
      <c r="G648" s="46"/>
      <c r="H648" s="46"/>
      <c r="I648" s="46"/>
      <c r="J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 spans="1:28">
      <c r="A649" s="46"/>
      <c r="C649" s="46"/>
      <c r="D649" s="46"/>
      <c r="E649" s="46"/>
      <c r="F649" s="46"/>
      <c r="G649" s="46"/>
      <c r="H649" s="46"/>
      <c r="I649" s="46"/>
      <c r="J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 spans="1:28">
      <c r="A650" s="46"/>
      <c r="C650" s="46"/>
      <c r="D650" s="46"/>
      <c r="E650" s="46"/>
      <c r="F650" s="46"/>
      <c r="G650" s="46"/>
      <c r="H650" s="46"/>
      <c r="I650" s="46"/>
      <c r="J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 spans="1:28">
      <c r="A651" s="46"/>
      <c r="C651" s="46"/>
      <c r="D651" s="46"/>
      <c r="E651" s="46"/>
      <c r="F651" s="46"/>
      <c r="G651" s="46"/>
      <c r="H651" s="46"/>
      <c r="I651" s="46"/>
      <c r="J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 spans="1:28">
      <c r="A652" s="46"/>
      <c r="C652" s="46"/>
      <c r="D652" s="46"/>
      <c r="E652" s="46"/>
      <c r="F652" s="46"/>
      <c r="G652" s="46"/>
      <c r="H652" s="46"/>
      <c r="I652" s="46"/>
      <c r="J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 spans="1:28">
      <c r="A653" s="46"/>
      <c r="C653" s="46"/>
      <c r="D653" s="46"/>
      <c r="E653" s="46"/>
      <c r="F653" s="46"/>
      <c r="G653" s="46"/>
      <c r="H653" s="46"/>
      <c r="I653" s="46"/>
      <c r="J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 spans="1:28">
      <c r="A654" s="46"/>
      <c r="C654" s="46"/>
      <c r="D654" s="46"/>
      <c r="E654" s="46"/>
      <c r="F654" s="46"/>
      <c r="G654" s="46"/>
      <c r="H654" s="46"/>
      <c r="I654" s="46"/>
      <c r="J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 spans="1:28">
      <c r="A655" s="46"/>
      <c r="C655" s="46"/>
      <c r="D655" s="46"/>
      <c r="E655" s="46"/>
      <c r="F655" s="46"/>
      <c r="G655" s="46"/>
      <c r="H655" s="46"/>
      <c r="I655" s="46"/>
      <c r="J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 spans="1:28">
      <c r="A656" s="46"/>
      <c r="C656" s="46"/>
      <c r="D656" s="46"/>
      <c r="E656" s="46"/>
      <c r="F656" s="46"/>
      <c r="G656" s="46"/>
      <c r="H656" s="46"/>
      <c r="I656" s="46"/>
      <c r="J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 spans="1:28">
      <c r="A657" s="46"/>
      <c r="C657" s="46"/>
      <c r="D657" s="46"/>
      <c r="E657" s="46"/>
      <c r="F657" s="46"/>
      <c r="G657" s="46"/>
      <c r="H657" s="46"/>
      <c r="I657" s="46"/>
      <c r="J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 spans="1:28">
      <c r="A658" s="46"/>
      <c r="C658" s="46"/>
      <c r="D658" s="46"/>
      <c r="E658" s="46"/>
      <c r="F658" s="46"/>
      <c r="G658" s="46"/>
      <c r="H658" s="46"/>
      <c r="I658" s="46"/>
      <c r="J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 spans="1:28">
      <c r="A659" s="46"/>
      <c r="C659" s="46"/>
      <c r="D659" s="46"/>
      <c r="E659" s="46"/>
      <c r="F659" s="46"/>
      <c r="G659" s="46"/>
      <c r="H659" s="46"/>
      <c r="I659" s="46"/>
      <c r="J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 spans="1:28">
      <c r="A660" s="46"/>
      <c r="C660" s="46"/>
      <c r="D660" s="46"/>
      <c r="E660" s="46"/>
      <c r="F660" s="46"/>
      <c r="G660" s="46"/>
      <c r="H660" s="46"/>
      <c r="I660" s="46"/>
      <c r="J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 spans="1:28">
      <c r="A661" s="46"/>
      <c r="C661" s="46"/>
      <c r="D661" s="46"/>
      <c r="E661" s="46"/>
      <c r="F661" s="46"/>
      <c r="G661" s="46"/>
      <c r="H661" s="46"/>
      <c r="I661" s="46"/>
      <c r="J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 spans="1:28">
      <c r="A662" s="46"/>
      <c r="C662" s="46"/>
      <c r="D662" s="46"/>
      <c r="E662" s="46"/>
      <c r="F662" s="46"/>
      <c r="G662" s="46"/>
      <c r="H662" s="46"/>
      <c r="I662" s="46"/>
      <c r="J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 spans="1:28">
      <c r="A663" s="46"/>
      <c r="C663" s="46"/>
      <c r="D663" s="46"/>
      <c r="E663" s="46"/>
      <c r="F663" s="46"/>
      <c r="G663" s="46"/>
      <c r="H663" s="46"/>
      <c r="I663" s="46"/>
      <c r="J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 spans="1:28">
      <c r="A664" s="46"/>
      <c r="C664" s="46"/>
      <c r="D664" s="46"/>
      <c r="E664" s="46"/>
      <c r="F664" s="46"/>
      <c r="G664" s="46"/>
      <c r="H664" s="46"/>
      <c r="I664" s="46"/>
      <c r="J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 spans="1:28">
      <c r="A665" s="46"/>
      <c r="C665" s="46"/>
      <c r="D665" s="46"/>
      <c r="E665" s="46"/>
      <c r="F665" s="46"/>
      <c r="G665" s="46"/>
      <c r="H665" s="46"/>
      <c r="I665" s="46"/>
      <c r="J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 spans="1:28">
      <c r="A666" s="46"/>
      <c r="C666" s="46"/>
      <c r="D666" s="46"/>
      <c r="E666" s="46"/>
      <c r="F666" s="46"/>
      <c r="G666" s="46"/>
      <c r="H666" s="46"/>
      <c r="I666" s="46"/>
      <c r="J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 spans="1:28">
      <c r="A667" s="46"/>
      <c r="C667" s="46"/>
      <c r="D667" s="46"/>
      <c r="E667" s="46"/>
      <c r="F667" s="46"/>
      <c r="G667" s="46"/>
      <c r="H667" s="46"/>
      <c r="I667" s="46"/>
      <c r="J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 spans="1:28">
      <c r="A668" s="46"/>
      <c r="C668" s="46"/>
      <c r="D668" s="46"/>
      <c r="E668" s="46"/>
      <c r="F668" s="46"/>
      <c r="G668" s="46"/>
      <c r="H668" s="46"/>
      <c r="I668" s="46"/>
      <c r="J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 spans="1:28">
      <c r="A669" s="46"/>
      <c r="C669" s="46"/>
      <c r="D669" s="46"/>
      <c r="E669" s="46"/>
      <c r="F669" s="46"/>
      <c r="G669" s="46"/>
      <c r="H669" s="46"/>
      <c r="I669" s="46"/>
      <c r="J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 spans="1:28">
      <c r="A670" s="46"/>
      <c r="C670" s="46"/>
      <c r="D670" s="46"/>
      <c r="E670" s="46"/>
      <c r="F670" s="46"/>
      <c r="G670" s="46"/>
      <c r="H670" s="46"/>
      <c r="I670" s="46"/>
      <c r="J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 spans="1:28">
      <c r="A671" s="46"/>
      <c r="C671" s="46"/>
      <c r="D671" s="46"/>
      <c r="E671" s="46"/>
      <c r="F671" s="46"/>
      <c r="G671" s="46"/>
      <c r="H671" s="46"/>
      <c r="I671" s="46"/>
      <c r="J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 spans="1:28">
      <c r="A672" s="46"/>
      <c r="C672" s="46"/>
      <c r="D672" s="46"/>
      <c r="E672" s="46"/>
      <c r="F672" s="46"/>
      <c r="G672" s="46"/>
      <c r="H672" s="46"/>
      <c r="I672" s="46"/>
      <c r="J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 spans="1:28">
      <c r="A673" s="46"/>
      <c r="C673" s="46"/>
      <c r="D673" s="46"/>
      <c r="E673" s="46"/>
      <c r="F673" s="46"/>
      <c r="G673" s="46"/>
      <c r="H673" s="46"/>
      <c r="I673" s="46"/>
      <c r="J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 spans="1:28">
      <c r="A674" s="46"/>
      <c r="C674" s="46"/>
      <c r="D674" s="46"/>
      <c r="E674" s="46"/>
      <c r="F674" s="46"/>
      <c r="G674" s="46"/>
      <c r="H674" s="46"/>
      <c r="I674" s="46"/>
      <c r="J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 spans="1:28">
      <c r="A675" s="46"/>
      <c r="C675" s="46"/>
      <c r="D675" s="46"/>
      <c r="E675" s="46"/>
      <c r="F675" s="46"/>
      <c r="G675" s="46"/>
      <c r="H675" s="46"/>
      <c r="I675" s="46"/>
      <c r="J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 spans="1:28">
      <c r="A676" s="46"/>
      <c r="C676" s="46"/>
      <c r="D676" s="46"/>
      <c r="E676" s="46"/>
      <c r="F676" s="46"/>
      <c r="G676" s="46"/>
      <c r="H676" s="46"/>
      <c r="I676" s="46"/>
      <c r="J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 spans="1:28">
      <c r="A677" s="46"/>
      <c r="C677" s="46"/>
      <c r="D677" s="46"/>
      <c r="E677" s="46"/>
      <c r="F677" s="46"/>
      <c r="G677" s="46"/>
      <c r="H677" s="46"/>
      <c r="I677" s="46"/>
      <c r="J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 spans="1:28">
      <c r="A678" s="46"/>
      <c r="C678" s="46"/>
      <c r="D678" s="46"/>
      <c r="E678" s="46"/>
      <c r="F678" s="46"/>
      <c r="G678" s="46"/>
      <c r="H678" s="46"/>
      <c r="I678" s="46"/>
      <c r="J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 spans="1:28">
      <c r="A679" s="46"/>
      <c r="C679" s="46"/>
      <c r="D679" s="46"/>
      <c r="E679" s="46"/>
      <c r="F679" s="46"/>
      <c r="G679" s="46"/>
      <c r="H679" s="46"/>
      <c r="I679" s="46"/>
      <c r="J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 spans="1:28">
      <c r="A680" s="46"/>
      <c r="C680" s="46"/>
      <c r="D680" s="46"/>
      <c r="E680" s="46"/>
      <c r="F680" s="46"/>
      <c r="G680" s="46"/>
      <c r="H680" s="46"/>
      <c r="I680" s="46"/>
      <c r="J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 spans="1:28">
      <c r="A681" s="46"/>
      <c r="C681" s="46"/>
      <c r="D681" s="46"/>
      <c r="E681" s="46"/>
      <c r="F681" s="46"/>
      <c r="G681" s="46"/>
      <c r="H681" s="46"/>
      <c r="I681" s="46"/>
      <c r="J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 spans="1:28">
      <c r="A682" s="46"/>
      <c r="C682" s="46"/>
      <c r="D682" s="46"/>
      <c r="E682" s="46"/>
      <c r="F682" s="46"/>
      <c r="G682" s="46"/>
      <c r="H682" s="46"/>
      <c r="I682" s="46"/>
      <c r="J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 spans="1:28">
      <c r="A683" s="46"/>
      <c r="C683" s="46"/>
      <c r="D683" s="46"/>
      <c r="E683" s="46"/>
      <c r="F683" s="46"/>
      <c r="G683" s="46"/>
      <c r="H683" s="46"/>
      <c r="I683" s="46"/>
      <c r="J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 spans="1:28">
      <c r="A684" s="46"/>
      <c r="C684" s="46"/>
      <c r="D684" s="46"/>
      <c r="E684" s="46"/>
      <c r="F684" s="46"/>
      <c r="G684" s="46"/>
      <c r="H684" s="46"/>
      <c r="I684" s="46"/>
      <c r="J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 spans="1:28">
      <c r="A685" s="46"/>
      <c r="C685" s="46"/>
      <c r="D685" s="46"/>
      <c r="E685" s="46"/>
      <c r="F685" s="46"/>
      <c r="G685" s="46"/>
      <c r="H685" s="46"/>
      <c r="I685" s="46"/>
      <c r="J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 spans="1:28">
      <c r="A686" s="46"/>
      <c r="C686" s="46"/>
      <c r="D686" s="46"/>
      <c r="E686" s="46"/>
      <c r="F686" s="46"/>
      <c r="G686" s="46"/>
      <c r="H686" s="46"/>
      <c r="I686" s="46"/>
      <c r="J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 spans="1:28">
      <c r="A687" s="46"/>
      <c r="C687" s="46"/>
      <c r="D687" s="46"/>
      <c r="E687" s="46"/>
      <c r="F687" s="46"/>
      <c r="G687" s="46"/>
      <c r="H687" s="46"/>
      <c r="I687" s="46"/>
      <c r="J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 spans="1:28">
      <c r="A688" s="46"/>
      <c r="C688" s="46"/>
      <c r="D688" s="46"/>
      <c r="E688" s="46"/>
      <c r="F688" s="46"/>
      <c r="G688" s="46"/>
      <c r="H688" s="46"/>
      <c r="I688" s="46"/>
      <c r="J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 spans="1:28">
      <c r="A689" s="46"/>
      <c r="C689" s="46"/>
      <c r="D689" s="46"/>
      <c r="E689" s="46"/>
      <c r="F689" s="46"/>
      <c r="G689" s="46"/>
      <c r="H689" s="46"/>
      <c r="I689" s="46"/>
      <c r="J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 spans="1:28">
      <c r="A690" s="46"/>
      <c r="C690" s="46"/>
      <c r="D690" s="46"/>
      <c r="E690" s="46"/>
      <c r="F690" s="46"/>
      <c r="G690" s="46"/>
      <c r="H690" s="46"/>
      <c r="I690" s="46"/>
      <c r="J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 spans="1:28">
      <c r="A691" s="46"/>
      <c r="C691" s="46"/>
      <c r="D691" s="46"/>
      <c r="E691" s="46"/>
      <c r="F691" s="46"/>
      <c r="G691" s="46"/>
      <c r="H691" s="46"/>
      <c r="I691" s="46"/>
      <c r="J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 spans="1:28">
      <c r="A692" s="46"/>
      <c r="C692" s="46"/>
      <c r="D692" s="46"/>
      <c r="E692" s="46"/>
      <c r="F692" s="46"/>
      <c r="G692" s="46"/>
      <c r="H692" s="46"/>
      <c r="I692" s="46"/>
      <c r="J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 spans="1:28">
      <c r="A693" s="46"/>
      <c r="C693" s="46"/>
      <c r="D693" s="46"/>
      <c r="E693" s="46"/>
      <c r="F693" s="46"/>
      <c r="G693" s="46"/>
      <c r="H693" s="46"/>
      <c r="I693" s="46"/>
      <c r="J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 spans="1:28">
      <c r="A694" s="46"/>
      <c r="C694" s="46"/>
      <c r="D694" s="46"/>
      <c r="E694" s="46"/>
      <c r="F694" s="46"/>
      <c r="G694" s="46"/>
      <c r="H694" s="46"/>
      <c r="I694" s="46"/>
      <c r="J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 spans="1:28">
      <c r="A695" s="46"/>
      <c r="C695" s="46"/>
      <c r="D695" s="46"/>
      <c r="E695" s="46"/>
      <c r="F695" s="46"/>
      <c r="G695" s="46"/>
      <c r="H695" s="46"/>
      <c r="I695" s="46"/>
      <c r="J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 spans="1:28">
      <c r="A696" s="46"/>
      <c r="C696" s="46"/>
      <c r="D696" s="46"/>
      <c r="E696" s="46"/>
      <c r="F696" s="46"/>
      <c r="G696" s="46"/>
      <c r="H696" s="46"/>
      <c r="I696" s="46"/>
      <c r="J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 spans="1:28">
      <c r="A697" s="46"/>
      <c r="C697" s="46"/>
      <c r="D697" s="46"/>
      <c r="E697" s="46"/>
      <c r="F697" s="46"/>
      <c r="G697" s="46"/>
      <c r="H697" s="46"/>
      <c r="I697" s="46"/>
      <c r="J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 spans="1:28">
      <c r="A698" s="46"/>
      <c r="C698" s="46"/>
      <c r="D698" s="46"/>
      <c r="E698" s="46"/>
      <c r="F698" s="46"/>
      <c r="G698" s="46"/>
      <c r="H698" s="46"/>
      <c r="I698" s="46"/>
      <c r="J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 spans="1:28">
      <c r="A699" s="46"/>
      <c r="C699" s="46"/>
      <c r="D699" s="46"/>
      <c r="E699" s="46"/>
      <c r="F699" s="46"/>
      <c r="G699" s="46"/>
      <c r="H699" s="46"/>
      <c r="I699" s="46"/>
      <c r="J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 spans="1:28">
      <c r="A700" s="46"/>
      <c r="C700" s="46"/>
      <c r="D700" s="46"/>
      <c r="E700" s="46"/>
      <c r="F700" s="46"/>
      <c r="G700" s="46"/>
      <c r="H700" s="46"/>
      <c r="I700" s="46"/>
      <c r="J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 spans="1:28">
      <c r="A701" s="46"/>
      <c r="C701" s="46"/>
      <c r="D701" s="46"/>
      <c r="E701" s="46"/>
      <c r="F701" s="46"/>
      <c r="G701" s="46"/>
      <c r="H701" s="46"/>
      <c r="I701" s="46"/>
      <c r="J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 spans="1:28">
      <c r="A702" s="46"/>
      <c r="C702" s="46"/>
      <c r="D702" s="46"/>
      <c r="E702" s="46"/>
      <c r="F702" s="46"/>
      <c r="G702" s="46"/>
      <c r="H702" s="46"/>
      <c r="I702" s="46"/>
      <c r="J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 spans="1:28">
      <c r="A703" s="46"/>
      <c r="C703" s="46"/>
      <c r="D703" s="46"/>
      <c r="E703" s="46"/>
      <c r="F703" s="46"/>
      <c r="G703" s="46"/>
      <c r="H703" s="46"/>
      <c r="I703" s="46"/>
      <c r="J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 spans="1:28">
      <c r="A704" s="46"/>
      <c r="C704" s="46"/>
      <c r="D704" s="46"/>
      <c r="E704" s="46"/>
      <c r="F704" s="46"/>
      <c r="G704" s="46"/>
      <c r="H704" s="46"/>
      <c r="I704" s="46"/>
      <c r="J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 spans="1:28">
      <c r="A705" s="46"/>
      <c r="C705" s="46"/>
      <c r="D705" s="46"/>
      <c r="E705" s="46"/>
      <c r="F705" s="46"/>
      <c r="G705" s="46"/>
      <c r="H705" s="46"/>
      <c r="I705" s="46"/>
      <c r="J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 spans="1:28">
      <c r="A706" s="46"/>
      <c r="C706" s="46"/>
      <c r="D706" s="46"/>
      <c r="E706" s="46"/>
      <c r="F706" s="46"/>
      <c r="G706" s="46"/>
      <c r="H706" s="46"/>
      <c r="I706" s="46"/>
      <c r="J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 spans="1:28">
      <c r="A707" s="46"/>
      <c r="C707" s="46"/>
      <c r="D707" s="46"/>
      <c r="E707" s="46"/>
      <c r="F707" s="46"/>
      <c r="G707" s="46"/>
      <c r="H707" s="46"/>
      <c r="I707" s="46"/>
      <c r="J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 spans="1:28">
      <c r="A708" s="46"/>
      <c r="C708" s="46"/>
      <c r="D708" s="46"/>
      <c r="E708" s="46"/>
      <c r="F708" s="46"/>
      <c r="G708" s="46"/>
      <c r="H708" s="46"/>
      <c r="I708" s="46"/>
      <c r="J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 spans="1:28">
      <c r="A709" s="46"/>
      <c r="C709" s="46"/>
      <c r="D709" s="46"/>
      <c r="E709" s="46"/>
      <c r="F709" s="46"/>
      <c r="G709" s="46"/>
      <c r="H709" s="46"/>
      <c r="I709" s="46"/>
      <c r="J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 spans="1:28">
      <c r="A710" s="46"/>
      <c r="C710" s="46"/>
      <c r="D710" s="46"/>
      <c r="E710" s="46"/>
      <c r="F710" s="46"/>
      <c r="G710" s="46"/>
      <c r="H710" s="46"/>
      <c r="I710" s="46"/>
      <c r="J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 spans="1:28">
      <c r="A711" s="46"/>
      <c r="C711" s="46"/>
      <c r="D711" s="46"/>
      <c r="E711" s="46"/>
      <c r="F711" s="46"/>
      <c r="G711" s="46"/>
      <c r="H711" s="46"/>
      <c r="I711" s="46"/>
      <c r="J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 spans="1:28">
      <c r="A712" s="46"/>
      <c r="C712" s="46"/>
      <c r="D712" s="46"/>
      <c r="E712" s="46"/>
      <c r="F712" s="46"/>
      <c r="G712" s="46"/>
      <c r="H712" s="46"/>
      <c r="I712" s="46"/>
      <c r="J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 spans="1:28">
      <c r="A713" s="46"/>
      <c r="C713" s="46"/>
      <c r="D713" s="46"/>
      <c r="E713" s="46"/>
      <c r="F713" s="46"/>
      <c r="G713" s="46"/>
      <c r="H713" s="46"/>
      <c r="I713" s="46"/>
      <c r="J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 spans="1:28">
      <c r="A714" s="46"/>
      <c r="C714" s="46"/>
      <c r="D714" s="46"/>
      <c r="E714" s="46"/>
      <c r="F714" s="46"/>
      <c r="G714" s="46"/>
      <c r="H714" s="46"/>
      <c r="I714" s="46"/>
      <c r="J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 spans="1:28">
      <c r="A715" s="46"/>
      <c r="C715" s="46"/>
      <c r="D715" s="46"/>
      <c r="E715" s="46"/>
      <c r="F715" s="46"/>
      <c r="G715" s="46"/>
      <c r="H715" s="46"/>
      <c r="I715" s="46"/>
      <c r="J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 spans="1:28">
      <c r="A716" s="46"/>
      <c r="C716" s="46"/>
      <c r="D716" s="46"/>
      <c r="E716" s="46"/>
      <c r="F716" s="46"/>
      <c r="G716" s="46"/>
      <c r="H716" s="46"/>
      <c r="I716" s="46"/>
      <c r="J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 spans="1:28">
      <c r="A717" s="46"/>
      <c r="C717" s="46"/>
      <c r="D717" s="46"/>
      <c r="E717" s="46"/>
      <c r="F717" s="46"/>
      <c r="G717" s="46"/>
      <c r="H717" s="46"/>
      <c r="I717" s="46"/>
      <c r="J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 spans="1:28">
      <c r="A718" s="46"/>
      <c r="C718" s="46"/>
      <c r="D718" s="46"/>
      <c r="E718" s="46"/>
      <c r="F718" s="46"/>
      <c r="G718" s="46"/>
      <c r="H718" s="46"/>
      <c r="I718" s="46"/>
      <c r="J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 spans="1:28">
      <c r="A719" s="46"/>
      <c r="C719" s="46"/>
      <c r="D719" s="46"/>
      <c r="E719" s="46"/>
      <c r="F719" s="46"/>
      <c r="G719" s="46"/>
      <c r="H719" s="46"/>
      <c r="I719" s="46"/>
      <c r="J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 spans="1:28">
      <c r="A720" s="46"/>
      <c r="C720" s="46"/>
      <c r="D720" s="46"/>
      <c r="E720" s="46"/>
      <c r="F720" s="46"/>
      <c r="G720" s="46"/>
      <c r="H720" s="46"/>
      <c r="I720" s="46"/>
      <c r="J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 spans="1:28">
      <c r="A721" s="46"/>
      <c r="C721" s="46"/>
      <c r="D721" s="46"/>
      <c r="E721" s="46"/>
      <c r="F721" s="46"/>
      <c r="G721" s="46"/>
      <c r="H721" s="46"/>
      <c r="I721" s="46"/>
      <c r="J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 spans="1:28">
      <c r="A722" s="46"/>
      <c r="C722" s="46"/>
      <c r="D722" s="46"/>
      <c r="E722" s="46"/>
      <c r="F722" s="46"/>
      <c r="G722" s="46"/>
      <c r="H722" s="46"/>
      <c r="I722" s="46"/>
      <c r="J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 spans="1:28">
      <c r="A723" s="46"/>
      <c r="C723" s="46"/>
      <c r="D723" s="46"/>
      <c r="E723" s="46"/>
      <c r="F723" s="46"/>
      <c r="G723" s="46"/>
      <c r="H723" s="46"/>
      <c r="I723" s="46"/>
      <c r="J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 spans="1:28">
      <c r="A724" s="46"/>
      <c r="C724" s="46"/>
      <c r="D724" s="46"/>
      <c r="E724" s="46"/>
      <c r="F724" s="46"/>
      <c r="G724" s="46"/>
      <c r="H724" s="46"/>
      <c r="I724" s="46"/>
      <c r="J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 spans="1:28">
      <c r="A725" s="46"/>
      <c r="C725" s="46"/>
      <c r="D725" s="46"/>
      <c r="E725" s="46"/>
      <c r="F725" s="46"/>
      <c r="G725" s="46"/>
      <c r="H725" s="46"/>
      <c r="I725" s="46"/>
      <c r="J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 spans="1:28">
      <c r="A726" s="46"/>
      <c r="C726" s="46"/>
      <c r="D726" s="46"/>
      <c r="E726" s="46"/>
      <c r="F726" s="46"/>
      <c r="G726" s="46"/>
      <c r="H726" s="46"/>
      <c r="I726" s="46"/>
      <c r="J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 spans="1:28">
      <c r="A727" s="46"/>
      <c r="C727" s="46"/>
      <c r="D727" s="46"/>
      <c r="E727" s="46"/>
      <c r="F727" s="46"/>
      <c r="G727" s="46"/>
      <c r="H727" s="46"/>
      <c r="I727" s="46"/>
      <c r="J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 spans="1:28">
      <c r="A728" s="46"/>
      <c r="C728" s="46"/>
      <c r="D728" s="46"/>
      <c r="E728" s="46"/>
      <c r="F728" s="46"/>
      <c r="G728" s="46"/>
      <c r="H728" s="46"/>
      <c r="I728" s="46"/>
      <c r="J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 spans="1:28">
      <c r="A729" s="46"/>
      <c r="C729" s="46"/>
      <c r="D729" s="46"/>
      <c r="E729" s="46"/>
      <c r="F729" s="46"/>
      <c r="G729" s="46"/>
      <c r="H729" s="46"/>
      <c r="I729" s="46"/>
      <c r="J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 spans="1:28">
      <c r="A730" s="46"/>
      <c r="C730" s="46"/>
      <c r="D730" s="46"/>
      <c r="E730" s="46"/>
      <c r="F730" s="46"/>
      <c r="G730" s="46"/>
      <c r="H730" s="46"/>
      <c r="I730" s="46"/>
      <c r="J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 spans="1:28">
      <c r="A731" s="46"/>
      <c r="C731" s="46"/>
      <c r="D731" s="46"/>
      <c r="E731" s="46"/>
      <c r="F731" s="46"/>
      <c r="G731" s="46"/>
      <c r="H731" s="46"/>
      <c r="I731" s="46"/>
      <c r="J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 spans="1:28">
      <c r="A732" s="46"/>
      <c r="C732" s="46"/>
      <c r="D732" s="46"/>
      <c r="E732" s="46"/>
      <c r="F732" s="46"/>
      <c r="G732" s="46"/>
      <c r="H732" s="46"/>
      <c r="I732" s="46"/>
      <c r="J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 spans="1:28">
      <c r="A733" s="46"/>
      <c r="C733" s="46"/>
      <c r="D733" s="46"/>
      <c r="E733" s="46"/>
      <c r="F733" s="46"/>
      <c r="G733" s="46"/>
      <c r="H733" s="46"/>
      <c r="I733" s="46"/>
      <c r="J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 spans="1:28">
      <c r="A734" s="46"/>
      <c r="C734" s="46"/>
      <c r="D734" s="46"/>
      <c r="E734" s="46"/>
      <c r="F734" s="46"/>
      <c r="G734" s="46"/>
      <c r="H734" s="46"/>
      <c r="I734" s="46"/>
      <c r="J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 spans="1:28">
      <c r="A735" s="46"/>
      <c r="C735" s="46"/>
      <c r="D735" s="46"/>
      <c r="E735" s="46"/>
      <c r="F735" s="46"/>
      <c r="G735" s="46"/>
      <c r="H735" s="46"/>
      <c r="I735" s="46"/>
      <c r="J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 spans="1:28">
      <c r="A736" s="46"/>
      <c r="C736" s="46"/>
      <c r="D736" s="46"/>
      <c r="E736" s="46"/>
      <c r="F736" s="46"/>
      <c r="G736" s="46"/>
      <c r="H736" s="46"/>
      <c r="I736" s="46"/>
      <c r="J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 spans="1:28">
      <c r="A737" s="46"/>
      <c r="C737" s="46"/>
      <c r="D737" s="46"/>
      <c r="E737" s="46"/>
      <c r="F737" s="46"/>
      <c r="G737" s="46"/>
      <c r="H737" s="46"/>
      <c r="I737" s="46"/>
      <c r="J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 spans="1:28">
      <c r="A738" s="46"/>
      <c r="C738" s="46"/>
      <c r="D738" s="46"/>
      <c r="E738" s="46"/>
      <c r="F738" s="46"/>
      <c r="G738" s="46"/>
      <c r="H738" s="46"/>
      <c r="I738" s="46"/>
      <c r="J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 spans="1:28">
      <c r="A739" s="46"/>
      <c r="C739" s="46"/>
      <c r="D739" s="46"/>
      <c r="E739" s="46"/>
      <c r="F739" s="46"/>
      <c r="G739" s="46"/>
      <c r="H739" s="46"/>
      <c r="I739" s="46"/>
      <c r="J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 spans="1:28">
      <c r="A740" s="46"/>
      <c r="C740" s="46"/>
      <c r="D740" s="46"/>
      <c r="E740" s="46"/>
      <c r="F740" s="46"/>
      <c r="G740" s="46"/>
      <c r="H740" s="46"/>
      <c r="I740" s="46"/>
      <c r="J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 spans="1:28">
      <c r="A741" s="46"/>
      <c r="C741" s="46"/>
      <c r="D741" s="46"/>
      <c r="E741" s="46"/>
      <c r="F741" s="46"/>
      <c r="G741" s="46"/>
      <c r="H741" s="46"/>
      <c r="I741" s="46"/>
      <c r="J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 spans="1:28">
      <c r="A742" s="46"/>
      <c r="C742" s="46"/>
      <c r="D742" s="46"/>
      <c r="E742" s="46"/>
      <c r="F742" s="46"/>
      <c r="G742" s="46"/>
      <c r="H742" s="46"/>
      <c r="I742" s="46"/>
      <c r="J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 spans="1:28">
      <c r="A743" s="46"/>
      <c r="C743" s="46"/>
      <c r="D743" s="46"/>
      <c r="E743" s="46"/>
      <c r="F743" s="46"/>
      <c r="G743" s="46"/>
      <c r="H743" s="46"/>
      <c r="I743" s="46"/>
      <c r="J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 spans="1:28">
      <c r="A744" s="46"/>
      <c r="C744" s="46"/>
      <c r="D744" s="46"/>
      <c r="E744" s="46"/>
      <c r="F744" s="46"/>
      <c r="G744" s="46"/>
      <c r="H744" s="46"/>
      <c r="I744" s="46"/>
      <c r="J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 spans="1:28">
      <c r="A745" s="46"/>
      <c r="C745" s="46"/>
      <c r="D745" s="46"/>
      <c r="E745" s="46"/>
      <c r="F745" s="46"/>
      <c r="G745" s="46"/>
      <c r="H745" s="46"/>
      <c r="I745" s="46"/>
      <c r="J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 spans="1:28">
      <c r="A746" s="46"/>
      <c r="C746" s="46"/>
      <c r="D746" s="46"/>
      <c r="E746" s="46"/>
      <c r="F746" s="46"/>
      <c r="G746" s="46"/>
      <c r="H746" s="46"/>
      <c r="I746" s="46"/>
      <c r="J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 spans="1:28">
      <c r="A747" s="46"/>
      <c r="C747" s="46"/>
      <c r="D747" s="46"/>
      <c r="E747" s="46"/>
      <c r="F747" s="46"/>
      <c r="G747" s="46"/>
      <c r="H747" s="46"/>
      <c r="I747" s="46"/>
      <c r="J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 spans="1:28">
      <c r="A748" s="46"/>
      <c r="C748" s="46"/>
      <c r="D748" s="46"/>
      <c r="E748" s="46"/>
      <c r="F748" s="46"/>
      <c r="G748" s="46"/>
      <c r="H748" s="46"/>
      <c r="I748" s="46"/>
      <c r="J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 spans="1:28">
      <c r="A749" s="46"/>
      <c r="C749" s="46"/>
      <c r="D749" s="46"/>
      <c r="E749" s="46"/>
      <c r="F749" s="46"/>
      <c r="G749" s="46"/>
      <c r="H749" s="46"/>
      <c r="I749" s="46"/>
      <c r="J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 spans="1:28">
      <c r="A750" s="46"/>
      <c r="C750" s="46"/>
      <c r="D750" s="46"/>
      <c r="E750" s="46"/>
      <c r="F750" s="46"/>
      <c r="G750" s="46"/>
      <c r="H750" s="46"/>
      <c r="I750" s="46"/>
      <c r="J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 spans="1:28">
      <c r="A751" s="46"/>
      <c r="C751" s="46"/>
      <c r="D751" s="46"/>
      <c r="E751" s="46"/>
      <c r="F751" s="46"/>
      <c r="G751" s="46"/>
      <c r="H751" s="46"/>
      <c r="I751" s="46"/>
      <c r="J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 spans="1:28">
      <c r="A752" s="46"/>
      <c r="C752" s="46"/>
      <c r="D752" s="46"/>
      <c r="E752" s="46"/>
      <c r="F752" s="46"/>
      <c r="G752" s="46"/>
      <c r="H752" s="46"/>
      <c r="I752" s="46"/>
      <c r="J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 spans="1:28">
      <c r="A753" s="46"/>
      <c r="C753" s="46"/>
      <c r="D753" s="46"/>
      <c r="E753" s="46"/>
      <c r="F753" s="46"/>
      <c r="G753" s="46"/>
      <c r="H753" s="46"/>
      <c r="I753" s="46"/>
      <c r="J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 spans="1:28">
      <c r="A754" s="46"/>
      <c r="C754" s="46"/>
      <c r="D754" s="46"/>
      <c r="E754" s="46"/>
      <c r="F754" s="46"/>
      <c r="G754" s="46"/>
      <c r="H754" s="46"/>
      <c r="I754" s="46"/>
      <c r="J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 spans="1:28">
      <c r="A755" s="46"/>
      <c r="C755" s="46"/>
      <c r="D755" s="46"/>
      <c r="E755" s="46"/>
      <c r="F755" s="46"/>
      <c r="G755" s="46"/>
      <c r="H755" s="46"/>
      <c r="I755" s="46"/>
      <c r="J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 spans="1:28">
      <c r="A756" s="46"/>
      <c r="C756" s="46"/>
      <c r="D756" s="46"/>
      <c r="E756" s="46"/>
      <c r="F756" s="46"/>
      <c r="G756" s="46"/>
      <c r="H756" s="46"/>
      <c r="I756" s="46"/>
      <c r="J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 spans="1:28">
      <c r="A757" s="46"/>
      <c r="C757" s="46"/>
      <c r="D757" s="46"/>
      <c r="E757" s="46"/>
      <c r="F757" s="46"/>
      <c r="G757" s="46"/>
      <c r="H757" s="46"/>
      <c r="I757" s="46"/>
      <c r="J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 spans="1:28">
      <c r="A758" s="46"/>
      <c r="C758" s="46"/>
      <c r="D758" s="46"/>
      <c r="E758" s="46"/>
      <c r="F758" s="46"/>
      <c r="G758" s="46"/>
      <c r="H758" s="46"/>
      <c r="I758" s="46"/>
      <c r="J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 spans="1:28">
      <c r="A759" s="46"/>
      <c r="C759" s="46"/>
      <c r="D759" s="46"/>
      <c r="E759" s="46"/>
      <c r="F759" s="46"/>
      <c r="G759" s="46"/>
      <c r="H759" s="46"/>
      <c r="I759" s="46"/>
      <c r="J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 spans="1:28">
      <c r="A760" s="46"/>
      <c r="C760" s="46"/>
      <c r="D760" s="46"/>
      <c r="E760" s="46"/>
      <c r="F760" s="46"/>
      <c r="G760" s="46"/>
      <c r="H760" s="46"/>
      <c r="I760" s="46"/>
      <c r="J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 spans="1:28">
      <c r="A761" s="46"/>
      <c r="C761" s="46"/>
      <c r="D761" s="46"/>
      <c r="E761" s="46"/>
      <c r="F761" s="46"/>
      <c r="G761" s="46"/>
      <c r="H761" s="46"/>
      <c r="I761" s="46"/>
      <c r="J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 spans="1:28">
      <c r="A762" s="46"/>
      <c r="C762" s="46"/>
      <c r="D762" s="46"/>
      <c r="E762" s="46"/>
      <c r="F762" s="46"/>
      <c r="G762" s="46"/>
      <c r="H762" s="46"/>
      <c r="I762" s="46"/>
      <c r="J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 spans="1:28">
      <c r="A763" s="46"/>
      <c r="C763" s="46"/>
      <c r="D763" s="46"/>
      <c r="E763" s="46"/>
      <c r="F763" s="46"/>
      <c r="G763" s="46"/>
      <c r="H763" s="46"/>
      <c r="I763" s="46"/>
      <c r="J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 spans="1:28">
      <c r="A764" s="46"/>
      <c r="C764" s="46"/>
      <c r="D764" s="46"/>
      <c r="E764" s="46"/>
      <c r="F764" s="46"/>
      <c r="G764" s="46"/>
      <c r="H764" s="46"/>
      <c r="I764" s="46"/>
      <c r="J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 spans="1:28">
      <c r="A765" s="46"/>
      <c r="C765" s="46"/>
      <c r="D765" s="46"/>
      <c r="E765" s="46"/>
      <c r="F765" s="46"/>
      <c r="G765" s="46"/>
      <c r="H765" s="46"/>
      <c r="I765" s="46"/>
      <c r="J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 spans="1:28">
      <c r="A766" s="46"/>
      <c r="C766" s="46"/>
      <c r="D766" s="46"/>
      <c r="E766" s="46"/>
      <c r="F766" s="46"/>
      <c r="G766" s="46"/>
      <c r="H766" s="46"/>
      <c r="I766" s="46"/>
      <c r="J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 spans="1:28">
      <c r="A767" s="46"/>
      <c r="C767" s="46"/>
      <c r="D767" s="46"/>
      <c r="E767" s="46"/>
      <c r="F767" s="46"/>
      <c r="G767" s="46"/>
      <c r="H767" s="46"/>
      <c r="I767" s="46"/>
      <c r="J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 spans="1:28">
      <c r="A768" s="46"/>
      <c r="C768" s="46"/>
      <c r="D768" s="46"/>
      <c r="E768" s="46"/>
      <c r="F768" s="46"/>
      <c r="G768" s="46"/>
      <c r="H768" s="46"/>
      <c r="I768" s="46"/>
      <c r="J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 spans="1:28">
      <c r="A769" s="46"/>
      <c r="C769" s="46"/>
      <c r="D769" s="46"/>
      <c r="E769" s="46"/>
      <c r="F769" s="46"/>
      <c r="G769" s="46"/>
      <c r="H769" s="46"/>
      <c r="I769" s="46"/>
      <c r="J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 spans="1:28">
      <c r="A770" s="46"/>
      <c r="C770" s="46"/>
      <c r="D770" s="46"/>
      <c r="E770" s="46"/>
      <c r="F770" s="46"/>
      <c r="G770" s="46"/>
      <c r="H770" s="46"/>
      <c r="I770" s="46"/>
      <c r="J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 spans="1:28">
      <c r="A771" s="46"/>
      <c r="C771" s="46"/>
      <c r="D771" s="46"/>
      <c r="E771" s="46"/>
      <c r="F771" s="46"/>
      <c r="G771" s="46"/>
      <c r="H771" s="46"/>
      <c r="I771" s="46"/>
      <c r="J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 spans="1:28">
      <c r="A772" s="46"/>
      <c r="C772" s="46"/>
      <c r="D772" s="46"/>
      <c r="E772" s="46"/>
      <c r="F772" s="46"/>
      <c r="G772" s="46"/>
      <c r="H772" s="46"/>
      <c r="I772" s="46"/>
      <c r="J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 spans="1:28">
      <c r="A773" s="46"/>
      <c r="C773" s="46"/>
      <c r="D773" s="46"/>
      <c r="E773" s="46"/>
      <c r="F773" s="46"/>
      <c r="G773" s="46"/>
      <c r="H773" s="46"/>
      <c r="I773" s="46"/>
      <c r="J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 spans="1:28">
      <c r="A774" s="46"/>
      <c r="C774" s="46"/>
      <c r="D774" s="46"/>
      <c r="E774" s="46"/>
      <c r="F774" s="46"/>
      <c r="G774" s="46"/>
      <c r="H774" s="46"/>
      <c r="I774" s="46"/>
      <c r="J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 spans="1:28">
      <c r="A775" s="46"/>
      <c r="C775" s="46"/>
      <c r="D775" s="46"/>
      <c r="E775" s="46"/>
      <c r="F775" s="46"/>
      <c r="G775" s="46"/>
      <c r="H775" s="46"/>
      <c r="I775" s="46"/>
      <c r="J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 spans="1:28">
      <c r="A776" s="46"/>
      <c r="C776" s="46"/>
      <c r="D776" s="46"/>
      <c r="E776" s="46"/>
      <c r="F776" s="46"/>
      <c r="G776" s="46"/>
      <c r="H776" s="46"/>
      <c r="I776" s="46"/>
      <c r="J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 spans="1:28">
      <c r="A777" s="46"/>
      <c r="C777" s="46"/>
      <c r="D777" s="46"/>
      <c r="E777" s="46"/>
      <c r="F777" s="46"/>
      <c r="G777" s="46"/>
      <c r="H777" s="46"/>
      <c r="I777" s="46"/>
      <c r="J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 spans="1:28">
      <c r="A778" s="46"/>
      <c r="C778" s="46"/>
      <c r="D778" s="46"/>
      <c r="E778" s="46"/>
      <c r="F778" s="46"/>
      <c r="G778" s="46"/>
      <c r="H778" s="46"/>
      <c r="I778" s="46"/>
      <c r="J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 spans="1:28">
      <c r="A779" s="46"/>
      <c r="C779" s="46"/>
      <c r="D779" s="46"/>
      <c r="E779" s="46"/>
      <c r="F779" s="46"/>
      <c r="G779" s="46"/>
      <c r="H779" s="46"/>
      <c r="I779" s="46"/>
      <c r="J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 spans="1:28">
      <c r="A780" s="46"/>
      <c r="C780" s="46"/>
      <c r="D780" s="46"/>
      <c r="E780" s="46"/>
      <c r="F780" s="46"/>
      <c r="G780" s="46"/>
      <c r="H780" s="46"/>
      <c r="I780" s="46"/>
      <c r="J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 spans="1:28">
      <c r="A781" s="46"/>
      <c r="C781" s="46"/>
      <c r="D781" s="46"/>
      <c r="E781" s="46"/>
      <c r="F781" s="46"/>
      <c r="G781" s="46"/>
      <c r="H781" s="46"/>
      <c r="I781" s="46"/>
      <c r="J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 spans="1:28">
      <c r="A782" s="46"/>
      <c r="C782" s="46"/>
      <c r="D782" s="46"/>
      <c r="E782" s="46"/>
      <c r="F782" s="46"/>
      <c r="G782" s="46"/>
      <c r="H782" s="46"/>
      <c r="I782" s="46"/>
      <c r="J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 spans="1:28">
      <c r="A783" s="46"/>
      <c r="C783" s="46"/>
      <c r="D783" s="46"/>
      <c r="E783" s="46"/>
      <c r="F783" s="46"/>
      <c r="G783" s="46"/>
      <c r="H783" s="46"/>
      <c r="I783" s="46"/>
      <c r="J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 spans="1:28">
      <c r="A784" s="46"/>
      <c r="C784" s="46"/>
      <c r="D784" s="46"/>
      <c r="E784" s="46"/>
      <c r="F784" s="46"/>
      <c r="G784" s="46"/>
      <c r="H784" s="46"/>
      <c r="I784" s="46"/>
      <c r="J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 spans="1:28">
      <c r="A785" s="46"/>
      <c r="C785" s="46"/>
      <c r="D785" s="46"/>
      <c r="E785" s="46"/>
      <c r="F785" s="46"/>
      <c r="G785" s="46"/>
      <c r="H785" s="46"/>
      <c r="I785" s="46"/>
      <c r="J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 spans="1:28">
      <c r="A786" s="46"/>
      <c r="C786" s="46"/>
      <c r="D786" s="46"/>
      <c r="E786" s="46"/>
      <c r="F786" s="46"/>
      <c r="G786" s="46"/>
      <c r="H786" s="46"/>
      <c r="I786" s="46"/>
      <c r="J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 spans="1:28">
      <c r="A787" s="46"/>
      <c r="C787" s="46"/>
      <c r="D787" s="46"/>
      <c r="E787" s="46"/>
      <c r="F787" s="46"/>
      <c r="G787" s="46"/>
      <c r="H787" s="46"/>
      <c r="I787" s="46"/>
      <c r="J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 spans="1:28">
      <c r="A788" s="46"/>
      <c r="C788" s="46"/>
      <c r="D788" s="46"/>
      <c r="E788" s="46"/>
      <c r="F788" s="46"/>
      <c r="G788" s="46"/>
      <c r="H788" s="46"/>
      <c r="I788" s="46"/>
      <c r="J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 spans="1:28">
      <c r="A789" s="46"/>
      <c r="C789" s="46"/>
      <c r="D789" s="46"/>
      <c r="E789" s="46"/>
      <c r="F789" s="46"/>
      <c r="G789" s="46"/>
      <c r="H789" s="46"/>
      <c r="I789" s="46"/>
      <c r="J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 spans="1:28">
      <c r="A790" s="46"/>
      <c r="C790" s="46"/>
      <c r="D790" s="46"/>
      <c r="E790" s="46"/>
      <c r="F790" s="46"/>
      <c r="G790" s="46"/>
      <c r="H790" s="46"/>
      <c r="I790" s="46"/>
      <c r="J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 spans="1:28">
      <c r="A791" s="46"/>
      <c r="C791" s="46"/>
      <c r="D791" s="46"/>
      <c r="E791" s="46"/>
      <c r="F791" s="46"/>
      <c r="G791" s="46"/>
      <c r="H791" s="46"/>
      <c r="I791" s="46"/>
      <c r="J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 spans="1:28">
      <c r="A792" s="46"/>
      <c r="C792" s="46"/>
      <c r="D792" s="46"/>
      <c r="E792" s="46"/>
      <c r="F792" s="46"/>
      <c r="G792" s="46"/>
      <c r="H792" s="46"/>
      <c r="I792" s="46"/>
      <c r="J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 spans="1:28">
      <c r="A793" s="46"/>
      <c r="C793" s="46"/>
      <c r="D793" s="46"/>
      <c r="E793" s="46"/>
      <c r="F793" s="46"/>
      <c r="G793" s="46"/>
      <c r="H793" s="46"/>
      <c r="I793" s="46"/>
      <c r="J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 spans="1:28">
      <c r="A794" s="46"/>
      <c r="C794" s="46"/>
      <c r="D794" s="46"/>
      <c r="E794" s="46"/>
      <c r="F794" s="46"/>
      <c r="G794" s="46"/>
      <c r="H794" s="46"/>
      <c r="I794" s="46"/>
      <c r="J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 spans="1:28">
      <c r="A795" s="46"/>
      <c r="C795" s="46"/>
      <c r="D795" s="46"/>
      <c r="E795" s="46"/>
      <c r="F795" s="46"/>
      <c r="G795" s="46"/>
      <c r="H795" s="46"/>
      <c r="I795" s="46"/>
      <c r="J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 spans="1:28">
      <c r="A796" s="46"/>
      <c r="C796" s="46"/>
      <c r="D796" s="46"/>
      <c r="E796" s="46"/>
      <c r="F796" s="46"/>
      <c r="G796" s="46"/>
      <c r="H796" s="46"/>
      <c r="I796" s="46"/>
      <c r="J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 spans="1:28">
      <c r="A797" s="46"/>
      <c r="C797" s="46"/>
      <c r="D797" s="46"/>
      <c r="E797" s="46"/>
      <c r="F797" s="46"/>
      <c r="G797" s="46"/>
      <c r="H797" s="46"/>
      <c r="I797" s="46"/>
      <c r="J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 spans="1:28">
      <c r="A798" s="46"/>
      <c r="C798" s="46"/>
      <c r="D798" s="46"/>
      <c r="E798" s="46"/>
      <c r="F798" s="46"/>
      <c r="G798" s="46"/>
      <c r="H798" s="46"/>
      <c r="I798" s="46"/>
      <c r="J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 spans="1:28">
      <c r="A799" s="46"/>
      <c r="C799" s="46"/>
      <c r="D799" s="46"/>
      <c r="E799" s="46"/>
      <c r="F799" s="46"/>
      <c r="G799" s="46"/>
      <c r="H799" s="46"/>
      <c r="I799" s="46"/>
      <c r="J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 spans="1:28">
      <c r="A800" s="46"/>
      <c r="C800" s="46"/>
      <c r="D800" s="46"/>
      <c r="E800" s="46"/>
      <c r="F800" s="46"/>
      <c r="G800" s="46"/>
      <c r="H800" s="46"/>
      <c r="I800" s="46"/>
      <c r="J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 spans="1:28">
      <c r="A801" s="46"/>
      <c r="C801" s="46"/>
      <c r="D801" s="46"/>
      <c r="E801" s="46"/>
      <c r="F801" s="46"/>
      <c r="G801" s="46"/>
      <c r="H801" s="46"/>
      <c r="I801" s="46"/>
      <c r="J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 spans="1:28">
      <c r="A802" s="46"/>
      <c r="C802" s="46"/>
      <c r="D802" s="46"/>
      <c r="E802" s="46"/>
      <c r="F802" s="46"/>
      <c r="G802" s="46"/>
      <c r="H802" s="46"/>
      <c r="I802" s="46"/>
      <c r="J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 spans="1:28">
      <c r="A803" s="46"/>
      <c r="C803" s="46"/>
      <c r="D803" s="46"/>
      <c r="E803" s="46"/>
      <c r="F803" s="46"/>
      <c r="G803" s="46"/>
      <c r="H803" s="46"/>
      <c r="I803" s="46"/>
      <c r="J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 spans="1:28">
      <c r="A804" s="46"/>
      <c r="C804" s="46"/>
      <c r="D804" s="46"/>
      <c r="E804" s="46"/>
      <c r="F804" s="46"/>
      <c r="G804" s="46"/>
      <c r="H804" s="46"/>
      <c r="I804" s="46"/>
      <c r="J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</sheetData>
  <pageMargins left="0.7" right="0.7" top="0.75" bottom="0.75" header="0.3" footer="0.3"/>
  <pageSetup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38"/>
  <sheetViews>
    <sheetView showGridLines="0" view="pageBreakPreview" zoomScaleSheetLayoutView="100" workbookViewId="0">
      <pane ySplit="4" topLeftCell="A79" activePane="bottomLeft" state="frozen"/>
      <selection pane="bottomLeft" activeCell="A82" sqref="A82"/>
    </sheetView>
  </sheetViews>
  <sheetFormatPr defaultRowHeight="15.75"/>
  <cols>
    <col min="1" max="1" width="10" style="8" bestFit="1" customWidth="1"/>
    <col min="2" max="2" width="32" style="46" bestFit="1" customWidth="1"/>
    <col min="3" max="3" width="12.7109375" style="8" bestFit="1" customWidth="1"/>
    <col min="4" max="4" width="9.140625" style="8" bestFit="1" customWidth="1"/>
    <col min="5" max="5" width="14" style="152" bestFit="1" customWidth="1"/>
    <col min="6" max="6" width="18.140625" style="154" bestFit="1" customWidth="1"/>
    <col min="7" max="7" width="18.5703125" style="154" bestFit="1" customWidth="1"/>
    <col min="8" max="8" width="16.140625" style="82" bestFit="1" customWidth="1"/>
    <col min="9" max="9" width="15.7109375" style="82" bestFit="1" customWidth="1"/>
    <col min="10" max="10" width="10.42578125" style="8" bestFit="1" customWidth="1"/>
    <col min="11" max="11" width="10.42578125" style="46" bestFit="1" customWidth="1"/>
    <col min="12" max="12" width="16" style="194" bestFit="1" customWidth="1"/>
    <col min="13" max="14" width="18.28515625" style="194" bestFit="1" customWidth="1"/>
    <col min="15" max="15" width="26.5703125" style="155" bestFit="1" customWidth="1"/>
    <col min="16" max="16" width="28.140625" style="153" bestFit="1" customWidth="1"/>
    <col min="17" max="18" width="16.85546875" style="2" bestFit="1" customWidth="1"/>
    <col min="19" max="19" width="17.7109375" style="2" bestFit="1" customWidth="1"/>
    <col min="20" max="20" width="9.140625" style="2"/>
    <col min="21" max="16384" width="9.140625" style="46"/>
  </cols>
  <sheetData>
    <row r="1" spans="1:20" ht="24" customHeight="1">
      <c r="A1" s="78" t="s">
        <v>0</v>
      </c>
      <c r="B1" s="2"/>
      <c r="C1" s="3"/>
      <c r="D1" s="3"/>
      <c r="E1" s="4"/>
      <c r="F1" s="79"/>
      <c r="G1" s="80"/>
      <c r="H1" s="51"/>
      <c r="I1" s="80"/>
      <c r="J1" s="81"/>
      <c r="K1" s="81"/>
      <c r="L1" s="157"/>
      <c r="M1" s="157"/>
      <c r="N1" s="157"/>
      <c r="O1" s="83"/>
      <c r="P1" s="1"/>
    </row>
    <row r="2" spans="1:20" ht="24" customHeight="1">
      <c r="A2" s="85" t="s">
        <v>1831</v>
      </c>
      <c r="B2" s="2"/>
      <c r="C2" s="3"/>
      <c r="D2" s="3"/>
      <c r="E2" s="4"/>
      <c r="F2" s="79"/>
      <c r="G2" s="80"/>
      <c r="H2" s="51"/>
      <c r="I2" s="80"/>
      <c r="J2" s="81"/>
      <c r="K2" s="81"/>
      <c r="L2" s="157"/>
      <c r="M2" s="157"/>
      <c r="N2" s="157"/>
      <c r="O2" s="83"/>
      <c r="P2" s="1"/>
    </row>
    <row r="3" spans="1:20" s="258" customFormat="1" ht="24" customHeight="1">
      <c r="A3" s="248" t="s">
        <v>1</v>
      </c>
      <c r="B3" s="248" t="s">
        <v>2</v>
      </c>
      <c r="C3" s="248" t="s">
        <v>3</v>
      </c>
      <c r="D3" s="248" t="s">
        <v>24</v>
      </c>
      <c r="E3" s="249" t="s">
        <v>4</v>
      </c>
      <c r="F3" s="250" t="s">
        <v>5</v>
      </c>
      <c r="G3" s="250" t="s">
        <v>6</v>
      </c>
      <c r="H3" s="251" t="s">
        <v>7</v>
      </c>
      <c r="I3" s="252" t="s">
        <v>8</v>
      </c>
      <c r="J3" s="253" t="s">
        <v>9</v>
      </c>
      <c r="K3" s="248" t="s">
        <v>10</v>
      </c>
      <c r="L3" s="254" t="s">
        <v>11</v>
      </c>
      <c r="M3" s="255" t="s">
        <v>12</v>
      </c>
      <c r="N3" s="255" t="s">
        <v>13</v>
      </c>
      <c r="O3" s="256" t="s">
        <v>67</v>
      </c>
      <c r="P3" s="248" t="s">
        <v>68</v>
      </c>
      <c r="Q3" s="248"/>
      <c r="R3" s="248"/>
      <c r="S3" s="248"/>
      <c r="T3" s="257"/>
    </row>
    <row r="4" spans="1:20" s="258" customFormat="1" ht="24" customHeight="1">
      <c r="A4" s="259"/>
      <c r="B4" s="260"/>
      <c r="C4" s="260"/>
      <c r="D4" s="260"/>
      <c r="E4" s="261" t="s">
        <v>17</v>
      </c>
      <c r="F4" s="262"/>
      <c r="G4" s="263" t="s">
        <v>5</v>
      </c>
      <c r="H4" s="264"/>
      <c r="I4" s="265"/>
      <c r="J4" s="266"/>
      <c r="K4" s="260" t="s">
        <v>18</v>
      </c>
      <c r="L4" s="267" t="s">
        <v>19</v>
      </c>
      <c r="M4" s="268" t="s">
        <v>8</v>
      </c>
      <c r="N4" s="268"/>
      <c r="O4" s="269"/>
      <c r="P4" s="270"/>
      <c r="Q4" s="259"/>
      <c r="R4" s="259"/>
      <c r="S4" s="259"/>
      <c r="T4" s="257"/>
    </row>
    <row r="5" spans="1:20" customFormat="1" ht="24" customHeight="1">
      <c r="A5" s="61">
        <v>1</v>
      </c>
      <c r="B5" s="68" t="s">
        <v>138</v>
      </c>
      <c r="C5" s="69" t="s">
        <v>139</v>
      </c>
      <c r="D5" s="69" t="s">
        <v>1441</v>
      </c>
      <c r="E5" s="41">
        <v>43091</v>
      </c>
      <c r="F5" s="219">
        <f>660000</f>
        <v>660000</v>
      </c>
      <c r="G5" s="219">
        <f t="shared" ref="G5:G68" si="0">+J5*L5</f>
        <v>739200</v>
      </c>
      <c r="H5" s="271">
        <f>+F5/J5</f>
        <v>66000</v>
      </c>
      <c r="I5" s="219">
        <f t="shared" ref="I5:I19" si="1">+F5*1.2%</f>
        <v>7920</v>
      </c>
      <c r="J5" s="67">
        <v>10</v>
      </c>
      <c r="K5" s="36">
        <v>7</v>
      </c>
      <c r="L5" s="65">
        <f t="shared" ref="L5:L68" si="2">+H5+I5</f>
        <v>73920</v>
      </c>
      <c r="M5" s="64">
        <f t="shared" ref="M5:M68" si="3">+K5*L5</f>
        <v>517440</v>
      </c>
      <c r="N5" s="219">
        <f>+H5*K5</f>
        <v>462000</v>
      </c>
      <c r="O5" s="241" t="s">
        <v>1442</v>
      </c>
      <c r="P5" s="241" t="s">
        <v>1443</v>
      </c>
      <c r="Q5" s="175">
        <f>N5</f>
        <v>462000</v>
      </c>
      <c r="R5" s="126" t="e">
        <f>+#REF!</f>
        <v>#REF!</v>
      </c>
      <c r="S5" s="188" t="e">
        <f>+Q5-R5</f>
        <v>#REF!</v>
      </c>
    </row>
    <row r="6" spans="1:20" customFormat="1" ht="24" customHeight="1">
      <c r="A6" s="61">
        <f t="shared" ref="A6:A48" si="4">+A5+1</f>
        <v>2</v>
      </c>
      <c r="B6" s="217" t="s">
        <v>1444</v>
      </c>
      <c r="C6" s="218" t="s">
        <v>165</v>
      </c>
      <c r="D6" s="218" t="s">
        <v>1445</v>
      </c>
      <c r="E6" s="41">
        <v>43039</v>
      </c>
      <c r="F6" s="219">
        <f>880000</f>
        <v>880000</v>
      </c>
      <c r="G6" s="219">
        <f t="shared" si="0"/>
        <v>985600</v>
      </c>
      <c r="H6" s="219">
        <f>+F6/J6</f>
        <v>88000</v>
      </c>
      <c r="I6" s="219">
        <f t="shared" si="1"/>
        <v>10560</v>
      </c>
      <c r="J6" s="67">
        <v>10</v>
      </c>
      <c r="K6" s="36">
        <v>5</v>
      </c>
      <c r="L6" s="65">
        <f t="shared" si="2"/>
        <v>98560</v>
      </c>
      <c r="M6" s="64">
        <f t="shared" si="3"/>
        <v>492800</v>
      </c>
      <c r="N6" s="272">
        <f>+H6*K6</f>
        <v>440000</v>
      </c>
      <c r="O6" s="72" t="s">
        <v>1446</v>
      </c>
      <c r="P6" s="273" t="s">
        <v>1447</v>
      </c>
      <c r="Q6" s="175">
        <f t="shared" ref="Q6:Q69" si="5">N6</f>
        <v>440000</v>
      </c>
      <c r="R6" s="126" t="e">
        <f>+#REF!</f>
        <v>#REF!</v>
      </c>
      <c r="S6" s="188" t="e">
        <f t="shared" ref="S6:S69" si="6">+Q6-R6</f>
        <v>#REF!</v>
      </c>
    </row>
    <row r="7" spans="1:20" customFormat="1" ht="24" customHeight="1">
      <c r="A7" s="61">
        <f t="shared" si="4"/>
        <v>3</v>
      </c>
      <c r="B7" s="68" t="s">
        <v>1448</v>
      </c>
      <c r="C7" s="69" t="s">
        <v>176</v>
      </c>
      <c r="D7" s="69" t="s">
        <v>1449</v>
      </c>
      <c r="E7" s="41">
        <v>43105</v>
      </c>
      <c r="F7" s="219">
        <f>3999000</f>
        <v>3999000</v>
      </c>
      <c r="G7" s="219">
        <f t="shared" si="0"/>
        <v>4574856</v>
      </c>
      <c r="H7" s="118">
        <f>+F7/J7</f>
        <v>333250</v>
      </c>
      <c r="I7" s="118">
        <f t="shared" si="1"/>
        <v>47988</v>
      </c>
      <c r="J7" s="67">
        <v>12</v>
      </c>
      <c r="K7" s="36">
        <v>9</v>
      </c>
      <c r="L7" s="65">
        <f t="shared" si="2"/>
        <v>381238</v>
      </c>
      <c r="M7" s="64">
        <f t="shared" si="3"/>
        <v>3431142</v>
      </c>
      <c r="N7" s="219">
        <f>+H7*K7</f>
        <v>2999250</v>
      </c>
      <c r="O7" s="273" t="s">
        <v>1450</v>
      </c>
      <c r="P7" s="273" t="s">
        <v>1451</v>
      </c>
      <c r="Q7" s="175">
        <f t="shared" si="5"/>
        <v>2999250</v>
      </c>
      <c r="R7" s="126" t="e">
        <f>+#REF!</f>
        <v>#REF!</v>
      </c>
      <c r="S7" s="188" t="e">
        <f t="shared" si="6"/>
        <v>#REF!</v>
      </c>
    </row>
    <row r="8" spans="1:20" customFormat="1" ht="24" customHeight="1">
      <c r="A8" s="61">
        <f t="shared" si="4"/>
        <v>4</v>
      </c>
      <c r="B8" s="217" t="s">
        <v>1452</v>
      </c>
      <c r="C8" s="218" t="s">
        <v>1453</v>
      </c>
      <c r="D8" s="218" t="s">
        <v>1454</v>
      </c>
      <c r="E8" s="41">
        <v>42942</v>
      </c>
      <c r="F8" s="219">
        <f>52000+520000</f>
        <v>572000</v>
      </c>
      <c r="G8" s="219">
        <f t="shared" si="0"/>
        <v>711000</v>
      </c>
      <c r="H8" s="219">
        <f>39500-I8</f>
        <v>32636</v>
      </c>
      <c r="I8" s="219">
        <f t="shared" si="1"/>
        <v>6864</v>
      </c>
      <c r="J8" s="67">
        <v>18</v>
      </c>
      <c r="K8" s="36">
        <v>10</v>
      </c>
      <c r="L8" s="65">
        <f t="shared" si="2"/>
        <v>39500</v>
      </c>
      <c r="M8" s="64">
        <f t="shared" si="3"/>
        <v>395000</v>
      </c>
      <c r="N8" s="220">
        <f>F8-(H8*8)</f>
        <v>310912</v>
      </c>
      <c r="O8" s="72" t="s">
        <v>1455</v>
      </c>
      <c r="P8" s="273" t="s">
        <v>1456</v>
      </c>
      <c r="Q8" s="175">
        <f t="shared" si="5"/>
        <v>310912</v>
      </c>
      <c r="R8" s="126" t="e">
        <f>+#REF!</f>
        <v>#REF!</v>
      </c>
      <c r="S8" s="188" t="e">
        <f t="shared" si="6"/>
        <v>#REF!</v>
      </c>
    </row>
    <row r="9" spans="1:20" customFormat="1" ht="24" customHeight="1">
      <c r="A9" s="61">
        <f t="shared" si="4"/>
        <v>5</v>
      </c>
      <c r="B9" s="217" t="s">
        <v>1452</v>
      </c>
      <c r="C9" s="218" t="s">
        <v>1453</v>
      </c>
      <c r="D9" s="218" t="s">
        <v>1457</v>
      </c>
      <c r="E9" s="41">
        <v>42962</v>
      </c>
      <c r="F9" s="219">
        <f>127600+1148400</f>
        <v>1276000</v>
      </c>
      <c r="G9" s="219">
        <f t="shared" si="0"/>
        <v>1557000</v>
      </c>
      <c r="H9" s="219">
        <v>71188</v>
      </c>
      <c r="I9" s="219">
        <f t="shared" si="1"/>
        <v>15312</v>
      </c>
      <c r="J9" s="67">
        <v>18</v>
      </c>
      <c r="K9" s="36">
        <v>10</v>
      </c>
      <c r="L9" s="64">
        <f t="shared" si="2"/>
        <v>86500</v>
      </c>
      <c r="M9" s="64">
        <f t="shared" si="3"/>
        <v>865000</v>
      </c>
      <c r="N9" s="220">
        <f>F9-(H9*8)</f>
        <v>706496</v>
      </c>
      <c r="O9" s="73" t="s">
        <v>1458</v>
      </c>
      <c r="P9" s="72" t="s">
        <v>1459</v>
      </c>
      <c r="Q9" s="175">
        <f t="shared" si="5"/>
        <v>706496</v>
      </c>
      <c r="R9" s="126" t="e">
        <f>+#REF!</f>
        <v>#REF!</v>
      </c>
      <c r="S9" s="188" t="e">
        <f t="shared" si="6"/>
        <v>#REF!</v>
      </c>
    </row>
    <row r="10" spans="1:20" customFormat="1" ht="24" customHeight="1">
      <c r="A10" s="61">
        <f t="shared" si="4"/>
        <v>6</v>
      </c>
      <c r="B10" s="247" t="s">
        <v>1460</v>
      </c>
      <c r="C10" s="274" t="s">
        <v>1461</v>
      </c>
      <c r="D10" s="274"/>
      <c r="E10" s="123">
        <v>41731</v>
      </c>
      <c r="F10" s="214">
        <f>5500000+55000</f>
        <v>5555000</v>
      </c>
      <c r="G10" s="206">
        <f t="shared" si="0"/>
        <v>7154880</v>
      </c>
      <c r="H10" s="113">
        <v>231460</v>
      </c>
      <c r="I10" s="214">
        <f t="shared" si="1"/>
        <v>66660</v>
      </c>
      <c r="J10" s="124">
        <v>24</v>
      </c>
      <c r="K10" s="124">
        <f>4+1</f>
        <v>5</v>
      </c>
      <c r="L10" s="107">
        <f t="shared" si="2"/>
        <v>298120</v>
      </c>
      <c r="M10" s="107">
        <f t="shared" si="3"/>
        <v>1490600</v>
      </c>
      <c r="N10" s="208">
        <f>+H10*K10</f>
        <v>1157300</v>
      </c>
      <c r="O10" s="275" t="s">
        <v>170</v>
      </c>
      <c r="P10" s="246" t="s">
        <v>1462</v>
      </c>
      <c r="Q10" s="175">
        <f t="shared" si="5"/>
        <v>1157300</v>
      </c>
      <c r="R10" s="126" t="e">
        <f>+#REF!</f>
        <v>#REF!</v>
      </c>
      <c r="S10" s="188" t="e">
        <f t="shared" si="6"/>
        <v>#REF!</v>
      </c>
    </row>
    <row r="11" spans="1:20" customFormat="1" ht="24" customHeight="1">
      <c r="A11" s="67">
        <f t="shared" si="4"/>
        <v>7</v>
      </c>
      <c r="B11" s="68" t="s">
        <v>1463</v>
      </c>
      <c r="C11" s="69" t="s">
        <v>1464</v>
      </c>
      <c r="D11" s="69" t="s">
        <v>1465</v>
      </c>
      <c r="E11" s="41">
        <v>43146</v>
      </c>
      <c r="F11" s="219">
        <f>252000+28000</f>
        <v>280000</v>
      </c>
      <c r="G11" s="219">
        <f t="shared" si="0"/>
        <v>291000</v>
      </c>
      <c r="H11" s="118">
        <f>97000-I11</f>
        <v>93640</v>
      </c>
      <c r="I11" s="118">
        <f t="shared" si="1"/>
        <v>3360</v>
      </c>
      <c r="J11" s="67">
        <v>3</v>
      </c>
      <c r="K11" s="36">
        <f>1</f>
        <v>1</v>
      </c>
      <c r="L11" s="65">
        <f t="shared" si="2"/>
        <v>97000</v>
      </c>
      <c r="M11" s="64">
        <f t="shared" si="3"/>
        <v>97000</v>
      </c>
      <c r="N11" s="276">
        <f>F11-(H11*2)</f>
        <v>92720</v>
      </c>
      <c r="O11" s="72" t="s">
        <v>32</v>
      </c>
      <c r="P11" s="72" t="s">
        <v>1466</v>
      </c>
      <c r="Q11" s="175">
        <f t="shared" si="5"/>
        <v>92720</v>
      </c>
      <c r="R11" s="126" t="e">
        <f>+#REF!</f>
        <v>#REF!</v>
      </c>
      <c r="S11" s="188" t="e">
        <f t="shared" si="6"/>
        <v>#REF!</v>
      </c>
    </row>
    <row r="12" spans="1:20" customFormat="1" ht="24" customHeight="1">
      <c r="A12" s="67">
        <f t="shared" si="4"/>
        <v>8</v>
      </c>
      <c r="B12" s="68" t="s">
        <v>1467</v>
      </c>
      <c r="C12" s="69" t="s">
        <v>1464</v>
      </c>
      <c r="D12" s="69" t="s">
        <v>1468</v>
      </c>
      <c r="E12" s="41">
        <v>43019</v>
      </c>
      <c r="F12" s="219">
        <f>1575000+50000</f>
        <v>1625000</v>
      </c>
      <c r="G12" s="219">
        <f t="shared" si="0"/>
        <v>1866000</v>
      </c>
      <c r="H12" s="219">
        <f>155500-I12</f>
        <v>136000</v>
      </c>
      <c r="I12" s="219">
        <f t="shared" si="1"/>
        <v>19500</v>
      </c>
      <c r="J12" s="67">
        <v>12</v>
      </c>
      <c r="K12" s="36">
        <f>6</f>
        <v>6</v>
      </c>
      <c r="L12" s="65">
        <f t="shared" si="2"/>
        <v>155500</v>
      </c>
      <c r="M12" s="64">
        <f t="shared" si="3"/>
        <v>933000</v>
      </c>
      <c r="N12" s="277">
        <f>F12-(H12*6)</f>
        <v>809000</v>
      </c>
      <c r="O12" s="72" t="s">
        <v>1469</v>
      </c>
      <c r="P12" s="273" t="s">
        <v>1470</v>
      </c>
      <c r="Q12" s="175">
        <f t="shared" si="5"/>
        <v>809000</v>
      </c>
      <c r="R12" s="126" t="e">
        <f>+#REF!</f>
        <v>#REF!</v>
      </c>
      <c r="S12" s="188" t="e">
        <f t="shared" si="6"/>
        <v>#REF!</v>
      </c>
    </row>
    <row r="13" spans="1:20" customFormat="1" ht="24" customHeight="1">
      <c r="A13" s="61">
        <f t="shared" si="4"/>
        <v>9</v>
      </c>
      <c r="B13" s="68" t="s">
        <v>1471</v>
      </c>
      <c r="C13" s="69" t="s">
        <v>1472</v>
      </c>
      <c r="D13" s="69" t="s">
        <v>1473</v>
      </c>
      <c r="E13" s="41">
        <v>43019</v>
      </c>
      <c r="F13" s="219">
        <v>150000</v>
      </c>
      <c r="G13" s="219">
        <f t="shared" si="0"/>
        <v>168000</v>
      </c>
      <c r="H13" s="219">
        <f>+F13/J13</f>
        <v>15000</v>
      </c>
      <c r="I13" s="219">
        <f t="shared" si="1"/>
        <v>1800</v>
      </c>
      <c r="J13" s="67">
        <v>10</v>
      </c>
      <c r="K13" s="36">
        <v>4</v>
      </c>
      <c r="L13" s="65">
        <f t="shared" si="2"/>
        <v>16800</v>
      </c>
      <c r="M13" s="64">
        <f t="shared" si="3"/>
        <v>67200</v>
      </c>
      <c r="N13" s="272">
        <f>+H13*K13</f>
        <v>60000</v>
      </c>
      <c r="O13" s="72" t="s">
        <v>1474</v>
      </c>
      <c r="P13" s="273" t="s">
        <v>1475</v>
      </c>
      <c r="Q13" s="175">
        <f t="shared" si="5"/>
        <v>60000</v>
      </c>
      <c r="R13" s="126" t="e">
        <f>+#REF!</f>
        <v>#REF!</v>
      </c>
      <c r="S13" s="188" t="e">
        <f t="shared" si="6"/>
        <v>#REF!</v>
      </c>
    </row>
    <row r="14" spans="1:20" customFormat="1" ht="24" customHeight="1">
      <c r="A14" s="61">
        <f t="shared" si="4"/>
        <v>10</v>
      </c>
      <c r="B14" s="237" t="s">
        <v>1476</v>
      </c>
      <c r="C14" s="238" t="s">
        <v>1477</v>
      </c>
      <c r="D14" s="238" t="s">
        <v>1478</v>
      </c>
      <c r="E14" s="115">
        <v>42954</v>
      </c>
      <c r="F14" s="239">
        <f>22385000+100000</f>
        <v>22485000</v>
      </c>
      <c r="G14" s="239">
        <f t="shared" si="0"/>
        <v>32238000</v>
      </c>
      <c r="H14" s="239">
        <v>625680</v>
      </c>
      <c r="I14" s="239">
        <f t="shared" si="1"/>
        <v>269820</v>
      </c>
      <c r="J14" s="240">
        <v>36</v>
      </c>
      <c r="K14" s="124">
        <f>30+1</f>
        <v>31</v>
      </c>
      <c r="L14" s="65">
        <f t="shared" si="2"/>
        <v>895500</v>
      </c>
      <c r="M14" s="64">
        <f t="shared" si="3"/>
        <v>27760500</v>
      </c>
      <c r="N14" s="220">
        <f>F14-(H14*5)</f>
        <v>19356600</v>
      </c>
      <c r="O14" s="72" t="s">
        <v>1479</v>
      </c>
      <c r="P14" s="273" t="s">
        <v>1480</v>
      </c>
      <c r="Q14" s="175">
        <f t="shared" si="5"/>
        <v>19356600</v>
      </c>
      <c r="R14" s="126" t="e">
        <f>+#REF!</f>
        <v>#REF!</v>
      </c>
      <c r="S14" s="188" t="e">
        <f t="shared" si="6"/>
        <v>#REF!</v>
      </c>
    </row>
    <row r="15" spans="1:20" customFormat="1">
      <c r="A15" s="61">
        <f t="shared" si="4"/>
        <v>11</v>
      </c>
      <c r="B15" s="217" t="s">
        <v>1481</v>
      </c>
      <c r="C15" s="218" t="s">
        <v>311</v>
      </c>
      <c r="D15" s="218" t="s">
        <v>1482</v>
      </c>
      <c r="E15" s="41">
        <v>42972</v>
      </c>
      <c r="F15" s="219">
        <f>1276000+308000+308000</f>
        <v>1892000</v>
      </c>
      <c r="G15" s="219">
        <f t="shared" si="0"/>
        <v>2119040</v>
      </c>
      <c r="H15" s="219">
        <f>+F15/J15</f>
        <v>189200</v>
      </c>
      <c r="I15" s="219">
        <f t="shared" si="1"/>
        <v>22704</v>
      </c>
      <c r="J15" s="67">
        <v>10</v>
      </c>
      <c r="K15" s="36">
        <v>3</v>
      </c>
      <c r="L15" s="65">
        <f t="shared" si="2"/>
        <v>211904</v>
      </c>
      <c r="M15" s="64">
        <f t="shared" si="3"/>
        <v>635712</v>
      </c>
      <c r="N15" s="64">
        <f>+H15*K15</f>
        <v>567600</v>
      </c>
      <c r="O15" s="72" t="s">
        <v>312</v>
      </c>
      <c r="P15" s="72" t="s">
        <v>1483</v>
      </c>
      <c r="Q15" s="175">
        <f t="shared" si="5"/>
        <v>567600</v>
      </c>
      <c r="R15" s="126" t="e">
        <f>+#REF!</f>
        <v>#REF!</v>
      </c>
      <c r="S15" s="188" t="e">
        <f t="shared" si="6"/>
        <v>#REF!</v>
      </c>
    </row>
    <row r="16" spans="1:20" customFormat="1">
      <c r="A16" s="61">
        <f t="shared" si="4"/>
        <v>12</v>
      </c>
      <c r="B16" s="217" t="s">
        <v>1484</v>
      </c>
      <c r="C16" s="218" t="s">
        <v>1485</v>
      </c>
      <c r="D16" s="218" t="s">
        <v>1486</v>
      </c>
      <c r="E16" s="41">
        <v>42972</v>
      </c>
      <c r="F16" s="219">
        <f>704000+880000</f>
        <v>1584000</v>
      </c>
      <c r="G16" s="219">
        <f t="shared" si="0"/>
        <v>1774080</v>
      </c>
      <c r="H16" s="219">
        <f>+F16/J16</f>
        <v>158400</v>
      </c>
      <c r="I16" s="219">
        <f t="shared" si="1"/>
        <v>19008</v>
      </c>
      <c r="J16" s="67">
        <v>10</v>
      </c>
      <c r="K16" s="36">
        <v>3</v>
      </c>
      <c r="L16" s="65">
        <f t="shared" si="2"/>
        <v>177408</v>
      </c>
      <c r="M16" s="64">
        <f t="shared" si="3"/>
        <v>532224</v>
      </c>
      <c r="N16" s="64">
        <f>+H16*K16</f>
        <v>475200</v>
      </c>
      <c r="O16" s="72" t="s">
        <v>312</v>
      </c>
      <c r="P16" s="72" t="s">
        <v>1487</v>
      </c>
      <c r="Q16" s="175">
        <f t="shared" si="5"/>
        <v>475200</v>
      </c>
      <c r="R16" s="126" t="e">
        <f>+#REF!</f>
        <v>#REF!</v>
      </c>
      <c r="S16" s="188" t="e">
        <f t="shared" si="6"/>
        <v>#REF!</v>
      </c>
    </row>
    <row r="17" spans="1:19" customFormat="1">
      <c r="A17" s="61">
        <f t="shared" si="4"/>
        <v>13</v>
      </c>
      <c r="B17" s="217" t="s">
        <v>1488</v>
      </c>
      <c r="C17" s="218" t="s">
        <v>491</v>
      </c>
      <c r="D17" s="218" t="s">
        <v>1489</v>
      </c>
      <c r="E17" s="41">
        <v>43007</v>
      </c>
      <c r="F17" s="219">
        <f>100000+16735000</f>
        <v>16835000</v>
      </c>
      <c r="G17" s="219">
        <f t="shared" si="0"/>
        <v>24120000</v>
      </c>
      <c r="H17" s="219">
        <f>670000-I17</f>
        <v>467980</v>
      </c>
      <c r="I17" s="219">
        <f t="shared" si="1"/>
        <v>202020</v>
      </c>
      <c r="J17" s="67">
        <v>36</v>
      </c>
      <c r="K17" s="36">
        <v>30</v>
      </c>
      <c r="L17" s="65">
        <f t="shared" si="2"/>
        <v>670000</v>
      </c>
      <c r="M17" s="64">
        <f t="shared" si="3"/>
        <v>20100000</v>
      </c>
      <c r="N17" s="112">
        <f>F17-(H17*6)</f>
        <v>14027120</v>
      </c>
      <c r="O17" s="72" t="s">
        <v>1490</v>
      </c>
      <c r="P17" s="273" t="s">
        <v>1491</v>
      </c>
      <c r="Q17" s="175">
        <f t="shared" si="5"/>
        <v>14027120</v>
      </c>
      <c r="R17" s="126" t="e">
        <f>+#REF!</f>
        <v>#REF!</v>
      </c>
      <c r="S17" s="188" t="e">
        <f t="shared" si="6"/>
        <v>#REF!</v>
      </c>
    </row>
    <row r="18" spans="1:19" customFormat="1">
      <c r="A18" s="61">
        <f t="shared" si="4"/>
        <v>14</v>
      </c>
      <c r="B18" s="217" t="s">
        <v>1492</v>
      </c>
      <c r="C18" s="218" t="s">
        <v>1493</v>
      </c>
      <c r="D18" s="218" t="s">
        <v>1494</v>
      </c>
      <c r="E18" s="41">
        <v>42951</v>
      </c>
      <c r="F18" s="219">
        <f>160000+1430000</f>
        <v>1590000</v>
      </c>
      <c r="G18" s="219">
        <f t="shared" si="0"/>
        <v>1818960</v>
      </c>
      <c r="H18" s="219">
        <f>+F18/J18</f>
        <v>132500</v>
      </c>
      <c r="I18" s="219">
        <f t="shared" si="1"/>
        <v>19080</v>
      </c>
      <c r="J18" s="67">
        <v>12</v>
      </c>
      <c r="K18" s="36">
        <v>4</v>
      </c>
      <c r="L18" s="65">
        <f t="shared" si="2"/>
        <v>151580</v>
      </c>
      <c r="M18" s="64">
        <f t="shared" si="3"/>
        <v>606320</v>
      </c>
      <c r="N18" s="64">
        <f>+H18*K18</f>
        <v>530000</v>
      </c>
      <c r="O18" s="72" t="s">
        <v>1495</v>
      </c>
      <c r="P18" s="72" t="s">
        <v>1496</v>
      </c>
      <c r="Q18" s="175">
        <f t="shared" si="5"/>
        <v>530000</v>
      </c>
      <c r="R18" s="126" t="e">
        <f>+#REF!</f>
        <v>#REF!</v>
      </c>
      <c r="S18" s="188" t="e">
        <f t="shared" si="6"/>
        <v>#REF!</v>
      </c>
    </row>
    <row r="19" spans="1:19" customFormat="1">
      <c r="A19" s="61">
        <f t="shared" si="4"/>
        <v>15</v>
      </c>
      <c r="B19" s="217" t="s">
        <v>1497</v>
      </c>
      <c r="C19" s="218" t="s">
        <v>1498</v>
      </c>
      <c r="D19" s="218" t="s">
        <v>1499</v>
      </c>
      <c r="E19" s="41">
        <v>42970</v>
      </c>
      <c r="F19" s="219">
        <f>35900000+100000</f>
        <v>36000000</v>
      </c>
      <c r="G19" s="219">
        <f t="shared" si="0"/>
        <v>51552000</v>
      </c>
      <c r="H19" s="219">
        <f>+F19/J19</f>
        <v>1000000</v>
      </c>
      <c r="I19" s="219">
        <f t="shared" si="1"/>
        <v>432000</v>
      </c>
      <c r="J19" s="67">
        <v>36</v>
      </c>
      <c r="K19" s="36">
        <v>29</v>
      </c>
      <c r="L19" s="64">
        <f t="shared" si="2"/>
        <v>1432000</v>
      </c>
      <c r="M19" s="64">
        <f t="shared" si="3"/>
        <v>41528000</v>
      </c>
      <c r="N19" s="64">
        <f>+H19*K19</f>
        <v>29000000</v>
      </c>
      <c r="O19" s="73" t="s">
        <v>1500</v>
      </c>
      <c r="P19" s="273" t="s">
        <v>1501</v>
      </c>
      <c r="Q19" s="175">
        <f t="shared" si="5"/>
        <v>29000000</v>
      </c>
      <c r="R19" s="126" t="e">
        <f>+#REF!</f>
        <v>#REF!</v>
      </c>
      <c r="S19" s="188" t="e">
        <f t="shared" si="6"/>
        <v>#REF!</v>
      </c>
    </row>
    <row r="20" spans="1:19" customFormat="1">
      <c r="A20" s="61">
        <f t="shared" si="4"/>
        <v>16</v>
      </c>
      <c r="B20" s="217" t="s">
        <v>1502</v>
      </c>
      <c r="C20" s="218" t="s">
        <v>1503</v>
      </c>
      <c r="D20" s="218" t="s">
        <v>1504</v>
      </c>
      <c r="E20" s="41">
        <v>42993</v>
      </c>
      <c r="F20" s="219">
        <f>800000+100000+17870000</f>
        <v>18770000</v>
      </c>
      <c r="G20" s="219">
        <f t="shared" si="0"/>
        <v>21022800</v>
      </c>
      <c r="H20" s="271">
        <v>1564200</v>
      </c>
      <c r="I20" s="219">
        <v>187700</v>
      </c>
      <c r="J20" s="67">
        <v>12</v>
      </c>
      <c r="K20" s="36">
        <v>5</v>
      </c>
      <c r="L20" s="65">
        <f t="shared" si="2"/>
        <v>1751900</v>
      </c>
      <c r="M20" s="64">
        <f t="shared" si="3"/>
        <v>8759500</v>
      </c>
      <c r="N20" s="112">
        <f>F20-(H20*7)</f>
        <v>7820600</v>
      </c>
      <c r="O20" s="72" t="s">
        <v>1505</v>
      </c>
      <c r="P20" s="273" t="s">
        <v>1506</v>
      </c>
      <c r="Q20" s="175">
        <f t="shared" si="5"/>
        <v>7820600</v>
      </c>
      <c r="R20" s="126" t="e">
        <f>+#REF!</f>
        <v>#REF!</v>
      </c>
      <c r="S20" s="188" t="e">
        <f t="shared" si="6"/>
        <v>#REF!</v>
      </c>
    </row>
    <row r="21" spans="1:19" customFormat="1">
      <c r="A21" s="61">
        <f t="shared" si="4"/>
        <v>17</v>
      </c>
      <c r="B21" s="68" t="s">
        <v>1502</v>
      </c>
      <c r="C21" s="69" t="s">
        <v>1503</v>
      </c>
      <c r="D21" s="69" t="s">
        <v>1507</v>
      </c>
      <c r="E21" s="41">
        <v>43041</v>
      </c>
      <c r="F21" s="219">
        <f>1645000+50000</f>
        <v>1695000</v>
      </c>
      <c r="G21" s="219">
        <f t="shared" si="0"/>
        <v>1695000</v>
      </c>
      <c r="H21" s="219">
        <f>+F21/J21</f>
        <v>141250</v>
      </c>
      <c r="I21" s="219">
        <v>0</v>
      </c>
      <c r="J21" s="67">
        <v>12</v>
      </c>
      <c r="K21" s="36">
        <v>7</v>
      </c>
      <c r="L21" s="65">
        <f t="shared" si="2"/>
        <v>141250</v>
      </c>
      <c r="M21" s="64">
        <f t="shared" si="3"/>
        <v>988750</v>
      </c>
      <c r="N21" s="64">
        <f>+H21*K21</f>
        <v>988750</v>
      </c>
      <c r="O21" s="273" t="s">
        <v>1508</v>
      </c>
      <c r="P21" s="273" t="s">
        <v>1509</v>
      </c>
      <c r="Q21" s="175">
        <f t="shared" si="5"/>
        <v>988750</v>
      </c>
      <c r="R21" s="126" t="e">
        <f>+#REF!</f>
        <v>#REF!</v>
      </c>
      <c r="S21" s="188" t="e">
        <f t="shared" si="6"/>
        <v>#REF!</v>
      </c>
    </row>
    <row r="22" spans="1:19" customFormat="1">
      <c r="A22" s="61">
        <f t="shared" si="4"/>
        <v>18</v>
      </c>
      <c r="B22" s="217" t="s">
        <v>1510</v>
      </c>
      <c r="C22" s="218" t="s">
        <v>1511</v>
      </c>
      <c r="D22" s="218" t="s">
        <v>1512</v>
      </c>
      <c r="E22" s="41">
        <v>43017</v>
      </c>
      <c r="F22" s="219">
        <f>15545000+800000+100000</f>
        <v>16445000</v>
      </c>
      <c r="G22" s="219">
        <f t="shared" si="0"/>
        <v>25944000</v>
      </c>
      <c r="H22" s="219">
        <v>343160</v>
      </c>
      <c r="I22" s="219">
        <f t="shared" ref="I22:I59" si="7">+F22*1.2%</f>
        <v>197340</v>
      </c>
      <c r="J22" s="67">
        <v>48</v>
      </c>
      <c r="K22" s="36">
        <v>42</v>
      </c>
      <c r="L22" s="65">
        <f t="shared" si="2"/>
        <v>540500</v>
      </c>
      <c r="M22" s="64">
        <f t="shared" si="3"/>
        <v>22701000</v>
      </c>
      <c r="N22" s="220">
        <f>F22-(H22*6)</f>
        <v>14386040</v>
      </c>
      <c r="O22" s="72" t="s">
        <v>1513</v>
      </c>
      <c r="P22" s="273" t="s">
        <v>1514</v>
      </c>
      <c r="Q22" s="175">
        <f t="shared" si="5"/>
        <v>14386040</v>
      </c>
      <c r="R22" s="126" t="e">
        <f>+#REF!</f>
        <v>#REF!</v>
      </c>
      <c r="S22" s="188" t="e">
        <f t="shared" si="6"/>
        <v>#REF!</v>
      </c>
    </row>
    <row r="23" spans="1:19" customFormat="1">
      <c r="A23" s="61">
        <f t="shared" si="4"/>
        <v>19</v>
      </c>
      <c r="B23" s="68" t="s">
        <v>1515</v>
      </c>
      <c r="C23" s="69" t="s">
        <v>1516</v>
      </c>
      <c r="D23" s="69" t="s">
        <v>1517</v>
      </c>
      <c r="E23" s="41">
        <v>43098</v>
      </c>
      <c r="F23" s="219">
        <f>2400000</f>
        <v>2400000</v>
      </c>
      <c r="G23" s="219">
        <f t="shared" si="0"/>
        <v>2688000</v>
      </c>
      <c r="H23" s="219">
        <f>+F23/J23</f>
        <v>240000</v>
      </c>
      <c r="I23" s="219">
        <f t="shared" si="7"/>
        <v>28800</v>
      </c>
      <c r="J23" s="67">
        <v>10</v>
      </c>
      <c r="K23" s="36">
        <v>7</v>
      </c>
      <c r="L23" s="65">
        <f t="shared" si="2"/>
        <v>268800</v>
      </c>
      <c r="M23" s="64">
        <f t="shared" si="3"/>
        <v>1881600</v>
      </c>
      <c r="N23" s="219">
        <f>+H23*K23</f>
        <v>1680000</v>
      </c>
      <c r="O23" s="241" t="s">
        <v>1518</v>
      </c>
      <c r="P23" s="241" t="s">
        <v>1519</v>
      </c>
      <c r="Q23" s="175">
        <f t="shared" si="5"/>
        <v>1680000</v>
      </c>
      <c r="R23" s="126" t="e">
        <f>+#REF!</f>
        <v>#REF!</v>
      </c>
      <c r="S23" s="188" t="e">
        <f t="shared" si="6"/>
        <v>#REF!</v>
      </c>
    </row>
    <row r="24" spans="1:19" customFormat="1">
      <c r="A24" s="61">
        <f t="shared" si="4"/>
        <v>20</v>
      </c>
      <c r="B24" s="68" t="s">
        <v>1520</v>
      </c>
      <c r="C24" s="69" t="s">
        <v>1521</v>
      </c>
      <c r="D24" s="69" t="s">
        <v>1522</v>
      </c>
      <c r="E24" s="41">
        <v>43126</v>
      </c>
      <c r="F24" s="219">
        <f>3999000+75000</f>
        <v>4074000</v>
      </c>
      <c r="G24" s="219">
        <f t="shared" si="0"/>
        <v>4660656</v>
      </c>
      <c r="H24" s="118">
        <f>+F24/J24</f>
        <v>339500</v>
      </c>
      <c r="I24" s="118">
        <f t="shared" si="7"/>
        <v>48888</v>
      </c>
      <c r="J24" s="67">
        <v>12</v>
      </c>
      <c r="K24" s="36">
        <v>10</v>
      </c>
      <c r="L24" s="65">
        <f t="shared" si="2"/>
        <v>388388</v>
      </c>
      <c r="M24" s="64">
        <f t="shared" si="3"/>
        <v>3883880</v>
      </c>
      <c r="N24" s="219">
        <f>+H24*K24</f>
        <v>3395000</v>
      </c>
      <c r="O24" s="273" t="s">
        <v>1523</v>
      </c>
      <c r="P24" s="273" t="s">
        <v>1524</v>
      </c>
      <c r="Q24" s="175">
        <f t="shared" si="5"/>
        <v>3395000</v>
      </c>
      <c r="R24" s="126" t="e">
        <f>+#REF!</f>
        <v>#REF!</v>
      </c>
      <c r="S24" s="188" t="e">
        <f t="shared" si="6"/>
        <v>#REF!</v>
      </c>
    </row>
    <row r="25" spans="1:19" customFormat="1">
      <c r="A25" s="67">
        <f t="shared" si="4"/>
        <v>21</v>
      </c>
      <c r="B25" s="217" t="s">
        <v>1525</v>
      </c>
      <c r="C25" s="218" t="s">
        <v>1526</v>
      </c>
      <c r="D25" s="218" t="s">
        <v>1527</v>
      </c>
      <c r="E25" s="41">
        <v>42972</v>
      </c>
      <c r="F25" s="219">
        <f>308000</f>
        <v>308000</v>
      </c>
      <c r="G25" s="219">
        <f t="shared" si="0"/>
        <v>344960</v>
      </c>
      <c r="H25" s="219">
        <f>+F25/J25</f>
        <v>30800</v>
      </c>
      <c r="I25" s="219">
        <f t="shared" si="7"/>
        <v>3696</v>
      </c>
      <c r="J25" s="67">
        <v>10</v>
      </c>
      <c r="K25" s="36">
        <v>3</v>
      </c>
      <c r="L25" s="65">
        <f t="shared" si="2"/>
        <v>34496</v>
      </c>
      <c r="M25" s="64">
        <f t="shared" si="3"/>
        <v>103488</v>
      </c>
      <c r="N25" s="64">
        <f>+H25*K25</f>
        <v>92400</v>
      </c>
      <c r="O25" s="72" t="s">
        <v>1528</v>
      </c>
      <c r="P25" s="273" t="s">
        <v>1529</v>
      </c>
      <c r="Q25" s="175">
        <f t="shared" si="5"/>
        <v>92400</v>
      </c>
      <c r="R25" s="126" t="e">
        <f>+#REF!</f>
        <v>#REF!</v>
      </c>
      <c r="S25" s="188" t="e">
        <f t="shared" si="6"/>
        <v>#REF!</v>
      </c>
    </row>
    <row r="26" spans="1:19" customFormat="1">
      <c r="A26" s="67">
        <f t="shared" si="4"/>
        <v>22</v>
      </c>
      <c r="B26" s="68" t="s">
        <v>1530</v>
      </c>
      <c r="C26" s="69" t="s">
        <v>1531</v>
      </c>
      <c r="D26" s="69" t="s">
        <v>1532</v>
      </c>
      <c r="E26" s="41">
        <v>43019</v>
      </c>
      <c r="F26" s="219">
        <v>540000</v>
      </c>
      <c r="G26" s="219">
        <f t="shared" si="0"/>
        <v>604800</v>
      </c>
      <c r="H26" s="219">
        <f>+F26/J26</f>
        <v>54000</v>
      </c>
      <c r="I26" s="219">
        <f t="shared" si="7"/>
        <v>6480</v>
      </c>
      <c r="J26" s="67">
        <v>10</v>
      </c>
      <c r="K26" s="36">
        <v>4</v>
      </c>
      <c r="L26" s="65">
        <f t="shared" si="2"/>
        <v>60480</v>
      </c>
      <c r="M26" s="64">
        <f t="shared" si="3"/>
        <v>241920</v>
      </c>
      <c r="N26" s="272">
        <f>+H26*K26</f>
        <v>216000</v>
      </c>
      <c r="O26" s="72" t="s">
        <v>1533</v>
      </c>
      <c r="P26" s="273" t="s">
        <v>1534</v>
      </c>
      <c r="Q26" s="175">
        <f t="shared" si="5"/>
        <v>216000</v>
      </c>
      <c r="R26" s="126" t="e">
        <f>+#REF!</f>
        <v>#REF!</v>
      </c>
      <c r="S26" s="188" t="e">
        <f t="shared" si="6"/>
        <v>#REF!</v>
      </c>
    </row>
    <row r="27" spans="1:19" customFormat="1">
      <c r="A27" s="61">
        <f t="shared" si="4"/>
        <v>23</v>
      </c>
      <c r="B27" s="68" t="s">
        <v>659</v>
      </c>
      <c r="C27" s="69" t="s">
        <v>660</v>
      </c>
      <c r="D27" s="69" t="s">
        <v>1535</v>
      </c>
      <c r="E27" s="41">
        <v>43018</v>
      </c>
      <c r="F27" s="219">
        <f>1276000+308000</f>
        <v>1584000</v>
      </c>
      <c r="G27" s="219">
        <f t="shared" si="0"/>
        <v>1774080</v>
      </c>
      <c r="H27" s="219">
        <f>+F27/J27</f>
        <v>158400</v>
      </c>
      <c r="I27" s="219">
        <f t="shared" si="7"/>
        <v>19008</v>
      </c>
      <c r="J27" s="67">
        <v>10</v>
      </c>
      <c r="K27" s="36">
        <v>4</v>
      </c>
      <c r="L27" s="65">
        <f t="shared" si="2"/>
        <v>177408</v>
      </c>
      <c r="M27" s="64">
        <f t="shared" si="3"/>
        <v>709632</v>
      </c>
      <c r="N27" s="272">
        <f>+H27*K27</f>
        <v>633600</v>
      </c>
      <c r="O27" s="72" t="s">
        <v>661</v>
      </c>
      <c r="P27" s="273" t="s">
        <v>1536</v>
      </c>
      <c r="Q27" s="175">
        <f t="shared" si="5"/>
        <v>633600</v>
      </c>
      <c r="R27" s="126" t="e">
        <f>+#REF!</f>
        <v>#REF!</v>
      </c>
      <c r="S27" s="188" t="e">
        <f t="shared" si="6"/>
        <v>#REF!</v>
      </c>
    </row>
    <row r="28" spans="1:19" customFormat="1">
      <c r="A28" s="61">
        <f t="shared" si="4"/>
        <v>24</v>
      </c>
      <c r="B28" s="217" t="s">
        <v>1537</v>
      </c>
      <c r="C28" s="218" t="s">
        <v>1538</v>
      </c>
      <c r="D28" s="218"/>
      <c r="E28" s="41">
        <v>43004</v>
      </c>
      <c r="F28" s="219">
        <f>23150000+100000</f>
        <v>23250000</v>
      </c>
      <c r="G28" s="219">
        <f t="shared" si="0"/>
        <v>33318000</v>
      </c>
      <c r="H28" s="219">
        <f>925500-I28</f>
        <v>646500</v>
      </c>
      <c r="I28" s="219">
        <f t="shared" si="7"/>
        <v>279000</v>
      </c>
      <c r="J28" s="67">
        <v>36</v>
      </c>
      <c r="K28" s="36">
        <v>30</v>
      </c>
      <c r="L28" s="65">
        <f t="shared" si="2"/>
        <v>925500</v>
      </c>
      <c r="M28" s="64">
        <f t="shared" si="3"/>
        <v>27765000</v>
      </c>
      <c r="N28" s="112">
        <f>F28-(H28*6)</f>
        <v>19371000</v>
      </c>
      <c r="O28" s="72" t="s">
        <v>1403</v>
      </c>
      <c r="P28" s="273" t="s">
        <v>1539</v>
      </c>
      <c r="Q28" s="175">
        <f t="shared" si="5"/>
        <v>19371000</v>
      </c>
      <c r="R28" s="126" t="e">
        <f>+#REF!</f>
        <v>#REF!</v>
      </c>
      <c r="S28" s="188" t="e">
        <f t="shared" si="6"/>
        <v>#REF!</v>
      </c>
    </row>
    <row r="29" spans="1:19" customFormat="1">
      <c r="A29" s="61">
        <f t="shared" si="4"/>
        <v>25</v>
      </c>
      <c r="B29" s="217" t="s">
        <v>1540</v>
      </c>
      <c r="C29" s="218" t="s">
        <v>1541</v>
      </c>
      <c r="D29" s="218" t="s">
        <v>1542</v>
      </c>
      <c r="E29" s="41">
        <v>42972</v>
      </c>
      <c r="F29" s="219">
        <f>308000</f>
        <v>308000</v>
      </c>
      <c r="G29" s="219">
        <f t="shared" si="0"/>
        <v>344960</v>
      </c>
      <c r="H29" s="219">
        <f>+F29/J29</f>
        <v>30800</v>
      </c>
      <c r="I29" s="219">
        <f t="shared" si="7"/>
        <v>3696</v>
      </c>
      <c r="J29" s="67">
        <v>10</v>
      </c>
      <c r="K29" s="36">
        <v>3</v>
      </c>
      <c r="L29" s="65">
        <f t="shared" si="2"/>
        <v>34496</v>
      </c>
      <c r="M29" s="64">
        <f t="shared" si="3"/>
        <v>103488</v>
      </c>
      <c r="N29" s="64">
        <f>+H29*K29</f>
        <v>92400</v>
      </c>
      <c r="O29" s="72" t="s">
        <v>312</v>
      </c>
      <c r="P29" s="273" t="s">
        <v>1529</v>
      </c>
      <c r="Q29" s="175">
        <f t="shared" si="5"/>
        <v>92400</v>
      </c>
      <c r="R29" s="126" t="e">
        <f>+#REF!</f>
        <v>#REF!</v>
      </c>
      <c r="S29" s="188" t="e">
        <f t="shared" si="6"/>
        <v>#REF!</v>
      </c>
    </row>
    <row r="30" spans="1:19" customFormat="1">
      <c r="A30" s="61">
        <f t="shared" si="4"/>
        <v>26</v>
      </c>
      <c r="B30" s="68" t="s">
        <v>1543</v>
      </c>
      <c r="C30" s="69" t="s">
        <v>1544</v>
      </c>
      <c r="D30" s="69" t="s">
        <v>1545</v>
      </c>
      <c r="E30" s="41">
        <v>43089</v>
      </c>
      <c r="F30" s="219">
        <f>23250000</f>
        <v>23250000</v>
      </c>
      <c r="G30" s="219">
        <f t="shared" si="0"/>
        <v>33300000</v>
      </c>
      <c r="H30" s="271">
        <v>646000</v>
      </c>
      <c r="I30" s="219">
        <f t="shared" si="7"/>
        <v>279000</v>
      </c>
      <c r="J30" s="67">
        <v>36</v>
      </c>
      <c r="K30" s="36">
        <v>33</v>
      </c>
      <c r="L30" s="65">
        <f t="shared" si="2"/>
        <v>925000</v>
      </c>
      <c r="M30" s="64">
        <f t="shared" si="3"/>
        <v>30525000</v>
      </c>
      <c r="N30" s="38">
        <f>F30-(H30*3)</f>
        <v>21312000</v>
      </c>
      <c r="O30" s="132" t="s">
        <v>1546</v>
      </c>
      <c r="P30" s="241" t="s">
        <v>1547</v>
      </c>
      <c r="Q30" s="175">
        <f t="shared" si="5"/>
        <v>21312000</v>
      </c>
      <c r="R30" s="126" t="e">
        <f>+#REF!</f>
        <v>#REF!</v>
      </c>
      <c r="S30" s="188" t="e">
        <f t="shared" si="6"/>
        <v>#REF!</v>
      </c>
    </row>
    <row r="31" spans="1:19" customFormat="1">
      <c r="A31" s="61">
        <f t="shared" si="4"/>
        <v>27</v>
      </c>
      <c r="B31" s="217" t="s">
        <v>699</v>
      </c>
      <c r="C31" s="218" t="s">
        <v>700</v>
      </c>
      <c r="D31" s="218" t="s">
        <v>1548</v>
      </c>
      <c r="E31" s="41">
        <v>43039</v>
      </c>
      <c r="F31" s="219">
        <f>1276000</f>
        <v>1276000</v>
      </c>
      <c r="G31" s="219">
        <f t="shared" si="0"/>
        <v>1429120</v>
      </c>
      <c r="H31" s="219">
        <f>+F31/J31</f>
        <v>127600</v>
      </c>
      <c r="I31" s="219">
        <f t="shared" si="7"/>
        <v>15312</v>
      </c>
      <c r="J31" s="67">
        <v>10</v>
      </c>
      <c r="K31" s="36">
        <v>5</v>
      </c>
      <c r="L31" s="65">
        <f t="shared" si="2"/>
        <v>142912</v>
      </c>
      <c r="M31" s="64">
        <f t="shared" si="3"/>
        <v>714560</v>
      </c>
      <c r="N31" s="272">
        <f>+H31*K31</f>
        <v>638000</v>
      </c>
      <c r="O31" s="72" t="s">
        <v>1446</v>
      </c>
      <c r="P31" s="273" t="s">
        <v>1549</v>
      </c>
      <c r="Q31" s="175">
        <f t="shared" si="5"/>
        <v>638000</v>
      </c>
      <c r="R31" s="126" t="e">
        <f>+#REF!</f>
        <v>#REF!</v>
      </c>
      <c r="S31" s="188" t="e">
        <f t="shared" si="6"/>
        <v>#REF!</v>
      </c>
    </row>
    <row r="32" spans="1:19" customFormat="1">
      <c r="A32" s="61">
        <f t="shared" si="4"/>
        <v>28</v>
      </c>
      <c r="B32" s="68" t="s">
        <v>1550</v>
      </c>
      <c r="C32" s="69" t="s">
        <v>1551</v>
      </c>
      <c r="D32" s="69" t="s">
        <v>1552</v>
      </c>
      <c r="E32" s="41">
        <v>43146</v>
      </c>
      <c r="F32" s="219">
        <f>330000</f>
        <v>330000</v>
      </c>
      <c r="G32" s="219">
        <f t="shared" si="0"/>
        <v>349800</v>
      </c>
      <c r="H32" s="118">
        <f>+F32/J32</f>
        <v>66000</v>
      </c>
      <c r="I32" s="118">
        <f t="shared" si="7"/>
        <v>3960</v>
      </c>
      <c r="J32" s="67">
        <v>5</v>
      </c>
      <c r="K32" s="36">
        <v>3</v>
      </c>
      <c r="L32" s="65">
        <f t="shared" si="2"/>
        <v>69960</v>
      </c>
      <c r="M32" s="64">
        <f t="shared" si="3"/>
        <v>209880</v>
      </c>
      <c r="N32" s="219">
        <f>+H32*K32</f>
        <v>198000</v>
      </c>
      <c r="O32" s="273" t="s">
        <v>79</v>
      </c>
      <c r="P32" s="273" t="s">
        <v>1553</v>
      </c>
      <c r="Q32" s="175">
        <f t="shared" si="5"/>
        <v>198000</v>
      </c>
      <c r="R32" s="126" t="e">
        <f>+#REF!</f>
        <v>#REF!</v>
      </c>
      <c r="S32" s="188" t="e">
        <f t="shared" si="6"/>
        <v>#REF!</v>
      </c>
    </row>
    <row r="33" spans="1:20" customFormat="1">
      <c r="A33" s="61">
        <f t="shared" si="4"/>
        <v>29</v>
      </c>
      <c r="B33" s="68" t="s">
        <v>1554</v>
      </c>
      <c r="C33" s="69" t="s">
        <v>1555</v>
      </c>
      <c r="D33" s="69" t="s">
        <v>1556</v>
      </c>
      <c r="E33" s="41">
        <v>43098</v>
      </c>
      <c r="F33" s="219">
        <f>1300000</f>
        <v>1300000</v>
      </c>
      <c r="G33" s="219">
        <f t="shared" si="0"/>
        <v>1378000</v>
      </c>
      <c r="H33" s="219">
        <f>+F33/J33</f>
        <v>260000</v>
      </c>
      <c r="I33" s="219">
        <f t="shared" si="7"/>
        <v>15600</v>
      </c>
      <c r="J33" s="67">
        <v>5</v>
      </c>
      <c r="K33" s="36">
        <v>2</v>
      </c>
      <c r="L33" s="65">
        <f t="shared" si="2"/>
        <v>275600</v>
      </c>
      <c r="M33" s="64">
        <f t="shared" si="3"/>
        <v>551200</v>
      </c>
      <c r="N33" s="219">
        <f>+H33*K33</f>
        <v>520000</v>
      </c>
      <c r="O33" s="241" t="s">
        <v>1557</v>
      </c>
      <c r="P33" s="241" t="s">
        <v>1558</v>
      </c>
      <c r="Q33" s="175">
        <f t="shared" si="5"/>
        <v>520000</v>
      </c>
      <c r="R33" s="126" t="e">
        <f>+#REF!</f>
        <v>#REF!</v>
      </c>
      <c r="S33" s="188" t="e">
        <f t="shared" si="6"/>
        <v>#REF!</v>
      </c>
    </row>
    <row r="34" spans="1:20" customFormat="1">
      <c r="A34" s="61">
        <f t="shared" si="4"/>
        <v>30</v>
      </c>
      <c r="B34" s="68" t="s">
        <v>1559</v>
      </c>
      <c r="C34" s="69" t="s">
        <v>1560</v>
      </c>
      <c r="D34" s="69" t="s">
        <v>1561</v>
      </c>
      <c r="E34" s="41">
        <v>43025</v>
      </c>
      <c r="F34" s="219">
        <f>80000+800000</f>
        <v>880000</v>
      </c>
      <c r="G34" s="219">
        <f t="shared" si="0"/>
        <v>985600</v>
      </c>
      <c r="H34" s="219">
        <f>+F34/J34</f>
        <v>88000</v>
      </c>
      <c r="I34" s="219">
        <f t="shared" si="7"/>
        <v>10560</v>
      </c>
      <c r="J34" s="67">
        <v>10</v>
      </c>
      <c r="K34" s="36">
        <v>4</v>
      </c>
      <c r="L34" s="65">
        <f t="shared" si="2"/>
        <v>98560</v>
      </c>
      <c r="M34" s="64">
        <f t="shared" si="3"/>
        <v>394240</v>
      </c>
      <c r="N34" s="272">
        <f>+H34*K34</f>
        <v>352000</v>
      </c>
      <c r="O34" s="72" t="s">
        <v>255</v>
      </c>
      <c r="P34" s="273" t="s">
        <v>1536</v>
      </c>
      <c r="Q34" s="175">
        <f t="shared" si="5"/>
        <v>352000</v>
      </c>
      <c r="R34" s="126" t="e">
        <f>+#REF!</f>
        <v>#REF!</v>
      </c>
      <c r="S34" s="188" t="e">
        <f t="shared" si="6"/>
        <v>#REF!</v>
      </c>
    </row>
    <row r="35" spans="1:20" customFormat="1">
      <c r="A35" s="61">
        <f t="shared" si="4"/>
        <v>31</v>
      </c>
      <c r="B35" s="217" t="s">
        <v>1562</v>
      </c>
      <c r="C35" s="218" t="s">
        <v>782</v>
      </c>
      <c r="D35" s="218" t="s">
        <v>1563</v>
      </c>
      <c r="E35" s="41">
        <v>42956</v>
      </c>
      <c r="F35" s="219">
        <v>1276000</v>
      </c>
      <c r="G35" s="219">
        <f t="shared" si="0"/>
        <v>1429120</v>
      </c>
      <c r="H35" s="219">
        <f>+F35/J35</f>
        <v>127600</v>
      </c>
      <c r="I35" s="219">
        <f t="shared" si="7"/>
        <v>15312</v>
      </c>
      <c r="J35" s="67">
        <v>10</v>
      </c>
      <c r="K35" s="36">
        <v>2</v>
      </c>
      <c r="L35" s="64">
        <f t="shared" si="2"/>
        <v>142912</v>
      </c>
      <c r="M35" s="64">
        <f t="shared" si="3"/>
        <v>285824</v>
      </c>
      <c r="N35" s="64">
        <f>+H35*K35</f>
        <v>255200</v>
      </c>
      <c r="O35" s="73" t="s">
        <v>1564</v>
      </c>
      <c r="P35" s="72" t="s">
        <v>1565</v>
      </c>
      <c r="Q35" s="175">
        <f t="shared" si="5"/>
        <v>255200</v>
      </c>
      <c r="R35" s="126" t="e">
        <f>+#REF!</f>
        <v>#REF!</v>
      </c>
      <c r="S35" s="188" t="e">
        <f t="shared" si="6"/>
        <v>#REF!</v>
      </c>
    </row>
    <row r="36" spans="1:20" customFormat="1">
      <c r="A36" s="67">
        <f t="shared" si="4"/>
        <v>32</v>
      </c>
      <c r="B36" s="217" t="s">
        <v>1566</v>
      </c>
      <c r="C36" s="218" t="s">
        <v>786</v>
      </c>
      <c r="D36" s="218" t="s">
        <v>1567</v>
      </c>
      <c r="E36" s="41">
        <v>42961</v>
      </c>
      <c r="F36" s="278">
        <f>16345000+100000</f>
        <v>16445000</v>
      </c>
      <c r="G36" s="219">
        <f t="shared" si="0"/>
        <v>21204000</v>
      </c>
      <c r="H36" s="219">
        <v>686160</v>
      </c>
      <c r="I36" s="219">
        <f t="shared" si="7"/>
        <v>197340</v>
      </c>
      <c r="J36" s="67">
        <v>24</v>
      </c>
      <c r="K36" s="36">
        <v>16</v>
      </c>
      <c r="L36" s="64">
        <f t="shared" si="2"/>
        <v>883500</v>
      </c>
      <c r="M36" s="64">
        <f t="shared" si="3"/>
        <v>14136000</v>
      </c>
      <c r="N36" s="220">
        <f>F36-(H36*8)</f>
        <v>10955720</v>
      </c>
      <c r="O36" s="73" t="s">
        <v>1568</v>
      </c>
      <c r="P36" s="72" t="s">
        <v>1569</v>
      </c>
      <c r="Q36" s="175">
        <f t="shared" si="5"/>
        <v>10955720</v>
      </c>
      <c r="R36" s="126" t="e">
        <f>+#REF!</f>
        <v>#REF!</v>
      </c>
      <c r="S36" s="188" t="e">
        <f t="shared" si="6"/>
        <v>#REF!</v>
      </c>
    </row>
    <row r="37" spans="1:20" customFormat="1">
      <c r="A37" s="67">
        <f t="shared" si="4"/>
        <v>33</v>
      </c>
      <c r="B37" s="68" t="s">
        <v>1570</v>
      </c>
      <c r="C37" s="69" t="s">
        <v>1571</v>
      </c>
      <c r="D37" s="69" t="s">
        <v>1572</v>
      </c>
      <c r="E37" s="41">
        <v>43089</v>
      </c>
      <c r="F37" s="219">
        <f>3999000+2150000</f>
        <v>6149000</v>
      </c>
      <c r="G37" s="219">
        <f t="shared" si="0"/>
        <v>7044000</v>
      </c>
      <c r="H37" s="219">
        <f>587000-I37</f>
        <v>513212</v>
      </c>
      <c r="I37" s="219">
        <f t="shared" si="7"/>
        <v>73788</v>
      </c>
      <c r="J37" s="67">
        <v>12</v>
      </c>
      <c r="K37" s="36">
        <v>9</v>
      </c>
      <c r="L37" s="65">
        <f t="shared" si="2"/>
        <v>587000</v>
      </c>
      <c r="M37" s="64">
        <f t="shared" si="3"/>
        <v>5283000</v>
      </c>
      <c r="N37" s="38">
        <f>F37-(H37*3)</f>
        <v>4609364</v>
      </c>
      <c r="O37" s="273" t="s">
        <v>1573</v>
      </c>
      <c r="P37" s="273" t="s">
        <v>1574</v>
      </c>
      <c r="Q37" s="175">
        <f t="shared" si="5"/>
        <v>4609364</v>
      </c>
      <c r="R37" s="126" t="e">
        <f>+#REF!</f>
        <v>#REF!</v>
      </c>
      <c r="S37" s="188" t="e">
        <f t="shared" si="6"/>
        <v>#REF!</v>
      </c>
    </row>
    <row r="38" spans="1:20" customFormat="1">
      <c r="A38" s="67">
        <f t="shared" si="4"/>
        <v>34</v>
      </c>
      <c r="B38" s="68" t="s">
        <v>1575</v>
      </c>
      <c r="C38" s="69" t="s">
        <v>1576</v>
      </c>
      <c r="D38" s="69" t="s">
        <v>1577</v>
      </c>
      <c r="E38" s="41">
        <v>43091</v>
      </c>
      <c r="F38" s="219">
        <f>1743500</f>
        <v>1743500</v>
      </c>
      <c r="G38" s="219">
        <f t="shared" si="0"/>
        <v>1952720</v>
      </c>
      <c r="H38" s="271">
        <f>+F38/J38</f>
        <v>174350</v>
      </c>
      <c r="I38" s="219">
        <f t="shared" si="7"/>
        <v>20922</v>
      </c>
      <c r="J38" s="67">
        <v>10</v>
      </c>
      <c r="K38" s="36">
        <v>7</v>
      </c>
      <c r="L38" s="65">
        <f t="shared" si="2"/>
        <v>195272</v>
      </c>
      <c r="M38" s="64">
        <f t="shared" si="3"/>
        <v>1366904</v>
      </c>
      <c r="N38" s="219">
        <f>+H38*K38</f>
        <v>1220450</v>
      </c>
      <c r="O38" s="241" t="s">
        <v>1578</v>
      </c>
      <c r="P38" s="241" t="s">
        <v>1579</v>
      </c>
      <c r="Q38" s="175">
        <f t="shared" si="5"/>
        <v>1220450</v>
      </c>
      <c r="R38" s="126" t="e">
        <f>+#REF!</f>
        <v>#REF!</v>
      </c>
      <c r="S38" s="188" t="e">
        <f t="shared" si="6"/>
        <v>#REF!</v>
      </c>
    </row>
    <row r="39" spans="1:20" customFormat="1">
      <c r="A39" s="67">
        <f t="shared" si="4"/>
        <v>35</v>
      </c>
      <c r="B39" s="68" t="s">
        <v>1580</v>
      </c>
      <c r="C39" s="69" t="s">
        <v>1581</v>
      </c>
      <c r="D39" s="69" t="s">
        <v>1582</v>
      </c>
      <c r="E39" s="41">
        <v>43073</v>
      </c>
      <c r="F39" s="219">
        <f>30100000</f>
        <v>30100000</v>
      </c>
      <c r="G39" s="219">
        <f t="shared" si="0"/>
        <v>47472000</v>
      </c>
      <c r="H39" s="271">
        <v>627800</v>
      </c>
      <c r="I39" s="219">
        <f t="shared" si="7"/>
        <v>361200</v>
      </c>
      <c r="J39" s="67">
        <v>48</v>
      </c>
      <c r="K39" s="36">
        <v>45</v>
      </c>
      <c r="L39" s="65">
        <f t="shared" si="2"/>
        <v>989000</v>
      </c>
      <c r="M39" s="64">
        <f t="shared" si="3"/>
        <v>44505000</v>
      </c>
      <c r="N39" s="38">
        <f>F39-(H39*3)</f>
        <v>28216600</v>
      </c>
      <c r="O39" s="241" t="s">
        <v>1583</v>
      </c>
      <c r="P39" s="241" t="s">
        <v>1584</v>
      </c>
      <c r="Q39" s="175">
        <f t="shared" si="5"/>
        <v>28216600</v>
      </c>
      <c r="R39" s="126" t="e">
        <f>+#REF!</f>
        <v>#REF!</v>
      </c>
      <c r="S39" s="188" t="e">
        <f t="shared" si="6"/>
        <v>#REF!</v>
      </c>
    </row>
    <row r="40" spans="1:20" customFormat="1">
      <c r="A40" s="61">
        <f t="shared" si="4"/>
        <v>36</v>
      </c>
      <c r="B40" s="68" t="s">
        <v>1585</v>
      </c>
      <c r="C40" s="69" t="s">
        <v>1586</v>
      </c>
      <c r="D40" s="69" t="s">
        <v>1587</v>
      </c>
      <c r="E40" s="41">
        <v>43041</v>
      </c>
      <c r="F40" s="219">
        <f>3800000+75000</f>
        <v>3875000</v>
      </c>
      <c r="G40" s="219">
        <f t="shared" si="0"/>
        <v>4440000</v>
      </c>
      <c r="H40" s="219">
        <v>323500</v>
      </c>
      <c r="I40" s="219">
        <f t="shared" si="7"/>
        <v>46500</v>
      </c>
      <c r="J40" s="67">
        <v>12</v>
      </c>
      <c r="K40" s="36">
        <v>7</v>
      </c>
      <c r="L40" s="65">
        <f t="shared" si="2"/>
        <v>370000</v>
      </c>
      <c r="M40" s="64">
        <f t="shared" si="3"/>
        <v>2590000</v>
      </c>
      <c r="N40" s="279">
        <f>F40-(H40*5)</f>
        <v>2257500</v>
      </c>
      <c r="O40" s="72" t="s">
        <v>157</v>
      </c>
      <c r="P40" s="273" t="s">
        <v>1588</v>
      </c>
      <c r="Q40" s="175">
        <f t="shared" si="5"/>
        <v>2257500</v>
      </c>
      <c r="R40" s="126" t="e">
        <f>+#REF!</f>
        <v>#REF!</v>
      </c>
      <c r="S40" s="188" t="e">
        <f t="shared" si="6"/>
        <v>#REF!</v>
      </c>
    </row>
    <row r="41" spans="1:20" customFormat="1">
      <c r="A41" s="61">
        <f t="shared" si="4"/>
        <v>37</v>
      </c>
      <c r="B41" s="217" t="s">
        <v>1589</v>
      </c>
      <c r="C41" s="218" t="s">
        <v>1590</v>
      </c>
      <c r="D41" s="218" t="s">
        <v>1591</v>
      </c>
      <c r="E41" s="41">
        <v>42972</v>
      </c>
      <c r="F41" s="219">
        <f>1276000+308000</f>
        <v>1584000</v>
      </c>
      <c r="G41" s="219">
        <f t="shared" si="0"/>
        <v>1774080</v>
      </c>
      <c r="H41" s="219">
        <f>+F41/J41</f>
        <v>158400</v>
      </c>
      <c r="I41" s="219">
        <f t="shared" si="7"/>
        <v>19008</v>
      </c>
      <c r="J41" s="67">
        <v>10</v>
      </c>
      <c r="K41" s="36">
        <v>3</v>
      </c>
      <c r="L41" s="65">
        <f t="shared" si="2"/>
        <v>177408</v>
      </c>
      <c r="M41" s="64">
        <f t="shared" si="3"/>
        <v>532224</v>
      </c>
      <c r="N41" s="64">
        <f>+H41*K41</f>
        <v>475200</v>
      </c>
      <c r="O41" s="72" t="s">
        <v>312</v>
      </c>
      <c r="P41" s="72" t="s">
        <v>1592</v>
      </c>
      <c r="Q41" s="175">
        <f t="shared" si="5"/>
        <v>475200</v>
      </c>
      <c r="R41" s="126" t="e">
        <f>+#REF!</f>
        <v>#REF!</v>
      </c>
      <c r="S41" s="188" t="e">
        <f t="shared" si="6"/>
        <v>#REF!</v>
      </c>
    </row>
    <row r="42" spans="1:20" customFormat="1">
      <c r="A42" s="61">
        <f t="shared" si="4"/>
        <v>38</v>
      </c>
      <c r="B42" s="68" t="s">
        <v>1593</v>
      </c>
      <c r="C42" s="69" t="s">
        <v>1594</v>
      </c>
      <c r="D42" s="69" t="s">
        <v>1595</v>
      </c>
      <c r="E42" s="41">
        <v>43069</v>
      </c>
      <c r="F42" s="219">
        <f>3895000+75000</f>
        <v>3970000</v>
      </c>
      <c r="G42" s="219">
        <f t="shared" si="0"/>
        <v>4548000</v>
      </c>
      <c r="H42" s="271">
        <v>331360</v>
      </c>
      <c r="I42" s="219">
        <f t="shared" si="7"/>
        <v>47640</v>
      </c>
      <c r="J42" s="67">
        <v>12</v>
      </c>
      <c r="K42" s="36">
        <v>8</v>
      </c>
      <c r="L42" s="65">
        <f t="shared" si="2"/>
        <v>379000</v>
      </c>
      <c r="M42" s="64">
        <f t="shared" si="3"/>
        <v>3032000</v>
      </c>
      <c r="N42" s="279">
        <f>F42-(H42*4)</f>
        <v>2644560</v>
      </c>
      <c r="O42" s="72" t="s">
        <v>1596</v>
      </c>
      <c r="P42" s="273" t="s">
        <v>1597</v>
      </c>
      <c r="Q42" s="175">
        <f t="shared" si="5"/>
        <v>2644560</v>
      </c>
      <c r="R42" s="126" t="e">
        <f>+#REF!</f>
        <v>#REF!</v>
      </c>
      <c r="S42" s="188" t="e">
        <f t="shared" si="6"/>
        <v>#REF!</v>
      </c>
    </row>
    <row r="43" spans="1:20" customFormat="1">
      <c r="A43" s="61">
        <f t="shared" si="4"/>
        <v>39</v>
      </c>
      <c r="B43" s="68" t="s">
        <v>1598</v>
      </c>
      <c r="C43" s="69" t="s">
        <v>1599</v>
      </c>
      <c r="D43" s="69" t="s">
        <v>1600</v>
      </c>
      <c r="E43" s="41">
        <v>43146</v>
      </c>
      <c r="F43" s="219">
        <f>330000</f>
        <v>330000</v>
      </c>
      <c r="G43" s="219">
        <f t="shared" si="0"/>
        <v>349800</v>
      </c>
      <c r="H43" s="118">
        <f>+F43/J43</f>
        <v>66000</v>
      </c>
      <c r="I43" s="118">
        <f t="shared" si="7"/>
        <v>3960</v>
      </c>
      <c r="J43" s="67">
        <v>5</v>
      </c>
      <c r="K43" s="36">
        <v>3</v>
      </c>
      <c r="L43" s="65">
        <f t="shared" si="2"/>
        <v>69960</v>
      </c>
      <c r="M43" s="64">
        <f t="shared" si="3"/>
        <v>209880</v>
      </c>
      <c r="N43" s="219">
        <f>+H43*K43</f>
        <v>198000</v>
      </c>
      <c r="O43" s="273" t="s">
        <v>79</v>
      </c>
      <c r="P43" s="273" t="s">
        <v>1553</v>
      </c>
      <c r="Q43" s="175">
        <f t="shared" si="5"/>
        <v>198000</v>
      </c>
      <c r="R43" s="126" t="e">
        <f>+#REF!</f>
        <v>#REF!</v>
      </c>
      <c r="S43" s="188" t="e">
        <f t="shared" si="6"/>
        <v>#REF!</v>
      </c>
    </row>
    <row r="44" spans="1:20" customFormat="1">
      <c r="A44" s="61">
        <f t="shared" si="4"/>
        <v>40</v>
      </c>
      <c r="B44" s="68" t="s">
        <v>1601</v>
      </c>
      <c r="C44" s="69" t="s">
        <v>1602</v>
      </c>
      <c r="D44" s="69" t="s">
        <v>1603</v>
      </c>
      <c r="E44" s="41">
        <v>43067</v>
      </c>
      <c r="F44" s="219">
        <f>1800000+200000</f>
        <v>2000000</v>
      </c>
      <c r="G44" s="219">
        <f t="shared" si="0"/>
        <v>2240000</v>
      </c>
      <c r="H44" s="219">
        <f>+F44/J44</f>
        <v>200000</v>
      </c>
      <c r="I44" s="219">
        <f t="shared" si="7"/>
        <v>24000</v>
      </c>
      <c r="J44" s="67">
        <v>10</v>
      </c>
      <c r="K44" s="36">
        <v>6</v>
      </c>
      <c r="L44" s="65">
        <f t="shared" si="2"/>
        <v>224000</v>
      </c>
      <c r="M44" s="64">
        <f t="shared" si="3"/>
        <v>1344000</v>
      </c>
      <c r="N44" s="64">
        <f>+H44*K44</f>
        <v>1200000</v>
      </c>
      <c r="O44" s="273" t="s">
        <v>1604</v>
      </c>
      <c r="P44" s="273" t="s">
        <v>1605</v>
      </c>
      <c r="Q44" s="175">
        <f t="shared" si="5"/>
        <v>1200000</v>
      </c>
      <c r="R44" s="126" t="e">
        <f>+#REF!</f>
        <v>#REF!</v>
      </c>
      <c r="S44" s="188" t="e">
        <f t="shared" si="6"/>
        <v>#REF!</v>
      </c>
    </row>
    <row r="45" spans="1:20" customFormat="1">
      <c r="A45" s="61">
        <f t="shared" si="4"/>
        <v>41</v>
      </c>
      <c r="B45" s="68" t="s">
        <v>906</v>
      </c>
      <c r="C45" s="69" t="s">
        <v>907</v>
      </c>
      <c r="D45" s="69" t="s">
        <v>1606</v>
      </c>
      <c r="E45" s="41">
        <v>43041</v>
      </c>
      <c r="F45" s="219">
        <f>12900000+100000</f>
        <v>13000000</v>
      </c>
      <c r="G45" s="219">
        <f t="shared" si="0"/>
        <v>18648000</v>
      </c>
      <c r="H45" s="219">
        <v>362000</v>
      </c>
      <c r="I45" s="219">
        <f t="shared" si="7"/>
        <v>156000</v>
      </c>
      <c r="J45" s="67">
        <v>36</v>
      </c>
      <c r="K45" s="36">
        <v>31</v>
      </c>
      <c r="L45" s="65">
        <f t="shared" si="2"/>
        <v>518000</v>
      </c>
      <c r="M45" s="64">
        <f t="shared" si="3"/>
        <v>16058000</v>
      </c>
      <c r="N45" s="279">
        <f>F45-(H45*5)</f>
        <v>11190000</v>
      </c>
      <c r="O45" s="72" t="s">
        <v>1607</v>
      </c>
      <c r="P45" s="273" t="s">
        <v>1608</v>
      </c>
      <c r="Q45" s="175">
        <f t="shared" si="5"/>
        <v>11190000</v>
      </c>
      <c r="R45" s="126" t="e">
        <f>+#REF!</f>
        <v>#REF!</v>
      </c>
      <c r="S45" s="188" t="e">
        <f t="shared" si="6"/>
        <v>#REF!</v>
      </c>
    </row>
    <row r="46" spans="1:20" customFormat="1">
      <c r="A46" s="61">
        <f t="shared" si="4"/>
        <v>42</v>
      </c>
      <c r="B46" s="217" t="s">
        <v>949</v>
      </c>
      <c r="C46" s="218" t="s">
        <v>950</v>
      </c>
      <c r="D46" s="218" t="s">
        <v>1609</v>
      </c>
      <c r="E46" s="41">
        <v>42972</v>
      </c>
      <c r="F46" s="219">
        <f>1276000+308000</f>
        <v>1584000</v>
      </c>
      <c r="G46" s="219">
        <f t="shared" si="0"/>
        <v>1774080</v>
      </c>
      <c r="H46" s="219">
        <f>+F46/J46</f>
        <v>158400</v>
      </c>
      <c r="I46" s="219">
        <f t="shared" si="7"/>
        <v>19008</v>
      </c>
      <c r="J46" s="67">
        <v>10</v>
      </c>
      <c r="K46" s="36">
        <v>3</v>
      </c>
      <c r="L46" s="64">
        <f t="shared" si="2"/>
        <v>177408</v>
      </c>
      <c r="M46" s="64">
        <f t="shared" si="3"/>
        <v>532224</v>
      </c>
      <c r="N46" s="64">
        <f>+H46*K46</f>
        <v>475200</v>
      </c>
      <c r="O46" s="72" t="s">
        <v>312</v>
      </c>
      <c r="P46" s="72" t="s">
        <v>1592</v>
      </c>
      <c r="Q46" s="175">
        <f t="shared" si="5"/>
        <v>475200</v>
      </c>
      <c r="R46" s="126" t="e">
        <f>+#REF!</f>
        <v>#REF!</v>
      </c>
      <c r="S46" s="188" t="e">
        <f t="shared" si="6"/>
        <v>#REF!</v>
      </c>
    </row>
    <row r="47" spans="1:20" customFormat="1" ht="24" customHeight="1">
      <c r="A47" s="61">
        <f t="shared" si="4"/>
        <v>43</v>
      </c>
      <c r="B47" s="217" t="s">
        <v>952</v>
      </c>
      <c r="C47" s="218" t="s">
        <v>953</v>
      </c>
      <c r="D47" s="218" t="s">
        <v>1610</v>
      </c>
      <c r="E47" s="41">
        <v>42972</v>
      </c>
      <c r="F47" s="219">
        <f>308000</f>
        <v>308000</v>
      </c>
      <c r="G47" s="219">
        <f t="shared" si="0"/>
        <v>344960</v>
      </c>
      <c r="H47" s="219">
        <f>+F47/J47</f>
        <v>30800</v>
      </c>
      <c r="I47" s="219">
        <f t="shared" si="7"/>
        <v>3696</v>
      </c>
      <c r="J47" s="67">
        <v>10</v>
      </c>
      <c r="K47" s="36">
        <v>3</v>
      </c>
      <c r="L47" s="65">
        <f t="shared" si="2"/>
        <v>34496</v>
      </c>
      <c r="M47" s="64">
        <f t="shared" si="3"/>
        <v>103488</v>
      </c>
      <c r="N47" s="64">
        <f>+H47*K47</f>
        <v>92400</v>
      </c>
      <c r="O47" s="72" t="s">
        <v>1528</v>
      </c>
      <c r="P47" s="273" t="s">
        <v>1529</v>
      </c>
      <c r="Q47" s="175">
        <f t="shared" si="5"/>
        <v>92400</v>
      </c>
      <c r="R47" s="126" t="e">
        <f>+#REF!</f>
        <v>#REF!</v>
      </c>
      <c r="S47" s="188" t="e">
        <f t="shared" si="6"/>
        <v>#REF!</v>
      </c>
    </row>
    <row r="48" spans="1:20" ht="24" customHeight="1">
      <c r="A48" s="61">
        <f t="shared" si="4"/>
        <v>44</v>
      </c>
      <c r="B48" s="217" t="s">
        <v>1611</v>
      </c>
      <c r="C48" s="218" t="s">
        <v>1612</v>
      </c>
      <c r="D48" s="218" t="s">
        <v>1613</v>
      </c>
      <c r="E48" s="41">
        <v>42933</v>
      </c>
      <c r="F48" s="219">
        <f>75000+3524000</f>
        <v>3599000</v>
      </c>
      <c r="G48" s="219">
        <f t="shared" si="0"/>
        <v>4030880</v>
      </c>
      <c r="H48" s="219">
        <f>+F48/J48</f>
        <v>359900</v>
      </c>
      <c r="I48" s="219">
        <f t="shared" si="7"/>
        <v>43188</v>
      </c>
      <c r="J48" s="67">
        <v>10</v>
      </c>
      <c r="K48" s="36">
        <v>1</v>
      </c>
      <c r="L48" s="65">
        <f t="shared" si="2"/>
        <v>403088</v>
      </c>
      <c r="M48" s="64">
        <f t="shared" si="3"/>
        <v>403088</v>
      </c>
      <c r="N48" s="64">
        <f>+H48*K48</f>
        <v>359900</v>
      </c>
      <c r="O48" s="273" t="s">
        <v>1614</v>
      </c>
      <c r="P48" s="273" t="s">
        <v>1615</v>
      </c>
      <c r="Q48" s="175">
        <f t="shared" si="5"/>
        <v>359900</v>
      </c>
      <c r="R48" s="126" t="e">
        <f>+#REF!</f>
        <v>#REF!</v>
      </c>
      <c r="S48" s="188" t="e">
        <f t="shared" si="6"/>
        <v>#REF!</v>
      </c>
      <c r="T48" s="46"/>
    </row>
    <row r="49" spans="1:20" ht="24" customHeight="1">
      <c r="A49" s="61">
        <f>+A48+1</f>
        <v>45</v>
      </c>
      <c r="B49" s="68" t="s">
        <v>1616</v>
      </c>
      <c r="C49" s="69" t="s">
        <v>1617</v>
      </c>
      <c r="D49" s="69" t="s">
        <v>1618</v>
      </c>
      <c r="E49" s="41">
        <v>43098</v>
      </c>
      <c r="F49" s="219">
        <f>1200000</f>
        <v>1200000</v>
      </c>
      <c r="G49" s="219">
        <f t="shared" si="0"/>
        <v>1272000</v>
      </c>
      <c r="H49" s="219">
        <f>+F49/J49</f>
        <v>240000</v>
      </c>
      <c r="I49" s="219">
        <f t="shared" si="7"/>
        <v>14400</v>
      </c>
      <c r="J49" s="67">
        <v>5</v>
      </c>
      <c r="K49" s="36">
        <v>2</v>
      </c>
      <c r="L49" s="65">
        <f t="shared" si="2"/>
        <v>254400</v>
      </c>
      <c r="M49" s="64">
        <f t="shared" si="3"/>
        <v>508800</v>
      </c>
      <c r="N49" s="219">
        <f>+H49*K49</f>
        <v>480000</v>
      </c>
      <c r="O49" s="241" t="s">
        <v>1619</v>
      </c>
      <c r="P49" s="241" t="s">
        <v>1620</v>
      </c>
      <c r="Q49" s="175">
        <f t="shared" si="5"/>
        <v>480000</v>
      </c>
      <c r="R49" s="126" t="e">
        <f>+#REF!</f>
        <v>#REF!</v>
      </c>
      <c r="S49" s="188" t="e">
        <f t="shared" si="6"/>
        <v>#REF!</v>
      </c>
      <c r="T49" s="46"/>
    </row>
    <row r="50" spans="1:20" ht="24" customHeight="1">
      <c r="A50" s="61">
        <f>+A49+1</f>
        <v>46</v>
      </c>
      <c r="B50" s="68" t="s">
        <v>1621</v>
      </c>
      <c r="C50" s="69" t="s">
        <v>1622</v>
      </c>
      <c r="D50" s="69" t="s">
        <v>1623</v>
      </c>
      <c r="E50" s="41">
        <v>43122</v>
      </c>
      <c r="F50" s="219">
        <f>150000+5847000</f>
        <v>5997000</v>
      </c>
      <c r="G50" s="219">
        <f t="shared" si="0"/>
        <v>6860568</v>
      </c>
      <c r="H50" s="118">
        <f>+F50/J50</f>
        <v>499750</v>
      </c>
      <c r="I50" s="118">
        <f t="shared" si="7"/>
        <v>71964</v>
      </c>
      <c r="J50" s="67">
        <v>12</v>
      </c>
      <c r="K50" s="36">
        <v>9</v>
      </c>
      <c r="L50" s="65">
        <f t="shared" si="2"/>
        <v>571714</v>
      </c>
      <c r="M50" s="64">
        <f t="shared" si="3"/>
        <v>5145426</v>
      </c>
      <c r="N50" s="219">
        <f>+H50*K50</f>
        <v>4497750</v>
      </c>
      <c r="O50" s="132" t="s">
        <v>665</v>
      </c>
      <c r="P50" s="241" t="s">
        <v>1624</v>
      </c>
      <c r="Q50" s="175">
        <f t="shared" si="5"/>
        <v>4497750</v>
      </c>
      <c r="R50" s="126" t="e">
        <f>+#REF!</f>
        <v>#REF!</v>
      </c>
      <c r="S50" s="188" t="e">
        <f t="shared" si="6"/>
        <v>#REF!</v>
      </c>
      <c r="T50" s="46"/>
    </row>
    <row r="51" spans="1:20" ht="24" customHeight="1">
      <c r="A51" s="61">
        <f t="shared" ref="A51:A80" si="8">+A50+1</f>
        <v>47</v>
      </c>
      <c r="B51" s="68" t="s">
        <v>1014</v>
      </c>
      <c r="C51" s="69" t="s">
        <v>1015</v>
      </c>
      <c r="D51" s="69" t="s">
        <v>1625</v>
      </c>
      <c r="E51" s="41">
        <v>43126</v>
      </c>
      <c r="F51" s="219">
        <f>1699000+100000</f>
        <v>1799000</v>
      </c>
      <c r="G51" s="219">
        <f t="shared" si="0"/>
        <v>2064000</v>
      </c>
      <c r="H51" s="118">
        <f>172000-I51</f>
        <v>150412</v>
      </c>
      <c r="I51" s="118">
        <f t="shared" si="7"/>
        <v>21588</v>
      </c>
      <c r="J51" s="67">
        <v>12</v>
      </c>
      <c r="K51" s="36">
        <v>10</v>
      </c>
      <c r="L51" s="65">
        <f t="shared" si="2"/>
        <v>172000</v>
      </c>
      <c r="M51" s="64">
        <f t="shared" si="3"/>
        <v>1720000</v>
      </c>
      <c r="N51" s="38">
        <f>F51-(H51*2)</f>
        <v>1498176</v>
      </c>
      <c r="O51" s="132" t="s">
        <v>1596</v>
      </c>
      <c r="P51" s="241" t="s">
        <v>1626</v>
      </c>
      <c r="Q51" s="175">
        <f t="shared" si="5"/>
        <v>1498176</v>
      </c>
      <c r="R51" s="126" t="e">
        <f>+#REF!</f>
        <v>#REF!</v>
      </c>
      <c r="S51" s="188" t="e">
        <f t="shared" si="6"/>
        <v>#REF!</v>
      </c>
      <c r="T51" s="46"/>
    </row>
    <row r="52" spans="1:20" ht="24" customHeight="1">
      <c r="A52" s="61">
        <f t="shared" si="8"/>
        <v>48</v>
      </c>
      <c r="B52" s="217" t="s">
        <v>1087</v>
      </c>
      <c r="C52" s="218" t="s">
        <v>1088</v>
      </c>
      <c r="D52" s="218" t="s">
        <v>1627</v>
      </c>
      <c r="E52" s="41">
        <v>42984</v>
      </c>
      <c r="F52" s="219">
        <f>330000+525000+375000</f>
        <v>1230000</v>
      </c>
      <c r="G52" s="219">
        <f t="shared" si="0"/>
        <v>1377600</v>
      </c>
      <c r="H52" s="219">
        <f>+F52/J52</f>
        <v>123000</v>
      </c>
      <c r="I52" s="219">
        <f t="shared" si="7"/>
        <v>14760</v>
      </c>
      <c r="J52" s="67">
        <v>10</v>
      </c>
      <c r="K52" s="36">
        <v>3</v>
      </c>
      <c r="L52" s="65">
        <f t="shared" si="2"/>
        <v>137760</v>
      </c>
      <c r="M52" s="64">
        <f t="shared" si="3"/>
        <v>413280</v>
      </c>
      <c r="N52" s="64">
        <f>+H52*K52</f>
        <v>369000</v>
      </c>
      <c r="O52" s="72" t="s">
        <v>1628</v>
      </c>
      <c r="P52" s="273" t="s">
        <v>1629</v>
      </c>
      <c r="Q52" s="175">
        <f t="shared" si="5"/>
        <v>369000</v>
      </c>
      <c r="R52" s="126" t="e">
        <f>+#REF!</f>
        <v>#REF!</v>
      </c>
      <c r="S52" s="188" t="e">
        <f t="shared" si="6"/>
        <v>#REF!</v>
      </c>
      <c r="T52" s="46"/>
    </row>
    <row r="53" spans="1:20" ht="24" customHeight="1">
      <c r="A53" s="61">
        <f t="shared" si="8"/>
        <v>49</v>
      </c>
      <c r="B53" s="68" t="s">
        <v>1630</v>
      </c>
      <c r="C53" s="69" t="s">
        <v>1631</v>
      </c>
      <c r="D53" s="69" t="s">
        <v>1632</v>
      </c>
      <c r="E53" s="41">
        <v>43041</v>
      </c>
      <c r="F53" s="219">
        <f>5099000+100000</f>
        <v>5199000</v>
      </c>
      <c r="G53" s="219">
        <f t="shared" si="0"/>
        <v>5947656</v>
      </c>
      <c r="H53" s="219">
        <f>+F53/J53</f>
        <v>433250</v>
      </c>
      <c r="I53" s="219">
        <f t="shared" si="7"/>
        <v>62388</v>
      </c>
      <c r="J53" s="67">
        <v>12</v>
      </c>
      <c r="K53" s="36">
        <v>8</v>
      </c>
      <c r="L53" s="65">
        <f t="shared" si="2"/>
        <v>495638</v>
      </c>
      <c r="M53" s="64">
        <f t="shared" si="3"/>
        <v>3965104</v>
      </c>
      <c r="N53" s="64">
        <f>+H53*K53</f>
        <v>3466000</v>
      </c>
      <c r="O53" s="72" t="s">
        <v>1633</v>
      </c>
      <c r="P53" s="273" t="s">
        <v>1634</v>
      </c>
      <c r="Q53" s="175">
        <f t="shared" si="5"/>
        <v>3466000</v>
      </c>
      <c r="R53" s="126" t="e">
        <f>+#REF!</f>
        <v>#REF!</v>
      </c>
      <c r="S53" s="188" t="e">
        <f t="shared" si="6"/>
        <v>#REF!</v>
      </c>
      <c r="T53" s="46"/>
    </row>
    <row r="54" spans="1:20" ht="24" customHeight="1">
      <c r="A54" s="61">
        <f t="shared" si="8"/>
        <v>50</v>
      </c>
      <c r="B54" s="237" t="s">
        <v>1635</v>
      </c>
      <c r="C54" s="238" t="s">
        <v>1636</v>
      </c>
      <c r="D54" s="238" t="s">
        <v>1637</v>
      </c>
      <c r="E54" s="115">
        <v>42958</v>
      </c>
      <c r="F54" s="239">
        <f>330000+375000</f>
        <v>705000</v>
      </c>
      <c r="G54" s="239">
        <f t="shared" si="0"/>
        <v>789600</v>
      </c>
      <c r="H54" s="239">
        <f>+F54/J54</f>
        <v>70500</v>
      </c>
      <c r="I54" s="280">
        <f t="shared" si="7"/>
        <v>8460</v>
      </c>
      <c r="J54" s="240">
        <v>10</v>
      </c>
      <c r="K54" s="124">
        <f>4+1</f>
        <v>5</v>
      </c>
      <c r="L54" s="64">
        <f t="shared" si="2"/>
        <v>78960</v>
      </c>
      <c r="M54" s="64">
        <f t="shared" si="3"/>
        <v>394800</v>
      </c>
      <c r="N54" s="64">
        <f>+H54*K54</f>
        <v>352500</v>
      </c>
      <c r="O54" s="73" t="s">
        <v>1638</v>
      </c>
      <c r="P54" s="72" t="s">
        <v>1639</v>
      </c>
      <c r="Q54" s="175">
        <f t="shared" si="5"/>
        <v>352500</v>
      </c>
      <c r="R54" s="126" t="e">
        <f>+#REF!</f>
        <v>#REF!</v>
      </c>
      <c r="S54" s="188" t="e">
        <f t="shared" si="6"/>
        <v>#REF!</v>
      </c>
      <c r="T54" s="46"/>
    </row>
    <row r="55" spans="1:20" ht="24" customHeight="1">
      <c r="A55" s="61">
        <f t="shared" si="8"/>
        <v>51</v>
      </c>
      <c r="B55" s="237" t="s">
        <v>1635</v>
      </c>
      <c r="C55" s="238" t="s">
        <v>1636</v>
      </c>
      <c r="D55" s="238" t="s">
        <v>1640</v>
      </c>
      <c r="E55" s="115">
        <v>42958</v>
      </c>
      <c r="F55" s="239">
        <f>880000</f>
        <v>880000</v>
      </c>
      <c r="G55" s="239">
        <f t="shared" si="0"/>
        <v>985600</v>
      </c>
      <c r="H55" s="239">
        <f>+F55/J55</f>
        <v>88000</v>
      </c>
      <c r="I55" s="280">
        <f t="shared" si="7"/>
        <v>10560</v>
      </c>
      <c r="J55" s="240">
        <v>10</v>
      </c>
      <c r="K55" s="124">
        <f>4+1</f>
        <v>5</v>
      </c>
      <c r="L55" s="64">
        <f t="shared" si="2"/>
        <v>98560</v>
      </c>
      <c r="M55" s="64">
        <f t="shared" si="3"/>
        <v>492800</v>
      </c>
      <c r="N55" s="64">
        <f>+H55*K55</f>
        <v>440000</v>
      </c>
      <c r="O55" s="73" t="s">
        <v>1641</v>
      </c>
      <c r="P55" s="72" t="s">
        <v>1642</v>
      </c>
      <c r="Q55" s="175">
        <f t="shared" si="5"/>
        <v>440000</v>
      </c>
      <c r="R55" s="126" t="e">
        <f>+#REF!</f>
        <v>#REF!</v>
      </c>
      <c r="S55" s="188" t="e">
        <f t="shared" si="6"/>
        <v>#REF!</v>
      </c>
      <c r="T55" s="46"/>
    </row>
    <row r="56" spans="1:20" ht="24" customHeight="1">
      <c r="A56" s="61">
        <f t="shared" si="8"/>
        <v>52</v>
      </c>
      <c r="B56" s="68" t="s">
        <v>1643</v>
      </c>
      <c r="C56" s="69" t="s">
        <v>1644</v>
      </c>
      <c r="D56" s="69" t="s">
        <v>1645</v>
      </c>
      <c r="E56" s="41">
        <v>43041</v>
      </c>
      <c r="F56" s="219">
        <f>800000</f>
        <v>800000</v>
      </c>
      <c r="G56" s="219">
        <f t="shared" si="0"/>
        <v>1030800</v>
      </c>
      <c r="H56" s="219">
        <v>33350</v>
      </c>
      <c r="I56" s="219">
        <f t="shared" si="7"/>
        <v>9600</v>
      </c>
      <c r="J56" s="67">
        <v>24</v>
      </c>
      <c r="K56" s="36">
        <v>19</v>
      </c>
      <c r="L56" s="65">
        <f t="shared" si="2"/>
        <v>42950</v>
      </c>
      <c r="M56" s="64">
        <f t="shared" si="3"/>
        <v>816050</v>
      </c>
      <c r="N56" s="279">
        <f>F56-(H56*5)</f>
        <v>633250</v>
      </c>
      <c r="O56" s="72" t="s">
        <v>1505</v>
      </c>
      <c r="P56" s="273" t="s">
        <v>1646</v>
      </c>
      <c r="Q56" s="175">
        <f t="shared" si="5"/>
        <v>633250</v>
      </c>
      <c r="R56" s="126" t="e">
        <f>+#REF!</f>
        <v>#REF!</v>
      </c>
      <c r="S56" s="188" t="e">
        <f t="shared" si="6"/>
        <v>#REF!</v>
      </c>
      <c r="T56" s="46"/>
    </row>
    <row r="57" spans="1:20" ht="24" customHeight="1">
      <c r="A57" s="61">
        <f t="shared" si="8"/>
        <v>53</v>
      </c>
      <c r="B57" s="68" t="s">
        <v>1647</v>
      </c>
      <c r="C57" s="69" t="s">
        <v>1644</v>
      </c>
      <c r="D57" s="69" t="s">
        <v>1645</v>
      </c>
      <c r="E57" s="41">
        <v>43073</v>
      </c>
      <c r="F57" s="219">
        <f>18705000-800000</f>
        <v>17905000</v>
      </c>
      <c r="G57" s="219">
        <f t="shared" si="0"/>
        <v>23064000</v>
      </c>
      <c r="H57" s="271">
        <f>961000-I57</f>
        <v>746140</v>
      </c>
      <c r="I57" s="219">
        <f t="shared" si="7"/>
        <v>214860</v>
      </c>
      <c r="J57" s="67">
        <v>24</v>
      </c>
      <c r="K57" s="36">
        <v>21</v>
      </c>
      <c r="L57" s="65">
        <f t="shared" si="2"/>
        <v>961000</v>
      </c>
      <c r="M57" s="64">
        <f t="shared" si="3"/>
        <v>20181000</v>
      </c>
      <c r="N57" s="38">
        <f>F57-(H57*3)</f>
        <v>15666580</v>
      </c>
      <c r="O57" s="241" t="s">
        <v>1505</v>
      </c>
      <c r="P57" s="241" t="s">
        <v>1648</v>
      </c>
      <c r="Q57" s="175">
        <f t="shared" si="5"/>
        <v>15666580</v>
      </c>
      <c r="R57" s="126" t="e">
        <f>+#REF!</f>
        <v>#REF!</v>
      </c>
      <c r="S57" s="188" t="e">
        <f t="shared" si="6"/>
        <v>#REF!</v>
      </c>
      <c r="T57" s="46"/>
    </row>
    <row r="58" spans="1:20" ht="24" customHeight="1">
      <c r="A58" s="61">
        <f t="shared" si="8"/>
        <v>54</v>
      </c>
      <c r="B58" s="217" t="s">
        <v>1649</v>
      </c>
      <c r="C58" s="218" t="s">
        <v>1650</v>
      </c>
      <c r="D58" s="218" t="s">
        <v>1651</v>
      </c>
      <c r="E58" s="41">
        <v>42984</v>
      </c>
      <c r="F58" s="219">
        <f>27750000+100000</f>
        <v>27850000</v>
      </c>
      <c r="G58" s="219">
        <f t="shared" si="0"/>
        <v>43920000</v>
      </c>
      <c r="H58" s="219">
        <f>915000-I58</f>
        <v>580800</v>
      </c>
      <c r="I58" s="219">
        <f t="shared" si="7"/>
        <v>334200</v>
      </c>
      <c r="J58" s="67">
        <v>48</v>
      </c>
      <c r="K58" s="36">
        <v>41</v>
      </c>
      <c r="L58" s="65">
        <f t="shared" si="2"/>
        <v>915000</v>
      </c>
      <c r="M58" s="64">
        <f t="shared" si="3"/>
        <v>37515000</v>
      </c>
      <c r="N58" s="112">
        <f>F58-(H58*7)</f>
        <v>23784400</v>
      </c>
      <c r="O58" s="72" t="s">
        <v>1652</v>
      </c>
      <c r="P58" s="273" t="s">
        <v>1653</v>
      </c>
      <c r="Q58" s="175">
        <f t="shared" si="5"/>
        <v>23784400</v>
      </c>
      <c r="R58" s="126" t="e">
        <f>+#REF!</f>
        <v>#REF!</v>
      </c>
      <c r="S58" s="188" t="e">
        <f t="shared" si="6"/>
        <v>#REF!</v>
      </c>
      <c r="T58" s="46"/>
    </row>
    <row r="59" spans="1:20" ht="24" customHeight="1">
      <c r="A59" s="67">
        <f t="shared" si="8"/>
        <v>55</v>
      </c>
      <c r="B59" s="68" t="s">
        <v>1143</v>
      </c>
      <c r="C59" s="69" t="s">
        <v>1144</v>
      </c>
      <c r="D59" s="69"/>
      <c r="E59" s="41">
        <v>43063</v>
      </c>
      <c r="F59" s="219">
        <f>100000+22000000</f>
        <v>22100000</v>
      </c>
      <c r="G59" s="219">
        <f t="shared" si="0"/>
        <v>31680000</v>
      </c>
      <c r="H59" s="271">
        <v>614800</v>
      </c>
      <c r="I59" s="219">
        <f t="shared" si="7"/>
        <v>265200</v>
      </c>
      <c r="J59" s="67">
        <v>36</v>
      </c>
      <c r="K59" s="36">
        <v>32</v>
      </c>
      <c r="L59" s="65">
        <f t="shared" si="2"/>
        <v>880000</v>
      </c>
      <c r="M59" s="64">
        <f t="shared" si="3"/>
        <v>28160000</v>
      </c>
      <c r="N59" s="279">
        <f>F59-(H59*4)</f>
        <v>19640800</v>
      </c>
      <c r="O59" s="72" t="s">
        <v>350</v>
      </c>
      <c r="P59" s="273" t="s">
        <v>1654</v>
      </c>
      <c r="Q59" s="175">
        <f t="shared" si="5"/>
        <v>19640800</v>
      </c>
      <c r="R59" s="126" t="e">
        <f>+#REF!</f>
        <v>#REF!</v>
      </c>
      <c r="S59" s="188" t="e">
        <f t="shared" si="6"/>
        <v>#REF!</v>
      </c>
      <c r="T59" s="46"/>
    </row>
    <row r="60" spans="1:20" ht="24" customHeight="1">
      <c r="A60" s="67">
        <f t="shared" si="8"/>
        <v>56</v>
      </c>
      <c r="B60" s="217" t="s">
        <v>1655</v>
      </c>
      <c r="C60" s="218" t="s">
        <v>1656</v>
      </c>
      <c r="D60" s="218" t="s">
        <v>1657</v>
      </c>
      <c r="E60" s="41">
        <v>42961</v>
      </c>
      <c r="F60" s="219">
        <f>75000+3175000</f>
        <v>3250000</v>
      </c>
      <c r="G60" s="219">
        <f t="shared" si="0"/>
        <v>3250000</v>
      </c>
      <c r="H60" s="219">
        <f>+F60/J60</f>
        <v>325000</v>
      </c>
      <c r="I60" s="219">
        <v>0</v>
      </c>
      <c r="J60" s="67">
        <v>10</v>
      </c>
      <c r="K60" s="36">
        <v>2</v>
      </c>
      <c r="L60" s="64">
        <f t="shared" si="2"/>
        <v>325000</v>
      </c>
      <c r="M60" s="64">
        <f t="shared" si="3"/>
        <v>650000</v>
      </c>
      <c r="N60" s="64">
        <f>+H60*K60</f>
        <v>650000</v>
      </c>
      <c r="O60" s="73" t="s">
        <v>1658</v>
      </c>
      <c r="P60" s="72" t="s">
        <v>1659</v>
      </c>
      <c r="Q60" s="175">
        <f t="shared" si="5"/>
        <v>650000</v>
      </c>
      <c r="R60" s="126" t="e">
        <f>+#REF!</f>
        <v>#REF!</v>
      </c>
      <c r="S60" s="188" t="e">
        <f t="shared" si="6"/>
        <v>#REF!</v>
      </c>
      <c r="T60" s="46"/>
    </row>
    <row r="61" spans="1:20" ht="24" customHeight="1">
      <c r="A61" s="67">
        <f t="shared" si="8"/>
        <v>57</v>
      </c>
      <c r="B61" s="217" t="s">
        <v>1660</v>
      </c>
      <c r="C61" s="218" t="s">
        <v>1661</v>
      </c>
      <c r="D61" s="218" t="s">
        <v>1662</v>
      </c>
      <c r="E61" s="41">
        <v>42972</v>
      </c>
      <c r="F61" s="219">
        <f>308000</f>
        <v>308000</v>
      </c>
      <c r="G61" s="219">
        <f t="shared" si="0"/>
        <v>344960</v>
      </c>
      <c r="H61" s="219">
        <f>+F61/J61</f>
        <v>30800</v>
      </c>
      <c r="I61" s="219">
        <f t="shared" ref="I61:I80" si="9">+F61*1.2%</f>
        <v>3696</v>
      </c>
      <c r="J61" s="67">
        <v>10</v>
      </c>
      <c r="K61" s="36">
        <v>3</v>
      </c>
      <c r="L61" s="65">
        <f t="shared" si="2"/>
        <v>34496</v>
      </c>
      <c r="M61" s="64">
        <f t="shared" si="3"/>
        <v>103488</v>
      </c>
      <c r="N61" s="64">
        <f>+H61*K61</f>
        <v>92400</v>
      </c>
      <c r="O61" s="72" t="s">
        <v>1663</v>
      </c>
      <c r="P61" s="273" t="s">
        <v>1529</v>
      </c>
      <c r="Q61" s="175">
        <f t="shared" si="5"/>
        <v>92400</v>
      </c>
      <c r="R61" s="126" t="e">
        <f>+#REF!</f>
        <v>#REF!</v>
      </c>
      <c r="S61" s="188" t="e">
        <f t="shared" si="6"/>
        <v>#REF!</v>
      </c>
      <c r="T61" s="46"/>
    </row>
    <row r="62" spans="1:20" ht="24" customHeight="1">
      <c r="A62" s="67">
        <f t="shared" si="8"/>
        <v>58</v>
      </c>
      <c r="B62" s="217" t="s">
        <v>1664</v>
      </c>
      <c r="C62" s="218" t="s">
        <v>1665</v>
      </c>
      <c r="D62" s="218" t="s">
        <v>1666</v>
      </c>
      <c r="E62" s="41">
        <v>42958</v>
      </c>
      <c r="F62" s="219">
        <f>880000+660000</f>
        <v>1540000</v>
      </c>
      <c r="G62" s="219">
        <f t="shared" si="0"/>
        <v>1724800</v>
      </c>
      <c r="H62" s="219">
        <f>+F62/J62</f>
        <v>154000</v>
      </c>
      <c r="I62" s="281">
        <f t="shared" si="9"/>
        <v>18480</v>
      </c>
      <c r="J62" s="67">
        <v>10</v>
      </c>
      <c r="K62" s="36">
        <v>3</v>
      </c>
      <c r="L62" s="64">
        <f t="shared" si="2"/>
        <v>172480</v>
      </c>
      <c r="M62" s="64">
        <f t="shared" si="3"/>
        <v>517440</v>
      </c>
      <c r="N62" s="64">
        <f>+H62*K62</f>
        <v>462000</v>
      </c>
      <c r="O62" s="73" t="s">
        <v>1667</v>
      </c>
      <c r="P62" s="72" t="s">
        <v>1642</v>
      </c>
      <c r="Q62" s="175">
        <f t="shared" si="5"/>
        <v>462000</v>
      </c>
      <c r="R62" s="126" t="e">
        <f>+#REF!</f>
        <v>#REF!</v>
      </c>
      <c r="S62" s="188" t="e">
        <f t="shared" si="6"/>
        <v>#REF!</v>
      </c>
      <c r="T62" s="46"/>
    </row>
    <row r="63" spans="1:20" ht="24" customHeight="1">
      <c r="A63" s="67">
        <f t="shared" si="8"/>
        <v>59</v>
      </c>
      <c r="B63" s="217" t="s">
        <v>58</v>
      </c>
      <c r="C63" s="218" t="s">
        <v>60</v>
      </c>
      <c r="D63" s="218" t="s">
        <v>1668</v>
      </c>
      <c r="E63" s="41">
        <v>42941</v>
      </c>
      <c r="F63" s="219">
        <f>24900000+100000</f>
        <v>25000000</v>
      </c>
      <c r="G63" s="219">
        <f t="shared" si="0"/>
        <v>35838000</v>
      </c>
      <c r="H63" s="219">
        <f>995500-I63</f>
        <v>695500</v>
      </c>
      <c r="I63" s="281">
        <f t="shared" si="9"/>
        <v>300000</v>
      </c>
      <c r="J63" s="67">
        <v>36</v>
      </c>
      <c r="K63" s="36">
        <v>28</v>
      </c>
      <c r="L63" s="65">
        <f t="shared" si="2"/>
        <v>995500</v>
      </c>
      <c r="M63" s="64">
        <f t="shared" si="3"/>
        <v>27874000</v>
      </c>
      <c r="N63" s="220">
        <f>F63-(H63*8)</f>
        <v>19436000</v>
      </c>
      <c r="O63" s="72" t="s">
        <v>1669</v>
      </c>
      <c r="P63" s="273" t="s">
        <v>1670</v>
      </c>
      <c r="Q63" s="175">
        <f t="shared" si="5"/>
        <v>19436000</v>
      </c>
      <c r="R63" s="126" t="e">
        <f>+#REF!</f>
        <v>#REF!</v>
      </c>
      <c r="S63" s="188" t="e">
        <f t="shared" si="6"/>
        <v>#REF!</v>
      </c>
      <c r="T63" s="46"/>
    </row>
    <row r="64" spans="1:20" ht="24" customHeight="1">
      <c r="A64" s="67">
        <f t="shared" si="8"/>
        <v>60</v>
      </c>
      <c r="B64" s="217" t="s">
        <v>1671</v>
      </c>
      <c r="C64" s="218" t="s">
        <v>1672</v>
      </c>
      <c r="D64" s="67"/>
      <c r="E64" s="41">
        <v>42850</v>
      </c>
      <c r="F64" s="219">
        <f>3824000+75000</f>
        <v>3899000</v>
      </c>
      <c r="G64" s="219">
        <f t="shared" si="0"/>
        <v>4470000</v>
      </c>
      <c r="H64" s="219">
        <f>372500-I64</f>
        <v>325712</v>
      </c>
      <c r="I64" s="219">
        <f t="shared" si="9"/>
        <v>46788</v>
      </c>
      <c r="J64" s="67">
        <v>12</v>
      </c>
      <c r="K64" s="36">
        <v>1</v>
      </c>
      <c r="L64" s="65">
        <f t="shared" si="2"/>
        <v>372500</v>
      </c>
      <c r="M64" s="64">
        <f t="shared" si="3"/>
        <v>372500</v>
      </c>
      <c r="N64" s="112">
        <f>F64-(H64*11)</f>
        <v>316168</v>
      </c>
      <c r="O64" s="282"/>
      <c r="P64" s="282" t="s">
        <v>1615</v>
      </c>
      <c r="Q64" s="175">
        <f t="shared" si="5"/>
        <v>316168</v>
      </c>
      <c r="R64" s="126" t="e">
        <f>+#REF!</f>
        <v>#REF!</v>
      </c>
      <c r="S64" s="188" t="e">
        <f t="shared" si="6"/>
        <v>#REF!</v>
      </c>
      <c r="T64" s="46"/>
    </row>
    <row r="65" spans="1:20" ht="24" customHeight="1">
      <c r="A65" s="67">
        <f t="shared" si="8"/>
        <v>61</v>
      </c>
      <c r="B65" s="217" t="s">
        <v>1673</v>
      </c>
      <c r="C65" s="218" t="s">
        <v>1674</v>
      </c>
      <c r="D65" s="218" t="s">
        <v>1675</v>
      </c>
      <c r="E65" s="41">
        <v>42957</v>
      </c>
      <c r="F65" s="219">
        <f>18935000</f>
        <v>18935000</v>
      </c>
      <c r="G65" s="219">
        <f t="shared" si="0"/>
        <v>29880000</v>
      </c>
      <c r="H65" s="219">
        <v>395280</v>
      </c>
      <c r="I65" s="219">
        <f t="shared" si="9"/>
        <v>227220</v>
      </c>
      <c r="J65" s="67">
        <v>48</v>
      </c>
      <c r="K65" s="36">
        <v>40</v>
      </c>
      <c r="L65" s="64">
        <f t="shared" si="2"/>
        <v>622500</v>
      </c>
      <c r="M65" s="64">
        <f t="shared" si="3"/>
        <v>24900000</v>
      </c>
      <c r="N65" s="220">
        <f>F65-(H65*8)</f>
        <v>15772760</v>
      </c>
      <c r="O65" s="72" t="s">
        <v>1676</v>
      </c>
      <c r="P65" s="72" t="s">
        <v>1677</v>
      </c>
      <c r="Q65" s="175">
        <f t="shared" si="5"/>
        <v>15772760</v>
      </c>
      <c r="R65" s="126" t="e">
        <f>+#REF!</f>
        <v>#REF!</v>
      </c>
      <c r="S65" s="188" t="e">
        <f t="shared" si="6"/>
        <v>#REF!</v>
      </c>
      <c r="T65" s="46"/>
    </row>
    <row r="66" spans="1:20" ht="24" customHeight="1">
      <c r="A66" s="67">
        <f t="shared" si="8"/>
        <v>62</v>
      </c>
      <c r="B66" s="68" t="s">
        <v>1233</v>
      </c>
      <c r="C66" s="69" t="s">
        <v>1234</v>
      </c>
      <c r="D66" s="69" t="s">
        <v>1678</v>
      </c>
      <c r="E66" s="41">
        <v>43089</v>
      </c>
      <c r="F66" s="219">
        <f>23250000</f>
        <v>23250000</v>
      </c>
      <c r="G66" s="219">
        <f t="shared" si="0"/>
        <v>36672000</v>
      </c>
      <c r="H66" s="271">
        <v>485000</v>
      </c>
      <c r="I66" s="219">
        <f t="shared" si="9"/>
        <v>279000</v>
      </c>
      <c r="J66" s="67">
        <v>48</v>
      </c>
      <c r="K66" s="36">
        <v>45</v>
      </c>
      <c r="L66" s="65">
        <f t="shared" si="2"/>
        <v>764000</v>
      </c>
      <c r="M66" s="64">
        <f t="shared" si="3"/>
        <v>34380000</v>
      </c>
      <c r="N66" s="38">
        <f>F66-(H66*3)</f>
        <v>21795000</v>
      </c>
      <c r="O66" s="132" t="s">
        <v>1546</v>
      </c>
      <c r="P66" s="241" t="s">
        <v>1547</v>
      </c>
      <c r="Q66" s="175">
        <f t="shared" si="5"/>
        <v>21795000</v>
      </c>
      <c r="R66" s="126" t="e">
        <f>+#REF!</f>
        <v>#REF!</v>
      </c>
      <c r="S66" s="188" t="e">
        <f t="shared" si="6"/>
        <v>#REF!</v>
      </c>
      <c r="T66" s="46"/>
    </row>
    <row r="67" spans="1:20" ht="24" customHeight="1">
      <c r="A67" s="61">
        <f t="shared" si="8"/>
        <v>63</v>
      </c>
      <c r="B67" s="68" t="s">
        <v>1679</v>
      </c>
      <c r="C67" s="69" t="s">
        <v>1680</v>
      </c>
      <c r="D67" s="69" t="s">
        <v>1681</v>
      </c>
      <c r="E67" s="41">
        <v>43146</v>
      </c>
      <c r="F67" s="219">
        <f>330000*2</f>
        <v>660000</v>
      </c>
      <c r="G67" s="219">
        <f t="shared" si="0"/>
        <v>699600</v>
      </c>
      <c r="H67" s="118">
        <f t="shared" ref="H67:H72" si="10">+F67/J67</f>
        <v>132000</v>
      </c>
      <c r="I67" s="118">
        <f t="shared" si="9"/>
        <v>7920</v>
      </c>
      <c r="J67" s="67">
        <v>5</v>
      </c>
      <c r="K67" s="36">
        <v>3</v>
      </c>
      <c r="L67" s="65">
        <f t="shared" si="2"/>
        <v>139920</v>
      </c>
      <c r="M67" s="64">
        <f t="shared" si="3"/>
        <v>419760</v>
      </c>
      <c r="N67" s="219">
        <f t="shared" ref="N67:N72" si="11">+H67*K67</f>
        <v>396000</v>
      </c>
      <c r="O67" s="273" t="s">
        <v>79</v>
      </c>
      <c r="P67" s="273" t="s">
        <v>1553</v>
      </c>
      <c r="Q67" s="175">
        <f t="shared" si="5"/>
        <v>396000</v>
      </c>
      <c r="R67" s="126" t="e">
        <f>+#REF!</f>
        <v>#REF!</v>
      </c>
      <c r="S67" s="188" t="e">
        <f t="shared" si="6"/>
        <v>#REF!</v>
      </c>
      <c r="T67" s="46"/>
    </row>
    <row r="68" spans="1:20" ht="24" customHeight="1">
      <c r="A68" s="67">
        <f t="shared" si="8"/>
        <v>64</v>
      </c>
      <c r="B68" s="217" t="s">
        <v>1682</v>
      </c>
      <c r="C68" s="218" t="s">
        <v>1683</v>
      </c>
      <c r="D68" s="218" t="s">
        <v>1684</v>
      </c>
      <c r="E68" s="41">
        <v>42956</v>
      </c>
      <c r="F68" s="219">
        <v>1276000</v>
      </c>
      <c r="G68" s="219">
        <f t="shared" si="0"/>
        <v>1429120</v>
      </c>
      <c r="H68" s="219">
        <f t="shared" si="10"/>
        <v>127600</v>
      </c>
      <c r="I68" s="219">
        <f t="shared" si="9"/>
        <v>15312</v>
      </c>
      <c r="J68" s="67">
        <v>10</v>
      </c>
      <c r="K68" s="36">
        <v>2</v>
      </c>
      <c r="L68" s="64">
        <f t="shared" si="2"/>
        <v>142912</v>
      </c>
      <c r="M68" s="64">
        <f t="shared" si="3"/>
        <v>285824</v>
      </c>
      <c r="N68" s="64">
        <f t="shared" si="11"/>
        <v>255200</v>
      </c>
      <c r="O68" s="73" t="s">
        <v>1564</v>
      </c>
      <c r="P68" s="72" t="s">
        <v>1565</v>
      </c>
      <c r="Q68" s="175">
        <f t="shared" si="5"/>
        <v>255200</v>
      </c>
      <c r="R68" s="126" t="e">
        <f>+#REF!</f>
        <v>#REF!</v>
      </c>
      <c r="S68" s="188" t="e">
        <f t="shared" si="6"/>
        <v>#REF!</v>
      </c>
      <c r="T68" s="46"/>
    </row>
    <row r="69" spans="1:20" ht="24" customHeight="1">
      <c r="A69" s="61">
        <f t="shared" si="8"/>
        <v>65</v>
      </c>
      <c r="B69" s="217" t="s">
        <v>1685</v>
      </c>
      <c r="C69" s="218" t="s">
        <v>1289</v>
      </c>
      <c r="D69" s="218" t="s">
        <v>1686</v>
      </c>
      <c r="E69" s="41">
        <v>42956</v>
      </c>
      <c r="F69" s="219">
        <v>1980000</v>
      </c>
      <c r="G69" s="219">
        <f t="shared" ref="G69:G80" si="12">+J69*L69</f>
        <v>2217600</v>
      </c>
      <c r="H69" s="219">
        <f t="shared" si="10"/>
        <v>198000</v>
      </c>
      <c r="I69" s="219">
        <f t="shared" si="9"/>
        <v>23760</v>
      </c>
      <c r="J69" s="67">
        <v>10</v>
      </c>
      <c r="K69" s="36">
        <v>2</v>
      </c>
      <c r="L69" s="64">
        <f t="shared" ref="L69:L80" si="13">+H69+I69</f>
        <v>221760</v>
      </c>
      <c r="M69" s="64">
        <f t="shared" ref="M69:M80" si="14">+K69*L69</f>
        <v>443520</v>
      </c>
      <c r="N69" s="64">
        <f t="shared" si="11"/>
        <v>396000</v>
      </c>
      <c r="O69" s="73" t="s">
        <v>1687</v>
      </c>
      <c r="P69" s="72" t="s">
        <v>1688</v>
      </c>
      <c r="Q69" s="175">
        <f t="shared" si="5"/>
        <v>396000</v>
      </c>
      <c r="R69" s="126" t="e">
        <f>+#REF!</f>
        <v>#REF!</v>
      </c>
      <c r="S69" s="188" t="e">
        <f t="shared" si="6"/>
        <v>#REF!</v>
      </c>
      <c r="T69" s="46"/>
    </row>
    <row r="70" spans="1:20" ht="24" customHeight="1">
      <c r="A70" s="67">
        <f t="shared" si="8"/>
        <v>66</v>
      </c>
      <c r="B70" s="217" t="s">
        <v>1689</v>
      </c>
      <c r="C70" s="218" t="s">
        <v>1690</v>
      </c>
      <c r="D70" s="218" t="s">
        <v>1691</v>
      </c>
      <c r="E70" s="41">
        <v>42956</v>
      </c>
      <c r="F70" s="219">
        <v>1276000</v>
      </c>
      <c r="G70" s="219">
        <f t="shared" si="12"/>
        <v>1429120</v>
      </c>
      <c r="H70" s="219">
        <f t="shared" si="10"/>
        <v>127600</v>
      </c>
      <c r="I70" s="219">
        <f t="shared" si="9"/>
        <v>15312</v>
      </c>
      <c r="J70" s="67">
        <v>10</v>
      </c>
      <c r="K70" s="36">
        <v>2</v>
      </c>
      <c r="L70" s="64">
        <f t="shared" si="13"/>
        <v>142912</v>
      </c>
      <c r="M70" s="64">
        <f t="shared" si="14"/>
        <v>285824</v>
      </c>
      <c r="N70" s="64">
        <f t="shared" si="11"/>
        <v>255200</v>
      </c>
      <c r="O70" s="73" t="s">
        <v>1692</v>
      </c>
      <c r="P70" s="72" t="s">
        <v>1565</v>
      </c>
      <c r="Q70" s="175">
        <f t="shared" ref="Q70:Q80" si="15">N70</f>
        <v>255200</v>
      </c>
      <c r="R70" s="126" t="e">
        <f>+#REF!</f>
        <v>#REF!</v>
      </c>
      <c r="S70" s="188" t="e">
        <f t="shared" ref="S70:S80" si="16">+Q70-R70</f>
        <v>#REF!</v>
      </c>
      <c r="T70" s="46"/>
    </row>
    <row r="71" spans="1:20" ht="24" customHeight="1">
      <c r="A71" s="61">
        <f t="shared" si="8"/>
        <v>67</v>
      </c>
      <c r="B71" s="217" t="s">
        <v>1693</v>
      </c>
      <c r="C71" s="218" t="s">
        <v>1694</v>
      </c>
      <c r="D71" s="218" t="s">
        <v>1695</v>
      </c>
      <c r="E71" s="41">
        <v>42956</v>
      </c>
      <c r="F71" s="219">
        <v>1540000</v>
      </c>
      <c r="G71" s="219">
        <f t="shared" si="12"/>
        <v>1724800</v>
      </c>
      <c r="H71" s="219">
        <f t="shared" si="10"/>
        <v>154000</v>
      </c>
      <c r="I71" s="219">
        <f t="shared" si="9"/>
        <v>18480</v>
      </c>
      <c r="J71" s="67">
        <v>10</v>
      </c>
      <c r="K71" s="36">
        <v>2</v>
      </c>
      <c r="L71" s="64">
        <f t="shared" si="13"/>
        <v>172480</v>
      </c>
      <c r="M71" s="64">
        <f t="shared" si="14"/>
        <v>344960</v>
      </c>
      <c r="N71" s="64">
        <f t="shared" si="11"/>
        <v>308000</v>
      </c>
      <c r="O71" s="73" t="s">
        <v>1696</v>
      </c>
      <c r="P71" s="72" t="s">
        <v>1697</v>
      </c>
      <c r="Q71" s="175">
        <f t="shared" si="15"/>
        <v>308000</v>
      </c>
      <c r="R71" s="126" t="e">
        <f>+#REF!</f>
        <v>#REF!</v>
      </c>
      <c r="S71" s="188" t="e">
        <f t="shared" si="16"/>
        <v>#REF!</v>
      </c>
      <c r="T71" s="46"/>
    </row>
    <row r="72" spans="1:20" ht="24" customHeight="1">
      <c r="A72" s="61">
        <f t="shared" si="8"/>
        <v>68</v>
      </c>
      <c r="B72" s="68" t="s">
        <v>1702</v>
      </c>
      <c r="C72" s="69" t="s">
        <v>1703</v>
      </c>
      <c r="D72" s="69" t="s">
        <v>1704</v>
      </c>
      <c r="E72" s="41">
        <v>43068</v>
      </c>
      <c r="F72" s="219">
        <f>1480000+148000</f>
        <v>1628000</v>
      </c>
      <c r="G72" s="219">
        <f t="shared" si="12"/>
        <v>1823360</v>
      </c>
      <c r="H72" s="219">
        <f t="shared" si="10"/>
        <v>162800</v>
      </c>
      <c r="I72" s="219">
        <f t="shared" si="9"/>
        <v>19536</v>
      </c>
      <c r="J72" s="67">
        <v>10</v>
      </c>
      <c r="K72" s="36">
        <v>6</v>
      </c>
      <c r="L72" s="65">
        <f t="shared" si="13"/>
        <v>182336</v>
      </c>
      <c r="M72" s="64">
        <f t="shared" si="14"/>
        <v>1094016</v>
      </c>
      <c r="N72" s="64">
        <f t="shared" si="11"/>
        <v>976800</v>
      </c>
      <c r="O72" s="72" t="s">
        <v>1705</v>
      </c>
      <c r="P72" s="273" t="s">
        <v>1706</v>
      </c>
      <c r="Q72" s="175">
        <f t="shared" si="15"/>
        <v>976800</v>
      </c>
      <c r="R72" s="126" t="e">
        <f>+#REF!</f>
        <v>#REF!</v>
      </c>
      <c r="S72" s="188" t="e">
        <f t="shared" si="16"/>
        <v>#REF!</v>
      </c>
      <c r="T72" s="46"/>
    </row>
    <row r="73" spans="1:20" ht="24" customHeight="1">
      <c r="A73" s="61">
        <f t="shared" si="8"/>
        <v>69</v>
      </c>
      <c r="B73" s="68" t="s">
        <v>57</v>
      </c>
      <c r="C73" s="69" t="s">
        <v>59</v>
      </c>
      <c r="D73" s="69" t="s">
        <v>61</v>
      </c>
      <c r="E73" s="41">
        <v>43168</v>
      </c>
      <c r="F73" s="219">
        <f>800000</f>
        <v>800000</v>
      </c>
      <c r="G73" s="219">
        <f t="shared" si="12"/>
        <v>1260816</v>
      </c>
      <c r="H73" s="118">
        <f>26267-I73</f>
        <v>16667</v>
      </c>
      <c r="I73" s="118">
        <f t="shared" si="9"/>
        <v>9600</v>
      </c>
      <c r="J73" s="67">
        <v>48</v>
      </c>
      <c r="K73" s="36">
        <v>47</v>
      </c>
      <c r="L73" s="65">
        <f t="shared" si="13"/>
        <v>26267</v>
      </c>
      <c r="M73" s="64">
        <f t="shared" si="14"/>
        <v>1234549</v>
      </c>
      <c r="N73" s="38">
        <f>F73-(H73*1)</f>
        <v>783333</v>
      </c>
      <c r="O73" s="273" t="s">
        <v>1707</v>
      </c>
      <c r="P73" s="273" t="s">
        <v>1708</v>
      </c>
      <c r="Q73" s="175">
        <f t="shared" si="15"/>
        <v>783333</v>
      </c>
      <c r="R73" s="126" t="e">
        <f>+#REF!</f>
        <v>#REF!</v>
      </c>
      <c r="S73" s="188" t="e">
        <f t="shared" si="16"/>
        <v>#REF!</v>
      </c>
      <c r="T73" s="46"/>
    </row>
    <row r="74" spans="1:20" ht="24" customHeight="1">
      <c r="A74" s="67">
        <f t="shared" si="8"/>
        <v>70</v>
      </c>
      <c r="B74" s="68" t="s">
        <v>58</v>
      </c>
      <c r="C74" s="69" t="s">
        <v>60</v>
      </c>
      <c r="D74" s="69" t="s">
        <v>62</v>
      </c>
      <c r="E74" s="41">
        <v>43168</v>
      </c>
      <c r="F74" s="219">
        <f>800000</f>
        <v>800000</v>
      </c>
      <c r="G74" s="219">
        <f t="shared" si="12"/>
        <v>1136030</v>
      </c>
      <c r="H74" s="118">
        <f>32458-I74</f>
        <v>22858</v>
      </c>
      <c r="I74" s="118">
        <f t="shared" si="9"/>
        <v>9600</v>
      </c>
      <c r="J74" s="67">
        <v>35</v>
      </c>
      <c r="K74" s="36">
        <v>34</v>
      </c>
      <c r="L74" s="65">
        <f t="shared" si="13"/>
        <v>32458</v>
      </c>
      <c r="M74" s="64">
        <f t="shared" si="14"/>
        <v>1103572</v>
      </c>
      <c r="N74" s="38">
        <f>F74-(H74*1)</f>
        <v>777142</v>
      </c>
      <c r="O74" s="273" t="s">
        <v>1709</v>
      </c>
      <c r="P74" s="273" t="s">
        <v>1708</v>
      </c>
      <c r="Q74" s="175">
        <f t="shared" si="15"/>
        <v>777142</v>
      </c>
      <c r="R74" s="126" t="e">
        <f>+#REF!</f>
        <v>#REF!</v>
      </c>
      <c r="S74" s="188" t="e">
        <f t="shared" si="16"/>
        <v>#REF!</v>
      </c>
      <c r="T74" s="46"/>
    </row>
    <row r="75" spans="1:20" ht="24" customHeight="1">
      <c r="A75" s="67">
        <f t="shared" si="8"/>
        <v>71</v>
      </c>
      <c r="B75" s="68" t="s">
        <v>1710</v>
      </c>
      <c r="C75" s="69" t="s">
        <v>1365</v>
      </c>
      <c r="D75" s="69" t="s">
        <v>1711</v>
      </c>
      <c r="E75" s="41">
        <v>43168</v>
      </c>
      <c r="F75" s="219">
        <f>330000</f>
        <v>330000</v>
      </c>
      <c r="G75" s="219">
        <f t="shared" si="12"/>
        <v>349800</v>
      </c>
      <c r="H75" s="118">
        <f t="shared" ref="H75:H77" si="17">+F75/J75</f>
        <v>66000</v>
      </c>
      <c r="I75" s="118">
        <f t="shared" si="9"/>
        <v>3960</v>
      </c>
      <c r="J75" s="67">
        <v>5</v>
      </c>
      <c r="K75" s="36">
        <v>4</v>
      </c>
      <c r="L75" s="65">
        <f t="shared" si="13"/>
        <v>69960</v>
      </c>
      <c r="M75" s="64">
        <f t="shared" si="14"/>
        <v>279840</v>
      </c>
      <c r="N75" s="219">
        <f>+H75*K75</f>
        <v>264000</v>
      </c>
      <c r="O75" s="273" t="s">
        <v>959</v>
      </c>
      <c r="P75" s="273" t="s">
        <v>1712</v>
      </c>
      <c r="Q75" s="175">
        <f t="shared" si="15"/>
        <v>264000</v>
      </c>
      <c r="R75" s="126" t="e">
        <f>+#REF!</f>
        <v>#REF!</v>
      </c>
      <c r="S75" s="188" t="e">
        <f t="shared" si="16"/>
        <v>#REF!</v>
      </c>
      <c r="T75" s="46"/>
    </row>
    <row r="76" spans="1:20" ht="24" customHeight="1">
      <c r="A76" s="67">
        <f t="shared" si="8"/>
        <v>72</v>
      </c>
      <c r="B76" s="68" t="s">
        <v>1713</v>
      </c>
      <c r="C76" s="69" t="s">
        <v>1714</v>
      </c>
      <c r="D76" s="69" t="s">
        <v>1715</v>
      </c>
      <c r="E76" s="41">
        <v>43168</v>
      </c>
      <c r="F76" s="219">
        <f>330000</f>
        <v>330000</v>
      </c>
      <c r="G76" s="219">
        <f t="shared" si="12"/>
        <v>349800</v>
      </c>
      <c r="H76" s="118">
        <f t="shared" si="17"/>
        <v>66000</v>
      </c>
      <c r="I76" s="118">
        <f t="shared" si="9"/>
        <v>3960</v>
      </c>
      <c r="J76" s="67">
        <v>5</v>
      </c>
      <c r="K76" s="36">
        <v>4</v>
      </c>
      <c r="L76" s="65">
        <f t="shared" si="13"/>
        <v>69960</v>
      </c>
      <c r="M76" s="64">
        <f t="shared" si="14"/>
        <v>279840</v>
      </c>
      <c r="N76" s="219">
        <f>+H76*K76</f>
        <v>264000</v>
      </c>
      <c r="O76" s="72" t="s">
        <v>1716</v>
      </c>
      <c r="P76" s="273" t="s">
        <v>1712</v>
      </c>
      <c r="Q76" s="175">
        <f t="shared" si="15"/>
        <v>264000</v>
      </c>
      <c r="R76" s="126" t="e">
        <f>+#REF!</f>
        <v>#REF!</v>
      </c>
      <c r="S76" s="188" t="e">
        <f t="shared" si="16"/>
        <v>#REF!</v>
      </c>
      <c r="T76" s="46"/>
    </row>
    <row r="77" spans="1:20" ht="24" customHeight="1">
      <c r="A77" s="67">
        <f t="shared" si="8"/>
        <v>73</v>
      </c>
      <c r="B77" s="68" t="s">
        <v>1502</v>
      </c>
      <c r="C77" s="69" t="s">
        <v>1503</v>
      </c>
      <c r="D77" s="69" t="s">
        <v>1717</v>
      </c>
      <c r="E77" s="41">
        <v>43168</v>
      </c>
      <c r="F77" s="219">
        <f>300000*2</f>
        <v>600000</v>
      </c>
      <c r="G77" s="219">
        <f t="shared" si="12"/>
        <v>636000</v>
      </c>
      <c r="H77" s="118">
        <f t="shared" si="17"/>
        <v>120000</v>
      </c>
      <c r="I77" s="118">
        <f t="shared" si="9"/>
        <v>7200</v>
      </c>
      <c r="J77" s="67">
        <v>5</v>
      </c>
      <c r="K77" s="36">
        <v>4</v>
      </c>
      <c r="L77" s="65">
        <f t="shared" si="13"/>
        <v>127200</v>
      </c>
      <c r="M77" s="64">
        <f t="shared" si="14"/>
        <v>508800</v>
      </c>
      <c r="N77" s="219">
        <f>+H77*K77</f>
        <v>480000</v>
      </c>
      <c r="O77" s="72" t="s">
        <v>1718</v>
      </c>
      <c r="P77" s="273" t="s">
        <v>1712</v>
      </c>
      <c r="Q77" s="175">
        <f t="shared" si="15"/>
        <v>480000</v>
      </c>
      <c r="R77" s="126" t="e">
        <f>+#REF!</f>
        <v>#REF!</v>
      </c>
      <c r="S77" s="188" t="e">
        <f t="shared" si="16"/>
        <v>#REF!</v>
      </c>
      <c r="T77" s="46"/>
    </row>
    <row r="78" spans="1:20" ht="24" customHeight="1">
      <c r="A78" s="67">
        <f t="shared" si="8"/>
        <v>74</v>
      </c>
      <c r="B78" s="62" t="s">
        <v>57</v>
      </c>
      <c r="C78" s="63" t="s">
        <v>59</v>
      </c>
      <c r="D78" s="63" t="s">
        <v>61</v>
      </c>
      <c r="E78" s="41">
        <v>43194</v>
      </c>
      <c r="F78" s="64">
        <f>17910000+100000</f>
        <v>18010000</v>
      </c>
      <c r="G78" s="64">
        <f t="shared" si="12"/>
        <v>28387200</v>
      </c>
      <c r="H78" s="31">
        <f>591400-I78</f>
        <v>375280</v>
      </c>
      <c r="I78" s="31">
        <f t="shared" si="9"/>
        <v>216120</v>
      </c>
      <c r="J78" s="61">
        <v>48</v>
      </c>
      <c r="K78" s="61">
        <v>48</v>
      </c>
      <c r="L78" s="65">
        <f t="shared" si="13"/>
        <v>591400</v>
      </c>
      <c r="M78" s="64">
        <f t="shared" si="14"/>
        <v>28387200</v>
      </c>
      <c r="N78" s="38">
        <f t="shared" ref="N78:N79" si="18">F78-(H78*0)</f>
        <v>18010000</v>
      </c>
      <c r="O78" s="72" t="s">
        <v>64</v>
      </c>
      <c r="P78" s="72" t="s">
        <v>63</v>
      </c>
      <c r="Q78" s="175">
        <f t="shared" si="15"/>
        <v>18010000</v>
      </c>
      <c r="R78" s="126" t="e">
        <f>+#REF!</f>
        <v>#REF!</v>
      </c>
      <c r="S78" s="188" t="e">
        <f t="shared" si="16"/>
        <v>#REF!</v>
      </c>
      <c r="T78" s="46"/>
    </row>
    <row r="79" spans="1:20" ht="24" customHeight="1">
      <c r="A79" s="67">
        <f t="shared" si="8"/>
        <v>75</v>
      </c>
      <c r="B79" s="68" t="s">
        <v>58</v>
      </c>
      <c r="C79" s="69" t="s">
        <v>60</v>
      </c>
      <c r="D79" s="69" t="s">
        <v>62</v>
      </c>
      <c r="E79" s="41">
        <v>43194</v>
      </c>
      <c r="F79" s="64">
        <f>18250000+100000</f>
        <v>18350000</v>
      </c>
      <c r="G79" s="64">
        <f t="shared" si="12"/>
        <v>26057500</v>
      </c>
      <c r="H79" s="31">
        <v>524300</v>
      </c>
      <c r="I79" s="31">
        <f t="shared" si="9"/>
        <v>220200</v>
      </c>
      <c r="J79" s="61">
        <v>35</v>
      </c>
      <c r="K79" s="61">
        <v>35</v>
      </c>
      <c r="L79" s="65">
        <f t="shared" si="13"/>
        <v>744500</v>
      </c>
      <c r="M79" s="64">
        <f t="shared" si="14"/>
        <v>26057500</v>
      </c>
      <c r="N79" s="38">
        <f t="shared" si="18"/>
        <v>18350000</v>
      </c>
      <c r="O79" s="72" t="s">
        <v>65</v>
      </c>
      <c r="P79" s="72" t="s">
        <v>63</v>
      </c>
      <c r="Q79" s="175">
        <f t="shared" si="15"/>
        <v>18350000</v>
      </c>
      <c r="R79" s="126" t="e">
        <f>+#REF!</f>
        <v>#REF!</v>
      </c>
      <c r="S79" s="188" t="e">
        <f t="shared" si="16"/>
        <v>#REF!</v>
      </c>
      <c r="T79" s="46"/>
    </row>
    <row r="80" spans="1:20" ht="24" customHeight="1">
      <c r="A80" s="67">
        <f t="shared" si="8"/>
        <v>76</v>
      </c>
      <c r="B80" s="62" t="s">
        <v>759</v>
      </c>
      <c r="C80" s="415" t="s">
        <v>760</v>
      </c>
      <c r="D80" s="63" t="s">
        <v>760</v>
      </c>
      <c r="E80" s="41">
        <v>43194</v>
      </c>
      <c r="F80" s="64">
        <f>330000</f>
        <v>330000</v>
      </c>
      <c r="G80" s="64">
        <f t="shared" si="12"/>
        <v>349800</v>
      </c>
      <c r="H80" s="64">
        <f>+F80/J80</f>
        <v>66000</v>
      </c>
      <c r="I80" s="31">
        <f t="shared" si="9"/>
        <v>3960</v>
      </c>
      <c r="J80" s="61">
        <v>5</v>
      </c>
      <c r="K80" s="61">
        <v>5</v>
      </c>
      <c r="L80" s="65">
        <f t="shared" si="13"/>
        <v>69960</v>
      </c>
      <c r="M80" s="64">
        <f t="shared" si="14"/>
        <v>349800</v>
      </c>
      <c r="N80" s="64">
        <f>+H80*K80</f>
        <v>330000</v>
      </c>
      <c r="O80" s="72" t="s">
        <v>1842</v>
      </c>
      <c r="P80" s="72" t="s">
        <v>1841</v>
      </c>
      <c r="Q80" s="175">
        <f t="shared" si="15"/>
        <v>330000</v>
      </c>
      <c r="R80" s="126" t="e">
        <f>+#REF!</f>
        <v>#REF!</v>
      </c>
      <c r="S80" s="188" t="e">
        <f t="shared" si="16"/>
        <v>#REF!</v>
      </c>
      <c r="T80" s="46"/>
    </row>
    <row r="81" spans="1:20" ht="24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46"/>
    </row>
    <row r="82" spans="1:20" ht="24" customHeight="1">
      <c r="A82" s="104"/>
      <c r="B82" s="104" t="s">
        <v>6</v>
      </c>
      <c r="C82" s="104"/>
      <c r="D82" s="104"/>
      <c r="E82" s="104"/>
      <c r="F82" s="175">
        <f>SUM(F5:F81)</f>
        <v>487513500</v>
      </c>
      <c r="G82" s="175">
        <f t="shared" ref="G82:N82" si="19">SUM(G5:G81)</f>
        <v>677783162</v>
      </c>
      <c r="H82" s="175">
        <f t="shared" si="19"/>
        <v>20647025</v>
      </c>
      <c r="I82" s="175">
        <f t="shared" si="19"/>
        <v>5753282</v>
      </c>
      <c r="J82" s="175">
        <f t="shared" si="19"/>
        <v>1330</v>
      </c>
      <c r="K82" s="175">
        <f t="shared" si="19"/>
        <v>938</v>
      </c>
      <c r="L82" s="175">
        <f t="shared" si="19"/>
        <v>26400307</v>
      </c>
      <c r="M82" s="175">
        <f t="shared" si="19"/>
        <v>538551401</v>
      </c>
      <c r="N82" s="175">
        <f t="shared" si="19"/>
        <v>378038541</v>
      </c>
      <c r="O82" s="104"/>
      <c r="P82" s="104"/>
      <c r="Q82" s="175">
        <f t="shared" ref="Q82:R82" si="20">SUM(Q5:Q81)</f>
        <v>378038541</v>
      </c>
      <c r="R82" s="175" t="e">
        <f t="shared" si="20"/>
        <v>#REF!</v>
      </c>
      <c r="S82" s="175" t="e">
        <f t="shared" ref="S82" si="21">SUM(S5:S81)</f>
        <v>#REF!</v>
      </c>
      <c r="T82" s="46"/>
    </row>
    <row r="83" spans="1:20" ht="24" customHeight="1">
      <c r="A83" s="46"/>
      <c r="C83" s="46"/>
      <c r="D83" s="46"/>
      <c r="E83" s="46"/>
      <c r="F83" s="46"/>
      <c r="G83" s="46"/>
      <c r="H83" s="46"/>
      <c r="I83" s="46"/>
      <c r="J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1:20" ht="24" customHeight="1">
      <c r="A84" s="46"/>
      <c r="C84" s="46"/>
      <c r="D84" s="46"/>
      <c r="E84" s="46"/>
      <c r="F84" s="46"/>
      <c r="G84" s="46"/>
      <c r="H84" s="46"/>
      <c r="I84" s="46"/>
      <c r="J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1:20" ht="24" customHeight="1">
      <c r="A85" s="46"/>
      <c r="C85" s="46"/>
      <c r="D85" s="46"/>
      <c r="E85" s="46"/>
      <c r="F85" s="46"/>
      <c r="G85" s="46"/>
      <c r="H85" s="46"/>
      <c r="I85" s="46"/>
      <c r="J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1:20" ht="24" customHeight="1">
      <c r="A86" s="46"/>
      <c r="C86" s="46"/>
      <c r="D86" s="46"/>
      <c r="E86" s="46"/>
      <c r="F86" s="46"/>
      <c r="G86" s="46"/>
      <c r="H86" s="46"/>
      <c r="I86" s="46"/>
      <c r="J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1:20" ht="24" customHeight="1">
      <c r="A87" s="46"/>
      <c r="C87" s="46"/>
      <c r="D87" s="46"/>
      <c r="E87" s="46"/>
      <c r="F87" s="46"/>
      <c r="G87" s="46"/>
      <c r="H87" s="46"/>
      <c r="I87" s="46"/>
      <c r="J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1:20" ht="24" customHeight="1">
      <c r="A88" s="46"/>
      <c r="C88" s="46"/>
      <c r="D88" s="46"/>
      <c r="E88" s="46"/>
      <c r="F88" s="46"/>
      <c r="G88" s="46"/>
      <c r="H88" s="46"/>
      <c r="I88" s="46"/>
      <c r="J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1:20" ht="24" customHeight="1">
      <c r="A89" s="46"/>
      <c r="C89" s="46"/>
      <c r="D89" s="46"/>
      <c r="E89" s="46"/>
      <c r="F89" s="46"/>
      <c r="G89" s="46"/>
      <c r="H89" s="46"/>
      <c r="I89" s="46"/>
      <c r="J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1:20" ht="24" customHeight="1">
      <c r="A90" s="46"/>
      <c r="C90" s="46"/>
      <c r="D90" s="46"/>
      <c r="E90" s="46"/>
      <c r="F90" s="46"/>
      <c r="G90" s="46"/>
      <c r="H90" s="46"/>
      <c r="I90" s="46"/>
      <c r="J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1:20" ht="24" customHeight="1">
      <c r="A91" s="46"/>
      <c r="C91" s="46"/>
      <c r="D91" s="46"/>
      <c r="E91" s="46"/>
      <c r="F91" s="46"/>
      <c r="G91" s="46"/>
      <c r="H91" s="46"/>
      <c r="I91" s="46"/>
      <c r="J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1:20" ht="24" customHeight="1">
      <c r="A92" s="46"/>
      <c r="C92" s="46"/>
      <c r="D92" s="46"/>
      <c r="E92" s="46"/>
      <c r="F92" s="46"/>
      <c r="G92" s="46"/>
      <c r="H92" s="46"/>
      <c r="I92" s="46"/>
      <c r="J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1:20" ht="24" customHeight="1">
      <c r="A93" s="46"/>
      <c r="C93" s="46"/>
      <c r="D93" s="46"/>
      <c r="E93" s="46"/>
      <c r="F93" s="46"/>
      <c r="G93" s="46"/>
      <c r="H93" s="46"/>
      <c r="I93" s="46"/>
      <c r="J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1:20" ht="24" customHeight="1">
      <c r="A94" s="46"/>
      <c r="C94" s="46"/>
      <c r="D94" s="46"/>
      <c r="E94" s="46"/>
      <c r="F94" s="46"/>
      <c r="G94" s="46"/>
      <c r="H94" s="46"/>
      <c r="I94" s="46"/>
      <c r="J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1:20" ht="24" customHeight="1">
      <c r="A95" s="46"/>
      <c r="C95" s="46"/>
      <c r="D95" s="46"/>
      <c r="E95" s="46"/>
      <c r="F95" s="46"/>
      <c r="G95" s="46"/>
      <c r="H95" s="46"/>
      <c r="I95" s="46"/>
      <c r="J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1:20" ht="24" customHeight="1">
      <c r="A96" s="46"/>
      <c r="C96" s="46"/>
      <c r="D96" s="46"/>
      <c r="E96" s="46"/>
      <c r="F96" s="46"/>
      <c r="G96" s="46"/>
      <c r="H96" s="46"/>
      <c r="I96" s="46"/>
      <c r="J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1:20" ht="24" customHeight="1">
      <c r="A97" s="46"/>
      <c r="C97" s="46"/>
      <c r="D97" s="46"/>
      <c r="E97" s="46"/>
      <c r="F97" s="46"/>
      <c r="G97" s="46"/>
      <c r="H97" s="46"/>
      <c r="I97" s="46"/>
      <c r="J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ht="24" customHeight="1">
      <c r="A98" s="46"/>
      <c r="C98" s="46"/>
      <c r="D98" s="46"/>
      <c r="E98" s="46"/>
      <c r="F98" s="46"/>
      <c r="G98" s="46"/>
      <c r="H98" s="46"/>
      <c r="I98" s="46"/>
      <c r="J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1:20" ht="24" customHeight="1">
      <c r="A99" s="46"/>
      <c r="C99" s="46"/>
      <c r="D99" s="46"/>
      <c r="E99" s="46"/>
      <c r="F99" s="46"/>
      <c r="G99" s="46"/>
      <c r="H99" s="46"/>
      <c r="I99" s="46"/>
      <c r="J99" s="46"/>
      <c r="L99" s="46"/>
      <c r="M99" s="46"/>
      <c r="N99" s="46"/>
      <c r="O99" s="46"/>
      <c r="P99" s="46"/>
      <c r="Q99" s="46"/>
      <c r="R99" s="46"/>
      <c r="S99" s="46"/>
      <c r="T99" s="46"/>
    </row>
    <row r="100" spans="1:20" ht="24" customHeight="1">
      <c r="A100" s="46"/>
      <c r="C100" s="46"/>
      <c r="D100" s="46"/>
      <c r="E100" s="46"/>
      <c r="F100" s="46"/>
      <c r="G100" s="46"/>
      <c r="H100" s="46"/>
      <c r="I100" s="46"/>
      <c r="J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spans="1:20" ht="24" customHeight="1">
      <c r="A101" s="46"/>
      <c r="C101" s="46"/>
      <c r="D101" s="46"/>
      <c r="E101" s="46"/>
      <c r="F101" s="46"/>
      <c r="G101" s="46"/>
      <c r="H101" s="46"/>
      <c r="I101" s="46"/>
      <c r="J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spans="1:20" ht="24" customHeight="1">
      <c r="A102" s="46"/>
      <c r="C102" s="46"/>
      <c r="D102" s="46"/>
      <c r="E102" s="46"/>
      <c r="F102" s="46"/>
      <c r="G102" s="46"/>
      <c r="H102" s="46"/>
      <c r="I102" s="46"/>
      <c r="J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spans="1:20" ht="24" customHeight="1">
      <c r="A103" s="46"/>
      <c r="C103" s="46"/>
      <c r="D103" s="46"/>
      <c r="E103" s="46"/>
      <c r="F103" s="46"/>
      <c r="G103" s="46"/>
      <c r="H103" s="46"/>
      <c r="I103" s="46"/>
      <c r="J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spans="1:20" ht="24" customHeight="1">
      <c r="A104" s="46"/>
      <c r="C104" s="46"/>
      <c r="D104" s="46"/>
      <c r="E104" s="46"/>
      <c r="F104" s="46"/>
      <c r="G104" s="46"/>
      <c r="H104" s="46"/>
      <c r="I104" s="46"/>
      <c r="J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spans="1:20" ht="24" customHeight="1">
      <c r="A105" s="46"/>
      <c r="C105" s="46"/>
      <c r="D105" s="46"/>
      <c r="E105" s="46"/>
      <c r="F105" s="46"/>
      <c r="G105" s="46"/>
      <c r="H105" s="46"/>
      <c r="I105" s="46"/>
      <c r="J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spans="1:20" ht="24" customHeight="1">
      <c r="A106" s="46"/>
      <c r="C106" s="46"/>
      <c r="D106" s="46"/>
      <c r="E106" s="46"/>
      <c r="F106" s="46"/>
      <c r="G106" s="46"/>
      <c r="H106" s="46"/>
      <c r="I106" s="46"/>
      <c r="J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spans="1:20" ht="24" customHeight="1">
      <c r="A107" s="46"/>
      <c r="C107" s="46"/>
      <c r="D107" s="46"/>
      <c r="E107" s="46"/>
      <c r="F107" s="46"/>
      <c r="G107" s="46"/>
      <c r="H107" s="46"/>
      <c r="I107" s="46"/>
      <c r="J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spans="1:20" ht="24" customHeight="1">
      <c r="A108" s="46"/>
      <c r="C108" s="46"/>
      <c r="D108" s="46"/>
      <c r="E108" s="46"/>
      <c r="F108" s="46"/>
      <c r="G108" s="46"/>
      <c r="H108" s="46"/>
      <c r="I108" s="46"/>
      <c r="J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spans="1:20" ht="24" customHeight="1">
      <c r="A109" s="46"/>
      <c r="C109" s="46"/>
      <c r="D109" s="46"/>
      <c r="E109" s="46"/>
      <c r="F109" s="46"/>
      <c r="G109" s="46"/>
      <c r="H109" s="46"/>
      <c r="I109" s="46"/>
      <c r="J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spans="1:20" ht="24" customHeight="1">
      <c r="A110" s="46"/>
      <c r="C110" s="46"/>
      <c r="D110" s="46"/>
      <c r="E110" s="46"/>
      <c r="F110" s="46"/>
      <c r="G110" s="46"/>
      <c r="H110" s="46"/>
      <c r="I110" s="46"/>
      <c r="J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 spans="1:20" ht="24" customHeight="1">
      <c r="A111" s="46"/>
      <c r="C111" s="46"/>
      <c r="D111" s="46"/>
      <c r="E111" s="46"/>
      <c r="F111" s="46"/>
      <c r="G111" s="46"/>
      <c r="H111" s="46"/>
      <c r="I111" s="46"/>
      <c r="J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spans="1:20" ht="24" customHeight="1">
      <c r="A112" s="46"/>
      <c r="C112" s="46"/>
      <c r="D112" s="46"/>
      <c r="E112" s="46"/>
      <c r="F112" s="46"/>
      <c r="G112" s="46"/>
      <c r="H112" s="46"/>
      <c r="I112" s="46"/>
      <c r="J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 spans="1:20" ht="24" customHeight="1">
      <c r="A113" s="46"/>
      <c r="C113" s="46"/>
      <c r="D113" s="46"/>
      <c r="E113" s="46"/>
      <c r="F113" s="46"/>
      <c r="G113" s="46"/>
      <c r="H113" s="46"/>
      <c r="I113" s="46"/>
      <c r="J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spans="1:20" ht="24" customHeight="1">
      <c r="A114" s="46"/>
      <c r="C114" s="46"/>
      <c r="D114" s="46"/>
      <c r="E114" s="46"/>
      <c r="F114" s="46"/>
      <c r="G114" s="46"/>
      <c r="H114" s="46"/>
      <c r="I114" s="46"/>
      <c r="J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 spans="1:20" ht="24" customHeight="1">
      <c r="A115" s="46"/>
      <c r="C115" s="46"/>
      <c r="D115" s="46"/>
      <c r="E115" s="46"/>
      <c r="F115" s="46"/>
      <c r="G115" s="46"/>
      <c r="H115" s="46"/>
      <c r="I115" s="46"/>
      <c r="J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spans="1:20" ht="24" customHeight="1">
      <c r="A116" s="46"/>
      <c r="C116" s="46"/>
      <c r="D116" s="46"/>
      <c r="E116" s="46"/>
      <c r="F116" s="46"/>
      <c r="G116" s="46"/>
      <c r="H116" s="46"/>
      <c r="I116" s="46"/>
      <c r="J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spans="1:20" ht="24" customHeight="1">
      <c r="A117" s="46"/>
      <c r="C117" s="46"/>
      <c r="D117" s="46"/>
      <c r="E117" s="46"/>
      <c r="F117" s="46"/>
      <c r="G117" s="46"/>
      <c r="H117" s="46"/>
      <c r="I117" s="46"/>
      <c r="J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spans="1:20" ht="24" customHeight="1">
      <c r="A118" s="46"/>
      <c r="C118" s="46"/>
      <c r="D118" s="46"/>
      <c r="E118" s="46"/>
      <c r="F118" s="46"/>
      <c r="G118" s="46"/>
      <c r="H118" s="46"/>
      <c r="I118" s="46"/>
      <c r="J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spans="1:20" ht="24" customHeight="1">
      <c r="A119" s="46"/>
      <c r="C119" s="46"/>
      <c r="D119" s="46"/>
      <c r="E119" s="46"/>
      <c r="F119" s="46"/>
      <c r="G119" s="46"/>
      <c r="H119" s="46"/>
      <c r="I119" s="46"/>
      <c r="J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spans="1:20" ht="24" customHeight="1">
      <c r="A120" s="46"/>
      <c r="C120" s="46"/>
      <c r="D120" s="46"/>
      <c r="E120" s="46"/>
      <c r="F120" s="46"/>
      <c r="G120" s="46"/>
      <c r="H120" s="46"/>
      <c r="I120" s="46"/>
      <c r="J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spans="1:20" ht="24" customHeight="1">
      <c r="A121" s="46"/>
      <c r="C121" s="46"/>
      <c r="D121" s="46"/>
      <c r="E121" s="46"/>
      <c r="F121" s="46"/>
      <c r="G121" s="46"/>
      <c r="H121" s="46"/>
      <c r="I121" s="46"/>
      <c r="J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spans="1:20" ht="24" customHeight="1">
      <c r="A122" s="46"/>
      <c r="C122" s="46"/>
      <c r="D122" s="46"/>
      <c r="E122" s="46"/>
      <c r="F122" s="46"/>
      <c r="G122" s="46"/>
      <c r="H122" s="46"/>
      <c r="I122" s="46"/>
      <c r="J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spans="1:20" ht="24" customHeight="1">
      <c r="A123" s="46"/>
      <c r="C123" s="46"/>
      <c r="D123" s="46"/>
      <c r="E123" s="46"/>
      <c r="F123" s="46"/>
      <c r="G123" s="46"/>
      <c r="H123" s="46"/>
      <c r="I123" s="46"/>
      <c r="J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spans="1:20" ht="24" customHeight="1">
      <c r="A124" s="46"/>
      <c r="C124" s="46"/>
      <c r="D124" s="46"/>
      <c r="E124" s="46"/>
      <c r="F124" s="46"/>
      <c r="G124" s="46"/>
      <c r="H124" s="46"/>
      <c r="I124" s="46"/>
      <c r="J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spans="1:20" ht="24" customHeight="1">
      <c r="A125" s="46"/>
      <c r="C125" s="46"/>
      <c r="D125" s="46"/>
      <c r="E125" s="46"/>
      <c r="F125" s="46"/>
      <c r="G125" s="46"/>
      <c r="H125" s="46"/>
      <c r="I125" s="46"/>
      <c r="J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spans="1:20" ht="24" customHeight="1">
      <c r="A126" s="46"/>
      <c r="C126" s="46"/>
      <c r="D126" s="46"/>
      <c r="E126" s="46"/>
      <c r="F126" s="46"/>
      <c r="G126" s="46"/>
      <c r="H126" s="46"/>
      <c r="I126" s="46"/>
      <c r="J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spans="1:20" ht="24" customHeight="1">
      <c r="A127" s="46"/>
      <c r="C127" s="46"/>
      <c r="D127" s="46"/>
      <c r="E127" s="46"/>
      <c r="F127" s="46"/>
      <c r="G127" s="46"/>
      <c r="H127" s="46"/>
      <c r="I127" s="46"/>
      <c r="J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spans="1:20" ht="24" customHeight="1">
      <c r="A128" s="46"/>
      <c r="C128" s="46"/>
      <c r="D128" s="46"/>
      <c r="E128" s="46"/>
      <c r="F128" s="46"/>
      <c r="G128" s="46"/>
      <c r="H128" s="46"/>
      <c r="I128" s="46"/>
      <c r="J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spans="1:20" ht="24" customHeight="1">
      <c r="A129" s="46"/>
      <c r="C129" s="46"/>
      <c r="D129" s="46"/>
      <c r="E129" s="46"/>
      <c r="F129" s="46"/>
      <c r="G129" s="46"/>
      <c r="H129" s="46"/>
      <c r="I129" s="46"/>
      <c r="J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spans="1:20" ht="24" customHeight="1">
      <c r="A130" s="46"/>
      <c r="C130" s="46"/>
      <c r="D130" s="46"/>
      <c r="E130" s="46"/>
      <c r="F130" s="46"/>
      <c r="G130" s="46"/>
      <c r="H130" s="46"/>
      <c r="I130" s="46"/>
      <c r="J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spans="1:20" ht="24" customHeight="1">
      <c r="A131" s="46"/>
      <c r="C131" s="46"/>
      <c r="D131" s="46"/>
      <c r="E131" s="46"/>
      <c r="F131" s="46"/>
      <c r="G131" s="46"/>
      <c r="H131" s="46"/>
      <c r="I131" s="46"/>
      <c r="J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spans="1:20" ht="24" customHeight="1">
      <c r="A132" s="46"/>
      <c r="C132" s="46"/>
      <c r="D132" s="46"/>
      <c r="E132" s="46"/>
      <c r="F132" s="46"/>
      <c r="G132" s="46"/>
      <c r="H132" s="46"/>
      <c r="I132" s="46"/>
      <c r="J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spans="1:20" ht="24" customHeight="1">
      <c r="A133" s="46"/>
      <c r="C133" s="46"/>
      <c r="D133" s="46"/>
      <c r="E133" s="46"/>
      <c r="F133" s="46"/>
      <c r="G133" s="46"/>
      <c r="H133" s="46"/>
      <c r="I133" s="46"/>
      <c r="J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spans="1:20" ht="24" customHeight="1">
      <c r="A134" s="46"/>
      <c r="C134" s="46"/>
      <c r="D134" s="46"/>
      <c r="E134" s="46"/>
      <c r="F134" s="46"/>
      <c r="G134" s="46"/>
      <c r="H134" s="46"/>
      <c r="I134" s="46"/>
      <c r="J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spans="1:20" ht="24" customHeight="1">
      <c r="A135" s="46"/>
      <c r="C135" s="46"/>
      <c r="D135" s="46"/>
      <c r="E135" s="46"/>
      <c r="F135" s="46"/>
      <c r="G135" s="46"/>
      <c r="H135" s="46"/>
      <c r="I135" s="46"/>
      <c r="J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spans="1:20" ht="24" customHeight="1">
      <c r="A136" s="46"/>
      <c r="C136" s="46"/>
      <c r="D136" s="46"/>
      <c r="E136" s="46"/>
      <c r="F136" s="46"/>
      <c r="G136" s="46"/>
      <c r="H136" s="46"/>
      <c r="I136" s="46"/>
      <c r="J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spans="1:20" ht="24" customHeight="1">
      <c r="A137" s="46"/>
      <c r="C137" s="46"/>
      <c r="D137" s="46"/>
      <c r="E137" s="46"/>
      <c r="F137" s="46"/>
      <c r="G137" s="46"/>
      <c r="H137" s="46"/>
      <c r="I137" s="46"/>
      <c r="J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spans="1:20" ht="24" customHeight="1">
      <c r="A138" s="46"/>
      <c r="C138" s="46"/>
      <c r="D138" s="46"/>
      <c r="E138" s="46"/>
      <c r="F138" s="46"/>
      <c r="G138" s="46"/>
      <c r="H138" s="46"/>
      <c r="I138" s="46"/>
      <c r="J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spans="1:20" ht="24" customHeight="1">
      <c r="A139" s="46"/>
      <c r="C139" s="46"/>
      <c r="D139" s="46"/>
      <c r="E139" s="46"/>
      <c r="F139" s="46"/>
      <c r="G139" s="46"/>
      <c r="H139" s="46"/>
      <c r="I139" s="46"/>
      <c r="J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spans="1:20" ht="24" customHeight="1">
      <c r="A140" s="46"/>
      <c r="C140" s="46"/>
      <c r="D140" s="46"/>
      <c r="E140" s="46"/>
      <c r="F140" s="46"/>
      <c r="G140" s="46"/>
      <c r="H140" s="46"/>
      <c r="I140" s="46"/>
      <c r="J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spans="1:20" ht="24" customHeight="1">
      <c r="A141" s="46"/>
      <c r="C141" s="46"/>
      <c r="D141" s="46"/>
      <c r="E141" s="46"/>
      <c r="F141" s="46"/>
      <c r="G141" s="46"/>
      <c r="H141" s="46"/>
      <c r="I141" s="46"/>
      <c r="J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spans="1:20" ht="24" customHeight="1">
      <c r="A142" s="46"/>
      <c r="C142" s="46"/>
      <c r="D142" s="46"/>
      <c r="E142" s="46"/>
      <c r="F142" s="46"/>
      <c r="G142" s="46"/>
      <c r="H142" s="46"/>
      <c r="I142" s="46"/>
      <c r="J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spans="1:20" ht="24" customHeight="1">
      <c r="A143" s="46"/>
      <c r="C143" s="46"/>
      <c r="D143" s="46"/>
      <c r="E143" s="46"/>
      <c r="F143" s="46"/>
      <c r="G143" s="46"/>
      <c r="H143" s="46"/>
      <c r="I143" s="46"/>
      <c r="J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spans="1:20" ht="24" customHeight="1">
      <c r="A144" s="46"/>
      <c r="C144" s="46"/>
      <c r="D144" s="46"/>
      <c r="E144" s="46"/>
      <c r="F144" s="46"/>
      <c r="G144" s="46"/>
      <c r="H144" s="46"/>
      <c r="I144" s="46"/>
      <c r="J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spans="1:20" ht="24" customHeight="1">
      <c r="A145" s="46"/>
      <c r="C145" s="46"/>
      <c r="D145" s="46"/>
      <c r="E145" s="46"/>
      <c r="F145" s="46"/>
      <c r="G145" s="46"/>
      <c r="H145" s="46"/>
      <c r="I145" s="46"/>
      <c r="J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spans="1:20" ht="24" customHeight="1">
      <c r="A146" s="46"/>
      <c r="C146" s="46"/>
      <c r="D146" s="46"/>
      <c r="E146" s="46"/>
      <c r="F146" s="46"/>
      <c r="G146" s="46"/>
      <c r="H146" s="46"/>
      <c r="I146" s="46"/>
      <c r="J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spans="1:20" ht="24" customHeight="1">
      <c r="A147" s="46"/>
      <c r="C147" s="46"/>
      <c r="D147" s="46"/>
      <c r="E147" s="46"/>
      <c r="F147" s="46"/>
      <c r="G147" s="46"/>
      <c r="H147" s="46"/>
      <c r="I147" s="46"/>
      <c r="J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spans="1:20" ht="24" customHeight="1">
      <c r="A148" s="46"/>
      <c r="C148" s="46"/>
      <c r="D148" s="46"/>
      <c r="E148" s="46"/>
      <c r="F148" s="46"/>
      <c r="G148" s="46"/>
      <c r="H148" s="46"/>
      <c r="I148" s="46"/>
      <c r="J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spans="1:20" ht="24" customHeight="1">
      <c r="A149" s="46"/>
      <c r="C149" s="46"/>
      <c r="D149" s="46"/>
      <c r="E149" s="46"/>
      <c r="F149" s="46"/>
      <c r="G149" s="46"/>
      <c r="H149" s="46"/>
      <c r="I149" s="46"/>
      <c r="J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spans="1:20" ht="24" customHeight="1">
      <c r="A150" s="46"/>
      <c r="C150" s="46"/>
      <c r="D150" s="46"/>
      <c r="E150" s="46"/>
      <c r="F150" s="46"/>
      <c r="G150" s="46"/>
      <c r="H150" s="46"/>
      <c r="I150" s="46"/>
      <c r="J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spans="1:20" ht="24" customHeight="1">
      <c r="A151" s="46"/>
      <c r="C151" s="46"/>
      <c r="D151" s="46"/>
      <c r="E151" s="46"/>
      <c r="F151" s="46"/>
      <c r="G151" s="46"/>
      <c r="H151" s="46"/>
      <c r="I151" s="46"/>
      <c r="J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1:20" ht="24" customHeight="1">
      <c r="A152" s="46"/>
      <c r="C152" s="46"/>
      <c r="D152" s="46"/>
      <c r="E152" s="46"/>
      <c r="F152" s="46"/>
      <c r="G152" s="46"/>
      <c r="H152" s="46"/>
      <c r="I152" s="46"/>
      <c r="J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1:20" ht="24" customHeight="1">
      <c r="A153" s="46"/>
      <c r="C153" s="46"/>
      <c r="D153" s="46"/>
      <c r="E153" s="46"/>
      <c r="F153" s="46"/>
      <c r="G153" s="46"/>
      <c r="H153" s="46"/>
      <c r="I153" s="46"/>
      <c r="J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1:20" ht="24" customHeight="1">
      <c r="A154" s="46"/>
      <c r="C154" s="46"/>
      <c r="D154" s="46"/>
      <c r="E154" s="46"/>
      <c r="F154" s="46"/>
      <c r="G154" s="46"/>
      <c r="H154" s="46"/>
      <c r="I154" s="46"/>
      <c r="J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1:20" ht="24" customHeight="1">
      <c r="A155" s="46"/>
      <c r="C155" s="46"/>
      <c r="D155" s="46"/>
      <c r="E155" s="46"/>
      <c r="F155" s="46"/>
      <c r="G155" s="46"/>
      <c r="H155" s="46"/>
      <c r="I155" s="46"/>
      <c r="J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1:20" ht="24" customHeight="1">
      <c r="A156" s="46"/>
      <c r="C156" s="46"/>
      <c r="D156" s="46"/>
      <c r="E156" s="46"/>
      <c r="F156" s="46"/>
      <c r="G156" s="46"/>
      <c r="H156" s="46"/>
      <c r="I156" s="46"/>
      <c r="J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1:20" ht="24" customHeight="1">
      <c r="A157" s="46"/>
      <c r="C157" s="46"/>
      <c r="D157" s="46"/>
      <c r="E157" s="46"/>
      <c r="F157" s="46"/>
      <c r="G157" s="46"/>
      <c r="H157" s="46"/>
      <c r="I157" s="46"/>
      <c r="J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1:20" ht="24" customHeight="1">
      <c r="A158" s="46"/>
      <c r="C158" s="46"/>
      <c r="D158" s="46"/>
      <c r="E158" s="46"/>
      <c r="F158" s="46"/>
      <c r="G158" s="46"/>
      <c r="H158" s="46"/>
      <c r="I158" s="46"/>
      <c r="J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1:20" ht="24" customHeight="1">
      <c r="A159" s="46"/>
      <c r="C159" s="46"/>
      <c r="D159" s="46"/>
      <c r="E159" s="46"/>
      <c r="F159" s="46"/>
      <c r="G159" s="46"/>
      <c r="H159" s="46"/>
      <c r="I159" s="46"/>
      <c r="J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spans="1:20" ht="24" customHeight="1">
      <c r="A160" s="46"/>
      <c r="C160" s="46"/>
      <c r="D160" s="46"/>
      <c r="E160" s="46"/>
      <c r="F160" s="46"/>
      <c r="G160" s="46"/>
      <c r="H160" s="46"/>
      <c r="I160" s="46"/>
      <c r="J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spans="1:20" ht="24" customHeight="1">
      <c r="A161" s="46"/>
      <c r="C161" s="46"/>
      <c r="D161" s="46"/>
      <c r="E161" s="46"/>
      <c r="F161" s="46"/>
      <c r="G161" s="46"/>
      <c r="H161" s="46"/>
      <c r="I161" s="46"/>
      <c r="J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spans="1:20" ht="24" customHeight="1">
      <c r="A162" s="46"/>
      <c r="C162" s="46"/>
      <c r="D162" s="46"/>
      <c r="E162" s="46"/>
      <c r="F162" s="46"/>
      <c r="G162" s="46"/>
      <c r="H162" s="46"/>
      <c r="I162" s="46"/>
      <c r="J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spans="1:20" ht="24" customHeight="1">
      <c r="A163" s="46"/>
      <c r="C163" s="46"/>
      <c r="D163" s="46"/>
      <c r="E163" s="46"/>
      <c r="F163" s="46"/>
      <c r="G163" s="46"/>
      <c r="H163" s="46"/>
      <c r="I163" s="46"/>
      <c r="J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spans="1:20" ht="24" customHeight="1">
      <c r="A164" s="46"/>
      <c r="C164" s="46"/>
      <c r="D164" s="46"/>
      <c r="E164" s="46"/>
      <c r="F164" s="46"/>
      <c r="G164" s="46"/>
      <c r="H164" s="46"/>
      <c r="I164" s="46"/>
      <c r="J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spans="1:20" ht="24" customHeight="1">
      <c r="A165" s="46"/>
      <c r="C165" s="46"/>
      <c r="D165" s="46"/>
      <c r="E165" s="46"/>
      <c r="F165" s="46"/>
      <c r="G165" s="46"/>
      <c r="H165" s="46"/>
      <c r="I165" s="46"/>
      <c r="J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spans="1:20" ht="24" customHeight="1">
      <c r="A166" s="46"/>
      <c r="C166" s="46"/>
      <c r="D166" s="46"/>
      <c r="E166" s="46"/>
      <c r="F166" s="46"/>
      <c r="G166" s="46"/>
      <c r="H166" s="46"/>
      <c r="I166" s="46"/>
      <c r="J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spans="1:20" ht="24" customHeight="1">
      <c r="A167" s="46"/>
      <c r="C167" s="46"/>
      <c r="D167" s="46"/>
      <c r="E167" s="46"/>
      <c r="F167" s="46"/>
      <c r="G167" s="46"/>
      <c r="H167" s="46"/>
      <c r="I167" s="46"/>
      <c r="J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1:20" ht="24" customHeight="1">
      <c r="A168" s="46"/>
      <c r="C168" s="46"/>
      <c r="D168" s="46"/>
      <c r="E168" s="46"/>
      <c r="F168" s="46"/>
      <c r="G168" s="46"/>
      <c r="H168" s="46"/>
      <c r="I168" s="46"/>
      <c r="J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spans="1:20" ht="24" customHeight="1">
      <c r="A169" s="46"/>
      <c r="C169" s="46"/>
      <c r="D169" s="46"/>
      <c r="E169" s="46"/>
      <c r="F169" s="46"/>
      <c r="G169" s="46"/>
      <c r="H169" s="46"/>
      <c r="I169" s="46"/>
      <c r="J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spans="1:20" ht="24" customHeight="1">
      <c r="A170" s="46"/>
      <c r="C170" s="46"/>
      <c r="D170" s="46"/>
      <c r="E170" s="46"/>
      <c r="F170" s="46"/>
      <c r="G170" s="46"/>
      <c r="H170" s="46"/>
      <c r="I170" s="46"/>
      <c r="J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spans="1:20" ht="24" customHeight="1">
      <c r="A171" s="46"/>
      <c r="C171" s="46"/>
      <c r="D171" s="46"/>
      <c r="E171" s="46"/>
      <c r="F171" s="46"/>
      <c r="G171" s="46"/>
      <c r="H171" s="46"/>
      <c r="I171" s="46"/>
      <c r="J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spans="1:20" ht="24" customHeight="1">
      <c r="A172" s="46"/>
      <c r="C172" s="46"/>
      <c r="D172" s="46"/>
      <c r="E172" s="46"/>
      <c r="F172" s="46"/>
      <c r="G172" s="46"/>
      <c r="H172" s="46"/>
      <c r="I172" s="46"/>
      <c r="J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spans="1:20" ht="24" customHeight="1">
      <c r="A173" s="46"/>
      <c r="C173" s="46"/>
      <c r="D173" s="46"/>
      <c r="E173" s="46"/>
      <c r="F173" s="46"/>
      <c r="G173" s="46"/>
      <c r="H173" s="46"/>
      <c r="I173" s="46"/>
      <c r="J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spans="1:20" ht="24" customHeight="1">
      <c r="A174" s="46"/>
      <c r="C174" s="46"/>
      <c r="D174" s="46"/>
      <c r="E174" s="46"/>
      <c r="F174" s="46"/>
      <c r="G174" s="46"/>
      <c r="H174" s="46"/>
      <c r="I174" s="46"/>
      <c r="J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spans="1:20" ht="24" customHeight="1">
      <c r="A175" s="46"/>
      <c r="C175" s="46"/>
      <c r="D175" s="46"/>
      <c r="E175" s="46"/>
      <c r="F175" s="46"/>
      <c r="G175" s="46"/>
      <c r="H175" s="46"/>
      <c r="I175" s="46"/>
      <c r="J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spans="1:20" ht="24" customHeight="1">
      <c r="A176" s="46"/>
      <c r="C176" s="46"/>
      <c r="D176" s="46"/>
      <c r="E176" s="46"/>
      <c r="F176" s="46"/>
      <c r="G176" s="46"/>
      <c r="H176" s="46"/>
      <c r="I176" s="46"/>
      <c r="J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spans="1:20" ht="24" customHeight="1">
      <c r="A177" s="46"/>
      <c r="C177" s="46"/>
      <c r="D177" s="46"/>
      <c r="E177" s="46"/>
      <c r="F177" s="46"/>
      <c r="G177" s="46"/>
      <c r="H177" s="46"/>
      <c r="I177" s="46"/>
      <c r="J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spans="1:20" ht="24" customHeight="1">
      <c r="A178" s="46"/>
      <c r="C178" s="46"/>
      <c r="D178" s="46"/>
      <c r="E178" s="46"/>
      <c r="F178" s="46"/>
      <c r="G178" s="46"/>
      <c r="H178" s="46"/>
      <c r="I178" s="46"/>
      <c r="J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spans="1:20" ht="24" customHeight="1">
      <c r="A179" s="46"/>
      <c r="C179" s="46"/>
      <c r="D179" s="46"/>
      <c r="E179" s="46"/>
      <c r="F179" s="46"/>
      <c r="G179" s="46"/>
      <c r="H179" s="46"/>
      <c r="I179" s="46"/>
      <c r="J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spans="1:20" ht="24" customHeight="1">
      <c r="A180" s="46"/>
      <c r="C180" s="46"/>
      <c r="D180" s="46"/>
      <c r="E180" s="46"/>
      <c r="F180" s="46"/>
      <c r="G180" s="46"/>
      <c r="H180" s="46"/>
      <c r="I180" s="46"/>
      <c r="J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spans="1:20" ht="24" customHeight="1">
      <c r="A181" s="46"/>
      <c r="C181" s="46"/>
      <c r="D181" s="46"/>
      <c r="E181" s="46"/>
      <c r="F181" s="46"/>
      <c r="G181" s="46"/>
      <c r="H181" s="46"/>
      <c r="I181" s="46"/>
      <c r="J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spans="1:20" ht="24" customHeight="1">
      <c r="A182" s="46"/>
      <c r="C182" s="46"/>
      <c r="D182" s="46"/>
      <c r="E182" s="46"/>
      <c r="F182" s="46"/>
      <c r="G182" s="46"/>
      <c r="H182" s="46"/>
      <c r="I182" s="46"/>
      <c r="J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spans="1:20" ht="24" customHeight="1">
      <c r="A183" s="46"/>
      <c r="C183" s="46"/>
      <c r="D183" s="46"/>
      <c r="E183" s="46"/>
      <c r="F183" s="46"/>
      <c r="G183" s="46"/>
      <c r="H183" s="46"/>
      <c r="I183" s="46"/>
      <c r="J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92" spans="1:20">
      <c r="A192" s="46"/>
      <c r="C192" s="46"/>
      <c r="D192" s="46"/>
      <c r="E192" s="46"/>
      <c r="F192" s="46"/>
      <c r="G192" s="46"/>
      <c r="H192" s="46"/>
      <c r="I192" s="46"/>
      <c r="J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spans="1:20">
      <c r="A193" s="46"/>
      <c r="C193" s="46"/>
      <c r="D193" s="46"/>
      <c r="E193" s="46"/>
      <c r="F193" s="46"/>
      <c r="G193" s="46"/>
      <c r="H193" s="46"/>
      <c r="I193" s="46"/>
      <c r="J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spans="1:20">
      <c r="A194" s="46"/>
      <c r="C194" s="46"/>
      <c r="D194" s="46"/>
      <c r="E194" s="46"/>
      <c r="F194" s="46"/>
      <c r="G194" s="46"/>
      <c r="H194" s="46"/>
      <c r="I194" s="46"/>
      <c r="J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spans="1:20">
      <c r="A195" s="46"/>
      <c r="C195" s="46"/>
      <c r="D195" s="46"/>
      <c r="E195" s="46"/>
      <c r="F195" s="46"/>
      <c r="G195" s="46"/>
      <c r="H195" s="46"/>
      <c r="I195" s="46"/>
      <c r="J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spans="1:20">
      <c r="A196" s="46"/>
      <c r="C196" s="46"/>
      <c r="D196" s="46"/>
      <c r="E196" s="46"/>
      <c r="F196" s="46"/>
      <c r="G196" s="46"/>
      <c r="H196" s="46"/>
      <c r="I196" s="46"/>
      <c r="J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spans="1:20">
      <c r="A197" s="46"/>
      <c r="C197" s="46"/>
      <c r="D197" s="46"/>
      <c r="E197" s="46"/>
      <c r="F197" s="46"/>
      <c r="G197" s="46"/>
      <c r="H197" s="46"/>
      <c r="I197" s="46"/>
      <c r="J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spans="1:20">
      <c r="A198" s="46"/>
      <c r="C198" s="46"/>
      <c r="D198" s="46"/>
      <c r="E198" s="46"/>
      <c r="F198" s="46"/>
      <c r="G198" s="46"/>
      <c r="H198" s="46"/>
      <c r="I198" s="46"/>
      <c r="J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spans="1:20">
      <c r="A199" s="46"/>
      <c r="C199" s="46"/>
      <c r="D199" s="46"/>
      <c r="E199" s="46"/>
      <c r="F199" s="46"/>
      <c r="G199" s="46"/>
      <c r="H199" s="46"/>
      <c r="I199" s="46"/>
      <c r="J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spans="1:20">
      <c r="A200" s="46"/>
      <c r="C200" s="46"/>
      <c r="D200" s="46"/>
      <c r="E200" s="46"/>
      <c r="F200" s="46"/>
      <c r="G200" s="46"/>
      <c r="H200" s="46"/>
      <c r="I200" s="46"/>
      <c r="J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spans="1:20">
      <c r="A201" s="46"/>
      <c r="C201" s="46"/>
      <c r="D201" s="46"/>
      <c r="E201" s="46"/>
      <c r="F201" s="46"/>
      <c r="G201" s="46"/>
      <c r="H201" s="46"/>
      <c r="I201" s="46"/>
      <c r="J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spans="1:20">
      <c r="A202" s="46"/>
      <c r="C202" s="46"/>
      <c r="D202" s="46"/>
      <c r="E202" s="46"/>
      <c r="F202" s="46"/>
      <c r="G202" s="46"/>
      <c r="H202" s="46"/>
      <c r="I202" s="46"/>
      <c r="J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 spans="1:20">
      <c r="A203" s="46"/>
      <c r="C203" s="46"/>
      <c r="D203" s="46"/>
      <c r="E203" s="46"/>
      <c r="F203" s="46"/>
      <c r="G203" s="46"/>
      <c r="H203" s="46"/>
      <c r="I203" s="46"/>
      <c r="J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spans="1:20">
      <c r="A204" s="46"/>
      <c r="C204" s="46"/>
      <c r="D204" s="46"/>
      <c r="E204" s="46"/>
      <c r="F204" s="46"/>
      <c r="G204" s="46"/>
      <c r="H204" s="46"/>
      <c r="I204" s="46"/>
      <c r="J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 spans="1:20">
      <c r="A205" s="46"/>
      <c r="C205" s="46"/>
      <c r="D205" s="46"/>
      <c r="E205" s="46"/>
      <c r="F205" s="46"/>
      <c r="G205" s="46"/>
      <c r="H205" s="46"/>
      <c r="I205" s="46"/>
      <c r="J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spans="1:20">
      <c r="A206" s="46"/>
      <c r="C206" s="46"/>
      <c r="D206" s="46"/>
      <c r="E206" s="46"/>
      <c r="F206" s="46"/>
      <c r="G206" s="46"/>
      <c r="H206" s="46"/>
      <c r="I206" s="46"/>
      <c r="J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 spans="1:20">
      <c r="A207" s="46"/>
      <c r="C207" s="46"/>
      <c r="D207" s="46"/>
      <c r="E207" s="46"/>
      <c r="F207" s="46"/>
      <c r="G207" s="46"/>
      <c r="H207" s="46"/>
      <c r="I207" s="46"/>
      <c r="J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spans="1:20">
      <c r="A208" s="46"/>
      <c r="C208" s="46"/>
      <c r="D208" s="46"/>
      <c r="E208" s="46"/>
      <c r="F208" s="46"/>
      <c r="G208" s="46"/>
      <c r="H208" s="46"/>
      <c r="I208" s="46"/>
      <c r="J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 spans="1:20">
      <c r="A209" s="46"/>
      <c r="C209" s="46"/>
      <c r="D209" s="46"/>
      <c r="E209" s="46"/>
      <c r="F209" s="46"/>
      <c r="G209" s="46"/>
      <c r="H209" s="46"/>
      <c r="I209" s="46"/>
      <c r="J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spans="1:20">
      <c r="A210" s="46"/>
      <c r="C210" s="46"/>
      <c r="D210" s="46"/>
      <c r="E210" s="46"/>
      <c r="F210" s="46"/>
      <c r="G210" s="46"/>
      <c r="H210" s="46"/>
      <c r="I210" s="46"/>
      <c r="J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 spans="1:20">
      <c r="A211" s="46"/>
      <c r="C211" s="46"/>
      <c r="D211" s="46"/>
      <c r="E211" s="46"/>
      <c r="F211" s="46"/>
      <c r="G211" s="46"/>
      <c r="H211" s="46"/>
      <c r="I211" s="46"/>
      <c r="J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spans="1:20">
      <c r="A212" s="46"/>
      <c r="C212" s="46"/>
      <c r="D212" s="46"/>
      <c r="E212" s="46"/>
      <c r="F212" s="46"/>
      <c r="G212" s="46"/>
      <c r="H212" s="46"/>
      <c r="I212" s="46"/>
      <c r="J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 spans="1:20">
      <c r="A213" s="46"/>
      <c r="C213" s="46"/>
      <c r="D213" s="46"/>
      <c r="E213" s="46"/>
      <c r="F213" s="46"/>
      <c r="G213" s="46"/>
      <c r="H213" s="46"/>
      <c r="I213" s="46"/>
      <c r="J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spans="1:20">
      <c r="A214" s="46"/>
      <c r="C214" s="46"/>
      <c r="D214" s="46"/>
      <c r="E214" s="46"/>
      <c r="F214" s="46"/>
      <c r="G214" s="46"/>
      <c r="H214" s="46"/>
      <c r="I214" s="46"/>
      <c r="J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 spans="1:20">
      <c r="A215" s="46"/>
      <c r="C215" s="46"/>
      <c r="D215" s="46"/>
      <c r="E215" s="46"/>
      <c r="F215" s="46"/>
      <c r="G215" s="46"/>
      <c r="H215" s="46"/>
      <c r="I215" s="46"/>
      <c r="J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spans="1:20">
      <c r="A216" s="46"/>
      <c r="C216" s="46"/>
      <c r="D216" s="46"/>
      <c r="E216" s="46"/>
      <c r="F216" s="46"/>
      <c r="G216" s="46"/>
      <c r="H216" s="46"/>
      <c r="I216" s="46"/>
      <c r="J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 spans="1:20">
      <c r="A217" s="46"/>
      <c r="C217" s="46"/>
      <c r="D217" s="46"/>
      <c r="E217" s="46"/>
      <c r="F217" s="46"/>
      <c r="G217" s="46"/>
      <c r="H217" s="46"/>
      <c r="I217" s="46"/>
      <c r="J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spans="1:20">
      <c r="A218" s="46"/>
      <c r="C218" s="46"/>
      <c r="D218" s="46"/>
      <c r="E218" s="46"/>
      <c r="F218" s="46"/>
      <c r="G218" s="46"/>
      <c r="H218" s="46"/>
      <c r="I218" s="46"/>
      <c r="J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 spans="1:20">
      <c r="A219" s="46"/>
      <c r="C219" s="46"/>
      <c r="D219" s="46"/>
      <c r="E219" s="46"/>
      <c r="F219" s="46"/>
      <c r="G219" s="46"/>
      <c r="H219" s="46"/>
      <c r="I219" s="46"/>
      <c r="J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spans="1:20">
      <c r="A220" s="46"/>
      <c r="C220" s="46"/>
      <c r="D220" s="46"/>
      <c r="E220" s="46"/>
      <c r="F220" s="46"/>
      <c r="G220" s="46"/>
      <c r="H220" s="46"/>
      <c r="I220" s="46"/>
      <c r="J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 spans="1:20">
      <c r="A221" s="46"/>
      <c r="C221" s="46"/>
      <c r="D221" s="46"/>
      <c r="E221" s="46"/>
      <c r="F221" s="46"/>
      <c r="G221" s="46"/>
      <c r="H221" s="46"/>
      <c r="I221" s="46"/>
      <c r="J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spans="1:20">
      <c r="A222" s="46"/>
      <c r="C222" s="46"/>
      <c r="D222" s="46"/>
      <c r="E222" s="46"/>
      <c r="F222" s="46"/>
      <c r="G222" s="46"/>
      <c r="H222" s="46"/>
      <c r="I222" s="46"/>
      <c r="J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 spans="1:20">
      <c r="A223" s="46"/>
      <c r="C223" s="46"/>
      <c r="D223" s="46"/>
      <c r="E223" s="46"/>
      <c r="F223" s="46"/>
      <c r="G223" s="46"/>
      <c r="H223" s="46"/>
      <c r="I223" s="46"/>
      <c r="J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spans="1:20">
      <c r="A224" s="46"/>
      <c r="C224" s="46"/>
      <c r="D224" s="46"/>
      <c r="E224" s="46"/>
      <c r="F224" s="46"/>
      <c r="G224" s="46"/>
      <c r="H224" s="46"/>
      <c r="I224" s="46"/>
      <c r="J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 spans="1:20">
      <c r="A225" s="46"/>
      <c r="C225" s="46"/>
      <c r="D225" s="46"/>
      <c r="E225" s="46"/>
      <c r="F225" s="46"/>
      <c r="G225" s="46"/>
      <c r="H225" s="46"/>
      <c r="I225" s="46"/>
      <c r="J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spans="1:20">
      <c r="A226" s="46"/>
      <c r="C226" s="46"/>
      <c r="D226" s="46"/>
      <c r="E226" s="46"/>
      <c r="F226" s="46"/>
      <c r="G226" s="46"/>
      <c r="H226" s="46"/>
      <c r="I226" s="46"/>
      <c r="J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 spans="1:20">
      <c r="A227" s="46"/>
      <c r="C227" s="46"/>
      <c r="D227" s="46"/>
      <c r="E227" s="46"/>
      <c r="F227" s="46"/>
      <c r="G227" s="46"/>
      <c r="H227" s="46"/>
      <c r="I227" s="46"/>
      <c r="J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 spans="1:20">
      <c r="A228" s="46"/>
      <c r="C228" s="46"/>
      <c r="D228" s="46"/>
      <c r="E228" s="46"/>
      <c r="F228" s="46"/>
      <c r="G228" s="46"/>
      <c r="H228" s="46"/>
      <c r="I228" s="46"/>
      <c r="J228" s="46"/>
      <c r="L228" s="46"/>
      <c r="M228" s="46"/>
      <c r="N228" s="46"/>
      <c r="O228" s="46"/>
      <c r="P228" s="46"/>
      <c r="Q228" s="46"/>
      <c r="R228" s="46"/>
      <c r="S228" s="46"/>
      <c r="T228" s="46"/>
    </row>
    <row r="229" spans="1:20">
      <c r="A229" s="46"/>
      <c r="C229" s="46"/>
      <c r="D229" s="46"/>
      <c r="E229" s="46"/>
      <c r="F229" s="46"/>
      <c r="G229" s="46"/>
      <c r="H229" s="46"/>
      <c r="I229" s="46"/>
      <c r="J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 spans="1:20">
      <c r="A230" s="46"/>
      <c r="C230" s="46"/>
      <c r="D230" s="46"/>
      <c r="E230" s="46"/>
      <c r="F230" s="46"/>
      <c r="G230" s="46"/>
      <c r="H230" s="46"/>
      <c r="I230" s="46"/>
      <c r="J230" s="46"/>
      <c r="L230" s="46"/>
      <c r="M230" s="46"/>
      <c r="N230" s="46"/>
      <c r="O230" s="46"/>
      <c r="P230" s="46"/>
      <c r="Q230" s="46"/>
      <c r="R230" s="46"/>
      <c r="S230" s="46"/>
      <c r="T230" s="46"/>
    </row>
    <row r="231" spans="1:20">
      <c r="A231" s="46"/>
      <c r="C231" s="46"/>
      <c r="D231" s="46"/>
      <c r="E231" s="46"/>
      <c r="F231" s="46"/>
      <c r="G231" s="46"/>
      <c r="H231" s="46"/>
      <c r="I231" s="46"/>
      <c r="J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 spans="1:20">
      <c r="A232" s="46"/>
      <c r="C232" s="46"/>
      <c r="D232" s="46"/>
      <c r="E232" s="46"/>
      <c r="F232" s="46"/>
      <c r="G232" s="46"/>
      <c r="H232" s="46"/>
      <c r="I232" s="46"/>
      <c r="J232" s="46"/>
      <c r="L232" s="46"/>
      <c r="M232" s="46"/>
      <c r="N232" s="46"/>
      <c r="O232" s="46"/>
      <c r="P232" s="46"/>
      <c r="Q232" s="46"/>
      <c r="R232" s="46"/>
      <c r="S232" s="46"/>
      <c r="T232" s="46"/>
    </row>
    <row r="233" spans="1:20">
      <c r="A233" s="46"/>
      <c r="C233" s="46"/>
      <c r="D233" s="46"/>
      <c r="E233" s="46"/>
      <c r="F233" s="46"/>
      <c r="G233" s="46"/>
      <c r="H233" s="46"/>
      <c r="I233" s="46"/>
      <c r="J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 spans="1:20">
      <c r="A234" s="46"/>
      <c r="C234" s="46"/>
      <c r="D234" s="46"/>
      <c r="E234" s="46"/>
      <c r="F234" s="46"/>
      <c r="G234" s="46"/>
      <c r="H234" s="46"/>
      <c r="I234" s="46"/>
      <c r="J234" s="46"/>
      <c r="L234" s="46"/>
      <c r="M234" s="46"/>
      <c r="N234" s="46"/>
      <c r="O234" s="46"/>
      <c r="P234" s="46"/>
      <c r="Q234" s="46"/>
      <c r="R234" s="46"/>
      <c r="S234" s="46"/>
      <c r="T234" s="46"/>
    </row>
    <row r="235" spans="1:20">
      <c r="A235" s="46"/>
      <c r="C235" s="46"/>
      <c r="D235" s="46"/>
      <c r="E235" s="46"/>
      <c r="F235" s="46"/>
      <c r="G235" s="46"/>
      <c r="H235" s="46"/>
      <c r="I235" s="46"/>
      <c r="J235" s="46"/>
      <c r="L235" s="46"/>
      <c r="M235" s="46"/>
      <c r="N235" s="46"/>
      <c r="O235" s="46"/>
      <c r="P235" s="46"/>
      <c r="Q235" s="46"/>
      <c r="R235" s="46"/>
      <c r="S235" s="46"/>
      <c r="T235" s="46"/>
    </row>
    <row r="236" spans="1:20">
      <c r="A236" s="46"/>
      <c r="C236" s="46"/>
      <c r="D236" s="46"/>
      <c r="E236" s="46"/>
      <c r="F236" s="46"/>
      <c r="G236" s="46"/>
      <c r="H236" s="46"/>
      <c r="I236" s="46"/>
      <c r="J236" s="46"/>
      <c r="L236" s="46"/>
      <c r="M236" s="46"/>
      <c r="N236" s="46"/>
      <c r="O236" s="46"/>
      <c r="P236" s="46"/>
      <c r="Q236" s="46"/>
      <c r="R236" s="46"/>
      <c r="S236" s="46"/>
      <c r="T236" s="46"/>
    </row>
    <row r="237" spans="1:20">
      <c r="A237" s="46"/>
      <c r="C237" s="46"/>
      <c r="D237" s="46"/>
      <c r="E237" s="46"/>
      <c r="F237" s="46"/>
      <c r="G237" s="46"/>
      <c r="H237" s="46"/>
      <c r="I237" s="46"/>
      <c r="J237" s="46"/>
      <c r="L237" s="46"/>
      <c r="M237" s="46"/>
      <c r="N237" s="46"/>
      <c r="O237" s="46"/>
      <c r="P237" s="46"/>
      <c r="Q237" s="46"/>
      <c r="R237" s="46"/>
      <c r="S237" s="46"/>
      <c r="T237" s="46"/>
    </row>
    <row r="238" spans="1:20">
      <c r="A238" s="46"/>
      <c r="C238" s="46"/>
      <c r="D238" s="46"/>
      <c r="E238" s="46"/>
      <c r="F238" s="46"/>
      <c r="G238" s="46"/>
      <c r="H238" s="46"/>
      <c r="I238" s="46"/>
      <c r="J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 spans="1:20">
      <c r="A239" s="46"/>
      <c r="C239" s="46"/>
      <c r="D239" s="46"/>
      <c r="E239" s="46"/>
      <c r="F239" s="46"/>
      <c r="G239" s="46"/>
      <c r="H239" s="46"/>
      <c r="I239" s="46"/>
      <c r="J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 spans="1:20">
      <c r="A240" s="46"/>
      <c r="C240" s="46"/>
      <c r="D240" s="46"/>
      <c r="E240" s="46"/>
      <c r="F240" s="46"/>
      <c r="G240" s="46"/>
      <c r="H240" s="46"/>
      <c r="I240" s="46"/>
      <c r="J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 spans="1:20">
      <c r="A241" s="46"/>
      <c r="C241" s="46"/>
      <c r="D241" s="46"/>
      <c r="E241" s="46"/>
      <c r="F241" s="46"/>
      <c r="G241" s="46"/>
      <c r="H241" s="46"/>
      <c r="I241" s="46"/>
      <c r="J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 spans="1:20">
      <c r="A242" s="46"/>
      <c r="C242" s="46"/>
      <c r="D242" s="46"/>
      <c r="E242" s="46"/>
      <c r="F242" s="46"/>
      <c r="G242" s="46"/>
      <c r="H242" s="46"/>
      <c r="I242" s="46"/>
      <c r="J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 spans="1:20">
      <c r="A243" s="46"/>
      <c r="C243" s="46"/>
      <c r="D243" s="46"/>
      <c r="E243" s="46"/>
      <c r="F243" s="46"/>
      <c r="G243" s="46"/>
      <c r="H243" s="46"/>
      <c r="I243" s="46"/>
      <c r="J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 spans="1:20">
      <c r="A244" s="46"/>
      <c r="C244" s="46"/>
      <c r="D244" s="46"/>
      <c r="E244" s="46"/>
      <c r="F244" s="46"/>
      <c r="G244" s="46"/>
      <c r="H244" s="46"/>
      <c r="I244" s="46"/>
      <c r="J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 spans="1:20">
      <c r="A245" s="46"/>
      <c r="C245" s="46"/>
      <c r="D245" s="46"/>
      <c r="E245" s="46"/>
      <c r="F245" s="46"/>
      <c r="G245" s="46"/>
      <c r="H245" s="46"/>
      <c r="I245" s="46"/>
      <c r="J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 spans="1:20">
      <c r="A246" s="46"/>
      <c r="C246" s="46"/>
      <c r="D246" s="46"/>
      <c r="E246" s="46"/>
      <c r="F246" s="46"/>
      <c r="G246" s="46"/>
      <c r="H246" s="46"/>
      <c r="I246" s="46"/>
      <c r="J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 spans="1:20">
      <c r="A247" s="46"/>
      <c r="C247" s="46"/>
      <c r="D247" s="46"/>
      <c r="E247" s="46"/>
      <c r="F247" s="46"/>
      <c r="G247" s="46"/>
      <c r="H247" s="46"/>
      <c r="I247" s="46"/>
      <c r="J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 spans="1:20">
      <c r="A248" s="46"/>
      <c r="C248" s="46"/>
      <c r="D248" s="46"/>
      <c r="E248" s="46"/>
      <c r="F248" s="46"/>
      <c r="G248" s="46"/>
      <c r="H248" s="46"/>
      <c r="I248" s="46"/>
      <c r="J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 spans="1:20">
      <c r="A249" s="46"/>
      <c r="C249" s="46"/>
      <c r="D249" s="46"/>
      <c r="E249" s="46"/>
      <c r="F249" s="46"/>
      <c r="G249" s="46"/>
      <c r="H249" s="46"/>
      <c r="I249" s="46"/>
      <c r="J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 spans="1:20">
      <c r="A250" s="46"/>
      <c r="C250" s="46"/>
      <c r="D250" s="46"/>
      <c r="E250" s="46"/>
      <c r="F250" s="46"/>
      <c r="G250" s="46"/>
      <c r="H250" s="46"/>
      <c r="I250" s="46"/>
      <c r="J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 spans="1:20">
      <c r="A251" s="46"/>
      <c r="C251" s="46"/>
      <c r="D251" s="46"/>
      <c r="E251" s="46"/>
      <c r="F251" s="46"/>
      <c r="G251" s="46"/>
      <c r="H251" s="46"/>
      <c r="I251" s="46"/>
      <c r="J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 spans="1:20">
      <c r="A252" s="46"/>
      <c r="C252" s="46"/>
      <c r="D252" s="46"/>
      <c r="E252" s="46"/>
      <c r="F252" s="46"/>
      <c r="G252" s="46"/>
      <c r="H252" s="46"/>
      <c r="I252" s="46"/>
      <c r="J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 spans="1:20">
      <c r="A253" s="46"/>
      <c r="C253" s="46"/>
      <c r="D253" s="46"/>
      <c r="E253" s="46"/>
      <c r="F253" s="46"/>
      <c r="G253" s="46"/>
      <c r="H253" s="46"/>
      <c r="I253" s="46"/>
      <c r="J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 spans="1:20">
      <c r="A254" s="46"/>
      <c r="C254" s="46"/>
      <c r="D254" s="46"/>
      <c r="E254" s="46"/>
      <c r="F254" s="46"/>
      <c r="G254" s="46"/>
      <c r="H254" s="46"/>
      <c r="I254" s="46"/>
      <c r="J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 spans="1:20">
      <c r="A255" s="46"/>
      <c r="C255" s="46"/>
      <c r="D255" s="46"/>
      <c r="E255" s="46"/>
      <c r="F255" s="46"/>
      <c r="G255" s="46"/>
      <c r="H255" s="46"/>
      <c r="I255" s="46"/>
      <c r="J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 spans="1:20">
      <c r="A256" s="46"/>
      <c r="C256" s="46"/>
      <c r="D256" s="46"/>
      <c r="E256" s="46"/>
      <c r="F256" s="46"/>
      <c r="G256" s="46"/>
      <c r="H256" s="46"/>
      <c r="I256" s="46"/>
      <c r="J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 spans="1:20">
      <c r="A257" s="46"/>
      <c r="C257" s="46"/>
      <c r="D257" s="46"/>
      <c r="E257" s="46"/>
      <c r="F257" s="46"/>
      <c r="G257" s="46"/>
      <c r="H257" s="46"/>
      <c r="I257" s="46"/>
      <c r="J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 spans="1:20">
      <c r="A258" s="46"/>
      <c r="C258" s="46"/>
      <c r="D258" s="46"/>
      <c r="E258" s="46"/>
      <c r="F258" s="46"/>
      <c r="G258" s="46"/>
      <c r="H258" s="46"/>
      <c r="I258" s="46"/>
      <c r="J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 spans="1:20">
      <c r="A259" s="46"/>
      <c r="C259" s="46"/>
      <c r="D259" s="46"/>
      <c r="E259" s="46"/>
      <c r="F259" s="46"/>
      <c r="G259" s="46"/>
      <c r="H259" s="46"/>
      <c r="I259" s="46"/>
      <c r="J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 spans="1:20">
      <c r="A260" s="46"/>
      <c r="C260" s="46"/>
      <c r="D260" s="46"/>
      <c r="E260" s="46"/>
      <c r="F260" s="46"/>
      <c r="G260" s="46"/>
      <c r="H260" s="46"/>
      <c r="I260" s="46"/>
      <c r="J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 spans="1:20">
      <c r="A261" s="46"/>
      <c r="C261" s="46"/>
      <c r="D261" s="46"/>
      <c r="E261" s="46"/>
      <c r="F261" s="46"/>
      <c r="G261" s="46"/>
      <c r="H261" s="46"/>
      <c r="I261" s="46"/>
      <c r="J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 spans="1:20">
      <c r="A262" s="46"/>
      <c r="C262" s="46"/>
      <c r="D262" s="46"/>
      <c r="E262" s="46"/>
      <c r="F262" s="46"/>
      <c r="G262" s="46"/>
      <c r="H262" s="46"/>
      <c r="I262" s="46"/>
      <c r="J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 spans="1:20">
      <c r="A263" s="46"/>
      <c r="C263" s="46"/>
      <c r="D263" s="46"/>
      <c r="E263" s="46"/>
      <c r="F263" s="46"/>
      <c r="G263" s="46"/>
      <c r="H263" s="46"/>
      <c r="I263" s="46"/>
      <c r="J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 spans="1:20">
      <c r="A264" s="46"/>
      <c r="C264" s="46"/>
      <c r="D264" s="46"/>
      <c r="E264" s="46"/>
      <c r="F264" s="46"/>
      <c r="G264" s="46"/>
      <c r="H264" s="46"/>
      <c r="I264" s="46"/>
      <c r="J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 spans="1:20">
      <c r="A265" s="46"/>
      <c r="C265" s="46"/>
      <c r="D265" s="46"/>
      <c r="E265" s="46"/>
      <c r="F265" s="46"/>
      <c r="G265" s="46"/>
      <c r="H265" s="46"/>
      <c r="I265" s="46"/>
      <c r="J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 spans="1:20">
      <c r="A266" s="46"/>
      <c r="C266" s="46"/>
      <c r="D266" s="46"/>
      <c r="E266" s="46"/>
      <c r="F266" s="46"/>
      <c r="G266" s="46"/>
      <c r="H266" s="46"/>
      <c r="I266" s="46"/>
      <c r="J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 spans="1:20">
      <c r="A267" s="46"/>
      <c r="C267" s="46"/>
      <c r="D267" s="46"/>
      <c r="E267" s="46"/>
      <c r="F267" s="46"/>
      <c r="G267" s="46"/>
      <c r="H267" s="46"/>
      <c r="I267" s="46"/>
      <c r="J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 spans="1:20">
      <c r="A268" s="46"/>
      <c r="C268" s="46"/>
      <c r="D268" s="46"/>
      <c r="E268" s="46"/>
      <c r="F268" s="46"/>
      <c r="G268" s="46"/>
      <c r="H268" s="46"/>
      <c r="I268" s="46"/>
      <c r="J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 spans="1:20">
      <c r="A269" s="46"/>
      <c r="C269" s="46"/>
      <c r="D269" s="46"/>
      <c r="E269" s="46"/>
      <c r="F269" s="46"/>
      <c r="G269" s="46"/>
      <c r="H269" s="46"/>
      <c r="I269" s="46"/>
      <c r="J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 spans="1:20">
      <c r="A270" s="46"/>
      <c r="C270" s="46"/>
      <c r="D270" s="46"/>
      <c r="E270" s="46"/>
      <c r="F270" s="46"/>
      <c r="G270" s="46"/>
      <c r="H270" s="46"/>
      <c r="I270" s="46"/>
      <c r="J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 spans="1:20">
      <c r="A271" s="46"/>
      <c r="C271" s="46"/>
      <c r="D271" s="46"/>
      <c r="E271" s="46"/>
      <c r="F271" s="46"/>
      <c r="G271" s="46"/>
      <c r="H271" s="46"/>
      <c r="I271" s="46"/>
      <c r="J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 spans="1:20">
      <c r="A272" s="46"/>
      <c r="C272" s="46"/>
      <c r="D272" s="46"/>
      <c r="E272" s="46"/>
      <c r="F272" s="46"/>
      <c r="G272" s="46"/>
      <c r="H272" s="46"/>
      <c r="I272" s="46"/>
      <c r="J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 spans="1:20">
      <c r="A273" s="46"/>
      <c r="C273" s="46"/>
      <c r="D273" s="46"/>
      <c r="E273" s="46"/>
      <c r="F273" s="46"/>
      <c r="G273" s="46"/>
      <c r="H273" s="46"/>
      <c r="I273" s="46"/>
      <c r="J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 spans="1:20">
      <c r="A274" s="46"/>
      <c r="C274" s="46"/>
      <c r="D274" s="46"/>
      <c r="E274" s="46"/>
      <c r="F274" s="46"/>
      <c r="G274" s="46"/>
      <c r="H274" s="46"/>
      <c r="I274" s="46"/>
      <c r="J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 spans="1:20">
      <c r="A275" s="46"/>
      <c r="C275" s="46"/>
      <c r="D275" s="46"/>
      <c r="E275" s="46"/>
      <c r="F275" s="46"/>
      <c r="G275" s="46"/>
      <c r="H275" s="46"/>
      <c r="I275" s="46"/>
      <c r="J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 spans="1:20">
      <c r="A276" s="46"/>
      <c r="C276" s="46"/>
      <c r="D276" s="46"/>
      <c r="E276" s="46"/>
      <c r="F276" s="46"/>
      <c r="G276" s="46"/>
      <c r="H276" s="46"/>
      <c r="I276" s="46"/>
      <c r="J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 spans="1:20">
      <c r="A277" s="46"/>
      <c r="C277" s="46"/>
      <c r="D277" s="46"/>
      <c r="E277" s="46"/>
      <c r="F277" s="46"/>
      <c r="G277" s="46"/>
      <c r="H277" s="46"/>
      <c r="I277" s="46"/>
      <c r="J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 spans="1:20">
      <c r="A278" s="46"/>
      <c r="C278" s="46"/>
      <c r="D278" s="46"/>
      <c r="E278" s="46"/>
      <c r="F278" s="46"/>
      <c r="G278" s="46"/>
      <c r="H278" s="46"/>
      <c r="I278" s="46"/>
      <c r="J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 spans="1:20">
      <c r="A279" s="46"/>
      <c r="C279" s="46"/>
      <c r="D279" s="46"/>
      <c r="E279" s="46"/>
      <c r="F279" s="46"/>
      <c r="G279" s="46"/>
      <c r="H279" s="46"/>
      <c r="I279" s="46"/>
      <c r="J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 spans="1:20">
      <c r="A280" s="46"/>
      <c r="C280" s="46"/>
      <c r="D280" s="46"/>
      <c r="E280" s="46"/>
      <c r="F280" s="46"/>
      <c r="G280" s="46"/>
      <c r="H280" s="46"/>
      <c r="I280" s="46"/>
      <c r="J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 spans="1:20">
      <c r="A281" s="46"/>
      <c r="C281" s="46"/>
      <c r="D281" s="46"/>
      <c r="E281" s="46"/>
      <c r="F281" s="46"/>
      <c r="G281" s="46"/>
      <c r="H281" s="46"/>
      <c r="I281" s="46"/>
      <c r="J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 spans="1:20">
      <c r="A282" s="46"/>
      <c r="C282" s="46"/>
      <c r="D282" s="46"/>
      <c r="E282" s="46"/>
      <c r="F282" s="46"/>
      <c r="G282" s="46"/>
      <c r="H282" s="46"/>
      <c r="I282" s="46"/>
      <c r="J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 spans="1:20">
      <c r="A283" s="46"/>
      <c r="C283" s="46"/>
      <c r="D283" s="46"/>
      <c r="E283" s="46"/>
      <c r="F283" s="46"/>
      <c r="G283" s="46"/>
      <c r="H283" s="46"/>
      <c r="I283" s="46"/>
      <c r="J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 spans="1:20">
      <c r="A284" s="46"/>
      <c r="C284" s="46"/>
      <c r="D284" s="46"/>
      <c r="E284" s="46"/>
      <c r="F284" s="46"/>
      <c r="G284" s="46"/>
      <c r="H284" s="46"/>
      <c r="I284" s="46"/>
      <c r="J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 spans="1:20">
      <c r="A285" s="46"/>
      <c r="C285" s="46"/>
      <c r="D285" s="46"/>
      <c r="E285" s="46"/>
      <c r="F285" s="46"/>
      <c r="G285" s="46"/>
      <c r="H285" s="46"/>
      <c r="I285" s="46"/>
      <c r="J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 spans="1:20">
      <c r="A286" s="46"/>
      <c r="C286" s="46"/>
      <c r="D286" s="46"/>
      <c r="E286" s="46"/>
      <c r="F286" s="46"/>
      <c r="G286" s="46"/>
      <c r="H286" s="46"/>
      <c r="I286" s="46"/>
      <c r="J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 spans="1:20">
      <c r="A287" s="46"/>
      <c r="C287" s="46"/>
      <c r="D287" s="46"/>
      <c r="E287" s="46"/>
      <c r="F287" s="46"/>
      <c r="G287" s="46"/>
      <c r="H287" s="46"/>
      <c r="I287" s="46"/>
      <c r="J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 spans="1:20">
      <c r="A288" s="46"/>
      <c r="C288" s="46"/>
      <c r="D288" s="46"/>
      <c r="E288" s="46"/>
      <c r="F288" s="46"/>
      <c r="G288" s="46"/>
      <c r="H288" s="46"/>
      <c r="I288" s="46"/>
      <c r="J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 spans="1:20">
      <c r="A289" s="46"/>
      <c r="C289" s="46"/>
      <c r="D289" s="46"/>
      <c r="E289" s="46"/>
      <c r="F289" s="46"/>
      <c r="G289" s="46"/>
      <c r="H289" s="46"/>
      <c r="I289" s="46"/>
      <c r="J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 spans="1:20">
      <c r="A290" s="46"/>
      <c r="C290" s="46"/>
      <c r="D290" s="46"/>
      <c r="E290" s="46"/>
      <c r="F290" s="46"/>
      <c r="G290" s="46"/>
      <c r="H290" s="46"/>
      <c r="I290" s="46"/>
      <c r="J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 spans="1:20">
      <c r="A291" s="46"/>
      <c r="C291" s="46"/>
      <c r="D291" s="46"/>
      <c r="E291" s="46"/>
      <c r="F291" s="46"/>
      <c r="G291" s="46"/>
      <c r="H291" s="46"/>
      <c r="I291" s="46"/>
      <c r="J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 spans="1:20">
      <c r="A292" s="46"/>
      <c r="C292" s="46"/>
      <c r="D292" s="46"/>
      <c r="E292" s="46"/>
      <c r="F292" s="46"/>
      <c r="G292" s="46"/>
      <c r="H292" s="46"/>
      <c r="I292" s="46"/>
      <c r="J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 spans="1:20">
      <c r="A293" s="46"/>
      <c r="C293" s="46"/>
      <c r="D293" s="46"/>
      <c r="E293" s="46"/>
      <c r="F293" s="46"/>
      <c r="G293" s="46"/>
      <c r="H293" s="46"/>
      <c r="I293" s="46"/>
      <c r="J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 spans="1:20">
      <c r="A294" s="46"/>
      <c r="C294" s="46"/>
      <c r="D294" s="46"/>
      <c r="E294" s="46"/>
      <c r="F294" s="46"/>
      <c r="G294" s="46"/>
      <c r="H294" s="46"/>
      <c r="I294" s="46"/>
      <c r="J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 spans="1:20">
      <c r="A295" s="46"/>
      <c r="C295" s="46"/>
      <c r="D295" s="46"/>
      <c r="E295" s="46"/>
      <c r="F295" s="46"/>
      <c r="G295" s="46"/>
      <c r="H295" s="46"/>
      <c r="I295" s="46"/>
      <c r="J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 spans="1:20">
      <c r="A296" s="46"/>
      <c r="C296" s="46"/>
      <c r="D296" s="46"/>
      <c r="E296" s="46"/>
      <c r="F296" s="46"/>
      <c r="G296" s="46"/>
      <c r="H296" s="46"/>
      <c r="I296" s="46"/>
      <c r="J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 spans="1:20">
      <c r="A297" s="46"/>
      <c r="C297" s="46"/>
      <c r="D297" s="46"/>
      <c r="E297" s="46"/>
      <c r="F297" s="46"/>
      <c r="G297" s="46"/>
      <c r="H297" s="46"/>
      <c r="I297" s="46"/>
      <c r="J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 spans="1:20">
      <c r="A298" s="46"/>
      <c r="C298" s="46"/>
      <c r="D298" s="46"/>
      <c r="E298" s="46"/>
      <c r="F298" s="46"/>
      <c r="G298" s="46"/>
      <c r="H298" s="46"/>
      <c r="I298" s="46"/>
      <c r="J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 spans="1:20">
      <c r="A299" s="46"/>
      <c r="C299" s="46"/>
      <c r="D299" s="46"/>
      <c r="E299" s="46"/>
      <c r="F299" s="46"/>
      <c r="G299" s="46"/>
      <c r="H299" s="46"/>
      <c r="I299" s="46"/>
      <c r="J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 spans="1:20">
      <c r="A300" s="46"/>
      <c r="C300" s="46"/>
      <c r="D300" s="46"/>
      <c r="E300" s="46"/>
      <c r="F300" s="46"/>
      <c r="G300" s="46"/>
      <c r="H300" s="46"/>
      <c r="I300" s="46"/>
      <c r="J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 spans="1:20">
      <c r="A301" s="46"/>
      <c r="C301" s="46"/>
      <c r="D301" s="46"/>
      <c r="E301" s="46"/>
      <c r="F301" s="46"/>
      <c r="G301" s="46"/>
      <c r="H301" s="46"/>
      <c r="I301" s="46"/>
      <c r="J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 spans="1:20">
      <c r="A302" s="46"/>
      <c r="C302" s="46"/>
      <c r="D302" s="46"/>
      <c r="E302" s="46"/>
      <c r="F302" s="46"/>
      <c r="G302" s="46"/>
      <c r="H302" s="46"/>
      <c r="I302" s="46"/>
      <c r="J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 spans="1:20">
      <c r="A303" s="46"/>
      <c r="C303" s="46"/>
      <c r="D303" s="46"/>
      <c r="E303" s="46"/>
      <c r="F303" s="46"/>
      <c r="G303" s="46"/>
      <c r="H303" s="46"/>
      <c r="I303" s="46"/>
      <c r="J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 spans="1:20">
      <c r="A304" s="46"/>
      <c r="C304" s="46"/>
      <c r="D304" s="46"/>
      <c r="E304" s="46"/>
      <c r="F304" s="46"/>
      <c r="G304" s="46"/>
      <c r="H304" s="46"/>
      <c r="I304" s="46"/>
      <c r="J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 spans="1:20">
      <c r="A305" s="46"/>
      <c r="C305" s="46"/>
      <c r="D305" s="46"/>
      <c r="E305" s="46"/>
      <c r="F305" s="46"/>
      <c r="G305" s="46"/>
      <c r="H305" s="46"/>
      <c r="I305" s="46"/>
      <c r="J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 spans="1:20">
      <c r="A306" s="46"/>
      <c r="C306" s="46"/>
      <c r="D306" s="46"/>
      <c r="E306" s="46"/>
      <c r="F306" s="46"/>
      <c r="G306" s="46"/>
      <c r="H306" s="46"/>
      <c r="I306" s="46"/>
      <c r="J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 spans="1:20">
      <c r="A307" s="46"/>
      <c r="C307" s="46"/>
      <c r="D307" s="46"/>
      <c r="E307" s="46"/>
      <c r="F307" s="46"/>
      <c r="G307" s="46"/>
      <c r="H307" s="46"/>
      <c r="I307" s="46"/>
      <c r="J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 spans="1:20">
      <c r="A308" s="46"/>
      <c r="C308" s="46"/>
      <c r="D308" s="46"/>
      <c r="E308" s="46"/>
      <c r="F308" s="46"/>
      <c r="G308" s="46"/>
      <c r="H308" s="46"/>
      <c r="I308" s="46"/>
      <c r="J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 spans="1:20">
      <c r="A309" s="46"/>
      <c r="C309" s="46"/>
      <c r="D309" s="46"/>
      <c r="E309" s="46"/>
      <c r="F309" s="46"/>
      <c r="G309" s="46"/>
      <c r="H309" s="46"/>
      <c r="I309" s="46"/>
      <c r="J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 spans="1:20">
      <c r="A310" s="46"/>
      <c r="C310" s="46"/>
      <c r="D310" s="46"/>
      <c r="E310" s="46"/>
      <c r="F310" s="46"/>
      <c r="G310" s="46"/>
      <c r="H310" s="46"/>
      <c r="I310" s="46"/>
      <c r="J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 spans="1:20">
      <c r="A311" s="46"/>
      <c r="C311" s="46"/>
      <c r="D311" s="46"/>
      <c r="E311" s="46"/>
      <c r="F311" s="46"/>
      <c r="G311" s="46"/>
      <c r="H311" s="46"/>
      <c r="I311" s="46"/>
      <c r="J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 spans="1:20">
      <c r="A312" s="46"/>
      <c r="C312" s="46"/>
      <c r="D312" s="46"/>
      <c r="E312" s="46"/>
      <c r="F312" s="46"/>
      <c r="G312" s="46"/>
      <c r="H312" s="46"/>
      <c r="I312" s="46"/>
      <c r="J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 spans="1:20">
      <c r="A313" s="46"/>
      <c r="C313" s="46"/>
      <c r="D313" s="46"/>
      <c r="E313" s="46"/>
      <c r="F313" s="46"/>
      <c r="G313" s="46"/>
      <c r="H313" s="46"/>
      <c r="I313" s="46"/>
      <c r="J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 spans="1:20">
      <c r="A314" s="46"/>
      <c r="C314" s="46"/>
      <c r="D314" s="46"/>
      <c r="E314" s="46"/>
      <c r="F314" s="46"/>
      <c r="G314" s="46"/>
      <c r="H314" s="46"/>
      <c r="I314" s="46"/>
      <c r="J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 spans="1:20">
      <c r="A315" s="46"/>
      <c r="C315" s="46"/>
      <c r="D315" s="46"/>
      <c r="E315" s="46"/>
      <c r="F315" s="46"/>
      <c r="G315" s="46"/>
      <c r="H315" s="46"/>
      <c r="I315" s="46"/>
      <c r="J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 spans="1:20">
      <c r="A316" s="46"/>
      <c r="C316" s="46"/>
      <c r="D316" s="46"/>
      <c r="E316" s="46"/>
      <c r="F316" s="46"/>
      <c r="G316" s="46"/>
      <c r="H316" s="46"/>
      <c r="I316" s="46"/>
      <c r="J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 spans="1:20">
      <c r="A317" s="46"/>
      <c r="C317" s="46"/>
      <c r="D317" s="46"/>
      <c r="E317" s="46"/>
      <c r="F317" s="46"/>
      <c r="G317" s="46"/>
      <c r="H317" s="46"/>
      <c r="I317" s="46"/>
      <c r="J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 spans="1:20">
      <c r="A318" s="46"/>
      <c r="C318" s="46"/>
      <c r="D318" s="46"/>
      <c r="E318" s="46"/>
      <c r="F318" s="46"/>
      <c r="G318" s="46"/>
      <c r="H318" s="46"/>
      <c r="I318" s="46"/>
      <c r="J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 spans="1:20">
      <c r="A319" s="46"/>
      <c r="C319" s="46"/>
      <c r="D319" s="46"/>
      <c r="E319" s="46"/>
      <c r="F319" s="46"/>
      <c r="G319" s="46"/>
      <c r="H319" s="46"/>
      <c r="I319" s="46"/>
      <c r="J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 spans="1:20">
      <c r="A320" s="46"/>
      <c r="C320" s="46"/>
      <c r="D320" s="46"/>
      <c r="E320" s="46"/>
      <c r="F320" s="46"/>
      <c r="G320" s="46"/>
      <c r="H320" s="46"/>
      <c r="I320" s="46"/>
      <c r="J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 spans="1:20">
      <c r="A321" s="46"/>
      <c r="C321" s="46"/>
      <c r="D321" s="46"/>
      <c r="E321" s="46"/>
      <c r="F321" s="46"/>
      <c r="G321" s="46"/>
      <c r="H321" s="46"/>
      <c r="I321" s="46"/>
      <c r="J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 spans="1:20">
      <c r="A322" s="46"/>
      <c r="C322" s="46"/>
      <c r="D322" s="46"/>
      <c r="E322" s="46"/>
      <c r="F322" s="46"/>
      <c r="G322" s="46"/>
      <c r="H322" s="46"/>
      <c r="I322" s="46"/>
      <c r="J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 spans="1:20">
      <c r="A323" s="46"/>
      <c r="C323" s="46"/>
      <c r="D323" s="46"/>
      <c r="E323" s="46"/>
      <c r="F323" s="46"/>
      <c r="G323" s="46"/>
      <c r="H323" s="46"/>
      <c r="I323" s="46"/>
      <c r="J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 spans="1:20">
      <c r="A324" s="46"/>
      <c r="C324" s="46"/>
      <c r="D324" s="46"/>
      <c r="E324" s="46"/>
      <c r="F324" s="46"/>
      <c r="G324" s="46"/>
      <c r="H324" s="46"/>
      <c r="I324" s="46"/>
      <c r="J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 spans="1:20">
      <c r="A325" s="46"/>
      <c r="C325" s="46"/>
      <c r="D325" s="46"/>
      <c r="E325" s="46"/>
      <c r="F325" s="46"/>
      <c r="G325" s="46"/>
      <c r="H325" s="46"/>
      <c r="I325" s="46"/>
      <c r="J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 spans="1:20">
      <c r="A326" s="46"/>
      <c r="C326" s="46"/>
      <c r="D326" s="46"/>
      <c r="E326" s="46"/>
      <c r="F326" s="46"/>
      <c r="G326" s="46"/>
      <c r="H326" s="46"/>
      <c r="I326" s="46"/>
      <c r="J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 spans="1:20">
      <c r="A327" s="46"/>
      <c r="C327" s="46"/>
      <c r="D327" s="46"/>
      <c r="E327" s="46"/>
      <c r="F327" s="46"/>
      <c r="G327" s="46"/>
      <c r="H327" s="46"/>
      <c r="I327" s="46"/>
      <c r="J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 spans="1:20">
      <c r="A328" s="46"/>
      <c r="C328" s="46"/>
      <c r="D328" s="46"/>
      <c r="E328" s="46"/>
      <c r="F328" s="46"/>
      <c r="G328" s="46"/>
      <c r="H328" s="46"/>
      <c r="I328" s="46"/>
      <c r="J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 spans="1:20">
      <c r="A329" s="46"/>
      <c r="C329" s="46"/>
      <c r="D329" s="46"/>
      <c r="E329" s="46"/>
      <c r="F329" s="46"/>
      <c r="G329" s="46"/>
      <c r="H329" s="46"/>
      <c r="I329" s="46"/>
      <c r="J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 spans="1:20">
      <c r="A330" s="46"/>
      <c r="C330" s="46"/>
      <c r="D330" s="46"/>
      <c r="E330" s="46"/>
      <c r="F330" s="46"/>
      <c r="G330" s="46"/>
      <c r="H330" s="46"/>
      <c r="I330" s="46"/>
      <c r="J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 spans="1:20">
      <c r="A331" s="46"/>
      <c r="C331" s="46"/>
      <c r="D331" s="46"/>
      <c r="E331" s="46"/>
      <c r="F331" s="46"/>
      <c r="G331" s="46"/>
      <c r="H331" s="46"/>
      <c r="I331" s="46"/>
      <c r="J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 spans="1:20">
      <c r="A332" s="46"/>
      <c r="C332" s="46"/>
      <c r="D332" s="46"/>
      <c r="E332" s="46"/>
      <c r="F332" s="46"/>
      <c r="G332" s="46"/>
      <c r="H332" s="46"/>
      <c r="I332" s="46"/>
      <c r="J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 spans="1:20">
      <c r="A333" s="46"/>
      <c r="C333" s="46"/>
      <c r="D333" s="46"/>
      <c r="E333" s="46"/>
      <c r="F333" s="46"/>
      <c r="G333" s="46"/>
      <c r="H333" s="46"/>
      <c r="I333" s="46"/>
      <c r="J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 spans="1:20">
      <c r="A334" s="46"/>
      <c r="C334" s="46"/>
      <c r="D334" s="46"/>
      <c r="E334" s="46"/>
      <c r="F334" s="46"/>
      <c r="G334" s="46"/>
      <c r="H334" s="46"/>
      <c r="I334" s="46"/>
      <c r="J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 spans="1:20">
      <c r="A335" s="46"/>
      <c r="C335" s="46"/>
      <c r="D335" s="46"/>
      <c r="E335" s="46"/>
      <c r="F335" s="46"/>
      <c r="G335" s="46"/>
      <c r="H335" s="46"/>
      <c r="I335" s="46"/>
      <c r="J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 spans="1:20">
      <c r="A336" s="46"/>
      <c r="C336" s="46"/>
      <c r="D336" s="46"/>
      <c r="E336" s="46"/>
      <c r="F336" s="46"/>
      <c r="G336" s="46"/>
      <c r="H336" s="46"/>
      <c r="I336" s="46"/>
      <c r="J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 spans="1:20">
      <c r="A337" s="46"/>
      <c r="C337" s="46"/>
      <c r="D337" s="46"/>
      <c r="E337" s="46"/>
      <c r="F337" s="46"/>
      <c r="G337" s="46"/>
      <c r="H337" s="46"/>
      <c r="I337" s="46"/>
      <c r="J337" s="46"/>
      <c r="L337" s="46"/>
      <c r="M337" s="46"/>
      <c r="N337" s="46"/>
      <c r="O337" s="46"/>
      <c r="P337" s="46"/>
      <c r="Q337" s="46"/>
      <c r="R337" s="46"/>
      <c r="S337" s="46"/>
      <c r="T337" s="46"/>
    </row>
    <row r="338" spans="1:20">
      <c r="A338" s="46"/>
      <c r="C338" s="46"/>
      <c r="D338" s="46"/>
      <c r="E338" s="46"/>
      <c r="F338" s="46"/>
      <c r="G338" s="46"/>
      <c r="H338" s="46"/>
      <c r="I338" s="46"/>
      <c r="J338" s="46"/>
      <c r="L338" s="46"/>
      <c r="M338" s="46"/>
      <c r="N338" s="46"/>
      <c r="O338" s="46"/>
      <c r="P338" s="46"/>
      <c r="Q338" s="46"/>
      <c r="R338" s="46"/>
      <c r="S338" s="46"/>
      <c r="T338" s="46"/>
    </row>
    <row r="339" spans="1:20">
      <c r="A339" s="46"/>
      <c r="C339" s="46"/>
      <c r="D339" s="46"/>
      <c r="E339" s="46"/>
      <c r="F339" s="46"/>
      <c r="G339" s="46"/>
      <c r="H339" s="46"/>
      <c r="I339" s="46"/>
      <c r="J339" s="46"/>
      <c r="L339" s="46"/>
      <c r="M339" s="46"/>
      <c r="N339" s="46"/>
      <c r="O339" s="46"/>
      <c r="P339" s="46"/>
      <c r="Q339" s="46"/>
      <c r="R339" s="46"/>
      <c r="S339" s="46"/>
      <c r="T339" s="46"/>
    </row>
    <row r="340" spans="1:20">
      <c r="A340" s="46"/>
      <c r="C340" s="46"/>
      <c r="D340" s="46"/>
      <c r="E340" s="46"/>
      <c r="F340" s="46"/>
      <c r="G340" s="46"/>
      <c r="H340" s="46"/>
      <c r="I340" s="46"/>
      <c r="J340" s="46"/>
      <c r="L340" s="46"/>
      <c r="M340" s="46"/>
      <c r="N340" s="46"/>
      <c r="O340" s="46"/>
      <c r="P340" s="46"/>
      <c r="Q340" s="46"/>
      <c r="R340" s="46"/>
      <c r="S340" s="46"/>
      <c r="T340" s="46"/>
    </row>
    <row r="341" spans="1:20">
      <c r="A341" s="46"/>
      <c r="C341" s="46"/>
      <c r="D341" s="46"/>
      <c r="E341" s="46"/>
      <c r="F341" s="46"/>
      <c r="G341" s="46"/>
      <c r="H341" s="46"/>
      <c r="I341" s="46"/>
      <c r="J341" s="46"/>
      <c r="L341" s="46"/>
      <c r="M341" s="46"/>
      <c r="N341" s="46"/>
      <c r="O341" s="46"/>
      <c r="P341" s="46"/>
      <c r="Q341" s="46"/>
      <c r="R341" s="46"/>
      <c r="S341" s="46"/>
      <c r="T341" s="46"/>
    </row>
    <row r="342" spans="1:20">
      <c r="A342" s="46"/>
      <c r="C342" s="46"/>
      <c r="D342" s="46"/>
      <c r="E342" s="46"/>
      <c r="F342" s="46"/>
      <c r="G342" s="46"/>
      <c r="H342" s="46"/>
      <c r="I342" s="46"/>
      <c r="J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 spans="1:20">
      <c r="A343" s="46"/>
      <c r="C343" s="46"/>
      <c r="D343" s="46"/>
      <c r="E343" s="46"/>
      <c r="F343" s="46"/>
      <c r="G343" s="46"/>
      <c r="H343" s="46"/>
      <c r="I343" s="46"/>
      <c r="J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 spans="1:20">
      <c r="A344" s="46"/>
      <c r="C344" s="46"/>
      <c r="D344" s="46"/>
      <c r="E344" s="46"/>
      <c r="F344" s="46"/>
      <c r="G344" s="46"/>
      <c r="H344" s="46"/>
      <c r="I344" s="46"/>
      <c r="J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 spans="1:20">
      <c r="A345" s="46"/>
      <c r="C345" s="46"/>
      <c r="D345" s="46"/>
      <c r="E345" s="46"/>
      <c r="F345" s="46"/>
      <c r="G345" s="46"/>
      <c r="H345" s="46"/>
      <c r="I345" s="46"/>
      <c r="J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 spans="1:20">
      <c r="A346" s="46"/>
      <c r="C346" s="46"/>
      <c r="D346" s="46"/>
      <c r="E346" s="46"/>
      <c r="F346" s="46"/>
      <c r="G346" s="46"/>
      <c r="H346" s="46"/>
      <c r="I346" s="46"/>
      <c r="J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 spans="1:20">
      <c r="A347" s="46"/>
      <c r="C347" s="46"/>
      <c r="D347" s="46"/>
      <c r="E347" s="46"/>
      <c r="F347" s="46"/>
      <c r="G347" s="46"/>
      <c r="H347" s="46"/>
      <c r="I347" s="46"/>
      <c r="J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 spans="1:20">
      <c r="A348" s="46"/>
      <c r="C348" s="46"/>
      <c r="D348" s="46"/>
      <c r="E348" s="46"/>
      <c r="F348" s="46"/>
      <c r="G348" s="46"/>
      <c r="H348" s="46"/>
      <c r="I348" s="46"/>
      <c r="J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 spans="1:20">
      <c r="A349" s="46"/>
      <c r="C349" s="46"/>
      <c r="D349" s="46"/>
      <c r="E349" s="46"/>
      <c r="F349" s="46"/>
      <c r="G349" s="46"/>
      <c r="H349" s="46"/>
      <c r="I349" s="46"/>
      <c r="J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 spans="1:20">
      <c r="A350" s="46"/>
      <c r="C350" s="46"/>
      <c r="D350" s="46"/>
      <c r="E350" s="46"/>
      <c r="F350" s="46"/>
      <c r="G350" s="46"/>
      <c r="H350" s="46"/>
      <c r="I350" s="46"/>
      <c r="J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 spans="1:20">
      <c r="A351" s="46"/>
      <c r="C351" s="46"/>
      <c r="D351" s="46"/>
      <c r="E351" s="46"/>
      <c r="F351" s="46"/>
      <c r="G351" s="46"/>
      <c r="H351" s="46"/>
      <c r="I351" s="46"/>
      <c r="J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 spans="1:20">
      <c r="A352" s="46"/>
      <c r="C352" s="46"/>
      <c r="D352" s="46"/>
      <c r="E352" s="46"/>
      <c r="F352" s="46"/>
      <c r="G352" s="46"/>
      <c r="H352" s="46"/>
      <c r="I352" s="46"/>
      <c r="J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 spans="1:20">
      <c r="A353" s="46"/>
      <c r="C353" s="46"/>
      <c r="D353" s="46"/>
      <c r="E353" s="46"/>
      <c r="F353" s="46"/>
      <c r="G353" s="46"/>
      <c r="H353" s="46"/>
      <c r="I353" s="46"/>
      <c r="J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 spans="1:20">
      <c r="A354" s="46"/>
      <c r="C354" s="46"/>
      <c r="D354" s="46"/>
      <c r="E354" s="46"/>
      <c r="F354" s="46"/>
      <c r="G354" s="46"/>
      <c r="H354" s="46"/>
      <c r="I354" s="46"/>
      <c r="J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 spans="1:20">
      <c r="A355" s="46"/>
      <c r="C355" s="46"/>
      <c r="D355" s="46"/>
      <c r="E355" s="46"/>
      <c r="F355" s="46"/>
      <c r="G355" s="46"/>
      <c r="H355" s="46"/>
      <c r="I355" s="46"/>
      <c r="J355" s="46"/>
      <c r="L355" s="46"/>
      <c r="M355" s="46"/>
      <c r="N355" s="46"/>
      <c r="O355" s="46"/>
      <c r="P355" s="46"/>
      <c r="Q355" s="46"/>
      <c r="R355" s="46"/>
      <c r="S355" s="46"/>
      <c r="T355" s="46"/>
    </row>
    <row r="356" spans="1:20">
      <c r="A356" s="46"/>
      <c r="C356" s="46"/>
      <c r="D356" s="46"/>
      <c r="E356" s="46"/>
      <c r="F356" s="46"/>
      <c r="G356" s="46"/>
      <c r="H356" s="46"/>
      <c r="I356" s="46"/>
      <c r="J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 spans="1:20">
      <c r="A357" s="46"/>
      <c r="C357" s="46"/>
      <c r="D357" s="46"/>
      <c r="E357" s="46"/>
      <c r="F357" s="46"/>
      <c r="G357" s="46"/>
      <c r="H357" s="46"/>
      <c r="I357" s="46"/>
      <c r="J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 spans="1:20">
      <c r="A358" s="46"/>
      <c r="C358" s="46"/>
      <c r="D358" s="46"/>
      <c r="E358" s="46"/>
      <c r="F358" s="46"/>
      <c r="G358" s="46"/>
      <c r="H358" s="46"/>
      <c r="I358" s="46"/>
      <c r="J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 spans="1:20">
      <c r="A359" s="46"/>
      <c r="C359" s="46"/>
      <c r="D359" s="46"/>
      <c r="E359" s="46"/>
      <c r="F359" s="46"/>
      <c r="G359" s="46"/>
      <c r="H359" s="46"/>
      <c r="I359" s="46"/>
      <c r="J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 spans="1:20">
      <c r="A360" s="46"/>
      <c r="C360" s="46"/>
      <c r="D360" s="46"/>
      <c r="E360" s="46"/>
      <c r="F360" s="46"/>
      <c r="G360" s="46"/>
      <c r="H360" s="46"/>
      <c r="I360" s="46"/>
      <c r="J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 spans="1:20">
      <c r="A361" s="46"/>
      <c r="C361" s="46"/>
      <c r="D361" s="46"/>
      <c r="E361" s="46"/>
      <c r="F361" s="46"/>
      <c r="G361" s="46"/>
      <c r="H361" s="46"/>
      <c r="I361" s="46"/>
      <c r="J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 spans="1:20">
      <c r="A362" s="46"/>
      <c r="C362" s="46"/>
      <c r="D362" s="46"/>
      <c r="E362" s="46"/>
      <c r="F362" s="46"/>
      <c r="G362" s="46"/>
      <c r="H362" s="46"/>
      <c r="I362" s="46"/>
      <c r="J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 spans="1:20">
      <c r="A363" s="46"/>
      <c r="C363" s="46"/>
      <c r="D363" s="46"/>
      <c r="E363" s="46"/>
      <c r="F363" s="46"/>
      <c r="G363" s="46"/>
      <c r="H363" s="46"/>
      <c r="I363" s="46"/>
      <c r="J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 spans="1:20">
      <c r="A364" s="46"/>
      <c r="C364" s="46"/>
      <c r="D364" s="46"/>
      <c r="E364" s="46"/>
      <c r="F364" s="46"/>
      <c r="G364" s="46"/>
      <c r="H364" s="46"/>
      <c r="I364" s="46"/>
      <c r="J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 spans="1:20">
      <c r="A365" s="46"/>
      <c r="C365" s="46"/>
      <c r="D365" s="46"/>
      <c r="E365" s="46"/>
      <c r="F365" s="46"/>
      <c r="G365" s="46"/>
      <c r="H365" s="46"/>
      <c r="I365" s="46"/>
      <c r="J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 spans="1:20">
      <c r="A366" s="46"/>
      <c r="C366" s="46"/>
      <c r="D366" s="46"/>
      <c r="E366" s="46"/>
      <c r="F366" s="46"/>
      <c r="G366" s="46"/>
      <c r="H366" s="46"/>
      <c r="I366" s="46"/>
      <c r="J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 spans="1:20">
      <c r="A367" s="46"/>
      <c r="C367" s="46"/>
      <c r="D367" s="46"/>
      <c r="E367" s="46"/>
      <c r="F367" s="46"/>
      <c r="G367" s="46"/>
      <c r="H367" s="46"/>
      <c r="I367" s="46"/>
      <c r="J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 spans="1:20">
      <c r="A368" s="46"/>
      <c r="C368" s="46"/>
      <c r="D368" s="46"/>
      <c r="E368" s="46"/>
      <c r="F368" s="46"/>
      <c r="G368" s="46"/>
      <c r="H368" s="46"/>
      <c r="I368" s="46"/>
      <c r="J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 spans="1:20">
      <c r="A369" s="46"/>
      <c r="C369" s="46"/>
      <c r="D369" s="46"/>
      <c r="E369" s="46"/>
      <c r="F369" s="46"/>
      <c r="G369" s="46"/>
      <c r="H369" s="46"/>
      <c r="I369" s="46"/>
      <c r="J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 spans="1:20">
      <c r="A370" s="46"/>
      <c r="C370" s="46"/>
      <c r="D370" s="46"/>
      <c r="E370" s="46"/>
      <c r="F370" s="46"/>
      <c r="G370" s="46"/>
      <c r="H370" s="46"/>
      <c r="I370" s="46"/>
      <c r="J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 spans="1:20">
      <c r="A371" s="46"/>
      <c r="C371" s="46"/>
      <c r="D371" s="46"/>
      <c r="E371" s="46"/>
      <c r="F371" s="46"/>
      <c r="G371" s="46"/>
      <c r="H371" s="46"/>
      <c r="I371" s="46"/>
      <c r="J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 spans="1:20">
      <c r="A372" s="46"/>
      <c r="C372" s="46"/>
      <c r="D372" s="46"/>
      <c r="E372" s="46"/>
      <c r="F372" s="46"/>
      <c r="G372" s="46"/>
      <c r="H372" s="46"/>
      <c r="I372" s="46"/>
      <c r="J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 spans="1:20">
      <c r="A373" s="46"/>
      <c r="C373" s="46"/>
      <c r="D373" s="46"/>
      <c r="E373" s="46"/>
      <c r="F373" s="46"/>
      <c r="G373" s="46"/>
      <c r="H373" s="46"/>
      <c r="I373" s="46"/>
      <c r="J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 spans="1:20">
      <c r="A374" s="46"/>
      <c r="C374" s="46"/>
      <c r="D374" s="46"/>
      <c r="E374" s="46"/>
      <c r="F374" s="46"/>
      <c r="G374" s="46"/>
      <c r="H374" s="46"/>
      <c r="I374" s="46"/>
      <c r="J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 spans="1:20">
      <c r="A375" s="46"/>
      <c r="C375" s="46"/>
      <c r="D375" s="46"/>
      <c r="E375" s="46"/>
      <c r="F375" s="46"/>
      <c r="G375" s="46"/>
      <c r="H375" s="46"/>
      <c r="I375" s="46"/>
      <c r="J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 spans="1:20">
      <c r="A376" s="46"/>
      <c r="C376" s="46"/>
      <c r="D376" s="46"/>
      <c r="E376" s="46"/>
      <c r="F376" s="46"/>
      <c r="G376" s="46"/>
      <c r="H376" s="46"/>
      <c r="I376" s="46"/>
      <c r="J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 spans="1:20">
      <c r="A377" s="46"/>
      <c r="C377" s="46"/>
      <c r="D377" s="46"/>
      <c r="E377" s="46"/>
      <c r="F377" s="46"/>
      <c r="G377" s="46"/>
      <c r="H377" s="46"/>
      <c r="I377" s="46"/>
      <c r="J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 spans="1:20">
      <c r="A378" s="46"/>
      <c r="C378" s="46"/>
      <c r="D378" s="46"/>
      <c r="E378" s="46"/>
      <c r="F378" s="46"/>
      <c r="G378" s="46"/>
      <c r="H378" s="46"/>
      <c r="I378" s="46"/>
      <c r="J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 spans="1:20">
      <c r="A379" s="46"/>
      <c r="C379" s="46"/>
      <c r="D379" s="46"/>
      <c r="E379" s="46"/>
      <c r="F379" s="46"/>
      <c r="G379" s="46"/>
      <c r="H379" s="46"/>
      <c r="I379" s="46"/>
      <c r="J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 spans="1:20">
      <c r="A380" s="46"/>
      <c r="C380" s="46"/>
      <c r="D380" s="46"/>
      <c r="E380" s="46"/>
      <c r="F380" s="46"/>
      <c r="G380" s="46"/>
      <c r="H380" s="46"/>
      <c r="I380" s="46"/>
      <c r="J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 spans="1:20">
      <c r="A381" s="46"/>
      <c r="C381" s="46"/>
      <c r="D381" s="46"/>
      <c r="E381" s="46"/>
      <c r="F381" s="46"/>
      <c r="G381" s="46"/>
      <c r="H381" s="46"/>
      <c r="I381" s="46"/>
      <c r="J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 spans="1:20">
      <c r="A382" s="46"/>
      <c r="C382" s="46"/>
      <c r="D382" s="46"/>
      <c r="E382" s="46"/>
      <c r="F382" s="46"/>
      <c r="G382" s="46"/>
      <c r="H382" s="46"/>
      <c r="I382" s="46"/>
      <c r="J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 spans="1:20">
      <c r="A383" s="46"/>
      <c r="C383" s="46"/>
      <c r="D383" s="46"/>
      <c r="E383" s="46"/>
      <c r="F383" s="46"/>
      <c r="G383" s="46"/>
      <c r="H383" s="46"/>
      <c r="I383" s="46"/>
      <c r="J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 spans="1:20">
      <c r="A384" s="46"/>
      <c r="C384" s="46"/>
      <c r="D384" s="46"/>
      <c r="E384" s="46"/>
      <c r="F384" s="46"/>
      <c r="G384" s="46"/>
      <c r="H384" s="46"/>
      <c r="I384" s="46"/>
      <c r="J384" s="46"/>
      <c r="L384" s="46"/>
      <c r="M384" s="46"/>
      <c r="N384" s="46"/>
      <c r="O384" s="46"/>
      <c r="P384" s="46"/>
      <c r="Q384" s="46"/>
      <c r="R384" s="46"/>
      <c r="S384" s="46"/>
      <c r="T384" s="46"/>
    </row>
    <row r="385" spans="1:20">
      <c r="A385" s="46"/>
      <c r="C385" s="46"/>
      <c r="D385" s="46"/>
      <c r="E385" s="46"/>
      <c r="F385" s="46"/>
      <c r="G385" s="46"/>
      <c r="H385" s="46"/>
      <c r="I385" s="46"/>
      <c r="J385" s="46"/>
      <c r="L385" s="46"/>
      <c r="M385" s="46"/>
      <c r="N385" s="46"/>
      <c r="O385" s="46"/>
      <c r="P385" s="46"/>
      <c r="Q385" s="46"/>
      <c r="R385" s="46"/>
      <c r="S385" s="46"/>
      <c r="T385" s="46"/>
    </row>
    <row r="386" spans="1:20">
      <c r="A386" s="46"/>
      <c r="C386" s="46"/>
      <c r="D386" s="46"/>
      <c r="E386" s="46"/>
      <c r="F386" s="46"/>
      <c r="G386" s="46"/>
      <c r="H386" s="46"/>
      <c r="I386" s="46"/>
      <c r="J386" s="46"/>
      <c r="L386" s="46"/>
      <c r="M386" s="46"/>
      <c r="N386" s="46"/>
      <c r="O386" s="46"/>
      <c r="P386" s="46"/>
      <c r="Q386" s="46"/>
      <c r="R386" s="46"/>
      <c r="S386" s="46"/>
      <c r="T386" s="46"/>
    </row>
    <row r="387" spans="1:20">
      <c r="A387" s="46"/>
      <c r="C387" s="46"/>
      <c r="D387" s="46"/>
      <c r="E387" s="46"/>
      <c r="F387" s="46"/>
      <c r="G387" s="46"/>
      <c r="H387" s="46"/>
      <c r="I387" s="46"/>
      <c r="J387" s="46"/>
      <c r="L387" s="46"/>
      <c r="M387" s="46"/>
      <c r="N387" s="46"/>
      <c r="O387" s="46"/>
      <c r="P387" s="46"/>
      <c r="Q387" s="46"/>
      <c r="R387" s="46"/>
      <c r="S387" s="46"/>
      <c r="T387" s="46"/>
    </row>
    <row r="388" spans="1:20">
      <c r="A388" s="46"/>
      <c r="C388" s="46"/>
      <c r="D388" s="46"/>
      <c r="E388" s="46"/>
      <c r="F388" s="46"/>
      <c r="G388" s="46"/>
      <c r="H388" s="46"/>
      <c r="I388" s="46"/>
      <c r="J388" s="46"/>
      <c r="L388" s="46"/>
      <c r="M388" s="46"/>
      <c r="N388" s="46"/>
      <c r="O388" s="46"/>
      <c r="P388" s="46"/>
      <c r="Q388" s="46"/>
      <c r="R388" s="46"/>
      <c r="S388" s="46"/>
      <c r="T388" s="46"/>
    </row>
    <row r="389" spans="1:20">
      <c r="A389" s="46"/>
      <c r="C389" s="46"/>
      <c r="D389" s="46"/>
      <c r="E389" s="46"/>
      <c r="F389" s="46"/>
      <c r="G389" s="46"/>
      <c r="H389" s="46"/>
      <c r="I389" s="46"/>
      <c r="J389" s="46"/>
      <c r="L389" s="46"/>
      <c r="M389" s="46"/>
      <c r="N389" s="46"/>
      <c r="O389" s="46"/>
      <c r="P389" s="46"/>
      <c r="Q389" s="46"/>
      <c r="R389" s="46"/>
      <c r="S389" s="46"/>
      <c r="T389" s="46"/>
    </row>
    <row r="390" spans="1:20">
      <c r="A390" s="46"/>
      <c r="C390" s="46"/>
      <c r="D390" s="46"/>
      <c r="E390" s="46"/>
      <c r="F390" s="46"/>
      <c r="G390" s="46"/>
      <c r="H390" s="46"/>
      <c r="I390" s="46"/>
      <c r="J390" s="46"/>
      <c r="L390" s="46"/>
      <c r="M390" s="46"/>
      <c r="N390" s="46"/>
      <c r="O390" s="46"/>
      <c r="P390" s="46"/>
      <c r="Q390" s="46"/>
      <c r="R390" s="46"/>
      <c r="S390" s="46"/>
      <c r="T390" s="46"/>
    </row>
    <row r="391" spans="1:20">
      <c r="A391" s="46"/>
      <c r="C391" s="46"/>
      <c r="D391" s="46"/>
      <c r="E391" s="46"/>
      <c r="F391" s="46"/>
      <c r="G391" s="46"/>
      <c r="H391" s="46"/>
      <c r="I391" s="46"/>
      <c r="J391" s="46"/>
      <c r="L391" s="46"/>
      <c r="M391" s="46"/>
      <c r="N391" s="46"/>
      <c r="O391" s="46"/>
      <c r="P391" s="46"/>
      <c r="Q391" s="46"/>
      <c r="R391" s="46"/>
      <c r="S391" s="46"/>
      <c r="T391" s="46"/>
    </row>
    <row r="392" spans="1:20">
      <c r="A392" s="46"/>
      <c r="C392" s="46"/>
      <c r="D392" s="46"/>
      <c r="E392" s="46"/>
      <c r="F392" s="46"/>
      <c r="G392" s="46"/>
      <c r="H392" s="46"/>
      <c r="I392" s="46"/>
      <c r="J392" s="46"/>
      <c r="L392" s="46"/>
      <c r="M392" s="46"/>
      <c r="N392" s="46"/>
      <c r="O392" s="46"/>
      <c r="P392" s="46"/>
      <c r="Q392" s="46"/>
      <c r="R392" s="46"/>
      <c r="S392" s="46"/>
      <c r="T392" s="46"/>
    </row>
    <row r="393" spans="1:20">
      <c r="A393" s="46"/>
      <c r="C393" s="46"/>
      <c r="D393" s="46"/>
      <c r="E393" s="46"/>
      <c r="F393" s="46"/>
      <c r="G393" s="46"/>
      <c r="H393" s="46"/>
      <c r="I393" s="46"/>
      <c r="J393" s="46"/>
      <c r="L393" s="46"/>
      <c r="M393" s="46"/>
      <c r="N393" s="46"/>
      <c r="O393" s="46"/>
      <c r="P393" s="46"/>
      <c r="Q393" s="46"/>
      <c r="R393" s="46"/>
      <c r="S393" s="46"/>
      <c r="T393" s="46"/>
    </row>
    <row r="394" spans="1:20">
      <c r="A394" s="46"/>
      <c r="C394" s="46"/>
      <c r="D394" s="46"/>
      <c r="E394" s="46"/>
      <c r="F394" s="46"/>
      <c r="G394" s="46"/>
      <c r="H394" s="46"/>
      <c r="I394" s="46"/>
      <c r="J394" s="46"/>
      <c r="L394" s="46"/>
      <c r="M394" s="46"/>
      <c r="N394" s="46"/>
      <c r="O394" s="46"/>
      <c r="P394" s="46"/>
      <c r="Q394" s="46"/>
      <c r="R394" s="46"/>
      <c r="S394" s="46"/>
      <c r="T394" s="46"/>
    </row>
    <row r="395" spans="1:20">
      <c r="A395" s="46"/>
      <c r="C395" s="46"/>
      <c r="D395" s="46"/>
      <c r="E395" s="46"/>
      <c r="F395" s="46"/>
      <c r="G395" s="46"/>
      <c r="H395" s="46"/>
      <c r="I395" s="46"/>
      <c r="J395" s="46"/>
      <c r="L395" s="46"/>
      <c r="M395" s="46"/>
      <c r="N395" s="46"/>
      <c r="O395" s="46"/>
      <c r="P395" s="46"/>
      <c r="Q395" s="46"/>
      <c r="R395" s="46"/>
      <c r="S395" s="46"/>
      <c r="T395" s="46"/>
    </row>
    <row r="396" spans="1:20">
      <c r="A396" s="46"/>
      <c r="C396" s="46"/>
      <c r="D396" s="46"/>
      <c r="E396" s="46"/>
      <c r="F396" s="46"/>
      <c r="G396" s="46"/>
      <c r="H396" s="46"/>
      <c r="I396" s="46"/>
      <c r="J396" s="46"/>
      <c r="L396" s="46"/>
      <c r="M396" s="46"/>
      <c r="N396" s="46"/>
      <c r="O396" s="46"/>
      <c r="P396" s="46"/>
      <c r="Q396" s="46"/>
      <c r="R396" s="46"/>
      <c r="S396" s="46"/>
      <c r="T396" s="46"/>
    </row>
    <row r="397" spans="1:20">
      <c r="A397" s="46"/>
      <c r="C397" s="46"/>
      <c r="D397" s="46"/>
      <c r="E397" s="46"/>
      <c r="F397" s="46"/>
      <c r="G397" s="46"/>
      <c r="H397" s="46"/>
      <c r="I397" s="46"/>
      <c r="J397" s="46"/>
      <c r="L397" s="46"/>
      <c r="M397" s="46"/>
      <c r="N397" s="46"/>
      <c r="O397" s="46"/>
      <c r="P397" s="46"/>
      <c r="Q397" s="46"/>
      <c r="R397" s="46"/>
      <c r="S397" s="46"/>
      <c r="T397" s="46"/>
    </row>
    <row r="398" spans="1:20">
      <c r="A398" s="46"/>
      <c r="C398" s="46"/>
      <c r="D398" s="46"/>
      <c r="E398" s="46"/>
      <c r="F398" s="46"/>
      <c r="G398" s="46"/>
      <c r="H398" s="46"/>
      <c r="I398" s="46"/>
      <c r="J398" s="46"/>
      <c r="L398" s="46"/>
      <c r="M398" s="46"/>
      <c r="N398" s="46"/>
      <c r="O398" s="46"/>
      <c r="P398" s="46"/>
      <c r="Q398" s="46"/>
      <c r="R398" s="46"/>
      <c r="S398" s="46"/>
      <c r="T398" s="46"/>
    </row>
    <row r="399" spans="1:20">
      <c r="A399" s="46"/>
      <c r="C399" s="46"/>
      <c r="D399" s="46"/>
      <c r="E399" s="46"/>
      <c r="F399" s="46"/>
      <c r="G399" s="46"/>
      <c r="H399" s="46"/>
      <c r="I399" s="46"/>
      <c r="J399" s="46"/>
      <c r="L399" s="46"/>
      <c r="M399" s="46"/>
      <c r="N399" s="46"/>
      <c r="O399" s="46"/>
      <c r="P399" s="46"/>
      <c r="Q399" s="46"/>
      <c r="R399" s="46"/>
      <c r="S399" s="46"/>
      <c r="T399" s="46"/>
    </row>
    <row r="400" spans="1:20">
      <c r="A400" s="46"/>
      <c r="C400" s="46"/>
      <c r="D400" s="46"/>
      <c r="E400" s="46"/>
      <c r="F400" s="46"/>
      <c r="G400" s="46"/>
      <c r="H400" s="46"/>
      <c r="I400" s="46"/>
      <c r="J400" s="46"/>
      <c r="L400" s="46"/>
      <c r="M400" s="46"/>
      <c r="N400" s="46"/>
      <c r="O400" s="46"/>
      <c r="P400" s="46"/>
      <c r="Q400" s="46"/>
      <c r="R400" s="46"/>
      <c r="S400" s="46"/>
      <c r="T400" s="46"/>
    </row>
    <row r="401" spans="1:20">
      <c r="A401" s="46"/>
      <c r="C401" s="46"/>
      <c r="D401" s="46"/>
      <c r="E401" s="46"/>
      <c r="F401" s="46"/>
      <c r="G401" s="46"/>
      <c r="H401" s="46"/>
      <c r="I401" s="46"/>
      <c r="J401" s="46"/>
      <c r="L401" s="46"/>
      <c r="M401" s="46"/>
      <c r="N401" s="46"/>
      <c r="O401" s="46"/>
      <c r="P401" s="46"/>
      <c r="Q401" s="46"/>
      <c r="R401" s="46"/>
      <c r="S401" s="46"/>
      <c r="T401" s="46"/>
    </row>
    <row r="402" spans="1:20">
      <c r="A402" s="46"/>
      <c r="C402" s="46"/>
      <c r="D402" s="46"/>
      <c r="E402" s="46"/>
      <c r="F402" s="46"/>
      <c r="G402" s="46"/>
      <c r="H402" s="46"/>
      <c r="I402" s="46"/>
      <c r="J402" s="46"/>
      <c r="L402" s="46"/>
      <c r="M402" s="46"/>
      <c r="N402" s="46"/>
      <c r="O402" s="46"/>
      <c r="P402" s="46"/>
      <c r="Q402" s="46"/>
      <c r="R402" s="46"/>
      <c r="S402" s="46"/>
      <c r="T402" s="46"/>
    </row>
    <row r="403" spans="1:20">
      <c r="A403" s="46"/>
      <c r="C403" s="46"/>
      <c r="D403" s="46"/>
      <c r="E403" s="46"/>
      <c r="F403" s="46"/>
      <c r="G403" s="46"/>
      <c r="H403" s="46"/>
      <c r="I403" s="46"/>
      <c r="J403" s="46"/>
      <c r="L403" s="46"/>
      <c r="M403" s="46"/>
      <c r="N403" s="46"/>
      <c r="O403" s="46"/>
      <c r="P403" s="46"/>
      <c r="Q403" s="46"/>
      <c r="R403" s="46"/>
      <c r="S403" s="46"/>
      <c r="T403" s="46"/>
    </row>
    <row r="404" spans="1:20">
      <c r="A404" s="46"/>
      <c r="C404" s="46"/>
      <c r="D404" s="46"/>
      <c r="E404" s="46"/>
      <c r="F404" s="46"/>
      <c r="G404" s="46"/>
      <c r="H404" s="46"/>
      <c r="I404" s="46"/>
      <c r="J404" s="46"/>
      <c r="L404" s="46"/>
      <c r="M404" s="46"/>
      <c r="N404" s="46"/>
      <c r="O404" s="46"/>
      <c r="P404" s="46"/>
      <c r="Q404" s="46"/>
      <c r="R404" s="46"/>
      <c r="S404" s="46"/>
      <c r="T404" s="46"/>
    </row>
    <row r="405" spans="1:20">
      <c r="A405" s="46"/>
      <c r="C405" s="46"/>
      <c r="D405" s="46"/>
      <c r="E405" s="46"/>
      <c r="F405" s="46"/>
      <c r="G405" s="46"/>
      <c r="H405" s="46"/>
      <c r="I405" s="46"/>
      <c r="J405" s="46"/>
      <c r="L405" s="46"/>
      <c r="M405" s="46"/>
      <c r="N405" s="46"/>
      <c r="O405" s="46"/>
      <c r="P405" s="46"/>
      <c r="Q405" s="46"/>
      <c r="R405" s="46"/>
      <c r="S405" s="46"/>
      <c r="T405" s="46"/>
    </row>
    <row r="406" spans="1:20">
      <c r="A406" s="46"/>
      <c r="C406" s="46"/>
      <c r="D406" s="46"/>
      <c r="E406" s="46"/>
      <c r="F406" s="46"/>
      <c r="G406" s="46"/>
      <c r="H406" s="46"/>
      <c r="I406" s="46"/>
      <c r="J406" s="46"/>
      <c r="L406" s="46"/>
      <c r="M406" s="46"/>
      <c r="N406" s="46"/>
      <c r="O406" s="46"/>
      <c r="P406" s="46"/>
      <c r="Q406" s="46"/>
      <c r="R406" s="46"/>
      <c r="S406" s="46"/>
      <c r="T406" s="46"/>
    </row>
    <row r="407" spans="1:20">
      <c r="A407" s="46"/>
      <c r="C407" s="46"/>
      <c r="D407" s="46"/>
      <c r="E407" s="46"/>
      <c r="F407" s="46"/>
      <c r="G407" s="46"/>
      <c r="H407" s="46"/>
      <c r="I407" s="46"/>
      <c r="J407" s="46"/>
      <c r="L407" s="46"/>
      <c r="M407" s="46"/>
      <c r="N407" s="46"/>
      <c r="O407" s="46"/>
      <c r="P407" s="46"/>
      <c r="Q407" s="46"/>
      <c r="R407" s="46"/>
      <c r="S407" s="46"/>
      <c r="T407" s="46"/>
    </row>
    <row r="408" spans="1:20">
      <c r="A408" s="46"/>
      <c r="C408" s="46"/>
      <c r="D408" s="46"/>
      <c r="E408" s="46"/>
      <c r="F408" s="46"/>
      <c r="G408" s="46"/>
      <c r="H408" s="46"/>
      <c r="I408" s="46"/>
      <c r="J408" s="46"/>
      <c r="L408" s="46"/>
      <c r="M408" s="46"/>
      <c r="N408" s="46"/>
      <c r="O408" s="46"/>
      <c r="P408" s="46"/>
      <c r="Q408" s="46"/>
      <c r="R408" s="46"/>
      <c r="S408" s="46"/>
      <c r="T408" s="46"/>
    </row>
    <row r="409" spans="1:20">
      <c r="A409" s="46"/>
      <c r="C409" s="46"/>
      <c r="D409" s="46"/>
      <c r="E409" s="46"/>
      <c r="F409" s="46"/>
      <c r="G409" s="46"/>
      <c r="H409" s="46"/>
      <c r="I409" s="46"/>
      <c r="J409" s="46"/>
      <c r="L409" s="46"/>
      <c r="M409" s="46"/>
      <c r="N409" s="46"/>
      <c r="O409" s="46"/>
      <c r="P409" s="46"/>
      <c r="Q409" s="46"/>
      <c r="R409" s="46"/>
      <c r="S409" s="46"/>
      <c r="T409" s="46"/>
    </row>
    <row r="410" spans="1:20">
      <c r="A410" s="46"/>
      <c r="C410" s="46"/>
      <c r="D410" s="46"/>
      <c r="E410" s="46"/>
      <c r="F410" s="46"/>
      <c r="G410" s="46"/>
      <c r="H410" s="46"/>
      <c r="I410" s="46"/>
      <c r="J410" s="46"/>
      <c r="L410" s="46"/>
      <c r="M410" s="46"/>
      <c r="N410" s="46"/>
      <c r="O410" s="46"/>
      <c r="P410" s="46"/>
      <c r="Q410" s="46"/>
      <c r="R410" s="46"/>
      <c r="S410" s="46"/>
      <c r="T410" s="46"/>
    </row>
    <row r="411" spans="1:20">
      <c r="A411" s="46"/>
      <c r="C411" s="46"/>
      <c r="D411" s="46"/>
      <c r="E411" s="46"/>
      <c r="F411" s="46"/>
      <c r="G411" s="46"/>
      <c r="H411" s="46"/>
      <c r="I411" s="46"/>
      <c r="J411" s="46"/>
      <c r="L411" s="46"/>
      <c r="M411" s="46"/>
      <c r="N411" s="46"/>
      <c r="O411" s="46"/>
      <c r="P411" s="46"/>
      <c r="Q411" s="46"/>
      <c r="R411" s="46"/>
      <c r="S411" s="46"/>
      <c r="T411" s="46"/>
    </row>
    <row r="412" spans="1:20">
      <c r="A412" s="46"/>
      <c r="C412" s="46"/>
      <c r="D412" s="46"/>
      <c r="E412" s="46"/>
      <c r="F412" s="46"/>
      <c r="G412" s="46"/>
      <c r="H412" s="46"/>
      <c r="I412" s="46"/>
      <c r="J412" s="46"/>
      <c r="L412" s="46"/>
      <c r="M412" s="46"/>
      <c r="N412" s="46"/>
      <c r="O412" s="46"/>
      <c r="P412" s="46"/>
      <c r="Q412" s="46"/>
      <c r="R412" s="46"/>
      <c r="S412" s="46"/>
      <c r="T412" s="46"/>
    </row>
    <row r="413" spans="1:20">
      <c r="A413" s="46"/>
      <c r="C413" s="46"/>
      <c r="D413" s="46"/>
      <c r="E413" s="46"/>
      <c r="F413" s="46"/>
      <c r="G413" s="46"/>
      <c r="H413" s="46"/>
      <c r="I413" s="46"/>
      <c r="J413" s="46"/>
      <c r="L413" s="46"/>
      <c r="M413" s="46"/>
      <c r="N413" s="46"/>
      <c r="O413" s="46"/>
      <c r="P413" s="46"/>
      <c r="Q413" s="46"/>
      <c r="R413" s="46"/>
      <c r="S413" s="46"/>
      <c r="T413" s="46"/>
    </row>
    <row r="414" spans="1:20">
      <c r="A414" s="46"/>
      <c r="C414" s="46"/>
      <c r="D414" s="46"/>
      <c r="E414" s="46"/>
      <c r="F414" s="46"/>
      <c r="G414" s="46"/>
      <c r="H414" s="46"/>
      <c r="I414" s="46"/>
      <c r="J414" s="46"/>
      <c r="L414" s="46"/>
      <c r="M414" s="46"/>
      <c r="N414" s="46"/>
      <c r="O414" s="46"/>
      <c r="P414" s="46"/>
      <c r="Q414" s="46"/>
      <c r="R414" s="46"/>
      <c r="S414" s="46"/>
      <c r="T414" s="46"/>
    </row>
    <row r="415" spans="1:20">
      <c r="A415" s="46"/>
      <c r="C415" s="46"/>
      <c r="D415" s="46"/>
      <c r="E415" s="46"/>
      <c r="F415" s="46"/>
      <c r="G415" s="46"/>
      <c r="H415" s="46"/>
      <c r="I415" s="46"/>
      <c r="J415" s="46"/>
      <c r="L415" s="46"/>
      <c r="M415" s="46"/>
      <c r="N415" s="46"/>
      <c r="O415" s="46"/>
      <c r="P415" s="46"/>
      <c r="Q415" s="46"/>
      <c r="R415" s="46"/>
      <c r="S415" s="46"/>
      <c r="T415" s="46"/>
    </row>
    <row r="416" spans="1:20">
      <c r="A416" s="46"/>
      <c r="C416" s="46"/>
      <c r="D416" s="46"/>
      <c r="E416" s="46"/>
      <c r="F416" s="46"/>
      <c r="G416" s="46"/>
      <c r="H416" s="46"/>
      <c r="I416" s="46"/>
      <c r="J416" s="46"/>
      <c r="L416" s="46"/>
      <c r="M416" s="46"/>
      <c r="N416" s="46"/>
      <c r="O416" s="46"/>
      <c r="P416" s="46"/>
      <c r="Q416" s="46"/>
      <c r="R416" s="46"/>
      <c r="S416" s="46"/>
      <c r="T416" s="46"/>
    </row>
    <row r="417" spans="1:20">
      <c r="A417" s="46"/>
      <c r="C417" s="46"/>
      <c r="D417" s="46"/>
      <c r="E417" s="46"/>
      <c r="F417" s="46"/>
      <c r="G417" s="46"/>
      <c r="H417" s="46"/>
      <c r="I417" s="46"/>
      <c r="J417" s="46"/>
      <c r="L417" s="46"/>
      <c r="M417" s="46"/>
      <c r="N417" s="46"/>
      <c r="O417" s="46"/>
      <c r="P417" s="46"/>
      <c r="Q417" s="46"/>
      <c r="R417" s="46"/>
      <c r="S417" s="46"/>
      <c r="T417" s="46"/>
    </row>
    <row r="418" spans="1:20">
      <c r="A418" s="46"/>
      <c r="C418" s="46"/>
      <c r="D418" s="46"/>
      <c r="E418" s="46"/>
      <c r="F418" s="46"/>
      <c r="G418" s="46"/>
      <c r="H418" s="46"/>
      <c r="I418" s="46"/>
      <c r="J418" s="46"/>
      <c r="L418" s="46"/>
      <c r="M418" s="46"/>
      <c r="N418" s="46"/>
      <c r="O418" s="46"/>
      <c r="P418" s="46"/>
      <c r="Q418" s="46"/>
      <c r="R418" s="46"/>
      <c r="S418" s="46"/>
      <c r="T418" s="46"/>
    </row>
    <row r="419" spans="1:20">
      <c r="A419" s="46"/>
      <c r="C419" s="46"/>
      <c r="D419" s="46"/>
      <c r="E419" s="46"/>
      <c r="F419" s="46"/>
      <c r="G419" s="46"/>
      <c r="H419" s="46"/>
      <c r="I419" s="46"/>
      <c r="J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 spans="1:20">
      <c r="A420" s="46"/>
      <c r="C420" s="46"/>
      <c r="D420" s="46"/>
      <c r="E420" s="46"/>
      <c r="F420" s="46"/>
      <c r="G420" s="46"/>
      <c r="H420" s="46"/>
      <c r="I420" s="46"/>
      <c r="J420" s="46"/>
      <c r="L420" s="46"/>
      <c r="M420" s="46"/>
      <c r="N420" s="46"/>
      <c r="O420" s="46"/>
      <c r="P420" s="46"/>
      <c r="Q420" s="46"/>
      <c r="R420" s="46"/>
      <c r="S420" s="46"/>
      <c r="T420" s="46"/>
    </row>
    <row r="421" spans="1:20">
      <c r="A421" s="46"/>
      <c r="C421" s="46"/>
      <c r="D421" s="46"/>
      <c r="E421" s="46"/>
      <c r="F421" s="46"/>
      <c r="G421" s="46"/>
      <c r="H421" s="46"/>
      <c r="I421" s="46"/>
      <c r="J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 spans="1:20">
      <c r="A422" s="46"/>
      <c r="C422" s="46"/>
      <c r="D422" s="46"/>
      <c r="E422" s="46"/>
      <c r="F422" s="46"/>
      <c r="G422" s="46"/>
      <c r="H422" s="46"/>
      <c r="I422" s="46"/>
      <c r="J422" s="46"/>
      <c r="L422" s="46"/>
      <c r="M422" s="46"/>
      <c r="N422" s="46"/>
      <c r="O422" s="46"/>
      <c r="P422" s="46"/>
      <c r="Q422" s="46"/>
      <c r="R422" s="46"/>
      <c r="S422" s="46"/>
      <c r="T422" s="46"/>
    </row>
    <row r="423" spans="1:20">
      <c r="A423" s="46"/>
      <c r="C423" s="46"/>
      <c r="D423" s="46"/>
      <c r="E423" s="46"/>
      <c r="F423" s="46"/>
      <c r="G423" s="46"/>
      <c r="H423" s="46"/>
      <c r="I423" s="46"/>
      <c r="J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 spans="1:20">
      <c r="A424" s="46"/>
      <c r="C424" s="46"/>
      <c r="D424" s="46"/>
      <c r="E424" s="46"/>
      <c r="F424" s="46"/>
      <c r="G424" s="46"/>
      <c r="H424" s="46"/>
      <c r="I424" s="46"/>
      <c r="J424" s="46"/>
      <c r="L424" s="46"/>
      <c r="M424" s="46"/>
      <c r="N424" s="46"/>
      <c r="O424" s="46"/>
      <c r="P424" s="46"/>
      <c r="Q424" s="46"/>
      <c r="R424" s="46"/>
      <c r="S424" s="46"/>
      <c r="T424" s="46"/>
    </row>
    <row r="425" spans="1:20">
      <c r="A425" s="46"/>
      <c r="C425" s="46"/>
      <c r="D425" s="46"/>
      <c r="E425" s="46"/>
      <c r="F425" s="46"/>
      <c r="G425" s="46"/>
      <c r="H425" s="46"/>
      <c r="I425" s="46"/>
      <c r="J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 spans="1:20">
      <c r="A426" s="46"/>
      <c r="C426" s="46"/>
      <c r="D426" s="46"/>
      <c r="E426" s="46"/>
      <c r="F426" s="46"/>
      <c r="G426" s="46"/>
      <c r="H426" s="46"/>
      <c r="I426" s="46"/>
      <c r="J426" s="46"/>
      <c r="L426" s="46"/>
      <c r="M426" s="46"/>
      <c r="N426" s="46"/>
      <c r="O426" s="46"/>
      <c r="P426" s="46"/>
      <c r="Q426" s="46"/>
      <c r="R426" s="46"/>
      <c r="S426" s="46"/>
      <c r="T426" s="46"/>
    </row>
    <row r="427" spans="1:20">
      <c r="A427" s="46"/>
      <c r="C427" s="46"/>
      <c r="D427" s="46"/>
      <c r="E427" s="46"/>
      <c r="F427" s="46"/>
      <c r="G427" s="46"/>
      <c r="H427" s="46"/>
      <c r="I427" s="46"/>
      <c r="J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 spans="1:20">
      <c r="A428" s="46"/>
      <c r="C428" s="46"/>
      <c r="D428" s="46"/>
      <c r="E428" s="46"/>
      <c r="F428" s="46"/>
      <c r="G428" s="46"/>
      <c r="H428" s="46"/>
      <c r="I428" s="46"/>
      <c r="J428" s="46"/>
      <c r="L428" s="46"/>
      <c r="M428" s="46"/>
      <c r="N428" s="46"/>
      <c r="O428" s="46"/>
      <c r="P428" s="46"/>
      <c r="Q428" s="46"/>
      <c r="R428" s="46"/>
      <c r="S428" s="46"/>
      <c r="T428" s="46"/>
    </row>
    <row r="429" spans="1:20">
      <c r="A429" s="46"/>
      <c r="C429" s="46"/>
      <c r="D429" s="46"/>
      <c r="E429" s="46"/>
      <c r="F429" s="46"/>
      <c r="G429" s="46"/>
      <c r="H429" s="46"/>
      <c r="I429" s="46"/>
      <c r="J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 spans="1:20">
      <c r="A430" s="46"/>
      <c r="C430" s="46"/>
      <c r="D430" s="46"/>
      <c r="E430" s="46"/>
      <c r="F430" s="46"/>
      <c r="G430" s="46"/>
      <c r="H430" s="46"/>
      <c r="I430" s="46"/>
      <c r="J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 spans="1:20">
      <c r="A431" s="46"/>
      <c r="C431" s="46"/>
      <c r="D431" s="46"/>
      <c r="E431" s="46"/>
      <c r="F431" s="46"/>
      <c r="G431" s="46"/>
      <c r="H431" s="46"/>
      <c r="I431" s="46"/>
      <c r="J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 spans="1:20">
      <c r="A432" s="46"/>
      <c r="C432" s="46"/>
      <c r="D432" s="46"/>
      <c r="E432" s="46"/>
      <c r="F432" s="46"/>
      <c r="G432" s="46"/>
      <c r="H432" s="46"/>
      <c r="I432" s="46"/>
      <c r="J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 spans="1:20">
      <c r="A433" s="46"/>
      <c r="C433" s="46"/>
      <c r="D433" s="46"/>
      <c r="E433" s="46"/>
      <c r="F433" s="46"/>
      <c r="G433" s="46"/>
      <c r="H433" s="46"/>
      <c r="I433" s="46"/>
      <c r="J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 spans="1:20">
      <c r="A434" s="46"/>
      <c r="C434" s="46"/>
      <c r="D434" s="46"/>
      <c r="E434" s="46"/>
      <c r="F434" s="46"/>
      <c r="G434" s="46"/>
      <c r="H434" s="46"/>
      <c r="I434" s="46"/>
      <c r="J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 spans="1:20">
      <c r="A435" s="46"/>
      <c r="C435" s="46"/>
      <c r="D435" s="46"/>
      <c r="E435" s="46"/>
      <c r="F435" s="46"/>
      <c r="G435" s="46"/>
      <c r="H435" s="46"/>
      <c r="I435" s="46"/>
      <c r="J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 spans="1:20">
      <c r="A436" s="46"/>
      <c r="C436" s="46"/>
      <c r="D436" s="46"/>
      <c r="E436" s="46"/>
      <c r="F436" s="46"/>
      <c r="G436" s="46"/>
      <c r="H436" s="46"/>
      <c r="I436" s="46"/>
      <c r="J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 spans="1:20">
      <c r="A437" s="46"/>
      <c r="C437" s="46"/>
      <c r="D437" s="46"/>
      <c r="E437" s="46"/>
      <c r="F437" s="46"/>
      <c r="G437" s="46"/>
      <c r="H437" s="46"/>
      <c r="I437" s="46"/>
      <c r="J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 spans="1:20">
      <c r="A438" s="46"/>
      <c r="C438" s="46"/>
      <c r="D438" s="46"/>
      <c r="E438" s="46"/>
      <c r="F438" s="46"/>
      <c r="G438" s="46"/>
      <c r="H438" s="46"/>
      <c r="I438" s="46"/>
      <c r="J438" s="46"/>
      <c r="L438" s="46"/>
      <c r="M438" s="46"/>
      <c r="N438" s="46"/>
      <c r="O438" s="46"/>
      <c r="P438" s="46"/>
      <c r="Q438" s="46"/>
      <c r="R438" s="46"/>
      <c r="S438" s="46"/>
      <c r="T438" s="46"/>
    </row>
  </sheetData>
  <pageMargins left="0.7" right="0.7" top="0.75" bottom="0.75" header="0.3" footer="0.3"/>
  <pageSetup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01"/>
  <sheetViews>
    <sheetView showGridLines="0" view="pageBreakPreview" zoomScaleSheetLayoutView="100" workbookViewId="0">
      <pane ySplit="4" topLeftCell="A5" activePane="bottomLeft" state="frozen"/>
      <selection pane="bottomLeft" activeCell="E6" sqref="E6"/>
    </sheetView>
  </sheetViews>
  <sheetFormatPr defaultRowHeight="15.75"/>
  <cols>
    <col min="1" max="1" width="9" style="8" customWidth="1"/>
    <col min="2" max="2" width="26" style="46" bestFit="1" customWidth="1"/>
    <col min="3" max="3" width="8.7109375" style="8" bestFit="1" customWidth="1"/>
    <col min="4" max="4" width="13.85546875" style="152" bestFit="1" customWidth="1"/>
    <col min="5" max="6" width="16.140625" style="154" bestFit="1" customWidth="1"/>
    <col min="7" max="7" width="16.140625" style="192" bestFit="1" customWidth="1"/>
    <col min="8" max="8" width="10.7109375" style="82" customWidth="1"/>
    <col min="9" max="9" width="8.28515625" style="8" bestFit="1" customWidth="1"/>
    <col min="10" max="10" width="8.140625" style="46" bestFit="1" customWidth="1"/>
    <col min="11" max="12" width="16.140625" style="194" bestFit="1" customWidth="1"/>
    <col min="13" max="13" width="20.5703125" style="82" bestFit="1" customWidth="1"/>
    <col min="14" max="14" width="15.7109375" style="155" bestFit="1" customWidth="1"/>
    <col min="15" max="15" width="32.140625" style="153" bestFit="1" customWidth="1"/>
    <col min="16" max="17" width="15.7109375" style="7" bestFit="1" customWidth="1"/>
    <col min="18" max="18" width="16.42578125" style="7" bestFit="1" customWidth="1"/>
    <col min="19" max="29" width="9.140625" style="2"/>
    <col min="30" max="16384" width="9.140625" style="46"/>
  </cols>
  <sheetData>
    <row r="1" spans="1:29" ht="23.25" customHeight="1">
      <c r="A1" s="78" t="s">
        <v>0</v>
      </c>
      <c r="B1" s="2"/>
      <c r="C1" s="3"/>
      <c r="D1" s="4"/>
      <c r="E1" s="4"/>
      <c r="F1" s="80"/>
      <c r="G1" s="80"/>
      <c r="H1" s="80"/>
      <c r="I1" s="81"/>
      <c r="K1" s="157"/>
      <c r="L1" s="157"/>
      <c r="M1" s="5"/>
      <c r="N1" s="83"/>
      <c r="O1" s="1"/>
    </row>
    <row r="2" spans="1:29" ht="23.25" customHeight="1">
      <c r="A2" s="85" t="s">
        <v>1832</v>
      </c>
      <c r="B2" s="2"/>
      <c r="C2" s="3"/>
      <c r="D2" s="4"/>
      <c r="E2" s="4"/>
      <c r="F2" s="80"/>
      <c r="G2" s="80"/>
      <c r="H2" s="80"/>
      <c r="I2" s="81"/>
      <c r="K2" s="157"/>
      <c r="L2" s="157"/>
      <c r="M2" s="5"/>
      <c r="N2" s="83"/>
      <c r="O2" s="1"/>
    </row>
    <row r="3" spans="1:29" s="8" customFormat="1" ht="23.25" customHeight="1">
      <c r="A3" s="86" t="s">
        <v>1</v>
      </c>
      <c r="B3" s="86" t="s">
        <v>2</v>
      </c>
      <c r="C3" s="86" t="s">
        <v>3</v>
      </c>
      <c r="D3" s="87" t="s">
        <v>4</v>
      </c>
      <c r="E3" s="88" t="s">
        <v>5</v>
      </c>
      <c r="F3" s="88" t="s">
        <v>6</v>
      </c>
      <c r="G3" s="86" t="s">
        <v>7</v>
      </c>
      <c r="H3" s="89" t="s">
        <v>8</v>
      </c>
      <c r="I3" s="91" t="s">
        <v>9</v>
      </c>
      <c r="J3" s="86" t="s">
        <v>10</v>
      </c>
      <c r="K3" s="92" t="s">
        <v>11</v>
      </c>
      <c r="L3" s="93" t="s">
        <v>12</v>
      </c>
      <c r="M3" s="90" t="s">
        <v>13</v>
      </c>
      <c r="N3" s="202" t="s">
        <v>67</v>
      </c>
      <c r="O3" s="86" t="s">
        <v>68</v>
      </c>
      <c r="P3" s="51"/>
      <c r="Q3" s="51"/>
      <c r="R3" s="51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8" customFormat="1" ht="23.25" customHeight="1">
      <c r="A4" s="94"/>
      <c r="B4" s="94"/>
      <c r="C4" s="94"/>
      <c r="D4" s="95" t="s">
        <v>17</v>
      </c>
      <c r="E4" s="96"/>
      <c r="F4" s="97" t="s">
        <v>5</v>
      </c>
      <c r="G4" s="94"/>
      <c r="H4" s="98"/>
      <c r="I4" s="100"/>
      <c r="J4" s="94" t="s">
        <v>18</v>
      </c>
      <c r="K4" s="101" t="s">
        <v>19</v>
      </c>
      <c r="L4" s="102" t="s">
        <v>8</v>
      </c>
      <c r="M4" s="99"/>
      <c r="N4" s="284"/>
      <c r="O4" s="103"/>
      <c r="P4" s="51"/>
      <c r="Q4" s="51"/>
      <c r="R4" s="51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23.25" customHeight="1">
      <c r="A5" s="36">
        <v>1</v>
      </c>
      <c r="B5" s="121" t="s">
        <v>1719</v>
      </c>
      <c r="C5" s="122" t="s">
        <v>1720</v>
      </c>
      <c r="D5" s="115">
        <v>43110</v>
      </c>
      <c r="E5" s="285">
        <v>100000</v>
      </c>
      <c r="F5" s="206">
        <f>+I5*K5</f>
        <v>100000</v>
      </c>
      <c r="G5" s="113">
        <f>+E5/I5</f>
        <v>100000</v>
      </c>
      <c r="H5" s="214">
        <v>0</v>
      </c>
      <c r="I5" s="124">
        <v>1</v>
      </c>
      <c r="J5" s="286">
        <v>1</v>
      </c>
      <c r="K5" s="107">
        <f>+G5+H5</f>
        <v>100000</v>
      </c>
      <c r="L5" s="107">
        <f>+J5*K5</f>
        <v>100000</v>
      </c>
      <c r="M5" s="208">
        <f>+G5*J5</f>
        <v>100000</v>
      </c>
      <c r="N5" s="287"/>
      <c r="O5" s="209" t="s">
        <v>1721</v>
      </c>
      <c r="P5" s="108">
        <f>+M5</f>
        <v>100000</v>
      </c>
      <c r="Q5" s="107">
        <f>+'[2]DEND N2'!Z51</f>
        <v>100000</v>
      </c>
      <c r="R5" s="107">
        <f>+P5-Q5</f>
        <v>0</v>
      </c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ht="23.25" customHeight="1">
      <c r="A6" s="36">
        <f t="shared" ref="A6" si="0">+A5+1</f>
        <v>2</v>
      </c>
      <c r="B6" s="121" t="s">
        <v>1722</v>
      </c>
      <c r="C6" s="122" t="s">
        <v>1723</v>
      </c>
      <c r="D6" s="212">
        <v>42561</v>
      </c>
      <c r="E6" s="288">
        <v>500000</v>
      </c>
      <c r="F6" s="289">
        <f>+I6*K6</f>
        <v>500000</v>
      </c>
      <c r="G6" s="113">
        <f>+E6/I6</f>
        <v>500000</v>
      </c>
      <c r="H6" s="116">
        <v>0</v>
      </c>
      <c r="I6" s="124">
        <v>1</v>
      </c>
      <c r="J6" s="286">
        <v>1</v>
      </c>
      <c r="K6" s="107">
        <f>+G6+H6</f>
        <v>500000</v>
      </c>
      <c r="L6" s="140">
        <f>+J6*K6</f>
        <v>500000</v>
      </c>
      <c r="M6" s="140">
        <f>+G6*J6</f>
        <v>500000</v>
      </c>
      <c r="N6" s="150"/>
      <c r="O6" s="137" t="s">
        <v>1724</v>
      </c>
      <c r="P6" s="108">
        <f>+M6</f>
        <v>500000</v>
      </c>
      <c r="Q6" s="107">
        <f>+'[2]DEND N2'!Z52</f>
        <v>500000</v>
      </c>
      <c r="R6" s="107">
        <f>+P6-Q6</f>
        <v>0</v>
      </c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s="291" customFormat="1" ht="23.25" customHeight="1">
      <c r="A7" s="290">
        <f>+A6+1</f>
        <v>3</v>
      </c>
      <c r="B7" s="121" t="s">
        <v>1725</v>
      </c>
      <c r="C7" s="122" t="s">
        <v>1726</v>
      </c>
      <c r="D7" s="212">
        <v>42561</v>
      </c>
      <c r="E7" s="288">
        <v>750000</v>
      </c>
      <c r="F7" s="289">
        <f>+I7*K7</f>
        <v>750000</v>
      </c>
      <c r="G7" s="113">
        <f>+E7/I7</f>
        <v>750000</v>
      </c>
      <c r="H7" s="116">
        <v>0</v>
      </c>
      <c r="I7" s="124">
        <v>1</v>
      </c>
      <c r="J7" s="286">
        <v>1</v>
      </c>
      <c r="K7" s="107">
        <f>+G7+H7</f>
        <v>750000</v>
      </c>
      <c r="L7" s="140">
        <f>+J7*K7</f>
        <v>750000</v>
      </c>
      <c r="M7" s="140">
        <f>+G7*J7</f>
        <v>750000</v>
      </c>
      <c r="N7" s="150"/>
      <c r="O7" s="137" t="s">
        <v>1724</v>
      </c>
      <c r="P7" s="108">
        <f>+M7</f>
        <v>750000</v>
      </c>
      <c r="Q7" s="107">
        <f>+'[2]DEND N2'!Z53</f>
        <v>750000</v>
      </c>
      <c r="R7" s="107">
        <f>+P7-Q7</f>
        <v>0</v>
      </c>
    </row>
    <row r="8" spans="1:29" ht="23.25" customHeight="1">
      <c r="A8" s="36">
        <f>+A7+1</f>
        <v>4</v>
      </c>
      <c r="B8" s="121" t="s">
        <v>1725</v>
      </c>
      <c r="C8" s="122" t="s">
        <v>1726</v>
      </c>
      <c r="D8" s="115">
        <v>42745</v>
      </c>
      <c r="E8" s="292">
        <f>7500000*10%</f>
        <v>750000</v>
      </c>
      <c r="F8" s="293">
        <f>+I8*K8</f>
        <v>750000</v>
      </c>
      <c r="G8" s="294">
        <f>+E8/I8</f>
        <v>750000</v>
      </c>
      <c r="H8" s="294">
        <v>0</v>
      </c>
      <c r="I8" s="124">
        <v>1</v>
      </c>
      <c r="J8" s="286">
        <v>1</v>
      </c>
      <c r="K8" s="107">
        <f>+G8+H8</f>
        <v>750000</v>
      </c>
      <c r="L8" s="140">
        <f>+J8*K8</f>
        <v>750000</v>
      </c>
      <c r="M8" s="140">
        <f>+G8*J8</f>
        <v>750000</v>
      </c>
      <c r="N8" s="74"/>
      <c r="O8" s="137" t="s">
        <v>1727</v>
      </c>
      <c r="P8" s="108">
        <f>+M8</f>
        <v>750000</v>
      </c>
      <c r="Q8" s="107">
        <f>+'[2]DEND N2'!Z54</f>
        <v>750000</v>
      </c>
      <c r="R8" s="107">
        <f>+P8-Q8</f>
        <v>0</v>
      </c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>
      <c r="A9" s="36"/>
      <c r="B9" s="295"/>
      <c r="C9" s="296"/>
      <c r="D9" s="142"/>
      <c r="E9" s="108"/>
      <c r="F9" s="108"/>
      <c r="G9" s="108"/>
      <c r="H9" s="108"/>
      <c r="I9" s="144"/>
      <c r="J9" s="36"/>
      <c r="K9" s="108"/>
      <c r="L9" s="283"/>
      <c r="M9" s="108"/>
      <c r="N9" s="297"/>
      <c r="O9" s="298"/>
      <c r="P9" s="107"/>
      <c r="Q9" s="107"/>
      <c r="R9" s="107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ht="23.25" customHeight="1">
      <c r="A10" s="36"/>
      <c r="B10" s="186" t="s">
        <v>6</v>
      </c>
      <c r="C10" s="36"/>
      <c r="D10" s="129"/>
      <c r="E10" s="33">
        <f t="shared" ref="E10:M10" si="1">SUM(E5:E9)</f>
        <v>2100000</v>
      </c>
      <c r="F10" s="33">
        <f t="shared" si="1"/>
        <v>2100000</v>
      </c>
      <c r="G10" s="33">
        <f t="shared" si="1"/>
        <v>2100000</v>
      </c>
      <c r="H10" s="33">
        <f t="shared" si="1"/>
        <v>0</v>
      </c>
      <c r="I10" s="33">
        <f t="shared" si="1"/>
        <v>4</v>
      </c>
      <c r="J10" s="33">
        <f t="shared" si="1"/>
        <v>4</v>
      </c>
      <c r="K10" s="33">
        <f t="shared" si="1"/>
        <v>2100000</v>
      </c>
      <c r="L10" s="33">
        <f t="shared" si="1"/>
        <v>2100000</v>
      </c>
      <c r="M10" s="33">
        <f t="shared" si="1"/>
        <v>2100000</v>
      </c>
      <c r="N10" s="150"/>
      <c r="O10" s="151"/>
      <c r="P10" s="33">
        <f>SUM(P5:P9)</f>
        <v>2100000</v>
      </c>
      <c r="Q10" s="33">
        <f>SUM(Q5:Q9)</f>
        <v>2100000</v>
      </c>
      <c r="R10" s="33">
        <f>SUM(R5:R9)</f>
        <v>0</v>
      </c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>
      <c r="B11" s="291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>
      <c r="B12" s="291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>
      <c r="B13" s="291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>
      <c r="B14" s="291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>
      <c r="B15" s="29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spans="1:29">
      <c r="B16" s="291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spans="1:29">
      <c r="B17" s="291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>
      <c r="B18" s="291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1:29">
      <c r="B19" s="291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>
      <c r="B20" s="29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>
      <c r="A21" s="46"/>
      <c r="B21" s="291"/>
      <c r="C21" s="46"/>
      <c r="D21" s="46"/>
      <c r="E21" s="46"/>
      <c r="F21" s="46"/>
      <c r="G21" s="46"/>
      <c r="H21" s="46"/>
      <c r="I21" s="46"/>
      <c r="K21" s="46"/>
      <c r="L21" s="46"/>
      <c r="M21" s="84"/>
      <c r="N21" s="46"/>
      <c r="O21" s="46"/>
      <c r="P21" s="84"/>
      <c r="Q21" s="84"/>
      <c r="R21" s="84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>
      <c r="A22" s="46"/>
      <c r="B22" s="291"/>
      <c r="C22" s="46"/>
      <c r="D22" s="46"/>
      <c r="E22" s="46"/>
      <c r="F22" s="46"/>
      <c r="G22" s="46"/>
      <c r="H22" s="46"/>
      <c r="I22" s="46"/>
      <c r="K22" s="46"/>
      <c r="L22" s="46"/>
      <c r="M22" s="84"/>
      <c r="N22" s="46"/>
      <c r="O22" s="46"/>
      <c r="P22" s="84"/>
      <c r="Q22" s="84"/>
      <c r="R22" s="84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>
      <c r="A23" s="46"/>
      <c r="B23" s="291"/>
      <c r="C23" s="46"/>
      <c r="D23" s="46"/>
      <c r="E23" s="46"/>
      <c r="F23" s="46"/>
      <c r="G23" s="46"/>
      <c r="H23" s="46"/>
      <c r="I23" s="46"/>
      <c r="K23" s="46"/>
      <c r="L23" s="46"/>
      <c r="M23" s="84"/>
      <c r="N23" s="46"/>
      <c r="O23" s="46"/>
      <c r="P23" s="84"/>
      <c r="Q23" s="84"/>
      <c r="R23" s="84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>
      <c r="A24" s="46"/>
      <c r="B24" s="291"/>
      <c r="C24" s="46"/>
      <c r="D24" s="46"/>
      <c r="E24" s="46"/>
      <c r="F24" s="46"/>
      <c r="G24" s="46"/>
      <c r="H24" s="46"/>
      <c r="I24" s="46"/>
      <c r="K24" s="46"/>
      <c r="L24" s="46"/>
      <c r="M24" s="84"/>
      <c r="N24" s="46"/>
      <c r="O24" s="46"/>
      <c r="P24" s="84"/>
      <c r="Q24" s="84"/>
      <c r="R24" s="84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>
      <c r="A25" s="46"/>
      <c r="B25" s="291"/>
      <c r="C25" s="46"/>
      <c r="D25" s="46"/>
      <c r="E25" s="46"/>
      <c r="F25" s="46"/>
      <c r="G25" s="46"/>
      <c r="H25" s="46"/>
      <c r="I25" s="46"/>
      <c r="K25" s="46"/>
      <c r="L25" s="46"/>
      <c r="M25" s="84"/>
      <c r="N25" s="46"/>
      <c r="O25" s="46"/>
      <c r="P25" s="84"/>
      <c r="Q25" s="84"/>
      <c r="R25" s="84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>
      <c r="A26" s="46"/>
      <c r="B26" s="291"/>
      <c r="C26" s="46"/>
      <c r="D26" s="46"/>
      <c r="E26" s="46"/>
      <c r="F26" s="46"/>
      <c r="G26" s="46"/>
      <c r="H26" s="46"/>
      <c r="I26" s="46"/>
      <c r="K26" s="46"/>
      <c r="L26" s="46"/>
      <c r="M26" s="84"/>
      <c r="N26" s="46"/>
      <c r="O26" s="46"/>
      <c r="P26" s="84"/>
      <c r="Q26" s="84"/>
      <c r="R26" s="84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>
      <c r="A27" s="46"/>
      <c r="B27" s="291"/>
      <c r="C27" s="46"/>
      <c r="D27" s="46"/>
      <c r="E27" s="46"/>
      <c r="F27" s="46"/>
      <c r="G27" s="46"/>
      <c r="H27" s="46"/>
      <c r="I27" s="46"/>
      <c r="K27" s="46"/>
      <c r="L27" s="46"/>
      <c r="M27" s="84"/>
      <c r="N27" s="46"/>
      <c r="O27" s="46"/>
      <c r="P27" s="84"/>
      <c r="Q27" s="84"/>
      <c r="R27" s="84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>
      <c r="A28" s="46"/>
      <c r="B28" s="291"/>
      <c r="C28" s="46"/>
      <c r="D28" s="46"/>
      <c r="E28" s="46"/>
      <c r="F28" s="46"/>
      <c r="G28" s="46"/>
      <c r="H28" s="46"/>
      <c r="I28" s="46"/>
      <c r="K28" s="46"/>
      <c r="L28" s="46"/>
      <c r="M28" s="84"/>
      <c r="N28" s="46"/>
      <c r="O28" s="46"/>
      <c r="P28" s="84"/>
      <c r="Q28" s="84"/>
      <c r="R28" s="84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>
      <c r="A29" s="46"/>
      <c r="B29" s="291"/>
      <c r="C29" s="46"/>
      <c r="D29" s="46"/>
      <c r="E29" s="46"/>
      <c r="F29" s="46"/>
      <c r="G29" s="46"/>
      <c r="H29" s="46"/>
      <c r="I29" s="46"/>
      <c r="K29" s="46"/>
      <c r="L29" s="46"/>
      <c r="M29" s="84"/>
      <c r="N29" s="46"/>
      <c r="O29" s="46"/>
      <c r="P29" s="84"/>
      <c r="Q29" s="84"/>
      <c r="R29" s="84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>
      <c r="A30" s="46"/>
      <c r="B30" s="291"/>
      <c r="C30" s="46"/>
      <c r="D30" s="46"/>
      <c r="E30" s="46"/>
      <c r="F30" s="46"/>
      <c r="G30" s="46"/>
      <c r="H30" s="46"/>
      <c r="I30" s="46"/>
      <c r="K30" s="46"/>
      <c r="L30" s="46"/>
      <c r="M30" s="84"/>
      <c r="N30" s="46"/>
      <c r="O30" s="46"/>
      <c r="P30" s="84"/>
      <c r="Q30" s="84"/>
      <c r="R30" s="84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>
      <c r="A31" s="46"/>
      <c r="B31" s="291"/>
      <c r="C31" s="46"/>
      <c r="D31" s="46"/>
      <c r="E31" s="46"/>
      <c r="F31" s="46"/>
      <c r="G31" s="46"/>
      <c r="H31" s="46"/>
      <c r="I31" s="46"/>
      <c r="K31" s="46"/>
      <c r="L31" s="46"/>
      <c r="M31" s="84"/>
      <c r="N31" s="46"/>
      <c r="O31" s="46"/>
      <c r="P31" s="84"/>
      <c r="Q31" s="84"/>
      <c r="R31" s="84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>
      <c r="A32" s="46"/>
      <c r="B32" s="291"/>
      <c r="C32" s="46"/>
      <c r="D32" s="46"/>
      <c r="E32" s="46"/>
      <c r="F32" s="46"/>
      <c r="G32" s="46"/>
      <c r="H32" s="46"/>
      <c r="I32" s="46"/>
      <c r="K32" s="46"/>
      <c r="L32" s="46"/>
      <c r="M32" s="84"/>
      <c r="N32" s="46"/>
      <c r="O32" s="46"/>
      <c r="P32" s="84"/>
      <c r="Q32" s="84"/>
      <c r="R32" s="84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>
      <c r="A33" s="46"/>
      <c r="B33" s="291"/>
      <c r="C33" s="46"/>
      <c r="D33" s="46"/>
      <c r="E33" s="46"/>
      <c r="F33" s="46"/>
      <c r="G33" s="46"/>
      <c r="H33" s="46"/>
      <c r="I33" s="46"/>
      <c r="K33" s="46"/>
      <c r="L33" s="46"/>
      <c r="M33" s="84"/>
      <c r="N33" s="46"/>
      <c r="O33" s="46"/>
      <c r="P33" s="84"/>
      <c r="Q33" s="84"/>
      <c r="R33" s="8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>
      <c r="A34" s="46"/>
      <c r="B34" s="291"/>
      <c r="C34" s="46"/>
      <c r="D34" s="46"/>
      <c r="E34" s="46"/>
      <c r="F34" s="46"/>
      <c r="G34" s="46"/>
      <c r="H34" s="46"/>
      <c r="I34" s="46"/>
      <c r="K34" s="46"/>
      <c r="L34" s="46"/>
      <c r="M34" s="84"/>
      <c r="N34" s="46"/>
      <c r="O34" s="46"/>
      <c r="P34" s="84"/>
      <c r="Q34" s="84"/>
      <c r="R34" s="84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>
      <c r="A35" s="46"/>
      <c r="B35" s="291"/>
      <c r="C35" s="46"/>
      <c r="D35" s="46"/>
      <c r="E35" s="46"/>
      <c r="F35" s="46"/>
      <c r="G35" s="46"/>
      <c r="H35" s="46"/>
      <c r="I35" s="46"/>
      <c r="K35" s="46"/>
      <c r="L35" s="46"/>
      <c r="M35" s="84"/>
      <c r="N35" s="46"/>
      <c r="O35" s="46"/>
      <c r="P35" s="84"/>
      <c r="Q35" s="84"/>
      <c r="R35" s="84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>
      <c r="A36" s="46"/>
      <c r="B36" s="291"/>
      <c r="C36" s="46"/>
      <c r="D36" s="46"/>
      <c r="E36" s="46"/>
      <c r="F36" s="46"/>
      <c r="G36" s="46"/>
      <c r="H36" s="46"/>
      <c r="I36" s="46"/>
      <c r="K36" s="46"/>
      <c r="L36" s="46"/>
      <c r="M36" s="84"/>
      <c r="N36" s="46"/>
      <c r="O36" s="46"/>
      <c r="P36" s="84"/>
      <c r="Q36" s="84"/>
      <c r="R36" s="84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>
      <c r="A37" s="46"/>
      <c r="B37" s="291"/>
      <c r="C37" s="46"/>
      <c r="D37" s="46"/>
      <c r="E37" s="46"/>
      <c r="F37" s="46"/>
      <c r="G37" s="46"/>
      <c r="H37" s="46"/>
      <c r="I37" s="46"/>
      <c r="K37" s="46"/>
      <c r="L37" s="46"/>
      <c r="M37" s="84"/>
      <c r="N37" s="46"/>
      <c r="O37" s="46"/>
      <c r="P37" s="84"/>
      <c r="Q37" s="84"/>
      <c r="R37" s="84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>
      <c r="A38" s="46"/>
      <c r="B38" s="291"/>
      <c r="C38" s="46"/>
      <c r="D38" s="46"/>
      <c r="E38" s="46"/>
      <c r="F38" s="46"/>
      <c r="G38" s="46"/>
      <c r="H38" s="46"/>
      <c r="I38" s="46"/>
      <c r="K38" s="46"/>
      <c r="L38" s="46"/>
      <c r="M38" s="84"/>
      <c r="N38" s="46"/>
      <c r="O38" s="46"/>
      <c r="P38" s="84"/>
      <c r="Q38" s="84"/>
      <c r="R38" s="84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>
      <c r="A39" s="46"/>
      <c r="B39" s="291"/>
      <c r="C39" s="46"/>
      <c r="D39" s="46"/>
      <c r="E39" s="46"/>
      <c r="F39" s="46"/>
      <c r="G39" s="46"/>
      <c r="H39" s="46"/>
      <c r="I39" s="46"/>
      <c r="K39" s="46"/>
      <c r="L39" s="46"/>
      <c r="M39" s="84"/>
      <c r="N39" s="46"/>
      <c r="O39" s="46"/>
      <c r="P39" s="84"/>
      <c r="Q39" s="84"/>
      <c r="R39" s="84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>
      <c r="A40" s="46"/>
      <c r="B40" s="291"/>
      <c r="C40" s="46"/>
      <c r="D40" s="46"/>
      <c r="E40" s="46"/>
      <c r="F40" s="46"/>
      <c r="G40" s="46"/>
      <c r="H40" s="46"/>
      <c r="I40" s="46"/>
      <c r="K40" s="46"/>
      <c r="L40" s="46"/>
      <c r="M40" s="84"/>
      <c r="N40" s="46"/>
      <c r="O40" s="46"/>
      <c r="P40" s="84"/>
      <c r="Q40" s="84"/>
      <c r="R40" s="84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>
      <c r="A41" s="46"/>
      <c r="B41" s="291"/>
      <c r="C41" s="46"/>
      <c r="D41" s="46"/>
      <c r="E41" s="46"/>
      <c r="F41" s="46"/>
      <c r="G41" s="46"/>
      <c r="H41" s="46"/>
      <c r="I41" s="46"/>
      <c r="K41" s="46"/>
      <c r="L41" s="46"/>
      <c r="M41" s="84"/>
      <c r="N41" s="46"/>
      <c r="O41" s="46"/>
      <c r="P41" s="84"/>
      <c r="Q41" s="84"/>
      <c r="R41" s="84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>
      <c r="A42" s="46"/>
      <c r="B42" s="291"/>
      <c r="C42" s="46"/>
      <c r="D42" s="46"/>
      <c r="E42" s="46"/>
      <c r="F42" s="46"/>
      <c r="G42" s="46"/>
      <c r="H42" s="46"/>
      <c r="I42" s="46"/>
      <c r="K42" s="46"/>
      <c r="L42" s="46"/>
      <c r="M42" s="84"/>
      <c r="N42" s="46"/>
      <c r="O42" s="46"/>
      <c r="P42" s="84"/>
      <c r="Q42" s="84"/>
      <c r="R42" s="84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>
      <c r="A43" s="46"/>
      <c r="B43" s="291"/>
      <c r="C43" s="46"/>
      <c r="D43" s="46"/>
      <c r="E43" s="46"/>
      <c r="F43" s="46"/>
      <c r="G43" s="46"/>
      <c r="H43" s="46"/>
      <c r="I43" s="46"/>
      <c r="K43" s="46"/>
      <c r="L43" s="46"/>
      <c r="M43" s="84"/>
      <c r="N43" s="46"/>
      <c r="O43" s="46"/>
      <c r="P43" s="84"/>
      <c r="Q43" s="84"/>
      <c r="R43" s="84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>
      <c r="A44" s="46"/>
      <c r="B44" s="291"/>
      <c r="C44" s="46"/>
      <c r="D44" s="46"/>
      <c r="E44" s="46"/>
      <c r="F44" s="46"/>
      <c r="G44" s="46"/>
      <c r="H44" s="46"/>
      <c r="I44" s="46"/>
      <c r="K44" s="46"/>
      <c r="L44" s="46"/>
      <c r="M44" s="84"/>
      <c r="N44" s="46"/>
      <c r="O44" s="46"/>
      <c r="P44" s="84"/>
      <c r="Q44" s="84"/>
      <c r="R44" s="84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>
      <c r="A45" s="46"/>
      <c r="B45" s="291"/>
      <c r="C45" s="46"/>
      <c r="D45" s="46"/>
      <c r="E45" s="46"/>
      <c r="F45" s="46"/>
      <c r="G45" s="46"/>
      <c r="H45" s="46"/>
      <c r="I45" s="46"/>
      <c r="K45" s="46"/>
      <c r="L45" s="46"/>
      <c r="M45" s="84"/>
      <c r="N45" s="46"/>
      <c r="O45" s="46"/>
      <c r="P45" s="84"/>
      <c r="Q45" s="84"/>
      <c r="R45" s="84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>
      <c r="A46" s="46"/>
      <c r="B46" s="291"/>
      <c r="C46" s="46"/>
      <c r="D46" s="46"/>
      <c r="E46" s="46"/>
      <c r="F46" s="46"/>
      <c r="G46" s="46"/>
      <c r="H46" s="46"/>
      <c r="I46" s="46"/>
      <c r="K46" s="46"/>
      <c r="L46" s="46"/>
      <c r="M46" s="84"/>
      <c r="N46" s="46"/>
      <c r="O46" s="46"/>
      <c r="P46" s="84"/>
      <c r="Q46" s="84"/>
      <c r="R46" s="84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>
      <c r="A47" s="46"/>
      <c r="B47" s="291"/>
      <c r="C47" s="46"/>
      <c r="D47" s="46"/>
      <c r="E47" s="46"/>
      <c r="F47" s="46"/>
      <c r="G47" s="46"/>
      <c r="H47" s="46"/>
      <c r="I47" s="46"/>
      <c r="K47" s="46"/>
      <c r="L47" s="46"/>
      <c r="M47" s="84"/>
      <c r="N47" s="46"/>
      <c r="O47" s="46"/>
      <c r="P47" s="84"/>
      <c r="Q47" s="84"/>
      <c r="R47" s="84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>
      <c r="A48" s="46"/>
      <c r="B48" s="291"/>
      <c r="C48" s="46"/>
      <c r="D48" s="46"/>
      <c r="E48" s="46"/>
      <c r="F48" s="46"/>
      <c r="G48" s="46"/>
      <c r="H48" s="46"/>
      <c r="I48" s="46"/>
      <c r="K48" s="46"/>
      <c r="L48" s="46"/>
      <c r="M48" s="84"/>
      <c r="N48" s="46"/>
      <c r="O48" s="46"/>
      <c r="P48" s="84"/>
      <c r="Q48" s="84"/>
      <c r="R48" s="84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>
      <c r="A49" s="46"/>
      <c r="B49" s="291"/>
      <c r="C49" s="46"/>
      <c r="D49" s="46"/>
      <c r="E49" s="46"/>
      <c r="F49" s="46"/>
      <c r="G49" s="46"/>
      <c r="H49" s="46"/>
      <c r="I49" s="46"/>
      <c r="K49" s="46"/>
      <c r="L49" s="46"/>
      <c r="M49" s="84"/>
      <c r="N49" s="46"/>
      <c r="O49" s="46"/>
      <c r="P49" s="84"/>
      <c r="Q49" s="84"/>
      <c r="R49" s="84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>
      <c r="A50" s="46"/>
      <c r="B50" s="291"/>
      <c r="C50" s="46"/>
      <c r="D50" s="46"/>
      <c r="E50" s="46"/>
      <c r="F50" s="46"/>
      <c r="G50" s="46"/>
      <c r="H50" s="46"/>
      <c r="I50" s="46"/>
      <c r="K50" s="46"/>
      <c r="L50" s="46"/>
      <c r="M50" s="84"/>
      <c r="N50" s="46"/>
      <c r="O50" s="46"/>
      <c r="P50" s="84"/>
      <c r="Q50" s="84"/>
      <c r="R50" s="84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>
      <c r="A51" s="46"/>
      <c r="B51" s="291"/>
      <c r="C51" s="46"/>
      <c r="D51" s="46"/>
      <c r="E51" s="46"/>
      <c r="F51" s="46"/>
      <c r="G51" s="46"/>
      <c r="H51" s="46"/>
      <c r="I51" s="46"/>
      <c r="K51" s="46"/>
      <c r="L51" s="46"/>
      <c r="M51" s="84"/>
      <c r="N51" s="46"/>
      <c r="O51" s="46"/>
      <c r="P51" s="84"/>
      <c r="Q51" s="84"/>
      <c r="R51" s="84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>
      <c r="A52" s="46"/>
      <c r="B52" s="291"/>
      <c r="C52" s="46"/>
      <c r="D52" s="46"/>
      <c r="E52" s="46"/>
      <c r="F52" s="46"/>
      <c r="G52" s="46"/>
      <c r="H52" s="46"/>
      <c r="I52" s="46"/>
      <c r="K52" s="46"/>
      <c r="L52" s="46"/>
      <c r="M52" s="84"/>
      <c r="N52" s="46"/>
      <c r="O52" s="46"/>
      <c r="P52" s="84"/>
      <c r="Q52" s="84"/>
      <c r="R52" s="84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>
      <c r="A53" s="46"/>
      <c r="B53" s="291"/>
      <c r="C53" s="46"/>
      <c r="D53" s="46"/>
      <c r="E53" s="46"/>
      <c r="F53" s="46"/>
      <c r="G53" s="46"/>
      <c r="H53" s="46"/>
      <c r="I53" s="46"/>
      <c r="K53" s="46"/>
      <c r="L53" s="46"/>
      <c r="M53" s="84"/>
      <c r="N53" s="46"/>
      <c r="O53" s="46"/>
      <c r="P53" s="84"/>
      <c r="Q53" s="84"/>
      <c r="R53" s="84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>
      <c r="A54" s="46"/>
      <c r="B54" s="291"/>
      <c r="C54" s="46"/>
      <c r="D54" s="46"/>
      <c r="E54" s="46"/>
      <c r="F54" s="46"/>
      <c r="G54" s="46"/>
      <c r="H54" s="46"/>
      <c r="I54" s="46"/>
      <c r="K54" s="46"/>
      <c r="L54" s="46"/>
      <c r="M54" s="84"/>
      <c r="N54" s="46"/>
      <c r="O54" s="46"/>
      <c r="P54" s="84"/>
      <c r="Q54" s="84"/>
      <c r="R54" s="84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>
      <c r="A55" s="46"/>
      <c r="B55" s="291"/>
      <c r="C55" s="46"/>
      <c r="D55" s="46"/>
      <c r="E55" s="46"/>
      <c r="F55" s="46"/>
      <c r="G55" s="46"/>
      <c r="H55" s="46"/>
      <c r="I55" s="46"/>
      <c r="K55" s="46"/>
      <c r="L55" s="46"/>
      <c r="M55" s="84"/>
      <c r="N55" s="46"/>
      <c r="O55" s="46"/>
      <c r="P55" s="84"/>
      <c r="Q55" s="84"/>
      <c r="R55" s="84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>
      <c r="A56" s="46"/>
      <c r="B56" s="291"/>
      <c r="C56" s="46"/>
      <c r="D56" s="46"/>
      <c r="E56" s="46"/>
      <c r="F56" s="46"/>
      <c r="G56" s="46"/>
      <c r="H56" s="46"/>
      <c r="I56" s="46"/>
      <c r="K56" s="46"/>
      <c r="L56" s="46"/>
      <c r="M56" s="84"/>
      <c r="N56" s="46"/>
      <c r="O56" s="46"/>
      <c r="P56" s="84"/>
      <c r="Q56" s="84"/>
      <c r="R56" s="84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>
      <c r="A57" s="46"/>
      <c r="B57" s="291"/>
      <c r="C57" s="46"/>
      <c r="D57" s="46"/>
      <c r="E57" s="46"/>
      <c r="F57" s="46"/>
      <c r="G57" s="46"/>
      <c r="H57" s="46"/>
      <c r="I57" s="46"/>
      <c r="K57" s="46"/>
      <c r="L57" s="46"/>
      <c r="M57" s="84"/>
      <c r="N57" s="46"/>
      <c r="O57" s="46"/>
      <c r="P57" s="84"/>
      <c r="Q57" s="84"/>
      <c r="R57" s="84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>
      <c r="A58" s="46"/>
      <c r="B58" s="291"/>
      <c r="C58" s="46"/>
      <c r="D58" s="46"/>
      <c r="E58" s="46"/>
      <c r="F58" s="46"/>
      <c r="G58" s="46"/>
      <c r="H58" s="46"/>
      <c r="I58" s="46"/>
      <c r="K58" s="46"/>
      <c r="L58" s="46"/>
      <c r="M58" s="84"/>
      <c r="N58" s="46"/>
      <c r="O58" s="46"/>
      <c r="P58" s="84"/>
      <c r="Q58" s="84"/>
      <c r="R58" s="84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>
      <c r="A59" s="46"/>
      <c r="B59" s="291"/>
      <c r="C59" s="46"/>
      <c r="D59" s="46"/>
      <c r="E59" s="46"/>
      <c r="F59" s="46"/>
      <c r="G59" s="46"/>
      <c r="H59" s="46"/>
      <c r="I59" s="46"/>
      <c r="K59" s="46"/>
      <c r="L59" s="46"/>
      <c r="M59" s="84"/>
      <c r="N59" s="46"/>
      <c r="O59" s="46"/>
      <c r="P59" s="84"/>
      <c r="Q59" s="84"/>
      <c r="R59" s="84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>
      <c r="A60" s="46"/>
      <c r="B60" s="291"/>
      <c r="C60" s="46"/>
      <c r="D60" s="46"/>
      <c r="E60" s="46"/>
      <c r="F60" s="46"/>
      <c r="G60" s="46"/>
      <c r="H60" s="46"/>
      <c r="I60" s="46"/>
      <c r="K60" s="46"/>
      <c r="L60" s="46"/>
      <c r="M60" s="84"/>
      <c r="N60" s="46"/>
      <c r="O60" s="46"/>
      <c r="P60" s="84"/>
      <c r="Q60" s="84"/>
      <c r="R60" s="84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>
      <c r="A61" s="46"/>
      <c r="B61" s="291"/>
      <c r="C61" s="46"/>
      <c r="D61" s="46"/>
      <c r="E61" s="46"/>
      <c r="F61" s="46"/>
      <c r="G61" s="46"/>
      <c r="H61" s="46"/>
      <c r="I61" s="46"/>
      <c r="K61" s="46"/>
      <c r="L61" s="46"/>
      <c r="M61" s="84"/>
      <c r="N61" s="46"/>
      <c r="O61" s="46"/>
      <c r="P61" s="84"/>
      <c r="Q61" s="84"/>
      <c r="R61" s="84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>
      <c r="A62" s="46"/>
      <c r="B62" s="291"/>
      <c r="C62" s="46"/>
      <c r="D62" s="46"/>
      <c r="E62" s="46"/>
      <c r="F62" s="46"/>
      <c r="G62" s="46"/>
      <c r="H62" s="46"/>
      <c r="I62" s="46"/>
      <c r="K62" s="46"/>
      <c r="L62" s="46"/>
      <c r="M62" s="84"/>
      <c r="N62" s="46"/>
      <c r="O62" s="46"/>
      <c r="P62" s="84"/>
      <c r="Q62" s="84"/>
      <c r="R62" s="84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>
      <c r="A63" s="46"/>
      <c r="B63" s="291"/>
      <c r="C63" s="46"/>
      <c r="D63" s="46"/>
      <c r="E63" s="46"/>
      <c r="F63" s="46"/>
      <c r="G63" s="46"/>
      <c r="H63" s="46"/>
      <c r="I63" s="46"/>
      <c r="K63" s="46"/>
      <c r="L63" s="46"/>
      <c r="M63" s="84"/>
      <c r="N63" s="46"/>
      <c r="O63" s="46"/>
      <c r="P63" s="84"/>
      <c r="Q63" s="84"/>
      <c r="R63" s="84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>
      <c r="A64" s="46"/>
      <c r="B64" s="291"/>
      <c r="C64" s="46"/>
      <c r="D64" s="46"/>
      <c r="E64" s="46"/>
      <c r="F64" s="46"/>
      <c r="G64" s="46"/>
      <c r="H64" s="46"/>
      <c r="I64" s="46"/>
      <c r="K64" s="46"/>
      <c r="L64" s="46"/>
      <c r="M64" s="84"/>
      <c r="N64" s="46"/>
      <c r="O64" s="46"/>
      <c r="P64" s="84"/>
      <c r="Q64" s="84"/>
      <c r="R64" s="84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>
      <c r="A65" s="46"/>
      <c r="B65" s="291"/>
      <c r="C65" s="46"/>
      <c r="D65" s="46"/>
      <c r="E65" s="46"/>
      <c r="F65" s="46"/>
      <c r="G65" s="46"/>
      <c r="H65" s="46"/>
      <c r="I65" s="46"/>
      <c r="K65" s="46"/>
      <c r="L65" s="46"/>
      <c r="M65" s="84"/>
      <c r="N65" s="46"/>
      <c r="O65" s="46"/>
      <c r="P65" s="84"/>
      <c r="Q65" s="84"/>
      <c r="R65" s="84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>
      <c r="A66" s="46"/>
      <c r="B66" s="291"/>
      <c r="C66" s="46"/>
      <c r="D66" s="46"/>
      <c r="E66" s="46"/>
      <c r="F66" s="46"/>
      <c r="G66" s="46"/>
      <c r="H66" s="46"/>
      <c r="I66" s="46"/>
      <c r="K66" s="46"/>
      <c r="L66" s="46"/>
      <c r="M66" s="84"/>
      <c r="N66" s="46"/>
      <c r="O66" s="46"/>
      <c r="P66" s="84"/>
      <c r="Q66" s="84"/>
      <c r="R66" s="84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>
      <c r="A67" s="46"/>
      <c r="B67" s="291"/>
      <c r="C67" s="46"/>
      <c r="D67" s="46"/>
      <c r="E67" s="46"/>
      <c r="F67" s="46"/>
      <c r="G67" s="46"/>
      <c r="H67" s="46"/>
      <c r="I67" s="46"/>
      <c r="K67" s="46"/>
      <c r="L67" s="46"/>
      <c r="M67" s="84"/>
      <c r="N67" s="46"/>
      <c r="O67" s="46"/>
      <c r="P67" s="84"/>
      <c r="Q67" s="84"/>
      <c r="R67" s="84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>
      <c r="A68" s="46"/>
      <c r="B68" s="291"/>
      <c r="C68" s="46"/>
      <c r="D68" s="46"/>
      <c r="E68" s="46"/>
      <c r="F68" s="46"/>
      <c r="G68" s="46"/>
      <c r="H68" s="46"/>
      <c r="I68" s="46"/>
      <c r="K68" s="46"/>
      <c r="L68" s="46"/>
      <c r="M68" s="84"/>
      <c r="N68" s="46"/>
      <c r="O68" s="46"/>
      <c r="P68" s="84"/>
      <c r="Q68" s="84"/>
      <c r="R68" s="84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>
      <c r="A69" s="46"/>
      <c r="B69" s="291"/>
      <c r="C69" s="46"/>
      <c r="D69" s="46"/>
      <c r="E69" s="46"/>
      <c r="F69" s="46"/>
      <c r="G69" s="46"/>
      <c r="H69" s="46"/>
      <c r="I69" s="46"/>
      <c r="K69" s="46"/>
      <c r="L69" s="46"/>
      <c r="M69" s="84"/>
      <c r="N69" s="46"/>
      <c r="O69" s="46"/>
      <c r="P69" s="84"/>
      <c r="Q69" s="84"/>
      <c r="R69" s="84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>
      <c r="A70" s="46"/>
      <c r="B70" s="291"/>
      <c r="C70" s="46"/>
      <c r="D70" s="46"/>
      <c r="E70" s="46"/>
      <c r="F70" s="46"/>
      <c r="G70" s="46"/>
      <c r="H70" s="46"/>
      <c r="I70" s="46"/>
      <c r="K70" s="46"/>
      <c r="L70" s="46"/>
      <c r="M70" s="84"/>
      <c r="N70" s="46"/>
      <c r="O70" s="46"/>
      <c r="P70" s="84"/>
      <c r="Q70" s="84"/>
      <c r="R70" s="84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>
      <c r="A71" s="46"/>
      <c r="B71" s="291"/>
      <c r="C71" s="46"/>
      <c r="D71" s="46"/>
      <c r="E71" s="46"/>
      <c r="F71" s="46"/>
      <c r="G71" s="46"/>
      <c r="H71" s="46"/>
      <c r="I71" s="46"/>
      <c r="K71" s="46"/>
      <c r="L71" s="46"/>
      <c r="M71" s="84"/>
      <c r="N71" s="46"/>
      <c r="O71" s="46"/>
      <c r="P71" s="84"/>
      <c r="Q71" s="84"/>
      <c r="R71" s="84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>
      <c r="A72" s="46"/>
      <c r="B72" s="291"/>
      <c r="C72" s="46"/>
      <c r="D72" s="46"/>
      <c r="E72" s="46"/>
      <c r="F72" s="46"/>
      <c r="G72" s="46"/>
      <c r="H72" s="46"/>
      <c r="I72" s="46"/>
      <c r="K72" s="46"/>
      <c r="L72" s="46"/>
      <c r="M72" s="84"/>
      <c r="N72" s="46"/>
      <c r="O72" s="46"/>
      <c r="P72" s="84"/>
      <c r="Q72" s="84"/>
      <c r="R72" s="84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>
      <c r="A73" s="46"/>
      <c r="B73" s="291"/>
      <c r="C73" s="46"/>
      <c r="D73" s="46"/>
      <c r="E73" s="46"/>
      <c r="F73" s="46"/>
      <c r="G73" s="46"/>
      <c r="H73" s="46"/>
      <c r="I73" s="46"/>
      <c r="K73" s="46"/>
      <c r="L73" s="46"/>
      <c r="M73" s="84"/>
      <c r="N73" s="46"/>
      <c r="O73" s="46"/>
      <c r="P73" s="84"/>
      <c r="Q73" s="84"/>
      <c r="R73" s="84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>
      <c r="A74" s="46"/>
      <c r="B74" s="291"/>
      <c r="C74" s="46"/>
      <c r="D74" s="46"/>
      <c r="E74" s="46"/>
      <c r="F74" s="46"/>
      <c r="G74" s="46"/>
      <c r="H74" s="46"/>
      <c r="I74" s="46"/>
      <c r="K74" s="46"/>
      <c r="L74" s="46"/>
      <c r="M74" s="84"/>
      <c r="N74" s="46"/>
      <c r="O74" s="46"/>
      <c r="P74" s="84"/>
      <c r="Q74" s="84"/>
      <c r="R74" s="84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>
      <c r="A75" s="46"/>
      <c r="B75" s="291"/>
      <c r="C75" s="46"/>
      <c r="D75" s="46"/>
      <c r="E75" s="46"/>
      <c r="F75" s="46"/>
      <c r="G75" s="46"/>
      <c r="H75" s="46"/>
      <c r="I75" s="46"/>
      <c r="K75" s="46"/>
      <c r="L75" s="46"/>
      <c r="M75" s="84"/>
      <c r="N75" s="46"/>
      <c r="O75" s="46"/>
      <c r="P75" s="84"/>
      <c r="Q75" s="84"/>
      <c r="R75" s="84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>
      <c r="A76" s="46"/>
      <c r="B76" s="291"/>
      <c r="C76" s="46"/>
      <c r="D76" s="46"/>
      <c r="E76" s="46"/>
      <c r="F76" s="46"/>
      <c r="G76" s="46"/>
      <c r="H76" s="46"/>
      <c r="I76" s="46"/>
      <c r="K76" s="46"/>
      <c r="L76" s="46"/>
      <c r="M76" s="84"/>
      <c r="N76" s="46"/>
      <c r="O76" s="46"/>
      <c r="P76" s="84"/>
      <c r="Q76" s="84"/>
      <c r="R76" s="84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>
      <c r="A77" s="46"/>
      <c r="B77" s="291"/>
      <c r="C77" s="46"/>
      <c r="D77" s="46"/>
      <c r="E77" s="46"/>
      <c r="F77" s="46"/>
      <c r="G77" s="46"/>
      <c r="H77" s="46"/>
      <c r="I77" s="46"/>
      <c r="K77" s="46"/>
      <c r="L77" s="46"/>
      <c r="M77" s="84"/>
      <c r="N77" s="46"/>
      <c r="O77" s="46"/>
      <c r="P77" s="84"/>
      <c r="Q77" s="84"/>
      <c r="R77" s="84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>
      <c r="A78" s="46"/>
      <c r="B78" s="291"/>
      <c r="C78" s="46"/>
      <c r="D78" s="46"/>
      <c r="E78" s="46"/>
      <c r="F78" s="46"/>
      <c r="G78" s="46"/>
      <c r="H78" s="46"/>
      <c r="I78" s="46"/>
      <c r="K78" s="46"/>
      <c r="L78" s="46"/>
      <c r="M78" s="84"/>
      <c r="N78" s="46"/>
      <c r="O78" s="46"/>
      <c r="P78" s="84"/>
      <c r="Q78" s="84"/>
      <c r="R78" s="84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>
      <c r="A79" s="46"/>
      <c r="B79" s="291"/>
      <c r="C79" s="46"/>
      <c r="D79" s="46"/>
      <c r="E79" s="46"/>
      <c r="F79" s="46"/>
      <c r="G79" s="46"/>
      <c r="H79" s="46"/>
      <c r="I79" s="46"/>
      <c r="K79" s="46"/>
      <c r="L79" s="46"/>
      <c r="M79" s="84"/>
      <c r="N79" s="46"/>
      <c r="O79" s="46"/>
      <c r="P79" s="84"/>
      <c r="Q79" s="84"/>
      <c r="R79" s="84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>
      <c r="A80" s="46"/>
      <c r="B80" s="291"/>
      <c r="C80" s="46"/>
      <c r="D80" s="46"/>
      <c r="E80" s="46"/>
      <c r="F80" s="46"/>
      <c r="G80" s="46"/>
      <c r="H80" s="46"/>
      <c r="I80" s="46"/>
      <c r="K80" s="46"/>
      <c r="L80" s="46"/>
      <c r="M80" s="84"/>
      <c r="N80" s="46"/>
      <c r="O80" s="46"/>
      <c r="P80" s="84"/>
      <c r="Q80" s="84"/>
      <c r="R80" s="84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>
      <c r="A81" s="46"/>
      <c r="B81" s="291"/>
      <c r="C81" s="46"/>
      <c r="D81" s="46"/>
      <c r="E81" s="46"/>
      <c r="F81" s="46"/>
      <c r="G81" s="46"/>
      <c r="H81" s="46"/>
      <c r="I81" s="46"/>
      <c r="K81" s="46"/>
      <c r="L81" s="46"/>
      <c r="M81" s="84"/>
      <c r="N81" s="46"/>
      <c r="O81" s="46"/>
      <c r="P81" s="84"/>
      <c r="Q81" s="84"/>
      <c r="R81" s="84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>
      <c r="A82" s="46"/>
      <c r="B82" s="291"/>
      <c r="C82" s="46"/>
      <c r="D82" s="46"/>
      <c r="E82" s="46"/>
      <c r="F82" s="46"/>
      <c r="G82" s="46"/>
      <c r="H82" s="46"/>
      <c r="I82" s="46"/>
      <c r="K82" s="46"/>
      <c r="L82" s="46"/>
      <c r="M82" s="84"/>
      <c r="N82" s="46"/>
      <c r="O82" s="46"/>
      <c r="P82" s="84"/>
      <c r="Q82" s="84"/>
      <c r="R82" s="84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>
      <c r="A83" s="46"/>
      <c r="B83" s="291"/>
      <c r="C83" s="46"/>
      <c r="D83" s="46"/>
      <c r="E83" s="46"/>
      <c r="F83" s="46"/>
      <c r="G83" s="46"/>
      <c r="H83" s="46"/>
      <c r="I83" s="46"/>
      <c r="K83" s="46"/>
      <c r="L83" s="46"/>
      <c r="M83" s="84"/>
      <c r="N83" s="46"/>
      <c r="O83" s="46"/>
      <c r="P83" s="84"/>
      <c r="Q83" s="84"/>
      <c r="R83" s="84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>
      <c r="A84" s="46"/>
      <c r="B84" s="291"/>
      <c r="C84" s="46"/>
      <c r="D84" s="46"/>
      <c r="E84" s="46"/>
      <c r="F84" s="46"/>
      <c r="G84" s="46"/>
      <c r="H84" s="46"/>
      <c r="I84" s="46"/>
      <c r="K84" s="46"/>
      <c r="L84" s="46"/>
      <c r="M84" s="84"/>
      <c r="N84" s="46"/>
      <c r="O84" s="46"/>
      <c r="P84" s="84"/>
      <c r="Q84" s="84"/>
      <c r="R84" s="84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>
      <c r="A85" s="46"/>
      <c r="B85" s="291"/>
      <c r="C85" s="46"/>
      <c r="D85" s="46"/>
      <c r="E85" s="46"/>
      <c r="F85" s="46"/>
      <c r="G85" s="46"/>
      <c r="H85" s="46"/>
      <c r="I85" s="46"/>
      <c r="K85" s="46"/>
      <c r="L85" s="46"/>
      <c r="M85" s="84"/>
      <c r="N85" s="46"/>
      <c r="O85" s="46"/>
      <c r="P85" s="84"/>
      <c r="Q85" s="84"/>
      <c r="R85" s="84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>
      <c r="A86" s="46"/>
      <c r="B86" s="291"/>
      <c r="C86" s="46"/>
      <c r="D86" s="46"/>
      <c r="E86" s="46"/>
      <c r="F86" s="46"/>
      <c r="G86" s="46"/>
      <c r="H86" s="46"/>
      <c r="I86" s="46"/>
      <c r="K86" s="46"/>
      <c r="L86" s="46"/>
      <c r="M86" s="84"/>
      <c r="N86" s="46"/>
      <c r="O86" s="46"/>
      <c r="P86" s="84"/>
      <c r="Q86" s="84"/>
      <c r="R86" s="84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>
      <c r="A87" s="46"/>
      <c r="B87" s="291"/>
      <c r="C87" s="46"/>
      <c r="D87" s="46"/>
      <c r="E87" s="46"/>
      <c r="F87" s="46"/>
      <c r="G87" s="46"/>
      <c r="H87" s="46"/>
      <c r="I87" s="46"/>
      <c r="K87" s="46"/>
      <c r="L87" s="46"/>
      <c r="M87" s="84"/>
      <c r="N87" s="46"/>
      <c r="O87" s="46"/>
      <c r="P87" s="84"/>
      <c r="Q87" s="84"/>
      <c r="R87" s="84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>
      <c r="A88" s="46"/>
      <c r="B88" s="291"/>
      <c r="C88" s="46"/>
      <c r="D88" s="46"/>
      <c r="E88" s="46"/>
      <c r="F88" s="46"/>
      <c r="G88" s="46"/>
      <c r="H88" s="46"/>
      <c r="I88" s="46"/>
      <c r="K88" s="46"/>
      <c r="L88" s="46"/>
      <c r="M88" s="84"/>
      <c r="N88" s="46"/>
      <c r="O88" s="46"/>
      <c r="P88" s="84"/>
      <c r="Q88" s="84"/>
      <c r="R88" s="84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>
      <c r="A89" s="46"/>
      <c r="B89" s="291"/>
      <c r="C89" s="46"/>
      <c r="D89" s="46"/>
      <c r="E89" s="46"/>
      <c r="F89" s="46"/>
      <c r="G89" s="46"/>
      <c r="H89" s="46"/>
      <c r="I89" s="46"/>
      <c r="K89" s="46"/>
      <c r="L89" s="46"/>
      <c r="M89" s="84"/>
      <c r="N89" s="46"/>
      <c r="O89" s="46"/>
      <c r="P89" s="84"/>
      <c r="Q89" s="84"/>
      <c r="R89" s="84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>
      <c r="A90" s="46"/>
      <c r="B90" s="291"/>
      <c r="C90" s="46"/>
      <c r="D90" s="46"/>
      <c r="E90" s="46"/>
      <c r="F90" s="46"/>
      <c r="G90" s="46"/>
      <c r="H90" s="46"/>
      <c r="I90" s="46"/>
      <c r="K90" s="46"/>
      <c r="L90" s="46"/>
      <c r="M90" s="84"/>
      <c r="N90" s="46"/>
      <c r="O90" s="46"/>
      <c r="P90" s="84"/>
      <c r="Q90" s="84"/>
      <c r="R90" s="84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>
      <c r="A91" s="46"/>
      <c r="B91" s="291"/>
      <c r="C91" s="46"/>
      <c r="D91" s="46"/>
      <c r="E91" s="46"/>
      <c r="F91" s="46"/>
      <c r="G91" s="46"/>
      <c r="H91" s="46"/>
      <c r="I91" s="46"/>
      <c r="K91" s="46"/>
      <c r="L91" s="46"/>
      <c r="M91" s="84"/>
      <c r="N91" s="46"/>
      <c r="O91" s="46"/>
      <c r="P91" s="84"/>
      <c r="Q91" s="84"/>
      <c r="R91" s="84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>
      <c r="A92" s="46"/>
      <c r="B92" s="291"/>
      <c r="C92" s="46"/>
      <c r="D92" s="46"/>
      <c r="E92" s="46"/>
      <c r="F92" s="46"/>
      <c r="G92" s="46"/>
      <c r="H92" s="46"/>
      <c r="I92" s="46"/>
      <c r="K92" s="46"/>
      <c r="L92" s="46"/>
      <c r="M92" s="84"/>
      <c r="N92" s="46"/>
      <c r="O92" s="46"/>
      <c r="P92" s="84"/>
      <c r="Q92" s="84"/>
      <c r="R92" s="84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>
      <c r="A93" s="46"/>
      <c r="B93" s="291"/>
      <c r="C93" s="46"/>
      <c r="D93" s="46"/>
      <c r="E93" s="46"/>
      <c r="F93" s="46"/>
      <c r="G93" s="46"/>
      <c r="H93" s="46"/>
      <c r="I93" s="46"/>
      <c r="K93" s="46"/>
      <c r="L93" s="46"/>
      <c r="M93" s="84"/>
      <c r="N93" s="46"/>
      <c r="O93" s="46"/>
      <c r="P93" s="84"/>
      <c r="Q93" s="84"/>
      <c r="R93" s="84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>
      <c r="A94" s="46"/>
      <c r="B94" s="291"/>
      <c r="C94" s="46"/>
      <c r="D94" s="46"/>
      <c r="E94" s="46"/>
      <c r="F94" s="46"/>
      <c r="G94" s="46"/>
      <c r="H94" s="46"/>
      <c r="I94" s="46"/>
      <c r="K94" s="46"/>
      <c r="L94" s="46"/>
      <c r="M94" s="84"/>
      <c r="N94" s="46"/>
      <c r="O94" s="46"/>
      <c r="P94" s="84"/>
      <c r="Q94" s="84"/>
      <c r="R94" s="84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>
      <c r="A95" s="46"/>
      <c r="B95" s="291"/>
      <c r="C95" s="46"/>
      <c r="D95" s="46"/>
      <c r="E95" s="46"/>
      <c r="F95" s="46"/>
      <c r="G95" s="46"/>
      <c r="H95" s="46"/>
      <c r="I95" s="46"/>
      <c r="K95" s="46"/>
      <c r="L95" s="46"/>
      <c r="M95" s="84"/>
      <c r="N95" s="46"/>
      <c r="O95" s="46"/>
      <c r="P95" s="84"/>
      <c r="Q95" s="84"/>
      <c r="R95" s="84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>
      <c r="A96" s="46"/>
      <c r="B96" s="291"/>
      <c r="C96" s="46"/>
      <c r="D96" s="46"/>
      <c r="E96" s="46"/>
      <c r="F96" s="46"/>
      <c r="G96" s="46"/>
      <c r="H96" s="46"/>
      <c r="I96" s="46"/>
      <c r="K96" s="46"/>
      <c r="L96" s="46"/>
      <c r="M96" s="84"/>
      <c r="N96" s="46"/>
      <c r="O96" s="46"/>
      <c r="P96" s="84"/>
      <c r="Q96" s="84"/>
      <c r="R96" s="84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>
      <c r="A97" s="46"/>
      <c r="B97" s="291"/>
      <c r="C97" s="46"/>
      <c r="D97" s="46"/>
      <c r="E97" s="46"/>
      <c r="F97" s="46"/>
      <c r="G97" s="46"/>
      <c r="H97" s="46"/>
      <c r="I97" s="46"/>
      <c r="K97" s="46"/>
      <c r="L97" s="46"/>
      <c r="M97" s="84"/>
      <c r="N97" s="46"/>
      <c r="O97" s="46"/>
      <c r="P97" s="84"/>
      <c r="Q97" s="84"/>
      <c r="R97" s="84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>
      <c r="A98" s="46"/>
      <c r="B98" s="291"/>
      <c r="C98" s="46"/>
      <c r="D98" s="46"/>
      <c r="E98" s="46"/>
      <c r="F98" s="46"/>
      <c r="G98" s="46"/>
      <c r="H98" s="46"/>
      <c r="I98" s="46"/>
      <c r="K98" s="46"/>
      <c r="L98" s="46"/>
      <c r="M98" s="84"/>
      <c r="N98" s="46"/>
      <c r="O98" s="46"/>
      <c r="P98" s="84"/>
      <c r="Q98" s="84"/>
      <c r="R98" s="84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>
      <c r="A99" s="46"/>
      <c r="B99" s="291"/>
      <c r="C99" s="46"/>
      <c r="D99" s="46"/>
      <c r="E99" s="46"/>
      <c r="F99" s="46"/>
      <c r="G99" s="46"/>
      <c r="H99" s="46"/>
      <c r="I99" s="46"/>
      <c r="K99" s="46"/>
      <c r="L99" s="46"/>
      <c r="M99" s="84"/>
      <c r="N99" s="46"/>
      <c r="O99" s="46"/>
      <c r="P99" s="84"/>
      <c r="Q99" s="84"/>
      <c r="R99" s="84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>
      <c r="A100" s="46"/>
      <c r="B100" s="291"/>
      <c r="C100" s="46"/>
      <c r="D100" s="46"/>
      <c r="E100" s="46"/>
      <c r="F100" s="46"/>
      <c r="G100" s="46"/>
      <c r="H100" s="46"/>
      <c r="I100" s="46"/>
      <c r="K100" s="46"/>
      <c r="L100" s="46"/>
      <c r="M100" s="84"/>
      <c r="N100" s="46"/>
      <c r="O100" s="46"/>
      <c r="P100" s="84"/>
      <c r="Q100" s="84"/>
      <c r="R100" s="84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>
      <c r="A101" s="46"/>
      <c r="B101" s="291"/>
      <c r="C101" s="46"/>
      <c r="D101" s="46"/>
      <c r="E101" s="46"/>
      <c r="F101" s="46"/>
      <c r="G101" s="46"/>
      <c r="H101" s="46"/>
      <c r="I101" s="46"/>
      <c r="K101" s="46"/>
      <c r="L101" s="46"/>
      <c r="M101" s="84"/>
      <c r="N101" s="46"/>
      <c r="O101" s="46"/>
      <c r="P101" s="84"/>
      <c r="Q101" s="84"/>
      <c r="R101" s="84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</sheetData>
  <pageMargins left="0.7" right="0.7" top="0.75" bottom="0.75" header="0.3" footer="0.3"/>
  <pageSetup orientation="portrait" horizontalDpi="4294967293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02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/>
  <cols>
    <col min="1" max="1" width="9" style="8" customWidth="1"/>
    <col min="2" max="2" width="20" style="46" bestFit="1" customWidth="1"/>
    <col min="3" max="3" width="8.7109375" style="8" bestFit="1" customWidth="1"/>
    <col min="4" max="4" width="13.42578125" style="152" bestFit="1" customWidth="1"/>
    <col min="5" max="6" width="16" style="154" bestFit="1" customWidth="1"/>
    <col min="7" max="7" width="16" style="192" bestFit="1" customWidth="1"/>
    <col min="8" max="8" width="10.85546875" style="82" bestFit="1" customWidth="1"/>
    <col min="9" max="9" width="8.140625" style="8" bestFit="1" customWidth="1"/>
    <col min="10" max="10" width="8.140625" style="46" bestFit="1" customWidth="1"/>
    <col min="11" max="11" width="18" style="194" bestFit="1" customWidth="1"/>
    <col min="12" max="12" width="16" style="194" bestFit="1" customWidth="1"/>
    <col min="13" max="13" width="18.7109375" style="194" bestFit="1" customWidth="1"/>
    <col min="14" max="14" width="31.28515625" style="155" bestFit="1" customWidth="1"/>
    <col min="15" max="15" width="43.42578125" style="153" bestFit="1" customWidth="1"/>
    <col min="16" max="16" width="19.42578125" style="2" bestFit="1" customWidth="1"/>
    <col min="17" max="17" width="15.140625" style="2" bestFit="1" customWidth="1"/>
    <col min="18" max="18" width="15.85546875" style="2" bestFit="1" customWidth="1"/>
    <col min="19" max="29" width="9.140625" style="2"/>
    <col min="30" max="16384" width="9.140625" style="46"/>
  </cols>
  <sheetData>
    <row r="1" spans="1:29" ht="21" customHeight="1">
      <c r="A1" s="78" t="s">
        <v>0</v>
      </c>
      <c r="B1" s="2"/>
      <c r="C1" s="3"/>
      <c r="D1" s="4"/>
      <c r="E1" s="4"/>
      <c r="F1" s="80"/>
      <c r="G1" s="80"/>
      <c r="H1" s="80"/>
      <c r="I1" s="81"/>
      <c r="K1" s="157"/>
      <c r="L1" s="157"/>
      <c r="M1" s="157"/>
      <c r="N1" s="83"/>
      <c r="O1" s="1"/>
    </row>
    <row r="2" spans="1:29" ht="21" customHeight="1">
      <c r="A2" s="85" t="s">
        <v>1833</v>
      </c>
      <c r="B2" s="2"/>
      <c r="C2" s="3"/>
      <c r="D2" s="4"/>
      <c r="E2" s="4"/>
      <c r="F2" s="80"/>
      <c r="G2" s="80"/>
      <c r="H2" s="80"/>
      <c r="I2" s="81"/>
      <c r="K2" s="157"/>
      <c r="L2" s="157"/>
      <c r="M2" s="157"/>
      <c r="N2" s="83"/>
      <c r="O2" s="1"/>
    </row>
    <row r="3" spans="1:29" s="8" customFormat="1" ht="21" customHeight="1">
      <c r="A3" s="86" t="s">
        <v>1</v>
      </c>
      <c r="B3" s="86" t="s">
        <v>2</v>
      </c>
      <c r="C3" s="86" t="s">
        <v>3</v>
      </c>
      <c r="D3" s="87" t="s">
        <v>4</v>
      </c>
      <c r="E3" s="88" t="s">
        <v>5</v>
      </c>
      <c r="F3" s="88" t="s">
        <v>6</v>
      </c>
      <c r="G3" s="86" t="s">
        <v>7</v>
      </c>
      <c r="H3" s="89" t="s">
        <v>8</v>
      </c>
      <c r="I3" s="91" t="s">
        <v>9</v>
      </c>
      <c r="J3" s="86" t="s">
        <v>10</v>
      </c>
      <c r="K3" s="92" t="s">
        <v>11</v>
      </c>
      <c r="L3" s="93" t="s">
        <v>12</v>
      </c>
      <c r="M3" s="93" t="s">
        <v>13</v>
      </c>
      <c r="N3" s="202" t="s">
        <v>67</v>
      </c>
      <c r="O3" s="86" t="s">
        <v>68</v>
      </c>
      <c r="P3" s="86"/>
      <c r="Q3" s="86"/>
      <c r="R3" s="86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8" customFormat="1" ht="21" customHeight="1">
      <c r="A4" s="94"/>
      <c r="B4" s="94"/>
      <c r="C4" s="94"/>
      <c r="D4" s="95" t="s">
        <v>17</v>
      </c>
      <c r="E4" s="96"/>
      <c r="F4" s="97" t="s">
        <v>5</v>
      </c>
      <c r="G4" s="94"/>
      <c r="H4" s="98"/>
      <c r="I4" s="100"/>
      <c r="J4" s="94" t="s">
        <v>18</v>
      </c>
      <c r="K4" s="101" t="s">
        <v>19</v>
      </c>
      <c r="L4" s="102" t="s">
        <v>8</v>
      </c>
      <c r="M4" s="102"/>
      <c r="N4" s="284"/>
      <c r="O4" s="103"/>
      <c r="P4" s="162"/>
      <c r="Q4" s="162"/>
      <c r="R4" s="162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23.25" customHeight="1">
      <c r="A5" s="36">
        <v>1</v>
      </c>
      <c r="B5" s="318" t="s">
        <v>1728</v>
      </c>
      <c r="C5" s="319" t="s">
        <v>1729</v>
      </c>
      <c r="D5" s="225">
        <v>41588</v>
      </c>
      <c r="E5" s="320">
        <v>61168</v>
      </c>
      <c r="F5" s="227">
        <f t="shared" ref="F5:F12" si="0">+I5*K5</f>
        <v>61168</v>
      </c>
      <c r="G5" s="226">
        <f t="shared" ref="G5:G12" si="1">+E5/I5</f>
        <v>61168</v>
      </c>
      <c r="H5" s="227">
        <v>0</v>
      </c>
      <c r="I5" s="229">
        <v>1</v>
      </c>
      <c r="J5" s="230">
        <v>1</v>
      </c>
      <c r="K5" s="108">
        <f t="shared" ref="K5:K12" si="2">+G5+H5</f>
        <v>61168</v>
      </c>
      <c r="L5" s="108">
        <f>+G5*J5</f>
        <v>61168</v>
      </c>
      <c r="M5" s="108">
        <f>+G5*J5</f>
        <v>61168</v>
      </c>
      <c r="N5" s="321" t="s">
        <v>1730</v>
      </c>
      <c r="O5" s="104" t="s">
        <v>1731</v>
      </c>
      <c r="P5" s="111">
        <f t="shared" ref="P5:P12" si="3">+M5</f>
        <v>61168</v>
      </c>
      <c r="Q5" s="175">
        <f>+'[3]DEND LAIN"2'!Z7</f>
        <v>61168</v>
      </c>
      <c r="R5" s="188">
        <f t="shared" ref="R5:R12" si="4">+P5-Q5</f>
        <v>0</v>
      </c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ht="23.25" customHeight="1">
      <c r="A6" s="36">
        <f>+A5+1</f>
        <v>2</v>
      </c>
      <c r="B6" s="318" t="s">
        <v>1728</v>
      </c>
      <c r="C6" s="319" t="s">
        <v>1729</v>
      </c>
      <c r="D6" s="225">
        <v>41618</v>
      </c>
      <c r="E6" s="226">
        <v>61168</v>
      </c>
      <c r="F6" s="227">
        <f t="shared" si="0"/>
        <v>61168</v>
      </c>
      <c r="G6" s="226">
        <f t="shared" si="1"/>
        <v>61168</v>
      </c>
      <c r="H6" s="227">
        <v>0</v>
      </c>
      <c r="I6" s="229">
        <v>1</v>
      </c>
      <c r="J6" s="230">
        <v>1</v>
      </c>
      <c r="K6" s="108">
        <f t="shared" si="2"/>
        <v>61168</v>
      </c>
      <c r="L6" s="108">
        <f t="shared" ref="L6:L12" si="5">+J6*K6</f>
        <v>61168</v>
      </c>
      <c r="M6" s="108">
        <f>+F6*J6</f>
        <v>61168</v>
      </c>
      <c r="N6" s="321" t="s">
        <v>1730</v>
      </c>
      <c r="O6" s="104" t="s">
        <v>1732</v>
      </c>
      <c r="P6" s="111">
        <f t="shared" si="3"/>
        <v>61168</v>
      </c>
      <c r="Q6" s="175">
        <f>+'[3]DEND LAIN"2'!Z8</f>
        <v>61168</v>
      </c>
      <c r="R6" s="188">
        <f t="shared" si="4"/>
        <v>0</v>
      </c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ht="23.25" customHeight="1">
      <c r="A7" s="36">
        <f t="shared" ref="A7:A12" si="6">+A6+1</f>
        <v>3</v>
      </c>
      <c r="B7" s="318" t="s">
        <v>1728</v>
      </c>
      <c r="C7" s="319" t="s">
        <v>1729</v>
      </c>
      <c r="D7" s="235">
        <v>41649</v>
      </c>
      <c r="E7" s="322">
        <v>61168</v>
      </c>
      <c r="F7" s="227">
        <f t="shared" si="0"/>
        <v>61168</v>
      </c>
      <c r="G7" s="228">
        <f t="shared" si="1"/>
        <v>61168</v>
      </c>
      <c r="H7" s="227">
        <v>0</v>
      </c>
      <c r="I7" s="229">
        <v>1</v>
      </c>
      <c r="J7" s="230">
        <v>1</v>
      </c>
      <c r="K7" s="108">
        <f t="shared" si="2"/>
        <v>61168</v>
      </c>
      <c r="L7" s="108">
        <f t="shared" si="5"/>
        <v>61168</v>
      </c>
      <c r="M7" s="108">
        <f t="shared" ref="M7:M12" si="7">+G7*J7</f>
        <v>61168</v>
      </c>
      <c r="N7" s="321" t="s">
        <v>1730</v>
      </c>
      <c r="O7" s="323" t="s">
        <v>1733</v>
      </c>
      <c r="P7" s="111">
        <f t="shared" si="3"/>
        <v>61168</v>
      </c>
      <c r="Q7" s="175">
        <f>+'[3]DEND LAIN"2'!Z9</f>
        <v>61168</v>
      </c>
      <c r="R7" s="188">
        <f t="shared" si="4"/>
        <v>0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 ht="23.25" customHeight="1">
      <c r="A8" s="36">
        <f t="shared" si="6"/>
        <v>4</v>
      </c>
      <c r="B8" s="318" t="s">
        <v>1728</v>
      </c>
      <c r="C8" s="319" t="s">
        <v>1729</v>
      </c>
      <c r="D8" s="235">
        <v>41680</v>
      </c>
      <c r="E8" s="226">
        <v>61168</v>
      </c>
      <c r="F8" s="227">
        <f t="shared" si="0"/>
        <v>61168</v>
      </c>
      <c r="G8" s="228">
        <f t="shared" si="1"/>
        <v>61168</v>
      </c>
      <c r="H8" s="227">
        <v>0</v>
      </c>
      <c r="I8" s="229">
        <v>1</v>
      </c>
      <c r="J8" s="230">
        <v>1</v>
      </c>
      <c r="K8" s="108">
        <f t="shared" si="2"/>
        <v>61168</v>
      </c>
      <c r="L8" s="108">
        <f t="shared" si="5"/>
        <v>61168</v>
      </c>
      <c r="M8" s="108">
        <f t="shared" si="7"/>
        <v>61168</v>
      </c>
      <c r="N8" s="321"/>
      <c r="O8" s="323" t="s">
        <v>1734</v>
      </c>
      <c r="P8" s="111">
        <f t="shared" si="3"/>
        <v>61168</v>
      </c>
      <c r="Q8" s="175">
        <f>+'[3]DEND LAIN"2'!Z10</f>
        <v>61168</v>
      </c>
      <c r="R8" s="188">
        <f t="shared" si="4"/>
        <v>0</v>
      </c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 ht="23.25" customHeight="1">
      <c r="A9" s="36">
        <f t="shared" si="6"/>
        <v>5</v>
      </c>
      <c r="B9" s="318" t="s">
        <v>1728</v>
      </c>
      <c r="C9" s="319" t="s">
        <v>1729</v>
      </c>
      <c r="D9" s="235">
        <v>41708</v>
      </c>
      <c r="E9" s="226">
        <v>61168</v>
      </c>
      <c r="F9" s="227">
        <f t="shared" si="0"/>
        <v>61168</v>
      </c>
      <c r="G9" s="228">
        <f t="shared" si="1"/>
        <v>61168</v>
      </c>
      <c r="H9" s="227">
        <v>0</v>
      </c>
      <c r="I9" s="229">
        <v>1</v>
      </c>
      <c r="J9" s="230">
        <v>1</v>
      </c>
      <c r="K9" s="108">
        <f t="shared" si="2"/>
        <v>61168</v>
      </c>
      <c r="L9" s="108">
        <f t="shared" si="5"/>
        <v>61168</v>
      </c>
      <c r="M9" s="108">
        <f t="shared" si="7"/>
        <v>61168</v>
      </c>
      <c r="N9" s="321" t="s">
        <v>1730</v>
      </c>
      <c r="O9" s="323" t="s">
        <v>1735</v>
      </c>
      <c r="P9" s="111">
        <f t="shared" si="3"/>
        <v>61168</v>
      </c>
      <c r="Q9" s="175">
        <f>+'[3]DEND LAIN"2'!Z11</f>
        <v>61168</v>
      </c>
      <c r="R9" s="188">
        <f t="shared" si="4"/>
        <v>0</v>
      </c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ht="23.25" customHeight="1">
      <c r="A10" s="36">
        <f t="shared" si="6"/>
        <v>6</v>
      </c>
      <c r="B10" s="318" t="s">
        <v>1728</v>
      </c>
      <c r="C10" s="319" t="s">
        <v>1729</v>
      </c>
      <c r="D10" s="225">
        <v>41739</v>
      </c>
      <c r="E10" s="226">
        <v>61168</v>
      </c>
      <c r="F10" s="227">
        <f t="shared" si="0"/>
        <v>61168</v>
      </c>
      <c r="G10" s="228">
        <f t="shared" si="1"/>
        <v>61168</v>
      </c>
      <c r="H10" s="227">
        <v>0</v>
      </c>
      <c r="I10" s="229">
        <v>1</v>
      </c>
      <c r="J10" s="230">
        <v>1</v>
      </c>
      <c r="K10" s="108">
        <f t="shared" si="2"/>
        <v>61168</v>
      </c>
      <c r="L10" s="108">
        <f t="shared" si="5"/>
        <v>61168</v>
      </c>
      <c r="M10" s="108">
        <f t="shared" si="7"/>
        <v>61168</v>
      </c>
      <c r="N10" s="324" t="s">
        <v>1730</v>
      </c>
      <c r="O10" s="323" t="s">
        <v>1736</v>
      </c>
      <c r="P10" s="111">
        <f t="shared" si="3"/>
        <v>61168</v>
      </c>
      <c r="Q10" s="175">
        <f>+'[3]DEND LAIN"2'!Z12</f>
        <v>61168</v>
      </c>
      <c r="R10" s="188">
        <f t="shared" si="4"/>
        <v>0</v>
      </c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 ht="23.25" customHeight="1">
      <c r="A11" s="36">
        <f t="shared" si="6"/>
        <v>7</v>
      </c>
      <c r="B11" s="318" t="s">
        <v>1728</v>
      </c>
      <c r="C11" s="319" t="s">
        <v>1729</v>
      </c>
      <c r="D11" s="235">
        <v>41769</v>
      </c>
      <c r="E11" s="226">
        <v>61168</v>
      </c>
      <c r="F11" s="227">
        <f t="shared" si="0"/>
        <v>61168</v>
      </c>
      <c r="G11" s="228">
        <f t="shared" si="1"/>
        <v>61168</v>
      </c>
      <c r="H11" s="227">
        <v>0</v>
      </c>
      <c r="I11" s="229">
        <v>1</v>
      </c>
      <c r="J11" s="230">
        <v>1</v>
      </c>
      <c r="K11" s="108">
        <f t="shared" si="2"/>
        <v>61168</v>
      </c>
      <c r="L11" s="108">
        <f t="shared" si="5"/>
        <v>61168</v>
      </c>
      <c r="M11" s="325">
        <f t="shared" si="7"/>
        <v>61168</v>
      </c>
      <c r="N11" s="321" t="s">
        <v>1730</v>
      </c>
      <c r="O11" s="323" t="s">
        <v>1737</v>
      </c>
      <c r="P11" s="111">
        <f t="shared" si="3"/>
        <v>61168</v>
      </c>
      <c r="Q11" s="175">
        <f>+'[3]DEND LAIN"2'!Z13</f>
        <v>61168</v>
      </c>
      <c r="R11" s="188">
        <f t="shared" si="4"/>
        <v>0</v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 ht="23.25" customHeight="1">
      <c r="A12" s="36">
        <f t="shared" si="6"/>
        <v>8</v>
      </c>
      <c r="B12" s="318" t="s">
        <v>1728</v>
      </c>
      <c r="C12" s="319" t="s">
        <v>1729</v>
      </c>
      <c r="D12" s="235">
        <v>41800</v>
      </c>
      <c r="E12" s="226">
        <v>61168</v>
      </c>
      <c r="F12" s="227">
        <f t="shared" si="0"/>
        <v>61168</v>
      </c>
      <c r="G12" s="228">
        <f t="shared" si="1"/>
        <v>61168</v>
      </c>
      <c r="H12" s="227">
        <v>0</v>
      </c>
      <c r="I12" s="229">
        <v>1</v>
      </c>
      <c r="J12" s="230">
        <v>1</v>
      </c>
      <c r="K12" s="108">
        <f t="shared" si="2"/>
        <v>61168</v>
      </c>
      <c r="L12" s="108">
        <f t="shared" si="5"/>
        <v>61168</v>
      </c>
      <c r="M12" s="325">
        <f t="shared" si="7"/>
        <v>61168</v>
      </c>
      <c r="N12" s="321" t="s">
        <v>1730</v>
      </c>
      <c r="O12" s="323" t="s">
        <v>1738</v>
      </c>
      <c r="P12" s="111">
        <f t="shared" si="3"/>
        <v>61168</v>
      </c>
      <c r="Q12" s="175">
        <f>+'[3]DEND LAIN"2'!Z14</f>
        <v>61168</v>
      </c>
      <c r="R12" s="188">
        <f t="shared" si="4"/>
        <v>0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21" customHeight="1">
      <c r="A13" s="36"/>
      <c r="B13" s="295"/>
      <c r="C13" s="296"/>
      <c r="D13" s="142"/>
      <c r="E13" s="108"/>
      <c r="F13" s="108"/>
      <c r="G13" s="108"/>
      <c r="H13" s="108"/>
      <c r="I13" s="144"/>
      <c r="J13" s="36"/>
      <c r="K13" s="108"/>
      <c r="L13" s="283"/>
      <c r="M13" s="108"/>
      <c r="N13" s="297"/>
      <c r="O13" s="298"/>
      <c r="P13" s="104"/>
      <c r="Q13" s="104"/>
      <c r="R13" s="104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21" customHeight="1">
      <c r="A14" s="36"/>
      <c r="B14" s="186" t="s">
        <v>6</v>
      </c>
      <c r="C14" s="36"/>
      <c r="D14" s="129"/>
      <c r="E14" s="108">
        <f t="shared" ref="E14:M14" si="8">SUM(E5:E12)</f>
        <v>489344</v>
      </c>
      <c r="F14" s="108">
        <f t="shared" si="8"/>
        <v>489344</v>
      </c>
      <c r="G14" s="108">
        <f t="shared" si="8"/>
        <v>489344</v>
      </c>
      <c r="H14" s="108">
        <f t="shared" si="8"/>
        <v>0</v>
      </c>
      <c r="I14" s="108">
        <f t="shared" si="8"/>
        <v>8</v>
      </c>
      <c r="J14" s="108">
        <f t="shared" si="8"/>
        <v>8</v>
      </c>
      <c r="K14" s="108">
        <f t="shared" si="8"/>
        <v>489344</v>
      </c>
      <c r="L14" s="108">
        <f t="shared" si="8"/>
        <v>489344</v>
      </c>
      <c r="M14" s="108">
        <f t="shared" si="8"/>
        <v>489344</v>
      </c>
      <c r="N14" s="150"/>
      <c r="O14" s="151"/>
      <c r="P14" s="108">
        <f t="shared" ref="P14:R14" si="9">SUM(P5:P12)</f>
        <v>489344</v>
      </c>
      <c r="Q14" s="108">
        <f t="shared" si="9"/>
        <v>489344</v>
      </c>
      <c r="R14" s="108">
        <f t="shared" si="9"/>
        <v>0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 ht="21" customHeight="1">
      <c r="B15" s="29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spans="1:29" ht="21" customHeight="1">
      <c r="B16" s="291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spans="1:29" ht="21" customHeight="1">
      <c r="B17" s="291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 ht="21" customHeight="1">
      <c r="B18" s="291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1:29" ht="21" customHeight="1">
      <c r="B19" s="291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 ht="21" customHeight="1">
      <c r="B20" s="29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 ht="21" customHeight="1">
      <c r="B21" s="291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ht="21" customHeight="1">
      <c r="A22" s="46"/>
      <c r="B22" s="291"/>
      <c r="C22" s="46"/>
      <c r="D22" s="46"/>
      <c r="E22" s="46"/>
      <c r="F22" s="46"/>
      <c r="G22" s="46"/>
      <c r="H22" s="46"/>
      <c r="I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21" customHeight="1">
      <c r="A23" s="46"/>
      <c r="B23" s="291"/>
      <c r="C23" s="46"/>
      <c r="D23" s="46"/>
      <c r="E23" s="46"/>
      <c r="F23" s="46"/>
      <c r="G23" s="46"/>
      <c r="H23" s="46"/>
      <c r="I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 ht="21" customHeight="1">
      <c r="A24" s="46"/>
      <c r="B24" s="291"/>
      <c r="C24" s="46"/>
      <c r="D24" s="46"/>
      <c r="E24" s="46"/>
      <c r="F24" s="46"/>
      <c r="G24" s="46"/>
      <c r="H24" s="46"/>
      <c r="I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 ht="21" customHeight="1">
      <c r="A25" s="46"/>
      <c r="B25" s="291"/>
      <c r="C25" s="46"/>
      <c r="D25" s="46"/>
      <c r="E25" s="46"/>
      <c r="F25" s="46"/>
      <c r="G25" s="46"/>
      <c r="H25" s="46"/>
      <c r="I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 ht="21" customHeight="1">
      <c r="A26" s="46"/>
      <c r="B26" s="291"/>
      <c r="C26" s="46"/>
      <c r="D26" s="46"/>
      <c r="E26" s="46"/>
      <c r="F26" s="46"/>
      <c r="G26" s="46"/>
      <c r="H26" s="46"/>
      <c r="I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 ht="21" customHeight="1">
      <c r="A27" s="46"/>
      <c r="B27" s="291"/>
      <c r="C27" s="46"/>
      <c r="D27" s="46"/>
      <c r="E27" s="46"/>
      <c r="F27" s="46"/>
      <c r="G27" s="46"/>
      <c r="H27" s="46"/>
      <c r="I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 ht="21" customHeight="1">
      <c r="A28" s="46"/>
      <c r="B28" s="291"/>
      <c r="C28" s="46"/>
      <c r="D28" s="46"/>
      <c r="E28" s="46"/>
      <c r="F28" s="46"/>
      <c r="G28" s="46"/>
      <c r="H28" s="46"/>
      <c r="I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 ht="21" customHeight="1">
      <c r="A29" s="46"/>
      <c r="B29" s="291"/>
      <c r="C29" s="46"/>
      <c r="D29" s="46"/>
      <c r="E29" s="46"/>
      <c r="F29" s="46"/>
      <c r="G29" s="46"/>
      <c r="H29" s="46"/>
      <c r="I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 ht="21" customHeight="1">
      <c r="A30" s="46"/>
      <c r="B30" s="291"/>
      <c r="C30" s="46"/>
      <c r="D30" s="46"/>
      <c r="E30" s="46"/>
      <c r="F30" s="46"/>
      <c r="G30" s="46"/>
      <c r="H30" s="46"/>
      <c r="I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 ht="21" customHeight="1">
      <c r="A31" s="46"/>
      <c r="B31" s="291"/>
      <c r="C31" s="46"/>
      <c r="D31" s="46"/>
      <c r="E31" s="46"/>
      <c r="F31" s="46"/>
      <c r="G31" s="46"/>
      <c r="H31" s="46"/>
      <c r="I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 ht="21" customHeight="1">
      <c r="A32" s="46"/>
      <c r="B32" s="291"/>
      <c r="C32" s="46"/>
      <c r="D32" s="46"/>
      <c r="E32" s="46"/>
      <c r="F32" s="46"/>
      <c r="G32" s="46"/>
      <c r="H32" s="46"/>
      <c r="I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 ht="21" customHeight="1">
      <c r="A33" s="46"/>
      <c r="B33" s="291"/>
      <c r="C33" s="46"/>
      <c r="D33" s="46"/>
      <c r="E33" s="46"/>
      <c r="F33" s="46"/>
      <c r="G33" s="46"/>
      <c r="H33" s="46"/>
      <c r="I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 ht="21" customHeight="1">
      <c r="A34" s="46"/>
      <c r="B34" s="291"/>
      <c r="C34" s="46"/>
      <c r="D34" s="46"/>
      <c r="E34" s="46"/>
      <c r="F34" s="46"/>
      <c r="G34" s="46"/>
      <c r="H34" s="46"/>
      <c r="I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 ht="21" customHeight="1">
      <c r="A35" s="46"/>
      <c r="B35" s="291"/>
      <c r="C35" s="46"/>
      <c r="D35" s="46"/>
      <c r="E35" s="46"/>
      <c r="F35" s="46"/>
      <c r="G35" s="46"/>
      <c r="H35" s="46"/>
      <c r="I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 ht="21" customHeight="1">
      <c r="A36" s="46"/>
      <c r="B36" s="291"/>
      <c r="C36" s="46"/>
      <c r="D36" s="46"/>
      <c r="E36" s="46"/>
      <c r="F36" s="46"/>
      <c r="G36" s="46"/>
      <c r="H36" s="46"/>
      <c r="I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 ht="21" customHeight="1">
      <c r="A37" s="46"/>
      <c r="B37" s="291"/>
      <c r="C37" s="46"/>
      <c r="D37" s="46"/>
      <c r="E37" s="46"/>
      <c r="F37" s="46"/>
      <c r="G37" s="46"/>
      <c r="H37" s="46"/>
      <c r="I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 ht="21" customHeight="1">
      <c r="A38" s="46"/>
      <c r="B38" s="291"/>
      <c r="C38" s="46"/>
      <c r="D38" s="46"/>
      <c r="E38" s="46"/>
      <c r="F38" s="46"/>
      <c r="G38" s="46"/>
      <c r="H38" s="46"/>
      <c r="I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 ht="21" customHeight="1">
      <c r="A39" s="46"/>
      <c r="B39" s="291"/>
      <c r="C39" s="46"/>
      <c r="D39" s="46"/>
      <c r="E39" s="46"/>
      <c r="F39" s="46"/>
      <c r="G39" s="46"/>
      <c r="H39" s="46"/>
      <c r="I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 ht="21" customHeight="1">
      <c r="A40" s="46"/>
      <c r="B40" s="291"/>
      <c r="C40" s="46"/>
      <c r="D40" s="46"/>
      <c r="E40" s="46"/>
      <c r="F40" s="46"/>
      <c r="G40" s="46"/>
      <c r="H40" s="46"/>
      <c r="I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 ht="21" customHeight="1">
      <c r="A41" s="46"/>
      <c r="B41" s="291"/>
      <c r="C41" s="46"/>
      <c r="D41" s="46"/>
      <c r="E41" s="46"/>
      <c r="F41" s="46"/>
      <c r="G41" s="46"/>
      <c r="H41" s="46"/>
      <c r="I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 ht="21" customHeight="1">
      <c r="A42" s="46"/>
      <c r="B42" s="291"/>
      <c r="C42" s="46"/>
      <c r="D42" s="46"/>
      <c r="E42" s="46"/>
      <c r="F42" s="46"/>
      <c r="G42" s="46"/>
      <c r="H42" s="46"/>
      <c r="I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 ht="21" customHeight="1">
      <c r="A43" s="46"/>
      <c r="B43" s="291"/>
      <c r="C43" s="46"/>
      <c r="D43" s="46"/>
      <c r="E43" s="46"/>
      <c r="F43" s="46"/>
      <c r="G43" s="46"/>
      <c r="H43" s="46"/>
      <c r="I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 ht="21" customHeight="1">
      <c r="A44" s="46"/>
      <c r="B44" s="291"/>
      <c r="C44" s="46"/>
      <c r="D44" s="46"/>
      <c r="E44" s="46"/>
      <c r="F44" s="46"/>
      <c r="G44" s="46"/>
      <c r="H44" s="46"/>
      <c r="I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ht="21" customHeight="1">
      <c r="A45" s="46"/>
      <c r="B45" s="291"/>
      <c r="C45" s="46"/>
      <c r="D45" s="46"/>
      <c r="E45" s="46"/>
      <c r="F45" s="46"/>
      <c r="G45" s="46"/>
      <c r="H45" s="46"/>
      <c r="I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ht="21" customHeight="1">
      <c r="A46" s="46"/>
      <c r="B46" s="291"/>
      <c r="C46" s="46"/>
      <c r="D46" s="46"/>
      <c r="E46" s="46"/>
      <c r="F46" s="46"/>
      <c r="G46" s="46"/>
      <c r="H46" s="46"/>
      <c r="I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ht="21" customHeight="1">
      <c r="A47" s="46"/>
      <c r="B47" s="291"/>
      <c r="C47" s="46"/>
      <c r="D47" s="46"/>
      <c r="E47" s="46"/>
      <c r="F47" s="46"/>
      <c r="G47" s="46"/>
      <c r="H47" s="46"/>
      <c r="I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ht="21" customHeight="1">
      <c r="A48" s="46"/>
      <c r="B48" s="291"/>
      <c r="C48" s="46"/>
      <c r="D48" s="46"/>
      <c r="E48" s="46"/>
      <c r="F48" s="46"/>
      <c r="G48" s="46"/>
      <c r="H48" s="46"/>
      <c r="I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ht="21" customHeight="1">
      <c r="A49" s="46"/>
      <c r="B49" s="291"/>
      <c r="C49" s="46"/>
      <c r="D49" s="46"/>
      <c r="E49" s="46"/>
      <c r="F49" s="46"/>
      <c r="G49" s="46"/>
      <c r="H49" s="46"/>
      <c r="I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ht="21" customHeight="1">
      <c r="A50" s="46"/>
      <c r="B50" s="291"/>
      <c r="C50" s="46"/>
      <c r="D50" s="46"/>
      <c r="E50" s="46"/>
      <c r="F50" s="46"/>
      <c r="G50" s="46"/>
      <c r="H50" s="46"/>
      <c r="I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ht="21" customHeight="1">
      <c r="A51" s="46"/>
      <c r="B51" s="291"/>
      <c r="C51" s="46"/>
      <c r="D51" s="46"/>
      <c r="E51" s="46"/>
      <c r="F51" s="46"/>
      <c r="G51" s="46"/>
      <c r="H51" s="46"/>
      <c r="I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ht="21" customHeight="1">
      <c r="A52" s="46"/>
      <c r="B52" s="291"/>
      <c r="C52" s="46"/>
      <c r="D52" s="46"/>
      <c r="E52" s="46"/>
      <c r="F52" s="46"/>
      <c r="G52" s="46"/>
      <c r="H52" s="46"/>
      <c r="I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ht="21" customHeight="1">
      <c r="A53" s="46"/>
      <c r="B53" s="291"/>
      <c r="C53" s="46"/>
      <c r="D53" s="46"/>
      <c r="E53" s="46"/>
      <c r="F53" s="46"/>
      <c r="G53" s="46"/>
      <c r="H53" s="46"/>
      <c r="I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ht="21" customHeight="1">
      <c r="A54" s="46"/>
      <c r="B54" s="291"/>
      <c r="C54" s="46"/>
      <c r="D54" s="46"/>
      <c r="E54" s="46"/>
      <c r="F54" s="46"/>
      <c r="G54" s="46"/>
      <c r="H54" s="46"/>
      <c r="I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ht="21" customHeight="1">
      <c r="A55" s="46"/>
      <c r="B55" s="291"/>
      <c r="C55" s="46"/>
      <c r="D55" s="46"/>
      <c r="E55" s="46"/>
      <c r="F55" s="46"/>
      <c r="G55" s="46"/>
      <c r="H55" s="46"/>
      <c r="I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ht="21" customHeight="1">
      <c r="A56" s="46"/>
      <c r="B56" s="291"/>
      <c r="C56" s="46"/>
      <c r="D56" s="46"/>
      <c r="E56" s="46"/>
      <c r="F56" s="46"/>
      <c r="G56" s="46"/>
      <c r="H56" s="46"/>
      <c r="I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 ht="21" customHeight="1">
      <c r="A57" s="46"/>
      <c r="B57" s="291"/>
      <c r="C57" s="46"/>
      <c r="D57" s="46"/>
      <c r="E57" s="46"/>
      <c r="F57" s="46"/>
      <c r="G57" s="46"/>
      <c r="H57" s="46"/>
      <c r="I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ht="21" customHeight="1">
      <c r="A58" s="46"/>
      <c r="B58" s="291"/>
      <c r="C58" s="46"/>
      <c r="D58" s="46"/>
      <c r="E58" s="46"/>
      <c r="F58" s="46"/>
      <c r="G58" s="46"/>
      <c r="H58" s="46"/>
      <c r="I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 ht="21" customHeight="1">
      <c r="A59" s="46"/>
      <c r="B59" s="291"/>
      <c r="C59" s="46"/>
      <c r="D59" s="46"/>
      <c r="E59" s="46"/>
      <c r="F59" s="46"/>
      <c r="G59" s="46"/>
      <c r="H59" s="46"/>
      <c r="I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 ht="21" customHeight="1">
      <c r="A60" s="46"/>
      <c r="B60" s="291"/>
      <c r="C60" s="46"/>
      <c r="D60" s="46"/>
      <c r="E60" s="46"/>
      <c r="F60" s="46"/>
      <c r="G60" s="46"/>
      <c r="H60" s="46"/>
      <c r="I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 ht="21" customHeight="1">
      <c r="A61" s="46"/>
      <c r="B61" s="291"/>
      <c r="C61" s="46"/>
      <c r="D61" s="46"/>
      <c r="E61" s="46"/>
      <c r="F61" s="46"/>
      <c r="G61" s="46"/>
      <c r="H61" s="46"/>
      <c r="I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 ht="21" customHeight="1">
      <c r="A62" s="46"/>
      <c r="B62" s="291"/>
      <c r="C62" s="46"/>
      <c r="D62" s="46"/>
      <c r="E62" s="46"/>
      <c r="F62" s="46"/>
      <c r="G62" s="46"/>
      <c r="H62" s="46"/>
      <c r="I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 ht="21" customHeight="1">
      <c r="A63" s="46"/>
      <c r="B63" s="291"/>
      <c r="C63" s="46"/>
      <c r="D63" s="46"/>
      <c r="E63" s="46"/>
      <c r="F63" s="46"/>
      <c r="G63" s="46"/>
      <c r="H63" s="46"/>
      <c r="I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 ht="21" customHeight="1">
      <c r="A64" s="46"/>
      <c r="B64" s="291"/>
      <c r="C64" s="46"/>
      <c r="D64" s="46"/>
      <c r="E64" s="46"/>
      <c r="F64" s="46"/>
      <c r="G64" s="46"/>
      <c r="H64" s="46"/>
      <c r="I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 ht="21" customHeight="1">
      <c r="A65" s="46"/>
      <c r="B65" s="291"/>
      <c r="C65" s="46"/>
      <c r="D65" s="46"/>
      <c r="E65" s="46"/>
      <c r="F65" s="46"/>
      <c r="G65" s="46"/>
      <c r="H65" s="46"/>
      <c r="I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 ht="21" customHeight="1">
      <c r="A66" s="46"/>
      <c r="B66" s="291"/>
      <c r="C66" s="46"/>
      <c r="D66" s="46"/>
      <c r="E66" s="46"/>
      <c r="F66" s="46"/>
      <c r="G66" s="46"/>
      <c r="H66" s="46"/>
      <c r="I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 ht="21" customHeight="1">
      <c r="A67" s="46"/>
      <c r="B67" s="291"/>
      <c r="C67" s="46"/>
      <c r="D67" s="46"/>
      <c r="E67" s="46"/>
      <c r="F67" s="46"/>
      <c r="G67" s="46"/>
      <c r="H67" s="46"/>
      <c r="I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 ht="21" customHeight="1">
      <c r="A68" s="46"/>
      <c r="B68" s="291"/>
      <c r="C68" s="46"/>
      <c r="D68" s="46"/>
      <c r="E68" s="46"/>
      <c r="F68" s="46"/>
      <c r="G68" s="46"/>
      <c r="H68" s="46"/>
      <c r="I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 ht="21" customHeight="1">
      <c r="A69" s="46"/>
      <c r="B69" s="291"/>
      <c r="C69" s="46"/>
      <c r="D69" s="46"/>
      <c r="E69" s="46"/>
      <c r="F69" s="46"/>
      <c r="G69" s="46"/>
      <c r="H69" s="46"/>
      <c r="I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 ht="21" customHeight="1">
      <c r="A70" s="46"/>
      <c r="B70" s="291"/>
      <c r="C70" s="46"/>
      <c r="D70" s="46"/>
      <c r="E70" s="46"/>
      <c r="F70" s="46"/>
      <c r="G70" s="46"/>
      <c r="H70" s="46"/>
      <c r="I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 ht="21" customHeight="1">
      <c r="A71" s="46"/>
      <c r="B71" s="291"/>
      <c r="C71" s="46"/>
      <c r="D71" s="46"/>
      <c r="E71" s="46"/>
      <c r="F71" s="46"/>
      <c r="G71" s="46"/>
      <c r="H71" s="46"/>
      <c r="I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ht="21" customHeight="1">
      <c r="A72" s="46"/>
      <c r="B72" s="291"/>
      <c r="C72" s="46"/>
      <c r="D72" s="46"/>
      <c r="E72" s="46"/>
      <c r="F72" s="46"/>
      <c r="G72" s="46"/>
      <c r="H72" s="46"/>
      <c r="I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 ht="21" customHeight="1">
      <c r="A73" s="46"/>
      <c r="B73" s="291"/>
      <c r="C73" s="46"/>
      <c r="D73" s="46"/>
      <c r="E73" s="46"/>
      <c r="F73" s="46"/>
      <c r="G73" s="46"/>
      <c r="H73" s="46"/>
      <c r="I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 ht="21" customHeight="1">
      <c r="A74" s="46"/>
      <c r="B74" s="291"/>
      <c r="C74" s="46"/>
      <c r="D74" s="46"/>
      <c r="E74" s="46"/>
      <c r="F74" s="46"/>
      <c r="G74" s="46"/>
      <c r="H74" s="46"/>
      <c r="I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ht="21" customHeight="1">
      <c r="A75" s="46"/>
      <c r="B75" s="291"/>
      <c r="C75" s="46"/>
      <c r="D75" s="46"/>
      <c r="E75" s="46"/>
      <c r="F75" s="46"/>
      <c r="G75" s="46"/>
      <c r="H75" s="46"/>
      <c r="I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 ht="21" customHeight="1">
      <c r="A76" s="46"/>
      <c r="B76" s="291"/>
      <c r="C76" s="46"/>
      <c r="D76" s="46"/>
      <c r="E76" s="46"/>
      <c r="F76" s="46"/>
      <c r="G76" s="46"/>
      <c r="H76" s="46"/>
      <c r="I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 ht="21" customHeight="1">
      <c r="A77" s="46"/>
      <c r="B77" s="291"/>
      <c r="C77" s="46"/>
      <c r="D77" s="46"/>
      <c r="E77" s="46"/>
      <c r="F77" s="46"/>
      <c r="G77" s="46"/>
      <c r="H77" s="46"/>
      <c r="I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 ht="21" customHeight="1">
      <c r="A78" s="46"/>
      <c r="B78" s="291"/>
      <c r="C78" s="46"/>
      <c r="D78" s="46"/>
      <c r="E78" s="46"/>
      <c r="F78" s="46"/>
      <c r="G78" s="46"/>
      <c r="H78" s="46"/>
      <c r="I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 ht="21" customHeight="1">
      <c r="A79" s="46"/>
      <c r="B79" s="291"/>
      <c r="C79" s="46"/>
      <c r="D79" s="46"/>
      <c r="E79" s="46"/>
      <c r="F79" s="46"/>
      <c r="G79" s="46"/>
      <c r="H79" s="46"/>
      <c r="I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 ht="21" customHeight="1">
      <c r="A80" s="46"/>
      <c r="B80" s="291"/>
      <c r="C80" s="46"/>
      <c r="D80" s="46"/>
      <c r="E80" s="46"/>
      <c r="F80" s="46"/>
      <c r="G80" s="46"/>
      <c r="H80" s="46"/>
      <c r="I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 ht="21" customHeight="1">
      <c r="A81" s="46"/>
      <c r="B81" s="291"/>
      <c r="C81" s="46"/>
      <c r="D81" s="46"/>
      <c r="E81" s="46"/>
      <c r="F81" s="46"/>
      <c r="G81" s="46"/>
      <c r="H81" s="46"/>
      <c r="I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ht="21" customHeight="1">
      <c r="A82" s="46"/>
      <c r="B82" s="291"/>
      <c r="C82" s="46"/>
      <c r="D82" s="46"/>
      <c r="E82" s="46"/>
      <c r="F82" s="46"/>
      <c r="G82" s="46"/>
      <c r="H82" s="46"/>
      <c r="I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 ht="21" customHeight="1">
      <c r="A83" s="46"/>
      <c r="B83" s="291"/>
      <c r="C83" s="46"/>
      <c r="D83" s="46"/>
      <c r="E83" s="46"/>
      <c r="F83" s="46"/>
      <c r="G83" s="46"/>
      <c r="H83" s="46"/>
      <c r="I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 ht="21" customHeight="1">
      <c r="A84" s="46"/>
      <c r="B84" s="291"/>
      <c r="C84" s="46"/>
      <c r="D84" s="46"/>
      <c r="E84" s="46"/>
      <c r="F84" s="46"/>
      <c r="G84" s="46"/>
      <c r="H84" s="46"/>
      <c r="I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 ht="21" customHeight="1">
      <c r="A85" s="46"/>
      <c r="B85" s="291"/>
      <c r="C85" s="46"/>
      <c r="D85" s="46"/>
      <c r="E85" s="46"/>
      <c r="F85" s="46"/>
      <c r="G85" s="46"/>
      <c r="H85" s="46"/>
      <c r="I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 ht="21" customHeight="1">
      <c r="A86" s="46"/>
      <c r="B86" s="291"/>
      <c r="C86" s="46"/>
      <c r="D86" s="46"/>
      <c r="E86" s="46"/>
      <c r="F86" s="46"/>
      <c r="G86" s="46"/>
      <c r="H86" s="46"/>
      <c r="I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 ht="21" customHeight="1">
      <c r="A87" s="46"/>
      <c r="B87" s="291"/>
      <c r="C87" s="46"/>
      <c r="D87" s="46"/>
      <c r="E87" s="46"/>
      <c r="F87" s="46"/>
      <c r="G87" s="46"/>
      <c r="H87" s="46"/>
      <c r="I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 ht="21" customHeight="1">
      <c r="A88" s="46"/>
      <c r="B88" s="291"/>
      <c r="C88" s="46"/>
      <c r="D88" s="46"/>
      <c r="E88" s="46"/>
      <c r="F88" s="46"/>
      <c r="G88" s="46"/>
      <c r="H88" s="46"/>
      <c r="I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 ht="21" customHeight="1">
      <c r="A89" s="46"/>
      <c r="B89" s="291"/>
      <c r="C89" s="46"/>
      <c r="D89" s="46"/>
      <c r="E89" s="46"/>
      <c r="F89" s="46"/>
      <c r="G89" s="46"/>
      <c r="H89" s="46"/>
      <c r="I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 ht="21" customHeight="1">
      <c r="A90" s="46"/>
      <c r="B90" s="291"/>
      <c r="C90" s="46"/>
      <c r="D90" s="46"/>
      <c r="E90" s="46"/>
      <c r="F90" s="46"/>
      <c r="G90" s="46"/>
      <c r="H90" s="46"/>
      <c r="I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 ht="21" customHeight="1">
      <c r="A91" s="46"/>
      <c r="B91" s="291"/>
      <c r="C91" s="46"/>
      <c r="D91" s="46"/>
      <c r="E91" s="46"/>
      <c r="F91" s="46"/>
      <c r="G91" s="46"/>
      <c r="H91" s="46"/>
      <c r="I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 ht="21" customHeight="1">
      <c r="A92" s="46"/>
      <c r="B92" s="291"/>
      <c r="C92" s="46"/>
      <c r="D92" s="46"/>
      <c r="E92" s="46"/>
      <c r="F92" s="46"/>
      <c r="G92" s="46"/>
      <c r="H92" s="46"/>
      <c r="I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 ht="21" customHeight="1">
      <c r="A93" s="46"/>
      <c r="B93" s="291"/>
      <c r="C93" s="46"/>
      <c r="D93" s="46"/>
      <c r="E93" s="46"/>
      <c r="F93" s="46"/>
      <c r="G93" s="46"/>
      <c r="H93" s="46"/>
      <c r="I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 ht="21" customHeight="1">
      <c r="A94" s="46"/>
      <c r="B94" s="291"/>
      <c r="C94" s="46"/>
      <c r="D94" s="46"/>
      <c r="E94" s="46"/>
      <c r="F94" s="46"/>
      <c r="G94" s="46"/>
      <c r="H94" s="46"/>
      <c r="I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 ht="21" customHeight="1">
      <c r="A95" s="46"/>
      <c r="B95" s="291"/>
      <c r="C95" s="46"/>
      <c r="D95" s="46"/>
      <c r="E95" s="46"/>
      <c r="F95" s="46"/>
      <c r="G95" s="46"/>
      <c r="H95" s="46"/>
      <c r="I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 ht="21" customHeight="1">
      <c r="A96" s="46"/>
      <c r="B96" s="291"/>
      <c r="C96" s="46"/>
      <c r="D96" s="46"/>
      <c r="E96" s="46"/>
      <c r="F96" s="46"/>
      <c r="G96" s="46"/>
      <c r="H96" s="46"/>
      <c r="I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 ht="21" customHeight="1">
      <c r="A97" s="46"/>
      <c r="B97" s="291"/>
      <c r="C97" s="46"/>
      <c r="D97" s="46"/>
      <c r="E97" s="46"/>
      <c r="F97" s="46"/>
      <c r="G97" s="46"/>
      <c r="H97" s="46"/>
      <c r="I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 ht="21" customHeight="1">
      <c r="A98" s="46"/>
      <c r="B98" s="291"/>
      <c r="C98" s="46"/>
      <c r="D98" s="46"/>
      <c r="E98" s="46"/>
      <c r="F98" s="46"/>
      <c r="G98" s="46"/>
      <c r="H98" s="46"/>
      <c r="I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 ht="21" customHeight="1">
      <c r="A99" s="46"/>
      <c r="B99" s="291"/>
      <c r="C99" s="46"/>
      <c r="D99" s="46"/>
      <c r="E99" s="46"/>
      <c r="F99" s="46"/>
      <c r="G99" s="46"/>
      <c r="H99" s="46"/>
      <c r="I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 ht="21" customHeight="1">
      <c r="A100" s="46"/>
      <c r="B100" s="291"/>
      <c r="C100" s="46"/>
      <c r="D100" s="46"/>
      <c r="E100" s="46"/>
      <c r="F100" s="46"/>
      <c r="G100" s="46"/>
      <c r="H100" s="46"/>
      <c r="I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 ht="21" customHeight="1">
      <c r="A101" s="46"/>
      <c r="B101" s="291"/>
      <c r="C101" s="46"/>
      <c r="D101" s="46"/>
      <c r="E101" s="46"/>
      <c r="F101" s="46"/>
      <c r="G101" s="46"/>
      <c r="H101" s="46"/>
      <c r="I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 ht="21" customHeight="1">
      <c r="A102" s="46"/>
      <c r="B102" s="291"/>
      <c r="C102" s="46"/>
      <c r="D102" s="46"/>
      <c r="E102" s="46"/>
      <c r="F102" s="46"/>
      <c r="G102" s="46"/>
      <c r="H102" s="46"/>
      <c r="I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</sheetData>
  <pageMargins left="0.7" right="0.7" top="0.75" bottom="0.75" header="0.3" footer="0.3"/>
  <pageSetup orientation="portrait" horizontalDpi="4294967293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27"/>
  <sheetViews>
    <sheetView showGridLines="0" view="pageBreakPreview" zoomScaleSheetLayoutView="100" workbookViewId="0">
      <pane ySplit="4" topLeftCell="A114" activePane="bottomLeft" state="frozen"/>
      <selection pane="bottomLeft" activeCell="I4" sqref="I4"/>
    </sheetView>
  </sheetViews>
  <sheetFormatPr defaultRowHeight="15.75"/>
  <cols>
    <col min="1" max="1" width="9.7109375" style="8" bestFit="1" customWidth="1"/>
    <col min="2" max="2" width="22.85546875" style="46" bestFit="1" customWidth="1"/>
    <col min="3" max="3" width="10.140625" style="8" bestFit="1" customWidth="1"/>
    <col min="4" max="4" width="13.28515625" style="152" bestFit="1" customWidth="1"/>
    <col min="5" max="5" width="15.7109375" style="154" bestFit="1" customWidth="1"/>
    <col min="6" max="6" width="15" style="154" bestFit="1" customWidth="1"/>
    <col min="7" max="7" width="15.7109375" style="192" bestFit="1" customWidth="1"/>
    <col min="8" max="8" width="12.28515625" style="82" bestFit="1" customWidth="1"/>
    <col min="9" max="9" width="8" style="8" bestFit="1" customWidth="1"/>
    <col min="10" max="10" width="8" style="46" bestFit="1" customWidth="1"/>
    <col min="11" max="11" width="16" style="194" bestFit="1" customWidth="1"/>
    <col min="12" max="12" width="16.28515625" style="82" bestFit="1" customWidth="1"/>
    <col min="13" max="13" width="18.5703125" style="194" bestFit="1" customWidth="1"/>
    <col min="14" max="14" width="15.7109375" style="155" bestFit="1" customWidth="1"/>
    <col min="15" max="15" width="30.85546875" style="153" bestFit="1" customWidth="1"/>
    <col min="16" max="17" width="15.85546875" style="2" bestFit="1" customWidth="1"/>
    <col min="18" max="18" width="16.42578125" style="2" bestFit="1" customWidth="1"/>
    <col min="19" max="29" width="9.140625" style="2"/>
    <col min="30" max="16384" width="9.140625" style="46"/>
  </cols>
  <sheetData>
    <row r="1" spans="1:29" ht="29.25" customHeight="1">
      <c r="A1" s="78" t="s">
        <v>0</v>
      </c>
      <c r="B1" s="2"/>
      <c r="C1" s="3"/>
      <c r="D1" s="4"/>
      <c r="E1" s="4"/>
      <c r="F1" s="80"/>
      <c r="G1" s="80"/>
      <c r="H1" s="80"/>
      <c r="I1" s="81"/>
      <c r="J1" s="81"/>
      <c r="K1" s="157"/>
      <c r="L1" s="5"/>
      <c r="M1" s="157"/>
      <c r="N1" s="83"/>
      <c r="O1" s="1"/>
    </row>
    <row r="2" spans="1:29" ht="29.25" customHeight="1">
      <c r="A2" s="85" t="s">
        <v>1834</v>
      </c>
      <c r="B2" s="2"/>
      <c r="C2" s="3"/>
      <c r="D2" s="4"/>
      <c r="E2" s="4"/>
      <c r="F2" s="80"/>
      <c r="G2" s="80"/>
      <c r="H2" s="80"/>
      <c r="I2" s="81"/>
      <c r="J2" s="81"/>
      <c r="K2" s="157"/>
      <c r="L2" s="5"/>
      <c r="M2" s="157"/>
      <c r="N2" s="83"/>
      <c r="O2" s="1"/>
    </row>
    <row r="3" spans="1:29" s="8" customFormat="1" ht="29.25" customHeight="1">
      <c r="A3" s="86" t="s">
        <v>1</v>
      </c>
      <c r="B3" s="86" t="s">
        <v>2</v>
      </c>
      <c r="C3" s="86" t="s">
        <v>3</v>
      </c>
      <c r="D3" s="87" t="s">
        <v>4</v>
      </c>
      <c r="E3" s="88" t="s">
        <v>5</v>
      </c>
      <c r="F3" s="88" t="s">
        <v>6</v>
      </c>
      <c r="G3" s="86" t="s">
        <v>7</v>
      </c>
      <c r="H3" s="89" t="s">
        <v>8</v>
      </c>
      <c r="I3" s="91" t="s">
        <v>9</v>
      </c>
      <c r="J3" s="86" t="s">
        <v>10</v>
      </c>
      <c r="K3" s="92" t="s">
        <v>11</v>
      </c>
      <c r="L3" s="90" t="s">
        <v>12</v>
      </c>
      <c r="M3" s="93" t="s">
        <v>13</v>
      </c>
      <c r="N3" s="202" t="s">
        <v>67</v>
      </c>
      <c r="O3" s="86" t="s">
        <v>68</v>
      </c>
      <c r="P3" s="86"/>
      <c r="Q3" s="86"/>
      <c r="R3" s="86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8" customFormat="1" ht="29.25" customHeight="1">
      <c r="A4" s="162"/>
      <c r="B4" s="162"/>
      <c r="C4" s="162"/>
      <c r="D4" s="164" t="s">
        <v>17</v>
      </c>
      <c r="E4" s="165"/>
      <c r="F4" s="166" t="s">
        <v>5</v>
      </c>
      <c r="G4" s="162"/>
      <c r="H4" s="167"/>
      <c r="I4" s="168"/>
      <c r="J4" s="162" t="s">
        <v>18</v>
      </c>
      <c r="K4" s="169" t="s">
        <v>19</v>
      </c>
      <c r="L4" s="174" t="s">
        <v>8</v>
      </c>
      <c r="M4" s="170"/>
      <c r="N4" s="203"/>
      <c r="O4" s="204"/>
      <c r="P4" s="162"/>
      <c r="Q4" s="162"/>
      <c r="R4" s="162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s="328" customFormat="1">
      <c r="A5" s="36">
        <v>1</v>
      </c>
      <c r="B5" s="121" t="s">
        <v>1460</v>
      </c>
      <c r="C5" s="122" t="s">
        <v>1461</v>
      </c>
      <c r="D5" s="115">
        <v>42714</v>
      </c>
      <c r="E5" s="326">
        <v>23280</v>
      </c>
      <c r="F5" s="206">
        <f t="shared" ref="F5:F68" si="0">+I5*K5</f>
        <v>23280</v>
      </c>
      <c r="G5" s="113">
        <f t="shared" ref="G5:G68" si="1">+E5/I5</f>
        <v>23280</v>
      </c>
      <c r="H5" s="214">
        <v>0</v>
      </c>
      <c r="I5" s="124">
        <v>1</v>
      </c>
      <c r="J5" s="124">
        <v>1</v>
      </c>
      <c r="K5" s="107">
        <f t="shared" ref="K5:K68" si="2">+G5+H5</f>
        <v>23280</v>
      </c>
      <c r="L5" s="107">
        <f t="shared" ref="L5:L68" si="3">+J5*K5</f>
        <v>23280</v>
      </c>
      <c r="M5" s="208">
        <f t="shared" ref="M5:M68" si="4">+G5*J5</f>
        <v>23280</v>
      </c>
      <c r="N5" s="104"/>
      <c r="O5" s="137" t="s">
        <v>1739</v>
      </c>
      <c r="P5" s="175">
        <f>+M5</f>
        <v>23280</v>
      </c>
      <c r="Q5" s="327">
        <f>+'[1]BG N2'!Z38</f>
        <v>23280</v>
      </c>
      <c r="R5" s="327">
        <f>+P5-Q5</f>
        <v>0</v>
      </c>
    </row>
    <row r="6" spans="1:29" s="328" customFormat="1">
      <c r="A6" s="36">
        <f t="shared" ref="A6:A69" si="5">+A5+1</f>
        <v>2</v>
      </c>
      <c r="B6" s="121" t="s">
        <v>1460</v>
      </c>
      <c r="C6" s="122" t="s">
        <v>1461</v>
      </c>
      <c r="D6" s="115">
        <v>42745</v>
      </c>
      <c r="E6" s="329">
        <v>90000</v>
      </c>
      <c r="F6" s="206">
        <f t="shared" si="0"/>
        <v>90000</v>
      </c>
      <c r="G6" s="113">
        <f t="shared" si="1"/>
        <v>90000</v>
      </c>
      <c r="H6" s="214">
        <v>0</v>
      </c>
      <c r="I6" s="124">
        <v>1</v>
      </c>
      <c r="J6" s="124">
        <v>1</v>
      </c>
      <c r="K6" s="107">
        <f t="shared" si="2"/>
        <v>90000</v>
      </c>
      <c r="L6" s="107">
        <f t="shared" si="3"/>
        <v>90000</v>
      </c>
      <c r="M6" s="208">
        <f t="shared" si="4"/>
        <v>90000</v>
      </c>
      <c r="N6" s="104"/>
      <c r="O6" s="137" t="s">
        <v>1740</v>
      </c>
      <c r="P6" s="175">
        <f t="shared" ref="P6:P69" si="6">+M6</f>
        <v>90000</v>
      </c>
      <c r="Q6" s="327">
        <f>+'[1]BG N2'!Z39</f>
        <v>90000</v>
      </c>
      <c r="R6" s="327">
        <f t="shared" ref="R6:R69" si="7">+P6-Q6</f>
        <v>0</v>
      </c>
    </row>
    <row r="7" spans="1:29" s="328" customFormat="1">
      <c r="A7" s="36">
        <f t="shared" si="5"/>
        <v>3</v>
      </c>
      <c r="B7" s="247" t="s">
        <v>1460</v>
      </c>
      <c r="C7" s="274" t="s">
        <v>1461</v>
      </c>
      <c r="D7" s="115">
        <v>42776</v>
      </c>
      <c r="E7" s="214">
        <v>66660</v>
      </c>
      <c r="F7" s="206">
        <f t="shared" si="0"/>
        <v>66660</v>
      </c>
      <c r="G7" s="113">
        <f t="shared" si="1"/>
        <v>66660</v>
      </c>
      <c r="H7" s="214">
        <v>0</v>
      </c>
      <c r="I7" s="124">
        <v>1</v>
      </c>
      <c r="J7" s="124">
        <v>1</v>
      </c>
      <c r="K7" s="107">
        <f t="shared" si="2"/>
        <v>66660</v>
      </c>
      <c r="L7" s="107">
        <f t="shared" si="3"/>
        <v>66660</v>
      </c>
      <c r="M7" s="208">
        <f t="shared" si="4"/>
        <v>66660</v>
      </c>
      <c r="N7" s="150"/>
      <c r="O7" s="137" t="s">
        <v>1741</v>
      </c>
      <c r="P7" s="175">
        <f t="shared" si="6"/>
        <v>66660</v>
      </c>
      <c r="Q7" s="327">
        <f>+'[1]BG N2'!Z40</f>
        <v>66660</v>
      </c>
      <c r="R7" s="327">
        <f t="shared" si="7"/>
        <v>0</v>
      </c>
    </row>
    <row r="8" spans="1:29" s="328" customFormat="1">
      <c r="A8" s="36">
        <f t="shared" si="5"/>
        <v>4</v>
      </c>
      <c r="B8" s="121" t="s">
        <v>1460</v>
      </c>
      <c r="C8" s="122" t="s">
        <v>1461</v>
      </c>
      <c r="D8" s="115">
        <v>42776</v>
      </c>
      <c r="E8" s="326">
        <f>7500000*1.2%</f>
        <v>90000</v>
      </c>
      <c r="F8" s="206">
        <f t="shared" si="0"/>
        <v>90000</v>
      </c>
      <c r="G8" s="113">
        <f t="shared" si="1"/>
        <v>90000</v>
      </c>
      <c r="H8" s="214">
        <v>0</v>
      </c>
      <c r="I8" s="124">
        <v>1</v>
      </c>
      <c r="J8" s="124">
        <v>1</v>
      </c>
      <c r="K8" s="107">
        <f t="shared" si="2"/>
        <v>90000</v>
      </c>
      <c r="L8" s="107">
        <f t="shared" si="3"/>
        <v>90000</v>
      </c>
      <c r="M8" s="208">
        <f t="shared" si="4"/>
        <v>90000</v>
      </c>
      <c r="N8" s="150"/>
      <c r="O8" s="137" t="s">
        <v>1742</v>
      </c>
      <c r="P8" s="175">
        <f t="shared" si="6"/>
        <v>90000</v>
      </c>
      <c r="Q8" s="327">
        <f>+'[1]BG N2'!Z41</f>
        <v>90000</v>
      </c>
      <c r="R8" s="327">
        <f t="shared" si="7"/>
        <v>0</v>
      </c>
    </row>
    <row r="9" spans="1:29">
      <c r="A9" s="36">
        <f t="shared" si="5"/>
        <v>5</v>
      </c>
      <c r="B9" s="247" t="s">
        <v>1460</v>
      </c>
      <c r="C9" s="274" t="s">
        <v>1461</v>
      </c>
      <c r="D9" s="115">
        <v>42804</v>
      </c>
      <c r="E9" s="214">
        <v>66660</v>
      </c>
      <c r="F9" s="206">
        <f t="shared" si="0"/>
        <v>66660</v>
      </c>
      <c r="G9" s="113">
        <f t="shared" si="1"/>
        <v>66660</v>
      </c>
      <c r="H9" s="214">
        <v>0</v>
      </c>
      <c r="I9" s="124">
        <v>1</v>
      </c>
      <c r="J9" s="124">
        <v>1</v>
      </c>
      <c r="K9" s="107">
        <f t="shared" si="2"/>
        <v>66660</v>
      </c>
      <c r="L9" s="107">
        <f t="shared" si="3"/>
        <v>66660</v>
      </c>
      <c r="M9" s="208">
        <f t="shared" si="4"/>
        <v>66660</v>
      </c>
      <c r="N9" s="104"/>
      <c r="O9" s="137" t="s">
        <v>1741</v>
      </c>
      <c r="P9" s="175">
        <f t="shared" si="6"/>
        <v>66660</v>
      </c>
      <c r="Q9" s="327">
        <f>+'[1]BG N2'!Z42</f>
        <v>66660</v>
      </c>
      <c r="R9" s="327">
        <f t="shared" si="7"/>
        <v>0</v>
      </c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>
      <c r="A10" s="36">
        <f t="shared" si="5"/>
        <v>6</v>
      </c>
      <c r="B10" s="121" t="s">
        <v>1460</v>
      </c>
      <c r="C10" s="122" t="s">
        <v>1461</v>
      </c>
      <c r="D10" s="115">
        <v>42804</v>
      </c>
      <c r="E10" s="326">
        <f>7500000*1.2%</f>
        <v>90000</v>
      </c>
      <c r="F10" s="206">
        <f t="shared" si="0"/>
        <v>90000</v>
      </c>
      <c r="G10" s="113">
        <f t="shared" si="1"/>
        <v>90000</v>
      </c>
      <c r="H10" s="214">
        <v>0</v>
      </c>
      <c r="I10" s="124">
        <v>1</v>
      </c>
      <c r="J10" s="124">
        <v>1</v>
      </c>
      <c r="K10" s="107">
        <f t="shared" si="2"/>
        <v>90000</v>
      </c>
      <c r="L10" s="107">
        <f t="shared" si="3"/>
        <v>90000</v>
      </c>
      <c r="M10" s="208">
        <f t="shared" si="4"/>
        <v>90000</v>
      </c>
      <c r="N10" s="104"/>
      <c r="O10" s="137" t="s">
        <v>1743</v>
      </c>
      <c r="P10" s="175">
        <f t="shared" si="6"/>
        <v>90000</v>
      </c>
      <c r="Q10" s="327">
        <f>+'[1]BG N2'!Z43</f>
        <v>90000</v>
      </c>
      <c r="R10" s="327">
        <f t="shared" si="7"/>
        <v>0</v>
      </c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>
      <c r="A11" s="36">
        <f t="shared" si="5"/>
        <v>7</v>
      </c>
      <c r="B11" s="121" t="s">
        <v>1460</v>
      </c>
      <c r="C11" s="122" t="s">
        <v>1461</v>
      </c>
      <c r="D11" s="115">
        <v>42835</v>
      </c>
      <c r="E11" s="326">
        <f>7500000*1.2%</f>
        <v>90000</v>
      </c>
      <c r="F11" s="206">
        <f t="shared" si="0"/>
        <v>90000</v>
      </c>
      <c r="G11" s="113">
        <f t="shared" si="1"/>
        <v>90000</v>
      </c>
      <c r="H11" s="214">
        <v>0</v>
      </c>
      <c r="I11" s="124">
        <v>1</v>
      </c>
      <c r="J11" s="124">
        <v>1</v>
      </c>
      <c r="K11" s="107">
        <f t="shared" si="2"/>
        <v>90000</v>
      </c>
      <c r="L11" s="107">
        <f t="shared" si="3"/>
        <v>90000</v>
      </c>
      <c r="M11" s="208">
        <f t="shared" si="4"/>
        <v>90000</v>
      </c>
      <c r="N11" s="104"/>
      <c r="O11" s="137" t="s">
        <v>1744</v>
      </c>
      <c r="P11" s="175">
        <f t="shared" si="6"/>
        <v>90000</v>
      </c>
      <c r="Q11" s="327">
        <f>+'[1]BG N2'!Z44</f>
        <v>90000</v>
      </c>
      <c r="R11" s="327">
        <f t="shared" si="7"/>
        <v>0</v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>
      <c r="A12" s="36">
        <f t="shared" si="5"/>
        <v>8</v>
      </c>
      <c r="B12" s="247" t="s">
        <v>1460</v>
      </c>
      <c r="C12" s="274" t="s">
        <v>1461</v>
      </c>
      <c r="D12" s="115">
        <v>42865</v>
      </c>
      <c r="E12" s="214">
        <v>66660</v>
      </c>
      <c r="F12" s="206">
        <f t="shared" si="0"/>
        <v>66660</v>
      </c>
      <c r="G12" s="113">
        <f t="shared" si="1"/>
        <v>66660</v>
      </c>
      <c r="H12" s="214">
        <v>0</v>
      </c>
      <c r="I12" s="124">
        <v>1</v>
      </c>
      <c r="J12" s="124">
        <v>1</v>
      </c>
      <c r="K12" s="107">
        <f t="shared" si="2"/>
        <v>66660</v>
      </c>
      <c r="L12" s="107">
        <f t="shared" si="3"/>
        <v>66660</v>
      </c>
      <c r="M12" s="208">
        <f t="shared" si="4"/>
        <v>66660</v>
      </c>
      <c r="N12" s="104"/>
      <c r="O12" s="137" t="s">
        <v>1745</v>
      </c>
      <c r="P12" s="175">
        <f t="shared" si="6"/>
        <v>66660</v>
      </c>
      <c r="Q12" s="327">
        <f>+'[1]BG N2'!Z45</f>
        <v>66660</v>
      </c>
      <c r="R12" s="327">
        <f t="shared" si="7"/>
        <v>0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>
      <c r="A13" s="36">
        <f t="shared" si="5"/>
        <v>9</v>
      </c>
      <c r="B13" s="121" t="s">
        <v>1460</v>
      </c>
      <c r="C13" s="330" t="s">
        <v>1461</v>
      </c>
      <c r="D13" s="115">
        <v>42865</v>
      </c>
      <c r="E13" s="326">
        <f>7500000*1.2%</f>
        <v>90000</v>
      </c>
      <c r="F13" s="206">
        <f t="shared" si="0"/>
        <v>90000</v>
      </c>
      <c r="G13" s="113">
        <f t="shared" si="1"/>
        <v>90000</v>
      </c>
      <c r="H13" s="214">
        <v>0</v>
      </c>
      <c r="I13" s="124">
        <v>1</v>
      </c>
      <c r="J13" s="124">
        <v>1</v>
      </c>
      <c r="K13" s="107">
        <f t="shared" si="2"/>
        <v>90000</v>
      </c>
      <c r="L13" s="107">
        <f t="shared" si="3"/>
        <v>90000</v>
      </c>
      <c r="M13" s="208">
        <f t="shared" si="4"/>
        <v>90000</v>
      </c>
      <c r="N13" s="104"/>
      <c r="O13" s="137" t="s">
        <v>1746</v>
      </c>
      <c r="P13" s="175">
        <f t="shared" si="6"/>
        <v>90000</v>
      </c>
      <c r="Q13" s="327">
        <f>+'[1]BG N2'!Z46</f>
        <v>90000</v>
      </c>
      <c r="R13" s="327">
        <f t="shared" si="7"/>
        <v>0</v>
      </c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>
      <c r="A14" s="36">
        <f t="shared" si="5"/>
        <v>10</v>
      </c>
      <c r="B14" s="247" t="s">
        <v>1460</v>
      </c>
      <c r="C14" s="274" t="s">
        <v>1461</v>
      </c>
      <c r="D14" s="115">
        <v>42896</v>
      </c>
      <c r="E14" s="331">
        <v>66660</v>
      </c>
      <c r="F14" s="206">
        <f t="shared" si="0"/>
        <v>66660</v>
      </c>
      <c r="G14" s="113">
        <f t="shared" si="1"/>
        <v>66660</v>
      </c>
      <c r="H14" s="214">
        <v>0</v>
      </c>
      <c r="I14" s="124">
        <v>1</v>
      </c>
      <c r="J14" s="124">
        <v>1</v>
      </c>
      <c r="K14" s="107">
        <f t="shared" si="2"/>
        <v>66660</v>
      </c>
      <c r="L14" s="107">
        <f t="shared" si="3"/>
        <v>66660</v>
      </c>
      <c r="M14" s="208">
        <f t="shared" si="4"/>
        <v>66660</v>
      </c>
      <c r="N14" s="297"/>
      <c r="O14" s="137" t="s">
        <v>1747</v>
      </c>
      <c r="P14" s="175">
        <f t="shared" si="6"/>
        <v>66660</v>
      </c>
      <c r="Q14" s="327">
        <f>+'[1]BG N2'!Z47</f>
        <v>66660</v>
      </c>
      <c r="R14" s="327">
        <f t="shared" si="7"/>
        <v>0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 s="291" customFormat="1">
      <c r="A15" s="290">
        <f t="shared" si="5"/>
        <v>11</v>
      </c>
      <c r="B15" s="121" t="s">
        <v>1460</v>
      </c>
      <c r="C15" s="122" t="s">
        <v>1461</v>
      </c>
      <c r="D15" s="115">
        <v>42896</v>
      </c>
      <c r="E15" s="332">
        <f>7500000*1.2%</f>
        <v>90000</v>
      </c>
      <c r="F15" s="206">
        <f t="shared" si="0"/>
        <v>90000</v>
      </c>
      <c r="G15" s="113">
        <f t="shared" si="1"/>
        <v>90000</v>
      </c>
      <c r="H15" s="214">
        <v>0</v>
      </c>
      <c r="I15" s="124">
        <v>1</v>
      </c>
      <c r="J15" s="124">
        <v>1</v>
      </c>
      <c r="K15" s="107">
        <f t="shared" si="2"/>
        <v>90000</v>
      </c>
      <c r="L15" s="107">
        <f t="shared" si="3"/>
        <v>90000</v>
      </c>
      <c r="M15" s="208">
        <f t="shared" si="4"/>
        <v>90000</v>
      </c>
      <c r="N15" s="297"/>
      <c r="O15" s="137" t="s">
        <v>1748</v>
      </c>
      <c r="P15" s="175">
        <f t="shared" si="6"/>
        <v>90000</v>
      </c>
      <c r="Q15" s="327">
        <f>+'[1]BG N2'!Z48</f>
        <v>90000</v>
      </c>
      <c r="R15" s="327">
        <f t="shared" si="7"/>
        <v>0</v>
      </c>
    </row>
    <row r="16" spans="1:29" s="291" customFormat="1">
      <c r="A16" s="290">
        <f t="shared" si="5"/>
        <v>12</v>
      </c>
      <c r="B16" s="247" t="s">
        <v>1460</v>
      </c>
      <c r="C16" s="274" t="s">
        <v>1461</v>
      </c>
      <c r="D16" s="115">
        <v>42926</v>
      </c>
      <c r="E16" s="331">
        <v>66660</v>
      </c>
      <c r="F16" s="206">
        <f t="shared" si="0"/>
        <v>66660</v>
      </c>
      <c r="G16" s="113">
        <f t="shared" si="1"/>
        <v>66660</v>
      </c>
      <c r="H16" s="214">
        <v>0</v>
      </c>
      <c r="I16" s="124">
        <v>1</v>
      </c>
      <c r="J16" s="124">
        <v>1</v>
      </c>
      <c r="K16" s="107">
        <f t="shared" si="2"/>
        <v>66660</v>
      </c>
      <c r="L16" s="107">
        <f t="shared" si="3"/>
        <v>66660</v>
      </c>
      <c r="M16" s="208">
        <f t="shared" si="4"/>
        <v>66660</v>
      </c>
      <c r="N16" s="297"/>
      <c r="O16" s="137" t="s">
        <v>1749</v>
      </c>
      <c r="P16" s="175">
        <f t="shared" si="6"/>
        <v>66660</v>
      </c>
      <c r="Q16" s="327">
        <f>+'[1]BG N2'!Z49</f>
        <v>66660</v>
      </c>
      <c r="R16" s="327">
        <f t="shared" si="7"/>
        <v>0</v>
      </c>
    </row>
    <row r="17" spans="1:29" s="291" customFormat="1">
      <c r="A17" s="290">
        <f t="shared" si="5"/>
        <v>13</v>
      </c>
      <c r="B17" s="121" t="s">
        <v>1460</v>
      </c>
      <c r="C17" s="122" t="s">
        <v>1461</v>
      </c>
      <c r="D17" s="115">
        <v>42926</v>
      </c>
      <c r="E17" s="332">
        <f>7500000*1.2%</f>
        <v>90000</v>
      </c>
      <c r="F17" s="206">
        <f t="shared" si="0"/>
        <v>90000</v>
      </c>
      <c r="G17" s="113">
        <f t="shared" si="1"/>
        <v>90000</v>
      </c>
      <c r="H17" s="214">
        <v>0</v>
      </c>
      <c r="I17" s="124">
        <v>1</v>
      </c>
      <c r="J17" s="124">
        <v>1</v>
      </c>
      <c r="K17" s="107">
        <f t="shared" si="2"/>
        <v>90000</v>
      </c>
      <c r="L17" s="107">
        <f t="shared" si="3"/>
        <v>90000</v>
      </c>
      <c r="M17" s="208">
        <f t="shared" si="4"/>
        <v>90000</v>
      </c>
      <c r="N17" s="297"/>
      <c r="O17" s="137" t="s">
        <v>1750</v>
      </c>
      <c r="P17" s="175">
        <f t="shared" si="6"/>
        <v>90000</v>
      </c>
      <c r="Q17" s="327">
        <f>+'[1]BG N2'!Z50</f>
        <v>90000</v>
      </c>
      <c r="R17" s="327">
        <f t="shared" si="7"/>
        <v>0</v>
      </c>
    </row>
    <row r="18" spans="1:29">
      <c r="A18" s="290">
        <f t="shared" si="5"/>
        <v>14</v>
      </c>
      <c r="B18" s="247" t="s">
        <v>1460</v>
      </c>
      <c r="C18" s="274" t="s">
        <v>1461</v>
      </c>
      <c r="D18" s="115">
        <v>42957</v>
      </c>
      <c r="E18" s="331">
        <v>66660</v>
      </c>
      <c r="F18" s="206">
        <f t="shared" si="0"/>
        <v>66660</v>
      </c>
      <c r="G18" s="113">
        <f t="shared" si="1"/>
        <v>66660</v>
      </c>
      <c r="H18" s="214">
        <v>0</v>
      </c>
      <c r="I18" s="124">
        <v>1</v>
      </c>
      <c r="J18" s="124">
        <v>1</v>
      </c>
      <c r="K18" s="107">
        <f t="shared" si="2"/>
        <v>66660</v>
      </c>
      <c r="L18" s="107">
        <f t="shared" si="3"/>
        <v>66660</v>
      </c>
      <c r="M18" s="208">
        <f t="shared" si="4"/>
        <v>66660</v>
      </c>
      <c r="N18" s="297"/>
      <c r="O18" s="137" t="s">
        <v>1751</v>
      </c>
      <c r="P18" s="175">
        <f t="shared" si="6"/>
        <v>66660</v>
      </c>
      <c r="Q18" s="327">
        <f>+'[1]BG N2'!Z51</f>
        <v>66660</v>
      </c>
      <c r="R18" s="327">
        <f t="shared" si="7"/>
        <v>0</v>
      </c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1:29">
      <c r="A19" s="36">
        <f t="shared" si="5"/>
        <v>15</v>
      </c>
      <c r="B19" s="121" t="s">
        <v>1460</v>
      </c>
      <c r="C19" s="122" t="s">
        <v>1461</v>
      </c>
      <c r="D19" s="115">
        <v>42957</v>
      </c>
      <c r="E19" s="333">
        <f>7500000*1.2%</f>
        <v>90000</v>
      </c>
      <c r="F19" s="206">
        <f t="shared" si="0"/>
        <v>90000</v>
      </c>
      <c r="G19" s="113">
        <f t="shared" si="1"/>
        <v>90000</v>
      </c>
      <c r="H19" s="214">
        <v>0</v>
      </c>
      <c r="I19" s="124">
        <v>1</v>
      </c>
      <c r="J19" s="124">
        <v>1</v>
      </c>
      <c r="K19" s="107">
        <f t="shared" si="2"/>
        <v>90000</v>
      </c>
      <c r="L19" s="107">
        <f t="shared" si="3"/>
        <v>90000</v>
      </c>
      <c r="M19" s="208">
        <f t="shared" si="4"/>
        <v>90000</v>
      </c>
      <c r="N19" s="297"/>
      <c r="O19" s="137" t="s">
        <v>1752</v>
      </c>
      <c r="P19" s="175">
        <f t="shared" si="6"/>
        <v>90000</v>
      </c>
      <c r="Q19" s="327">
        <f>+'[1]BG N2'!Z52</f>
        <v>90000</v>
      </c>
      <c r="R19" s="327">
        <f t="shared" si="7"/>
        <v>0</v>
      </c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>
      <c r="A20" s="36">
        <f t="shared" si="5"/>
        <v>16</v>
      </c>
      <c r="B20" s="121" t="s">
        <v>1460</v>
      </c>
      <c r="C20" s="122" t="s">
        <v>1461</v>
      </c>
      <c r="D20" s="115">
        <v>42988</v>
      </c>
      <c r="E20" s="333">
        <f>7500000*1.2%</f>
        <v>90000</v>
      </c>
      <c r="F20" s="206">
        <f t="shared" si="0"/>
        <v>90000</v>
      </c>
      <c r="G20" s="113">
        <f t="shared" si="1"/>
        <v>90000</v>
      </c>
      <c r="H20" s="214">
        <v>0</v>
      </c>
      <c r="I20" s="124">
        <v>1</v>
      </c>
      <c r="J20" s="124">
        <v>1</v>
      </c>
      <c r="K20" s="107">
        <f t="shared" si="2"/>
        <v>90000</v>
      </c>
      <c r="L20" s="107">
        <f t="shared" si="3"/>
        <v>90000</v>
      </c>
      <c r="M20" s="208">
        <f t="shared" si="4"/>
        <v>90000</v>
      </c>
      <c r="N20" s="297"/>
      <c r="O20" s="137" t="s">
        <v>1753</v>
      </c>
      <c r="P20" s="175">
        <f t="shared" si="6"/>
        <v>90000</v>
      </c>
      <c r="Q20" s="327">
        <f>+'[1]BG N2'!Z53</f>
        <v>90000</v>
      </c>
      <c r="R20" s="327">
        <f t="shared" si="7"/>
        <v>0</v>
      </c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>
      <c r="A21" s="36">
        <f t="shared" si="5"/>
        <v>17</v>
      </c>
      <c r="B21" s="247" t="s">
        <v>1460</v>
      </c>
      <c r="C21" s="274" t="s">
        <v>1461</v>
      </c>
      <c r="D21" s="115">
        <v>42988</v>
      </c>
      <c r="E21" s="245">
        <v>66660</v>
      </c>
      <c r="F21" s="206">
        <f t="shared" si="0"/>
        <v>66660</v>
      </c>
      <c r="G21" s="113">
        <f t="shared" si="1"/>
        <v>66660</v>
      </c>
      <c r="H21" s="214">
        <v>0</v>
      </c>
      <c r="I21" s="124">
        <v>1</v>
      </c>
      <c r="J21" s="124">
        <v>1</v>
      </c>
      <c r="K21" s="107">
        <f t="shared" si="2"/>
        <v>66660</v>
      </c>
      <c r="L21" s="107">
        <f t="shared" si="3"/>
        <v>66660</v>
      </c>
      <c r="M21" s="208">
        <f t="shared" si="4"/>
        <v>66660</v>
      </c>
      <c r="N21" s="297"/>
      <c r="O21" s="137" t="s">
        <v>1754</v>
      </c>
      <c r="P21" s="175">
        <f t="shared" si="6"/>
        <v>66660</v>
      </c>
      <c r="Q21" s="327">
        <f>+'[1]BG N2'!Z54</f>
        <v>66660</v>
      </c>
      <c r="R21" s="327">
        <f t="shared" si="7"/>
        <v>0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>
      <c r="A22" s="36">
        <f t="shared" si="5"/>
        <v>18</v>
      </c>
      <c r="B22" s="247" t="s">
        <v>1460</v>
      </c>
      <c r="C22" s="274" t="s">
        <v>1461</v>
      </c>
      <c r="D22" s="115">
        <v>43018</v>
      </c>
      <c r="E22" s="331">
        <v>66660</v>
      </c>
      <c r="F22" s="206">
        <f t="shared" si="0"/>
        <v>66660</v>
      </c>
      <c r="G22" s="113">
        <f t="shared" si="1"/>
        <v>66660</v>
      </c>
      <c r="H22" s="214">
        <v>0</v>
      </c>
      <c r="I22" s="124">
        <v>1</v>
      </c>
      <c r="J22" s="124">
        <v>1</v>
      </c>
      <c r="K22" s="107">
        <f t="shared" si="2"/>
        <v>66660</v>
      </c>
      <c r="L22" s="107">
        <f t="shared" si="3"/>
        <v>66660</v>
      </c>
      <c r="M22" s="208">
        <f t="shared" si="4"/>
        <v>66660</v>
      </c>
      <c r="N22" s="297"/>
      <c r="O22" s="137" t="s">
        <v>1755</v>
      </c>
      <c r="P22" s="175">
        <f t="shared" si="6"/>
        <v>66660</v>
      </c>
      <c r="Q22" s="327">
        <f>+'[1]BG N2'!Z55</f>
        <v>66660</v>
      </c>
      <c r="R22" s="327">
        <f t="shared" si="7"/>
        <v>0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>
      <c r="A23" s="36">
        <f t="shared" si="5"/>
        <v>19</v>
      </c>
      <c r="B23" s="121" t="s">
        <v>1460</v>
      </c>
      <c r="C23" s="122" t="s">
        <v>1461</v>
      </c>
      <c r="D23" s="115">
        <v>43018</v>
      </c>
      <c r="E23" s="332">
        <f>7500000*1.2%</f>
        <v>90000</v>
      </c>
      <c r="F23" s="206">
        <f t="shared" si="0"/>
        <v>90000</v>
      </c>
      <c r="G23" s="113">
        <f t="shared" si="1"/>
        <v>90000</v>
      </c>
      <c r="H23" s="214">
        <v>0</v>
      </c>
      <c r="I23" s="124">
        <v>1</v>
      </c>
      <c r="J23" s="124">
        <v>1</v>
      </c>
      <c r="K23" s="107">
        <f t="shared" si="2"/>
        <v>90000</v>
      </c>
      <c r="L23" s="107">
        <f t="shared" si="3"/>
        <v>90000</v>
      </c>
      <c r="M23" s="208">
        <f t="shared" si="4"/>
        <v>90000</v>
      </c>
      <c r="N23" s="297"/>
      <c r="O23" s="137" t="s">
        <v>1756</v>
      </c>
      <c r="P23" s="175">
        <f t="shared" si="6"/>
        <v>90000</v>
      </c>
      <c r="Q23" s="327">
        <f>+'[1]BG N2'!Z56</f>
        <v>90000</v>
      </c>
      <c r="R23" s="327">
        <f t="shared" si="7"/>
        <v>0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>
      <c r="A24" s="36">
        <f t="shared" si="5"/>
        <v>20</v>
      </c>
      <c r="B24" s="247" t="s">
        <v>1460</v>
      </c>
      <c r="C24" s="274" t="s">
        <v>1461</v>
      </c>
      <c r="D24" s="115">
        <v>43049</v>
      </c>
      <c r="E24" s="331">
        <v>66660</v>
      </c>
      <c r="F24" s="206">
        <f t="shared" si="0"/>
        <v>66660</v>
      </c>
      <c r="G24" s="113">
        <f t="shared" si="1"/>
        <v>66660</v>
      </c>
      <c r="H24" s="214">
        <v>0</v>
      </c>
      <c r="I24" s="124">
        <v>1</v>
      </c>
      <c r="J24" s="124">
        <v>1</v>
      </c>
      <c r="K24" s="107">
        <f t="shared" si="2"/>
        <v>66660</v>
      </c>
      <c r="L24" s="107">
        <f t="shared" si="3"/>
        <v>66660</v>
      </c>
      <c r="M24" s="208">
        <f t="shared" si="4"/>
        <v>66660</v>
      </c>
      <c r="N24" s="297"/>
      <c r="O24" s="137" t="s">
        <v>1757</v>
      </c>
      <c r="P24" s="175">
        <f t="shared" si="6"/>
        <v>66660</v>
      </c>
      <c r="Q24" s="327">
        <f>+'[1]BG N2'!Z57</f>
        <v>66660</v>
      </c>
      <c r="R24" s="327">
        <f t="shared" si="7"/>
        <v>0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>
      <c r="A25" s="36">
        <f t="shared" si="5"/>
        <v>21</v>
      </c>
      <c r="B25" s="121" t="s">
        <v>1460</v>
      </c>
      <c r="C25" s="122" t="s">
        <v>1461</v>
      </c>
      <c r="D25" s="115">
        <v>43018</v>
      </c>
      <c r="E25" s="332">
        <f>7500000*1.2%</f>
        <v>90000</v>
      </c>
      <c r="F25" s="206">
        <f t="shared" si="0"/>
        <v>90000</v>
      </c>
      <c r="G25" s="113">
        <f t="shared" si="1"/>
        <v>90000</v>
      </c>
      <c r="H25" s="214">
        <v>0</v>
      </c>
      <c r="I25" s="124">
        <v>1</v>
      </c>
      <c r="J25" s="124">
        <v>1</v>
      </c>
      <c r="K25" s="107">
        <f t="shared" si="2"/>
        <v>90000</v>
      </c>
      <c r="L25" s="107">
        <f t="shared" si="3"/>
        <v>90000</v>
      </c>
      <c r="M25" s="208">
        <f t="shared" si="4"/>
        <v>90000</v>
      </c>
      <c r="N25" s="297"/>
      <c r="O25" s="137" t="s">
        <v>1758</v>
      </c>
      <c r="P25" s="175">
        <f t="shared" si="6"/>
        <v>90000</v>
      </c>
      <c r="Q25" s="327">
        <f>+'[1]BG N2'!Z58</f>
        <v>90000</v>
      </c>
      <c r="R25" s="327">
        <f t="shared" si="7"/>
        <v>0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>
      <c r="A26" s="36">
        <f t="shared" si="5"/>
        <v>22</v>
      </c>
      <c r="B26" s="121" t="s">
        <v>1460</v>
      </c>
      <c r="C26" s="122" t="s">
        <v>1461</v>
      </c>
      <c r="D26" s="115">
        <v>43079</v>
      </c>
      <c r="E26" s="116">
        <v>90000</v>
      </c>
      <c r="F26" s="206">
        <f t="shared" si="0"/>
        <v>90000</v>
      </c>
      <c r="G26" s="113">
        <f t="shared" si="1"/>
        <v>90000</v>
      </c>
      <c r="H26" s="214">
        <v>0</v>
      </c>
      <c r="I26" s="124">
        <v>1</v>
      </c>
      <c r="J26" s="124">
        <v>1</v>
      </c>
      <c r="K26" s="107">
        <f t="shared" si="2"/>
        <v>90000</v>
      </c>
      <c r="L26" s="107">
        <f t="shared" si="3"/>
        <v>90000</v>
      </c>
      <c r="M26" s="208">
        <f t="shared" si="4"/>
        <v>90000</v>
      </c>
      <c r="N26" s="297"/>
      <c r="O26" s="137" t="s">
        <v>1759</v>
      </c>
      <c r="P26" s="175">
        <f t="shared" si="6"/>
        <v>90000</v>
      </c>
      <c r="Q26" s="327">
        <f>+'[1]BG N2'!Z59</f>
        <v>90000</v>
      </c>
      <c r="R26" s="327">
        <f t="shared" si="7"/>
        <v>0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>
      <c r="A27" s="36">
        <f t="shared" si="5"/>
        <v>23</v>
      </c>
      <c r="B27" s="247" t="s">
        <v>1460</v>
      </c>
      <c r="C27" s="274" t="s">
        <v>1461</v>
      </c>
      <c r="D27" s="115">
        <v>43079</v>
      </c>
      <c r="E27" s="205">
        <v>66660</v>
      </c>
      <c r="F27" s="206">
        <f t="shared" si="0"/>
        <v>66660</v>
      </c>
      <c r="G27" s="113">
        <f t="shared" si="1"/>
        <v>66660</v>
      </c>
      <c r="H27" s="214">
        <v>0</v>
      </c>
      <c r="I27" s="124">
        <v>1</v>
      </c>
      <c r="J27" s="124">
        <v>1</v>
      </c>
      <c r="K27" s="107">
        <f t="shared" si="2"/>
        <v>66660</v>
      </c>
      <c r="L27" s="107">
        <f t="shared" si="3"/>
        <v>66660</v>
      </c>
      <c r="M27" s="208">
        <f t="shared" si="4"/>
        <v>66660</v>
      </c>
      <c r="N27" s="297"/>
      <c r="O27" s="137" t="s">
        <v>1760</v>
      </c>
      <c r="P27" s="175">
        <f t="shared" si="6"/>
        <v>66660</v>
      </c>
      <c r="Q27" s="327">
        <f>+'[1]BG N2'!Z60</f>
        <v>66660</v>
      </c>
      <c r="R27" s="327">
        <f t="shared" si="7"/>
        <v>0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>
      <c r="A28" s="36">
        <f t="shared" si="5"/>
        <v>24</v>
      </c>
      <c r="B28" s="247" t="s">
        <v>1460</v>
      </c>
      <c r="C28" s="274" t="s">
        <v>1461</v>
      </c>
      <c r="D28" s="115">
        <v>43110</v>
      </c>
      <c r="E28" s="331">
        <v>66660</v>
      </c>
      <c r="F28" s="206">
        <f t="shared" si="0"/>
        <v>66660</v>
      </c>
      <c r="G28" s="113">
        <f t="shared" si="1"/>
        <v>66660</v>
      </c>
      <c r="H28" s="214">
        <v>0</v>
      </c>
      <c r="I28" s="124">
        <v>1</v>
      </c>
      <c r="J28" s="124">
        <v>1</v>
      </c>
      <c r="K28" s="107">
        <f t="shared" si="2"/>
        <v>66660</v>
      </c>
      <c r="L28" s="107">
        <f t="shared" si="3"/>
        <v>66660</v>
      </c>
      <c r="M28" s="208">
        <f t="shared" si="4"/>
        <v>66660</v>
      </c>
      <c r="N28" s="297"/>
      <c r="O28" s="137" t="s">
        <v>1761</v>
      </c>
      <c r="P28" s="175">
        <f t="shared" si="6"/>
        <v>66660</v>
      </c>
      <c r="Q28" s="327">
        <f>+'[1]BG N2'!Z61</f>
        <v>66660</v>
      </c>
      <c r="R28" s="327">
        <f t="shared" si="7"/>
        <v>0</v>
      </c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>
      <c r="A29" s="36">
        <f t="shared" si="5"/>
        <v>25</v>
      </c>
      <c r="B29" s="247" t="s">
        <v>1460</v>
      </c>
      <c r="C29" s="274" t="s">
        <v>1461</v>
      </c>
      <c r="D29" s="115">
        <v>43141</v>
      </c>
      <c r="E29" s="331">
        <v>66660</v>
      </c>
      <c r="F29" s="206">
        <f t="shared" si="0"/>
        <v>66660</v>
      </c>
      <c r="G29" s="113">
        <f t="shared" si="1"/>
        <v>66660</v>
      </c>
      <c r="H29" s="214">
        <v>0</v>
      </c>
      <c r="I29" s="124">
        <v>1</v>
      </c>
      <c r="J29" s="124">
        <v>1</v>
      </c>
      <c r="K29" s="107">
        <f t="shared" si="2"/>
        <v>66660</v>
      </c>
      <c r="L29" s="107">
        <f t="shared" si="3"/>
        <v>66660</v>
      </c>
      <c r="M29" s="208">
        <f t="shared" si="4"/>
        <v>66660</v>
      </c>
      <c r="N29" s="297"/>
      <c r="O29" s="137" t="s">
        <v>1762</v>
      </c>
      <c r="P29" s="175">
        <f t="shared" si="6"/>
        <v>66660</v>
      </c>
      <c r="Q29" s="327">
        <f>+'[1]BG N2'!Z62</f>
        <v>66660</v>
      </c>
      <c r="R29" s="327">
        <f t="shared" si="7"/>
        <v>0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>
      <c r="A30" s="36">
        <f t="shared" si="5"/>
        <v>26</v>
      </c>
      <c r="B30" s="121" t="s">
        <v>1460</v>
      </c>
      <c r="C30" s="122" t="s">
        <v>1461</v>
      </c>
      <c r="D30" s="115">
        <v>43141</v>
      </c>
      <c r="E30" s="332">
        <f>7500000*1.2%</f>
        <v>90000</v>
      </c>
      <c r="F30" s="206">
        <f t="shared" si="0"/>
        <v>90000</v>
      </c>
      <c r="G30" s="113">
        <f t="shared" si="1"/>
        <v>90000</v>
      </c>
      <c r="H30" s="214">
        <v>0</v>
      </c>
      <c r="I30" s="124">
        <v>1</v>
      </c>
      <c r="J30" s="124">
        <v>1</v>
      </c>
      <c r="K30" s="107">
        <f t="shared" si="2"/>
        <v>90000</v>
      </c>
      <c r="L30" s="107">
        <f t="shared" si="3"/>
        <v>90000</v>
      </c>
      <c r="M30" s="208">
        <f t="shared" si="4"/>
        <v>90000</v>
      </c>
      <c r="N30" s="297"/>
      <c r="O30" s="137" t="s">
        <v>1763</v>
      </c>
      <c r="P30" s="175">
        <f t="shared" si="6"/>
        <v>90000</v>
      </c>
      <c r="Q30" s="327">
        <f>+'[1]BG N2'!Z63</f>
        <v>90000</v>
      </c>
      <c r="R30" s="327">
        <f t="shared" si="7"/>
        <v>0</v>
      </c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>
      <c r="A31" s="36">
        <f t="shared" si="5"/>
        <v>27</v>
      </c>
      <c r="B31" s="237" t="s">
        <v>1476</v>
      </c>
      <c r="C31" s="238" t="s">
        <v>1477</v>
      </c>
      <c r="D31" s="115">
        <v>43141</v>
      </c>
      <c r="E31" s="285">
        <v>269820</v>
      </c>
      <c r="F31" s="206">
        <f t="shared" si="0"/>
        <v>269820</v>
      </c>
      <c r="G31" s="113">
        <f t="shared" si="1"/>
        <v>269820</v>
      </c>
      <c r="H31" s="214">
        <v>0</v>
      </c>
      <c r="I31" s="124">
        <v>1</v>
      </c>
      <c r="J31" s="124">
        <v>1</v>
      </c>
      <c r="K31" s="107">
        <f t="shared" si="2"/>
        <v>269820</v>
      </c>
      <c r="L31" s="107">
        <f t="shared" si="3"/>
        <v>269820</v>
      </c>
      <c r="M31" s="208">
        <f t="shared" si="4"/>
        <v>269820</v>
      </c>
      <c r="N31" s="297"/>
      <c r="O31" s="137" t="s">
        <v>1762</v>
      </c>
      <c r="P31" s="175">
        <f t="shared" si="6"/>
        <v>269820</v>
      </c>
      <c r="Q31" s="327">
        <f>+'[1]BG N2'!Z64</f>
        <v>269820</v>
      </c>
      <c r="R31" s="327">
        <f t="shared" si="7"/>
        <v>0</v>
      </c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>
      <c r="A32" s="36">
        <f t="shared" si="5"/>
        <v>28</v>
      </c>
      <c r="B32" s="121" t="s">
        <v>1764</v>
      </c>
      <c r="C32" s="122" t="s">
        <v>1765</v>
      </c>
      <c r="D32" s="115">
        <v>43141</v>
      </c>
      <c r="E32" s="331">
        <f>7000000*1.2%</f>
        <v>84000</v>
      </c>
      <c r="F32" s="206">
        <f t="shared" si="0"/>
        <v>84000</v>
      </c>
      <c r="G32" s="113">
        <f t="shared" si="1"/>
        <v>84000</v>
      </c>
      <c r="H32" s="214">
        <v>0</v>
      </c>
      <c r="I32" s="124">
        <v>1</v>
      </c>
      <c r="J32" s="124">
        <v>1</v>
      </c>
      <c r="K32" s="107">
        <f t="shared" si="2"/>
        <v>84000</v>
      </c>
      <c r="L32" s="107">
        <f t="shared" si="3"/>
        <v>84000</v>
      </c>
      <c r="M32" s="208">
        <f t="shared" si="4"/>
        <v>84000</v>
      </c>
      <c r="N32" s="287"/>
      <c r="O32" s="137" t="s">
        <v>1766</v>
      </c>
      <c r="P32" s="175">
        <f t="shared" si="6"/>
        <v>84000</v>
      </c>
      <c r="Q32" s="327">
        <f>+'[1]BG N2'!Z65</f>
        <v>84000</v>
      </c>
      <c r="R32" s="327">
        <f t="shared" si="7"/>
        <v>0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>
      <c r="A33" s="36">
        <f t="shared" si="5"/>
        <v>29</v>
      </c>
      <c r="B33" s="334" t="s">
        <v>1767</v>
      </c>
      <c r="C33" s="335" t="s">
        <v>1768</v>
      </c>
      <c r="D33" s="115">
        <v>43079</v>
      </c>
      <c r="E33" s="336">
        <v>24000</v>
      </c>
      <c r="F33" s="206">
        <f t="shared" si="0"/>
        <v>24000</v>
      </c>
      <c r="G33" s="113">
        <f t="shared" si="1"/>
        <v>24000</v>
      </c>
      <c r="H33" s="214">
        <v>0</v>
      </c>
      <c r="I33" s="124">
        <v>1</v>
      </c>
      <c r="J33" s="124">
        <v>1</v>
      </c>
      <c r="K33" s="107">
        <f t="shared" si="2"/>
        <v>24000</v>
      </c>
      <c r="L33" s="107">
        <f t="shared" si="3"/>
        <v>24000</v>
      </c>
      <c r="M33" s="208">
        <f t="shared" si="4"/>
        <v>24000</v>
      </c>
      <c r="N33" s="297"/>
      <c r="O33" s="137" t="s">
        <v>1769</v>
      </c>
      <c r="P33" s="175">
        <f t="shared" si="6"/>
        <v>24000</v>
      </c>
      <c r="Q33" s="327">
        <f>+'[1]BG N2'!Z66</f>
        <v>24000</v>
      </c>
      <c r="R33" s="327">
        <f t="shared" si="7"/>
        <v>0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>
      <c r="A34" s="36">
        <f t="shared" si="5"/>
        <v>30</v>
      </c>
      <c r="B34" s="121" t="s">
        <v>1767</v>
      </c>
      <c r="C34" s="122" t="s">
        <v>1768</v>
      </c>
      <c r="D34" s="115">
        <v>43110</v>
      </c>
      <c r="E34" s="337">
        <f>2000000*1.2%</f>
        <v>24000</v>
      </c>
      <c r="F34" s="206">
        <f t="shared" si="0"/>
        <v>24000</v>
      </c>
      <c r="G34" s="113">
        <f t="shared" si="1"/>
        <v>24000</v>
      </c>
      <c r="H34" s="214">
        <v>0</v>
      </c>
      <c r="I34" s="124">
        <v>1</v>
      </c>
      <c r="J34" s="124">
        <v>1</v>
      </c>
      <c r="K34" s="107">
        <f t="shared" si="2"/>
        <v>24000</v>
      </c>
      <c r="L34" s="107">
        <f t="shared" si="3"/>
        <v>24000</v>
      </c>
      <c r="M34" s="208">
        <f t="shared" si="4"/>
        <v>24000</v>
      </c>
      <c r="N34" s="287"/>
      <c r="O34" s="338" t="s">
        <v>1770</v>
      </c>
      <c r="P34" s="175">
        <f t="shared" si="6"/>
        <v>24000</v>
      </c>
      <c r="Q34" s="327">
        <f>+'[1]BG N2'!Z67</f>
        <v>24000</v>
      </c>
      <c r="R34" s="327">
        <f t="shared" si="7"/>
        <v>0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>
      <c r="A35" s="36">
        <f t="shared" si="5"/>
        <v>31</v>
      </c>
      <c r="B35" s="121" t="s">
        <v>1767</v>
      </c>
      <c r="C35" s="122" t="s">
        <v>1768</v>
      </c>
      <c r="D35" s="115">
        <v>43141</v>
      </c>
      <c r="E35" s="337">
        <f>2000000*1.2%</f>
        <v>24000</v>
      </c>
      <c r="F35" s="206">
        <f t="shared" si="0"/>
        <v>24000</v>
      </c>
      <c r="G35" s="113">
        <f t="shared" si="1"/>
        <v>24000</v>
      </c>
      <c r="H35" s="214">
        <v>0</v>
      </c>
      <c r="I35" s="124">
        <v>1</v>
      </c>
      <c r="J35" s="124">
        <v>1</v>
      </c>
      <c r="K35" s="107">
        <f t="shared" si="2"/>
        <v>24000</v>
      </c>
      <c r="L35" s="107">
        <f t="shared" si="3"/>
        <v>24000</v>
      </c>
      <c r="M35" s="208">
        <f t="shared" si="4"/>
        <v>24000</v>
      </c>
      <c r="N35" s="287"/>
      <c r="O35" s="137" t="s">
        <v>1766</v>
      </c>
      <c r="P35" s="175">
        <f t="shared" si="6"/>
        <v>24000</v>
      </c>
      <c r="Q35" s="327">
        <f>+'[1]BG N2'!Z68</f>
        <v>24000</v>
      </c>
      <c r="R35" s="327">
        <f t="shared" si="7"/>
        <v>0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>
      <c r="A36" s="36">
        <f t="shared" si="5"/>
        <v>32</v>
      </c>
      <c r="B36" s="339" t="s">
        <v>1722</v>
      </c>
      <c r="C36" s="340" t="s">
        <v>1723</v>
      </c>
      <c r="D36" s="212">
        <v>42653</v>
      </c>
      <c r="E36" s="214">
        <f t="shared" ref="E36:E41" si="8">5000000*1.2%</f>
        <v>60000</v>
      </c>
      <c r="F36" s="206">
        <f t="shared" si="0"/>
        <v>60000</v>
      </c>
      <c r="G36" s="113">
        <f t="shared" si="1"/>
        <v>60000</v>
      </c>
      <c r="H36" s="214">
        <v>0</v>
      </c>
      <c r="I36" s="124">
        <v>1</v>
      </c>
      <c r="J36" s="124">
        <v>1</v>
      </c>
      <c r="K36" s="107">
        <f t="shared" si="2"/>
        <v>60000</v>
      </c>
      <c r="L36" s="107">
        <f t="shared" si="3"/>
        <v>60000</v>
      </c>
      <c r="M36" s="208">
        <f t="shared" si="4"/>
        <v>60000</v>
      </c>
      <c r="N36" s="104"/>
      <c r="O36" s="137" t="s">
        <v>1771</v>
      </c>
      <c r="P36" s="175">
        <f t="shared" si="6"/>
        <v>60000</v>
      </c>
      <c r="Q36" s="327">
        <f>+'[1]BG N2'!Z69</f>
        <v>60000</v>
      </c>
      <c r="R36" s="327">
        <f t="shared" si="7"/>
        <v>0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>
      <c r="A37" s="36">
        <f t="shared" si="5"/>
        <v>33</v>
      </c>
      <c r="B37" s="121" t="s">
        <v>1722</v>
      </c>
      <c r="C37" s="340" t="s">
        <v>1723</v>
      </c>
      <c r="D37" s="115">
        <v>42684</v>
      </c>
      <c r="E37" s="326">
        <f t="shared" si="8"/>
        <v>60000</v>
      </c>
      <c r="F37" s="206">
        <f t="shared" si="0"/>
        <v>60000</v>
      </c>
      <c r="G37" s="113">
        <f t="shared" si="1"/>
        <v>60000</v>
      </c>
      <c r="H37" s="214">
        <v>0</v>
      </c>
      <c r="I37" s="124">
        <v>1</v>
      </c>
      <c r="J37" s="124">
        <v>1</v>
      </c>
      <c r="K37" s="107">
        <f t="shared" si="2"/>
        <v>60000</v>
      </c>
      <c r="L37" s="107">
        <f t="shared" si="3"/>
        <v>60000</v>
      </c>
      <c r="M37" s="208">
        <f t="shared" si="4"/>
        <v>60000</v>
      </c>
      <c r="N37" s="104"/>
      <c r="O37" s="137" t="s">
        <v>1772</v>
      </c>
      <c r="P37" s="175">
        <f t="shared" si="6"/>
        <v>60000</v>
      </c>
      <c r="Q37" s="327">
        <f>+'[1]BG N2'!Z70</f>
        <v>60000</v>
      </c>
      <c r="R37" s="327">
        <f t="shared" si="7"/>
        <v>0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>
      <c r="A38" s="36">
        <f t="shared" si="5"/>
        <v>34</v>
      </c>
      <c r="B38" s="121" t="s">
        <v>1722</v>
      </c>
      <c r="C38" s="340" t="s">
        <v>1723</v>
      </c>
      <c r="D38" s="115">
        <v>42684</v>
      </c>
      <c r="E38" s="326">
        <f t="shared" si="8"/>
        <v>60000</v>
      </c>
      <c r="F38" s="206">
        <f t="shared" si="0"/>
        <v>60000</v>
      </c>
      <c r="G38" s="113">
        <f t="shared" si="1"/>
        <v>60000</v>
      </c>
      <c r="H38" s="214">
        <v>0</v>
      </c>
      <c r="I38" s="124">
        <v>1</v>
      </c>
      <c r="J38" s="124">
        <v>1</v>
      </c>
      <c r="K38" s="107">
        <f t="shared" si="2"/>
        <v>60000</v>
      </c>
      <c r="L38" s="107">
        <f t="shared" si="3"/>
        <v>60000</v>
      </c>
      <c r="M38" s="208">
        <f t="shared" si="4"/>
        <v>60000</v>
      </c>
      <c r="N38" s="104"/>
      <c r="O38" s="137" t="s">
        <v>1773</v>
      </c>
      <c r="P38" s="175">
        <f t="shared" si="6"/>
        <v>60000</v>
      </c>
      <c r="Q38" s="327">
        <f>+'[1]BG N2'!Z71</f>
        <v>60000</v>
      </c>
      <c r="R38" s="327">
        <f t="shared" si="7"/>
        <v>0</v>
      </c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>
      <c r="A39" s="36">
        <f t="shared" si="5"/>
        <v>35</v>
      </c>
      <c r="B39" s="121" t="s">
        <v>1722</v>
      </c>
      <c r="C39" s="122" t="s">
        <v>1723</v>
      </c>
      <c r="D39" s="115">
        <v>42714</v>
      </c>
      <c r="E39" s="326">
        <f t="shared" si="8"/>
        <v>60000</v>
      </c>
      <c r="F39" s="206">
        <f t="shared" si="0"/>
        <v>60000</v>
      </c>
      <c r="G39" s="113">
        <f t="shared" si="1"/>
        <v>60000</v>
      </c>
      <c r="H39" s="214">
        <v>0</v>
      </c>
      <c r="I39" s="124">
        <v>1</v>
      </c>
      <c r="J39" s="124">
        <v>1</v>
      </c>
      <c r="K39" s="107">
        <f t="shared" si="2"/>
        <v>60000</v>
      </c>
      <c r="L39" s="107">
        <f t="shared" si="3"/>
        <v>60000</v>
      </c>
      <c r="M39" s="208">
        <f t="shared" si="4"/>
        <v>60000</v>
      </c>
      <c r="N39" s="104"/>
      <c r="O39" s="137" t="s">
        <v>1774</v>
      </c>
      <c r="P39" s="175">
        <f t="shared" si="6"/>
        <v>60000</v>
      </c>
      <c r="Q39" s="327">
        <f>+'[1]BG N2'!Z72</f>
        <v>60000</v>
      </c>
      <c r="R39" s="327">
        <f t="shared" si="7"/>
        <v>0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>
      <c r="A40" s="36">
        <f t="shared" si="5"/>
        <v>36</v>
      </c>
      <c r="B40" s="121" t="s">
        <v>1722</v>
      </c>
      <c r="C40" s="122" t="s">
        <v>1723</v>
      </c>
      <c r="D40" s="115">
        <v>42714</v>
      </c>
      <c r="E40" s="326">
        <f t="shared" si="8"/>
        <v>60000</v>
      </c>
      <c r="F40" s="206">
        <f t="shared" si="0"/>
        <v>60000</v>
      </c>
      <c r="G40" s="113">
        <f t="shared" si="1"/>
        <v>60000</v>
      </c>
      <c r="H40" s="214">
        <v>0</v>
      </c>
      <c r="I40" s="124">
        <v>1</v>
      </c>
      <c r="J40" s="124">
        <v>1</v>
      </c>
      <c r="K40" s="107">
        <f t="shared" si="2"/>
        <v>60000</v>
      </c>
      <c r="L40" s="107">
        <f t="shared" si="3"/>
        <v>60000</v>
      </c>
      <c r="M40" s="208">
        <f t="shared" si="4"/>
        <v>60000</v>
      </c>
      <c r="N40" s="104"/>
      <c r="O40" s="137" t="s">
        <v>1775</v>
      </c>
      <c r="P40" s="175">
        <f t="shared" si="6"/>
        <v>60000</v>
      </c>
      <c r="Q40" s="327">
        <f>+'[1]BG N2'!Z73</f>
        <v>60000</v>
      </c>
      <c r="R40" s="327">
        <f t="shared" si="7"/>
        <v>0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>
      <c r="A41" s="36">
        <f t="shared" si="5"/>
        <v>37</v>
      </c>
      <c r="B41" s="121" t="s">
        <v>1722</v>
      </c>
      <c r="C41" s="122" t="s">
        <v>1723</v>
      </c>
      <c r="D41" s="115">
        <v>42745</v>
      </c>
      <c r="E41" s="326">
        <f t="shared" si="8"/>
        <v>60000</v>
      </c>
      <c r="F41" s="206">
        <f t="shared" si="0"/>
        <v>60000</v>
      </c>
      <c r="G41" s="113">
        <f t="shared" si="1"/>
        <v>60000</v>
      </c>
      <c r="H41" s="214">
        <v>0</v>
      </c>
      <c r="I41" s="124">
        <v>1</v>
      </c>
      <c r="J41" s="124">
        <v>1</v>
      </c>
      <c r="K41" s="107">
        <f t="shared" si="2"/>
        <v>60000</v>
      </c>
      <c r="L41" s="107">
        <f t="shared" si="3"/>
        <v>60000</v>
      </c>
      <c r="M41" s="208">
        <f t="shared" si="4"/>
        <v>60000</v>
      </c>
      <c r="N41" s="104"/>
      <c r="O41" s="137" t="s">
        <v>1776</v>
      </c>
      <c r="P41" s="175">
        <f t="shared" si="6"/>
        <v>60000</v>
      </c>
      <c r="Q41" s="327">
        <f>+'[1]BG N2'!Z74</f>
        <v>60000</v>
      </c>
      <c r="R41" s="327">
        <f t="shared" si="7"/>
        <v>0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>
      <c r="A42" s="36">
        <f t="shared" si="5"/>
        <v>38</v>
      </c>
      <c r="B42" s="339" t="s">
        <v>1722</v>
      </c>
      <c r="C42" s="340" t="s">
        <v>1723</v>
      </c>
      <c r="D42" s="115">
        <v>42745</v>
      </c>
      <c r="E42" s="214">
        <v>60000</v>
      </c>
      <c r="F42" s="206">
        <f t="shared" si="0"/>
        <v>60000</v>
      </c>
      <c r="G42" s="113">
        <f t="shared" si="1"/>
        <v>60000</v>
      </c>
      <c r="H42" s="214">
        <v>0</v>
      </c>
      <c r="I42" s="124">
        <v>1</v>
      </c>
      <c r="J42" s="124">
        <v>1</v>
      </c>
      <c r="K42" s="107">
        <f t="shared" si="2"/>
        <v>60000</v>
      </c>
      <c r="L42" s="107">
        <f t="shared" si="3"/>
        <v>60000</v>
      </c>
      <c r="M42" s="208">
        <f t="shared" si="4"/>
        <v>60000</v>
      </c>
      <c r="N42" s="104"/>
      <c r="O42" s="137" t="s">
        <v>1777</v>
      </c>
      <c r="P42" s="175">
        <f t="shared" si="6"/>
        <v>60000</v>
      </c>
      <c r="Q42" s="327">
        <f>+'[1]BG N2'!Z75</f>
        <v>60000</v>
      </c>
      <c r="R42" s="327">
        <f t="shared" si="7"/>
        <v>0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>
      <c r="A43" s="36">
        <f t="shared" si="5"/>
        <v>39</v>
      </c>
      <c r="B43" s="121" t="s">
        <v>1722</v>
      </c>
      <c r="C43" s="122" t="s">
        <v>1723</v>
      </c>
      <c r="D43" s="115">
        <v>42776</v>
      </c>
      <c r="E43" s="341">
        <f t="shared" ref="E43:E54" si="9">5000000*1.2%</f>
        <v>60000</v>
      </c>
      <c r="F43" s="206">
        <f t="shared" si="0"/>
        <v>60000</v>
      </c>
      <c r="G43" s="113">
        <f t="shared" si="1"/>
        <v>60000</v>
      </c>
      <c r="H43" s="214">
        <v>0</v>
      </c>
      <c r="I43" s="124">
        <v>1</v>
      </c>
      <c r="J43" s="124">
        <v>1</v>
      </c>
      <c r="K43" s="107">
        <f t="shared" si="2"/>
        <v>60000</v>
      </c>
      <c r="L43" s="107">
        <f t="shared" si="3"/>
        <v>60000</v>
      </c>
      <c r="M43" s="208">
        <f t="shared" si="4"/>
        <v>60000</v>
      </c>
      <c r="N43" s="150"/>
      <c r="O43" s="137" t="s">
        <v>1778</v>
      </c>
      <c r="P43" s="175">
        <f t="shared" si="6"/>
        <v>60000</v>
      </c>
      <c r="Q43" s="327">
        <f>+'[1]BG N2'!Z76</f>
        <v>60000</v>
      </c>
      <c r="R43" s="327">
        <f t="shared" si="7"/>
        <v>0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>
      <c r="A44" s="36">
        <f t="shared" si="5"/>
        <v>40</v>
      </c>
      <c r="B44" s="121" t="s">
        <v>1722</v>
      </c>
      <c r="C44" s="122" t="s">
        <v>1723</v>
      </c>
      <c r="D44" s="115">
        <v>42776</v>
      </c>
      <c r="E44" s="326">
        <f t="shared" si="9"/>
        <v>60000</v>
      </c>
      <c r="F44" s="206">
        <f t="shared" si="0"/>
        <v>60000</v>
      </c>
      <c r="G44" s="113">
        <f t="shared" si="1"/>
        <v>60000</v>
      </c>
      <c r="H44" s="214">
        <v>0</v>
      </c>
      <c r="I44" s="124">
        <v>1</v>
      </c>
      <c r="J44" s="124">
        <v>1</v>
      </c>
      <c r="K44" s="107">
        <f t="shared" si="2"/>
        <v>60000</v>
      </c>
      <c r="L44" s="107">
        <f t="shared" si="3"/>
        <v>60000</v>
      </c>
      <c r="M44" s="208">
        <f t="shared" si="4"/>
        <v>60000</v>
      </c>
      <c r="N44" s="150"/>
      <c r="O44" s="137" t="s">
        <v>1779</v>
      </c>
      <c r="P44" s="175">
        <f t="shared" si="6"/>
        <v>60000</v>
      </c>
      <c r="Q44" s="327">
        <f>+'[1]BG N2'!Z77</f>
        <v>60000</v>
      </c>
      <c r="R44" s="327">
        <f t="shared" si="7"/>
        <v>0</v>
      </c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>
      <c r="A45" s="36">
        <f t="shared" si="5"/>
        <v>41</v>
      </c>
      <c r="B45" s="121" t="s">
        <v>1722</v>
      </c>
      <c r="C45" s="122" t="s">
        <v>1723</v>
      </c>
      <c r="D45" s="115">
        <v>42804</v>
      </c>
      <c r="E45" s="341">
        <f t="shared" si="9"/>
        <v>60000</v>
      </c>
      <c r="F45" s="206">
        <f t="shared" si="0"/>
        <v>60000</v>
      </c>
      <c r="G45" s="113">
        <f t="shared" si="1"/>
        <v>60000</v>
      </c>
      <c r="H45" s="214">
        <v>0</v>
      </c>
      <c r="I45" s="124">
        <v>1</v>
      </c>
      <c r="J45" s="124">
        <v>1</v>
      </c>
      <c r="K45" s="107">
        <f t="shared" si="2"/>
        <v>60000</v>
      </c>
      <c r="L45" s="107">
        <f t="shared" si="3"/>
        <v>60000</v>
      </c>
      <c r="M45" s="208">
        <f t="shared" si="4"/>
        <v>60000</v>
      </c>
      <c r="N45" s="104"/>
      <c r="O45" s="137" t="s">
        <v>1780</v>
      </c>
      <c r="P45" s="175">
        <f t="shared" si="6"/>
        <v>60000</v>
      </c>
      <c r="Q45" s="327">
        <f>+'[1]BG N2'!Z78</f>
        <v>60000</v>
      </c>
      <c r="R45" s="327">
        <f t="shared" si="7"/>
        <v>0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>
      <c r="A46" s="36">
        <f t="shared" si="5"/>
        <v>42</v>
      </c>
      <c r="B46" s="121" t="s">
        <v>1722</v>
      </c>
      <c r="C46" s="122" t="s">
        <v>1723</v>
      </c>
      <c r="D46" s="115">
        <v>42804</v>
      </c>
      <c r="E46" s="326">
        <f t="shared" si="9"/>
        <v>60000</v>
      </c>
      <c r="F46" s="206">
        <f t="shared" si="0"/>
        <v>60000</v>
      </c>
      <c r="G46" s="113">
        <f t="shared" si="1"/>
        <v>60000</v>
      </c>
      <c r="H46" s="214">
        <v>0</v>
      </c>
      <c r="I46" s="124">
        <v>1</v>
      </c>
      <c r="J46" s="124">
        <v>1</v>
      </c>
      <c r="K46" s="107">
        <f t="shared" si="2"/>
        <v>60000</v>
      </c>
      <c r="L46" s="107">
        <f t="shared" si="3"/>
        <v>60000</v>
      </c>
      <c r="M46" s="208">
        <f t="shared" si="4"/>
        <v>60000</v>
      </c>
      <c r="N46" s="104"/>
      <c r="O46" s="137" t="s">
        <v>1781</v>
      </c>
      <c r="P46" s="175">
        <f t="shared" si="6"/>
        <v>60000</v>
      </c>
      <c r="Q46" s="327">
        <f>+'[1]BG N2'!Z79</f>
        <v>60000</v>
      </c>
      <c r="R46" s="327">
        <f t="shared" si="7"/>
        <v>0</v>
      </c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>
      <c r="A47" s="36">
        <f t="shared" si="5"/>
        <v>43</v>
      </c>
      <c r="B47" s="121" t="s">
        <v>1722</v>
      </c>
      <c r="C47" s="122" t="s">
        <v>1723</v>
      </c>
      <c r="D47" s="115">
        <v>42835</v>
      </c>
      <c r="E47" s="341">
        <f t="shared" si="9"/>
        <v>60000</v>
      </c>
      <c r="F47" s="206">
        <f t="shared" si="0"/>
        <v>60000</v>
      </c>
      <c r="G47" s="113">
        <f t="shared" si="1"/>
        <v>60000</v>
      </c>
      <c r="H47" s="214">
        <v>0</v>
      </c>
      <c r="I47" s="124">
        <v>1</v>
      </c>
      <c r="J47" s="124">
        <v>1</v>
      </c>
      <c r="K47" s="107">
        <f t="shared" si="2"/>
        <v>60000</v>
      </c>
      <c r="L47" s="107">
        <f t="shared" si="3"/>
        <v>60000</v>
      </c>
      <c r="M47" s="208">
        <f t="shared" si="4"/>
        <v>60000</v>
      </c>
      <c r="N47" s="104"/>
      <c r="O47" s="137" t="s">
        <v>1782</v>
      </c>
      <c r="P47" s="175">
        <f t="shared" si="6"/>
        <v>60000</v>
      </c>
      <c r="Q47" s="327">
        <f>+'[1]BG N2'!Z80</f>
        <v>60000</v>
      </c>
      <c r="R47" s="327">
        <f t="shared" si="7"/>
        <v>0</v>
      </c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>
      <c r="A48" s="36">
        <f t="shared" si="5"/>
        <v>44</v>
      </c>
      <c r="B48" s="121" t="s">
        <v>1722</v>
      </c>
      <c r="C48" s="122" t="s">
        <v>1723</v>
      </c>
      <c r="D48" s="115">
        <v>42835</v>
      </c>
      <c r="E48" s="326">
        <f t="shared" si="9"/>
        <v>60000</v>
      </c>
      <c r="F48" s="206">
        <f t="shared" si="0"/>
        <v>60000</v>
      </c>
      <c r="G48" s="113">
        <f t="shared" si="1"/>
        <v>60000</v>
      </c>
      <c r="H48" s="214">
        <v>0</v>
      </c>
      <c r="I48" s="124">
        <v>1</v>
      </c>
      <c r="J48" s="124">
        <v>1</v>
      </c>
      <c r="K48" s="107">
        <f t="shared" si="2"/>
        <v>60000</v>
      </c>
      <c r="L48" s="107">
        <f t="shared" si="3"/>
        <v>60000</v>
      </c>
      <c r="M48" s="208">
        <f t="shared" si="4"/>
        <v>60000</v>
      </c>
      <c r="N48" s="104"/>
      <c r="O48" s="137" t="s">
        <v>1783</v>
      </c>
      <c r="P48" s="175">
        <f t="shared" si="6"/>
        <v>60000</v>
      </c>
      <c r="Q48" s="327">
        <f>+'[1]BG N2'!Z81</f>
        <v>60000</v>
      </c>
      <c r="R48" s="327">
        <f t="shared" si="7"/>
        <v>0</v>
      </c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>
      <c r="A49" s="36">
        <f t="shared" si="5"/>
        <v>45</v>
      </c>
      <c r="B49" s="121" t="s">
        <v>1722</v>
      </c>
      <c r="C49" s="122" t="s">
        <v>1723</v>
      </c>
      <c r="D49" s="115">
        <v>42865</v>
      </c>
      <c r="E49" s="326">
        <f t="shared" si="9"/>
        <v>60000</v>
      </c>
      <c r="F49" s="206">
        <f t="shared" si="0"/>
        <v>60000</v>
      </c>
      <c r="G49" s="113">
        <f t="shared" si="1"/>
        <v>60000</v>
      </c>
      <c r="H49" s="214">
        <v>0</v>
      </c>
      <c r="I49" s="124">
        <v>1</v>
      </c>
      <c r="J49" s="124">
        <v>1</v>
      </c>
      <c r="K49" s="107">
        <f t="shared" si="2"/>
        <v>60000</v>
      </c>
      <c r="L49" s="107">
        <f t="shared" si="3"/>
        <v>60000</v>
      </c>
      <c r="M49" s="208">
        <f t="shared" si="4"/>
        <v>60000</v>
      </c>
      <c r="N49" s="104"/>
      <c r="O49" s="137" t="s">
        <v>1784</v>
      </c>
      <c r="P49" s="175">
        <f t="shared" si="6"/>
        <v>60000</v>
      </c>
      <c r="Q49" s="327">
        <f>+'[1]BG N2'!Z82</f>
        <v>60000</v>
      </c>
      <c r="R49" s="327">
        <f t="shared" si="7"/>
        <v>0</v>
      </c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>
      <c r="A50" s="36">
        <f t="shared" si="5"/>
        <v>46</v>
      </c>
      <c r="B50" s="121" t="s">
        <v>1722</v>
      </c>
      <c r="C50" s="122" t="s">
        <v>1723</v>
      </c>
      <c r="D50" s="115">
        <v>42865</v>
      </c>
      <c r="E50" s="326">
        <f t="shared" si="9"/>
        <v>60000</v>
      </c>
      <c r="F50" s="206">
        <f t="shared" si="0"/>
        <v>60000</v>
      </c>
      <c r="G50" s="113">
        <f t="shared" si="1"/>
        <v>60000</v>
      </c>
      <c r="H50" s="214">
        <v>0</v>
      </c>
      <c r="I50" s="124">
        <v>1</v>
      </c>
      <c r="J50" s="124">
        <v>1</v>
      </c>
      <c r="K50" s="107">
        <f t="shared" si="2"/>
        <v>60000</v>
      </c>
      <c r="L50" s="107">
        <f t="shared" si="3"/>
        <v>60000</v>
      </c>
      <c r="M50" s="208">
        <f t="shared" si="4"/>
        <v>60000</v>
      </c>
      <c r="N50" s="104"/>
      <c r="O50" s="137" t="s">
        <v>1785</v>
      </c>
      <c r="P50" s="175">
        <f t="shared" si="6"/>
        <v>60000</v>
      </c>
      <c r="Q50" s="327">
        <f>+'[1]BG N2'!Z83</f>
        <v>60000</v>
      </c>
      <c r="R50" s="327">
        <f t="shared" si="7"/>
        <v>0</v>
      </c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>
      <c r="A51" s="36">
        <f t="shared" si="5"/>
        <v>47</v>
      </c>
      <c r="B51" s="113" t="s">
        <v>1722</v>
      </c>
      <c r="C51" s="114" t="s">
        <v>1723</v>
      </c>
      <c r="D51" s="115">
        <v>42896</v>
      </c>
      <c r="E51" s="332">
        <f t="shared" si="9"/>
        <v>60000</v>
      </c>
      <c r="F51" s="206">
        <f t="shared" si="0"/>
        <v>60000</v>
      </c>
      <c r="G51" s="113">
        <f t="shared" si="1"/>
        <v>60000</v>
      </c>
      <c r="H51" s="214">
        <v>0</v>
      </c>
      <c r="I51" s="124">
        <v>1</v>
      </c>
      <c r="J51" s="124">
        <v>1</v>
      </c>
      <c r="K51" s="107">
        <f t="shared" si="2"/>
        <v>60000</v>
      </c>
      <c r="L51" s="107">
        <f t="shared" si="3"/>
        <v>60000</v>
      </c>
      <c r="M51" s="208">
        <f t="shared" si="4"/>
        <v>60000</v>
      </c>
      <c r="N51" s="297"/>
      <c r="O51" s="137" t="s">
        <v>1786</v>
      </c>
      <c r="P51" s="175">
        <f t="shared" si="6"/>
        <v>60000</v>
      </c>
      <c r="Q51" s="327">
        <f>+'[1]BG N2'!Z84</f>
        <v>60000</v>
      </c>
      <c r="R51" s="327">
        <f t="shared" si="7"/>
        <v>0</v>
      </c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>
      <c r="A52" s="36">
        <f t="shared" si="5"/>
        <v>48</v>
      </c>
      <c r="B52" s="113" t="s">
        <v>1722</v>
      </c>
      <c r="C52" s="114" t="s">
        <v>1723</v>
      </c>
      <c r="D52" s="115">
        <v>42926</v>
      </c>
      <c r="E52" s="332">
        <f t="shared" si="9"/>
        <v>60000</v>
      </c>
      <c r="F52" s="206">
        <f t="shared" si="0"/>
        <v>60000</v>
      </c>
      <c r="G52" s="113">
        <f t="shared" si="1"/>
        <v>60000</v>
      </c>
      <c r="H52" s="214">
        <v>0</v>
      </c>
      <c r="I52" s="124">
        <v>1</v>
      </c>
      <c r="J52" s="124">
        <v>1</v>
      </c>
      <c r="K52" s="107">
        <f t="shared" si="2"/>
        <v>60000</v>
      </c>
      <c r="L52" s="107">
        <f t="shared" si="3"/>
        <v>60000</v>
      </c>
      <c r="M52" s="208">
        <f t="shared" si="4"/>
        <v>60000</v>
      </c>
      <c r="N52" s="297"/>
      <c r="O52" s="137" t="s">
        <v>1787</v>
      </c>
      <c r="P52" s="175">
        <f t="shared" si="6"/>
        <v>60000</v>
      </c>
      <c r="Q52" s="327">
        <f>+'[1]BG N2'!Z85</f>
        <v>30000</v>
      </c>
      <c r="R52" s="327">
        <f t="shared" si="7"/>
        <v>30000</v>
      </c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>
      <c r="A53" s="36">
        <f t="shared" si="5"/>
        <v>49</v>
      </c>
      <c r="B53" s="121" t="s">
        <v>1722</v>
      </c>
      <c r="C53" s="122" t="s">
        <v>1723</v>
      </c>
      <c r="D53" s="115">
        <v>42957</v>
      </c>
      <c r="E53" s="332">
        <f t="shared" si="9"/>
        <v>60000</v>
      </c>
      <c r="F53" s="206">
        <f t="shared" si="0"/>
        <v>60000</v>
      </c>
      <c r="G53" s="113">
        <f t="shared" si="1"/>
        <v>60000</v>
      </c>
      <c r="H53" s="214">
        <v>0</v>
      </c>
      <c r="I53" s="124">
        <v>1</v>
      </c>
      <c r="J53" s="124">
        <v>1</v>
      </c>
      <c r="K53" s="107">
        <f t="shared" si="2"/>
        <v>60000</v>
      </c>
      <c r="L53" s="107">
        <f t="shared" si="3"/>
        <v>60000</v>
      </c>
      <c r="M53" s="208">
        <f t="shared" si="4"/>
        <v>60000</v>
      </c>
      <c r="N53" s="297"/>
      <c r="O53" s="137" t="s">
        <v>1788</v>
      </c>
      <c r="P53" s="175">
        <f t="shared" si="6"/>
        <v>60000</v>
      </c>
      <c r="Q53" s="327">
        <f>+'[1]BG N2'!Z86</f>
        <v>60000</v>
      </c>
      <c r="R53" s="327">
        <f t="shared" si="7"/>
        <v>0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>
      <c r="A54" s="36">
        <f t="shared" si="5"/>
        <v>50</v>
      </c>
      <c r="B54" s="121" t="s">
        <v>1722</v>
      </c>
      <c r="C54" s="122" t="s">
        <v>1723</v>
      </c>
      <c r="D54" s="115">
        <v>42988</v>
      </c>
      <c r="E54" s="332">
        <f t="shared" si="9"/>
        <v>60000</v>
      </c>
      <c r="F54" s="206">
        <f t="shared" si="0"/>
        <v>60000</v>
      </c>
      <c r="G54" s="113">
        <f t="shared" si="1"/>
        <v>60000</v>
      </c>
      <c r="H54" s="214">
        <v>0</v>
      </c>
      <c r="I54" s="124">
        <v>1</v>
      </c>
      <c r="J54" s="124">
        <v>1</v>
      </c>
      <c r="K54" s="107">
        <f t="shared" si="2"/>
        <v>60000</v>
      </c>
      <c r="L54" s="107">
        <f t="shared" si="3"/>
        <v>60000</v>
      </c>
      <c r="M54" s="208">
        <f t="shared" si="4"/>
        <v>60000</v>
      </c>
      <c r="N54" s="297"/>
      <c r="O54" s="137" t="s">
        <v>1789</v>
      </c>
      <c r="P54" s="175">
        <f t="shared" si="6"/>
        <v>60000</v>
      </c>
      <c r="Q54" s="327">
        <f>+'[1]BG N2'!Z87</f>
        <v>60000</v>
      </c>
      <c r="R54" s="327">
        <f t="shared" si="7"/>
        <v>0</v>
      </c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>
      <c r="A55" s="36">
        <f t="shared" si="5"/>
        <v>51</v>
      </c>
      <c r="B55" s="316" t="s">
        <v>1722</v>
      </c>
      <c r="C55" s="317" t="s">
        <v>1723</v>
      </c>
      <c r="D55" s="115">
        <v>42988</v>
      </c>
      <c r="E55" s="332">
        <f>2500000*1.2%</f>
        <v>30000</v>
      </c>
      <c r="F55" s="206">
        <f t="shared" si="0"/>
        <v>30000</v>
      </c>
      <c r="G55" s="113">
        <f t="shared" si="1"/>
        <v>30000</v>
      </c>
      <c r="H55" s="214">
        <v>0</v>
      </c>
      <c r="I55" s="124">
        <v>1</v>
      </c>
      <c r="J55" s="124">
        <v>1</v>
      </c>
      <c r="K55" s="107">
        <f t="shared" si="2"/>
        <v>30000</v>
      </c>
      <c r="L55" s="107">
        <f t="shared" si="3"/>
        <v>30000</v>
      </c>
      <c r="M55" s="208">
        <f t="shared" si="4"/>
        <v>30000</v>
      </c>
      <c r="N55" s="297"/>
      <c r="O55" s="137" t="s">
        <v>1790</v>
      </c>
      <c r="P55" s="175">
        <f t="shared" si="6"/>
        <v>30000</v>
      </c>
      <c r="Q55" s="327">
        <f>+'[1]BG N2'!Z88</f>
        <v>60000</v>
      </c>
      <c r="R55" s="327">
        <f t="shared" si="7"/>
        <v>-30000</v>
      </c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>
      <c r="A56" s="36">
        <f t="shared" si="5"/>
        <v>52</v>
      </c>
      <c r="B56" s="316" t="s">
        <v>1722</v>
      </c>
      <c r="C56" s="317" t="s">
        <v>1723</v>
      </c>
      <c r="D56" s="115">
        <v>43018</v>
      </c>
      <c r="E56" s="332">
        <f>2500000*1.2%</f>
        <v>30000</v>
      </c>
      <c r="F56" s="206">
        <f t="shared" si="0"/>
        <v>30000</v>
      </c>
      <c r="G56" s="113">
        <f t="shared" si="1"/>
        <v>30000</v>
      </c>
      <c r="H56" s="214">
        <v>0</v>
      </c>
      <c r="I56" s="124">
        <v>1</v>
      </c>
      <c r="J56" s="124">
        <v>1</v>
      </c>
      <c r="K56" s="107">
        <f t="shared" si="2"/>
        <v>30000</v>
      </c>
      <c r="L56" s="107">
        <f t="shared" si="3"/>
        <v>30000</v>
      </c>
      <c r="M56" s="208">
        <f t="shared" si="4"/>
        <v>30000</v>
      </c>
      <c r="N56" s="297"/>
      <c r="O56" s="137" t="s">
        <v>1791</v>
      </c>
      <c r="P56" s="175">
        <f t="shared" si="6"/>
        <v>30000</v>
      </c>
      <c r="Q56" s="327">
        <f>+'[1]BG N2'!Z89</f>
        <v>30000</v>
      </c>
      <c r="R56" s="327">
        <f t="shared" si="7"/>
        <v>0</v>
      </c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>
      <c r="A57" s="36">
        <f t="shared" si="5"/>
        <v>53</v>
      </c>
      <c r="B57" s="316" t="s">
        <v>1722</v>
      </c>
      <c r="C57" s="317" t="s">
        <v>1723</v>
      </c>
      <c r="D57" s="115">
        <v>43018</v>
      </c>
      <c r="E57" s="333">
        <f>5000000*1.2%</f>
        <v>60000</v>
      </c>
      <c r="F57" s="206">
        <f t="shared" si="0"/>
        <v>60000</v>
      </c>
      <c r="G57" s="113">
        <f t="shared" si="1"/>
        <v>60000</v>
      </c>
      <c r="H57" s="214">
        <v>0</v>
      </c>
      <c r="I57" s="124">
        <v>1</v>
      </c>
      <c r="J57" s="124">
        <v>1</v>
      </c>
      <c r="K57" s="107">
        <f t="shared" si="2"/>
        <v>60000</v>
      </c>
      <c r="L57" s="107">
        <f t="shared" si="3"/>
        <v>60000</v>
      </c>
      <c r="M57" s="208">
        <f t="shared" si="4"/>
        <v>60000</v>
      </c>
      <c r="N57" s="297"/>
      <c r="O57" s="137" t="s">
        <v>1792</v>
      </c>
      <c r="P57" s="175">
        <f t="shared" si="6"/>
        <v>60000</v>
      </c>
      <c r="Q57" s="327">
        <f>+'[1]BG N2'!Z90</f>
        <v>60000</v>
      </c>
      <c r="R57" s="327">
        <f t="shared" si="7"/>
        <v>0</v>
      </c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>
      <c r="A58" s="36">
        <f t="shared" si="5"/>
        <v>54</v>
      </c>
      <c r="B58" s="316" t="s">
        <v>1722</v>
      </c>
      <c r="C58" s="317" t="s">
        <v>1723</v>
      </c>
      <c r="D58" s="115">
        <v>43018</v>
      </c>
      <c r="E58" s="342">
        <f>2500000*1.2%</f>
        <v>30000</v>
      </c>
      <c r="F58" s="343">
        <f t="shared" si="0"/>
        <v>30000</v>
      </c>
      <c r="G58" s="344">
        <f t="shared" si="1"/>
        <v>30000</v>
      </c>
      <c r="H58" s="345">
        <v>0</v>
      </c>
      <c r="I58" s="346">
        <v>1</v>
      </c>
      <c r="J58" s="124">
        <v>1</v>
      </c>
      <c r="K58" s="107">
        <f t="shared" si="2"/>
        <v>30000</v>
      </c>
      <c r="L58" s="107">
        <f t="shared" si="3"/>
        <v>30000</v>
      </c>
      <c r="M58" s="208">
        <f t="shared" si="4"/>
        <v>30000</v>
      </c>
      <c r="N58" s="9"/>
      <c r="O58" s="137" t="s">
        <v>1793</v>
      </c>
      <c r="P58" s="175">
        <f t="shared" si="6"/>
        <v>30000</v>
      </c>
      <c r="Q58" s="327">
        <f>+'[1]BG N2'!Z91</f>
        <v>30000</v>
      </c>
      <c r="R58" s="327">
        <f t="shared" si="7"/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>
      <c r="A59" s="36">
        <f t="shared" si="5"/>
        <v>55</v>
      </c>
      <c r="B59" s="316" t="s">
        <v>1722</v>
      </c>
      <c r="C59" s="317" t="s">
        <v>1723</v>
      </c>
      <c r="D59" s="115">
        <v>43018</v>
      </c>
      <c r="E59" s="333">
        <f>5000000*1.2%</f>
        <v>60000</v>
      </c>
      <c r="F59" s="343">
        <f t="shared" si="0"/>
        <v>60000</v>
      </c>
      <c r="G59" s="344">
        <f t="shared" si="1"/>
        <v>60000</v>
      </c>
      <c r="H59" s="345">
        <v>0</v>
      </c>
      <c r="I59" s="346">
        <v>1</v>
      </c>
      <c r="J59" s="124">
        <v>1</v>
      </c>
      <c r="K59" s="107">
        <f t="shared" si="2"/>
        <v>60000</v>
      </c>
      <c r="L59" s="107">
        <f t="shared" si="3"/>
        <v>60000</v>
      </c>
      <c r="M59" s="208">
        <f t="shared" si="4"/>
        <v>60000</v>
      </c>
      <c r="N59" s="297"/>
      <c r="O59" s="347" t="s">
        <v>1794</v>
      </c>
      <c r="P59" s="175">
        <f t="shared" si="6"/>
        <v>60000</v>
      </c>
      <c r="Q59" s="327">
        <f>+'[1]BG N2'!Z92</f>
        <v>60000</v>
      </c>
      <c r="R59" s="327">
        <f t="shared" si="7"/>
        <v>0</v>
      </c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>
      <c r="A60" s="36">
        <f t="shared" si="5"/>
        <v>56</v>
      </c>
      <c r="B60" s="316" t="s">
        <v>1722</v>
      </c>
      <c r="C60" s="317" t="s">
        <v>1723</v>
      </c>
      <c r="D60" s="115">
        <v>43079</v>
      </c>
      <c r="E60" s="116">
        <v>30000</v>
      </c>
      <c r="F60" s="343">
        <f t="shared" si="0"/>
        <v>30000</v>
      </c>
      <c r="G60" s="344">
        <f t="shared" si="1"/>
        <v>30000</v>
      </c>
      <c r="H60" s="345">
        <v>0</v>
      </c>
      <c r="I60" s="346">
        <v>1</v>
      </c>
      <c r="J60" s="124">
        <v>1</v>
      </c>
      <c r="K60" s="107">
        <f t="shared" si="2"/>
        <v>30000</v>
      </c>
      <c r="L60" s="107">
        <f t="shared" si="3"/>
        <v>30000</v>
      </c>
      <c r="M60" s="208">
        <f t="shared" si="4"/>
        <v>30000</v>
      </c>
      <c r="N60" s="297"/>
      <c r="O60" s="137" t="s">
        <v>1795</v>
      </c>
      <c r="P60" s="175">
        <f t="shared" si="6"/>
        <v>30000</v>
      </c>
      <c r="Q60" s="327">
        <f>+'[1]BG N2'!Z93</f>
        <v>30000</v>
      </c>
      <c r="R60" s="327">
        <f t="shared" si="7"/>
        <v>0</v>
      </c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>
      <c r="A61" s="36">
        <f t="shared" si="5"/>
        <v>57</v>
      </c>
      <c r="B61" s="121" t="s">
        <v>1722</v>
      </c>
      <c r="C61" s="122" t="s">
        <v>1723</v>
      </c>
      <c r="D61" s="115">
        <v>43079</v>
      </c>
      <c r="E61" s="348">
        <v>60000</v>
      </c>
      <c r="F61" s="343">
        <f t="shared" si="0"/>
        <v>60000</v>
      </c>
      <c r="G61" s="344">
        <f t="shared" si="1"/>
        <v>60000</v>
      </c>
      <c r="H61" s="345">
        <v>0</v>
      </c>
      <c r="I61" s="346">
        <v>1</v>
      </c>
      <c r="J61" s="124">
        <v>1</v>
      </c>
      <c r="K61" s="107">
        <f t="shared" si="2"/>
        <v>60000</v>
      </c>
      <c r="L61" s="107">
        <f t="shared" si="3"/>
        <v>60000</v>
      </c>
      <c r="M61" s="208">
        <f t="shared" si="4"/>
        <v>60000</v>
      </c>
      <c r="N61" s="9"/>
      <c r="O61" s="347" t="s">
        <v>1769</v>
      </c>
      <c r="P61" s="175">
        <f t="shared" si="6"/>
        <v>60000</v>
      </c>
      <c r="Q61" s="327">
        <f>+'[1]BG N2'!Z94</f>
        <v>60000</v>
      </c>
      <c r="R61" s="327">
        <f t="shared" si="7"/>
        <v>0</v>
      </c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>
      <c r="A62" s="36">
        <f t="shared" si="5"/>
        <v>58</v>
      </c>
      <c r="B62" s="121" t="s">
        <v>1722</v>
      </c>
      <c r="C62" s="122" t="s">
        <v>1723</v>
      </c>
      <c r="D62" s="115">
        <v>43110</v>
      </c>
      <c r="E62" s="332">
        <f>2500000*1.2%</f>
        <v>30000</v>
      </c>
      <c r="F62" s="343">
        <f t="shared" si="0"/>
        <v>30000</v>
      </c>
      <c r="G62" s="344">
        <f t="shared" si="1"/>
        <v>30000</v>
      </c>
      <c r="H62" s="345">
        <v>0</v>
      </c>
      <c r="I62" s="346">
        <v>1</v>
      </c>
      <c r="J62" s="124">
        <v>1</v>
      </c>
      <c r="K62" s="107">
        <f t="shared" si="2"/>
        <v>30000</v>
      </c>
      <c r="L62" s="107">
        <f t="shared" si="3"/>
        <v>30000</v>
      </c>
      <c r="M62" s="208">
        <f t="shared" si="4"/>
        <v>30000</v>
      </c>
      <c r="N62" s="287"/>
      <c r="O62" s="338" t="s">
        <v>1796</v>
      </c>
      <c r="P62" s="175">
        <f t="shared" si="6"/>
        <v>30000</v>
      </c>
      <c r="Q62" s="327">
        <f>+'[1]BG N2'!Z95</f>
        <v>30000</v>
      </c>
      <c r="R62" s="327">
        <f t="shared" si="7"/>
        <v>0</v>
      </c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>
      <c r="A63" s="36">
        <f t="shared" si="5"/>
        <v>59</v>
      </c>
      <c r="B63" s="121" t="s">
        <v>1722</v>
      </c>
      <c r="C63" s="122" t="s">
        <v>1723</v>
      </c>
      <c r="D63" s="115">
        <v>43110</v>
      </c>
      <c r="E63" s="333">
        <f>5000000*1.2%</f>
        <v>60000</v>
      </c>
      <c r="F63" s="343">
        <f t="shared" si="0"/>
        <v>60000</v>
      </c>
      <c r="G63" s="344">
        <f t="shared" si="1"/>
        <v>60000</v>
      </c>
      <c r="H63" s="345">
        <v>0</v>
      </c>
      <c r="I63" s="346">
        <v>1</v>
      </c>
      <c r="J63" s="124">
        <v>1</v>
      </c>
      <c r="K63" s="107">
        <f t="shared" si="2"/>
        <v>60000</v>
      </c>
      <c r="L63" s="107">
        <f t="shared" si="3"/>
        <v>60000</v>
      </c>
      <c r="M63" s="208">
        <f t="shared" si="4"/>
        <v>60000</v>
      </c>
      <c r="N63" s="287"/>
      <c r="O63" s="338" t="s">
        <v>1770</v>
      </c>
      <c r="P63" s="175">
        <f t="shared" si="6"/>
        <v>60000</v>
      </c>
      <c r="Q63" s="327">
        <f>+'[1]BG N2'!Z96</f>
        <v>60000</v>
      </c>
      <c r="R63" s="327">
        <f t="shared" si="7"/>
        <v>0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>
      <c r="A64" s="36">
        <f t="shared" si="5"/>
        <v>60</v>
      </c>
      <c r="B64" s="121" t="s">
        <v>1722</v>
      </c>
      <c r="C64" s="122" t="s">
        <v>1723</v>
      </c>
      <c r="D64" s="115">
        <v>43141</v>
      </c>
      <c r="E64" s="332">
        <f>2500000*1.2%</f>
        <v>30000</v>
      </c>
      <c r="F64" s="343">
        <f t="shared" si="0"/>
        <v>30000</v>
      </c>
      <c r="G64" s="344">
        <f t="shared" si="1"/>
        <v>30000</v>
      </c>
      <c r="H64" s="345">
        <v>0</v>
      </c>
      <c r="I64" s="346">
        <v>1</v>
      </c>
      <c r="J64" s="124">
        <v>1</v>
      </c>
      <c r="K64" s="107">
        <f t="shared" si="2"/>
        <v>30000</v>
      </c>
      <c r="L64" s="107">
        <f t="shared" si="3"/>
        <v>30000</v>
      </c>
      <c r="M64" s="208">
        <f t="shared" si="4"/>
        <v>30000</v>
      </c>
      <c r="N64" s="287"/>
      <c r="O64" s="137" t="s">
        <v>1797</v>
      </c>
      <c r="P64" s="175">
        <f t="shared" si="6"/>
        <v>30000</v>
      </c>
      <c r="Q64" s="327">
        <f>+'[1]BG N2'!Z97</f>
        <v>30000</v>
      </c>
      <c r="R64" s="327">
        <f t="shared" si="7"/>
        <v>0</v>
      </c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>
      <c r="A65" s="36">
        <f t="shared" si="5"/>
        <v>61</v>
      </c>
      <c r="B65" s="121" t="s">
        <v>1722</v>
      </c>
      <c r="C65" s="122" t="s">
        <v>1723</v>
      </c>
      <c r="D65" s="115">
        <v>43141</v>
      </c>
      <c r="E65" s="333">
        <f>5000000*1.2%</f>
        <v>60000</v>
      </c>
      <c r="F65" s="343">
        <f t="shared" si="0"/>
        <v>60000</v>
      </c>
      <c r="G65" s="344">
        <f t="shared" si="1"/>
        <v>60000</v>
      </c>
      <c r="H65" s="345">
        <v>0</v>
      </c>
      <c r="I65" s="346">
        <v>1</v>
      </c>
      <c r="J65" s="124">
        <v>1</v>
      </c>
      <c r="K65" s="107">
        <f t="shared" si="2"/>
        <v>60000</v>
      </c>
      <c r="L65" s="107">
        <f t="shared" si="3"/>
        <v>60000</v>
      </c>
      <c r="M65" s="208">
        <f t="shared" si="4"/>
        <v>60000</v>
      </c>
      <c r="N65" s="287"/>
      <c r="O65" s="137" t="s">
        <v>1766</v>
      </c>
      <c r="P65" s="175">
        <f t="shared" si="6"/>
        <v>60000</v>
      </c>
      <c r="Q65" s="327">
        <f>+'[1]BG N2'!Z98</f>
        <v>60000</v>
      </c>
      <c r="R65" s="327">
        <f t="shared" si="7"/>
        <v>0</v>
      </c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>
      <c r="A66" s="36">
        <f t="shared" si="5"/>
        <v>62</v>
      </c>
      <c r="B66" s="121" t="s">
        <v>1798</v>
      </c>
      <c r="C66" s="122" t="s">
        <v>1799</v>
      </c>
      <c r="D66" s="115">
        <v>43018</v>
      </c>
      <c r="E66" s="332">
        <f>4000000*1.2%</f>
        <v>48000</v>
      </c>
      <c r="F66" s="343">
        <f t="shared" si="0"/>
        <v>48000</v>
      </c>
      <c r="G66" s="344">
        <f t="shared" si="1"/>
        <v>48000</v>
      </c>
      <c r="H66" s="345">
        <v>0</v>
      </c>
      <c r="I66" s="346">
        <v>1</v>
      </c>
      <c r="J66" s="124">
        <v>1</v>
      </c>
      <c r="K66" s="107">
        <f t="shared" si="2"/>
        <v>48000</v>
      </c>
      <c r="L66" s="107">
        <f t="shared" si="3"/>
        <v>48000</v>
      </c>
      <c r="M66" s="208">
        <f t="shared" si="4"/>
        <v>48000</v>
      </c>
      <c r="N66" s="297"/>
      <c r="O66" s="137" t="s">
        <v>1793</v>
      </c>
      <c r="P66" s="175">
        <f t="shared" si="6"/>
        <v>48000</v>
      </c>
      <c r="Q66" s="327">
        <f>+'[1]BG N2'!Z99</f>
        <v>48000</v>
      </c>
      <c r="R66" s="327">
        <f t="shared" si="7"/>
        <v>0</v>
      </c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>
      <c r="A67" s="36">
        <f t="shared" si="5"/>
        <v>63</v>
      </c>
      <c r="B67" s="121" t="s">
        <v>1798</v>
      </c>
      <c r="C67" s="122" t="s">
        <v>1799</v>
      </c>
      <c r="D67" s="115">
        <v>43079</v>
      </c>
      <c r="E67" s="116">
        <v>48000</v>
      </c>
      <c r="F67" s="343">
        <f t="shared" si="0"/>
        <v>48000</v>
      </c>
      <c r="G67" s="344">
        <f t="shared" si="1"/>
        <v>48000</v>
      </c>
      <c r="H67" s="345">
        <v>0</v>
      </c>
      <c r="I67" s="346">
        <v>1</v>
      </c>
      <c r="J67" s="124">
        <v>1</v>
      </c>
      <c r="K67" s="107">
        <f t="shared" si="2"/>
        <v>48000</v>
      </c>
      <c r="L67" s="107">
        <f t="shared" si="3"/>
        <v>48000</v>
      </c>
      <c r="M67" s="208">
        <f t="shared" si="4"/>
        <v>48000</v>
      </c>
      <c r="N67" s="297"/>
      <c r="O67" s="137" t="s">
        <v>1795</v>
      </c>
      <c r="P67" s="175">
        <f t="shared" si="6"/>
        <v>48000</v>
      </c>
      <c r="Q67" s="327">
        <f>+'[1]BG N2'!Z100</f>
        <v>48000</v>
      </c>
      <c r="R67" s="327">
        <f t="shared" si="7"/>
        <v>0</v>
      </c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>
      <c r="A68" s="36">
        <f t="shared" si="5"/>
        <v>64</v>
      </c>
      <c r="B68" s="121" t="s">
        <v>1800</v>
      </c>
      <c r="C68" s="122" t="s">
        <v>1799</v>
      </c>
      <c r="D68" s="115">
        <v>43079</v>
      </c>
      <c r="E68" s="337">
        <v>201934</v>
      </c>
      <c r="F68" s="343">
        <f t="shared" si="0"/>
        <v>201934</v>
      </c>
      <c r="G68" s="344">
        <f t="shared" si="1"/>
        <v>201934</v>
      </c>
      <c r="H68" s="345">
        <v>0</v>
      </c>
      <c r="I68" s="346">
        <v>1</v>
      </c>
      <c r="J68" s="124">
        <v>1</v>
      </c>
      <c r="K68" s="107">
        <f t="shared" si="2"/>
        <v>201934</v>
      </c>
      <c r="L68" s="107">
        <f t="shared" si="3"/>
        <v>201934</v>
      </c>
      <c r="M68" s="208">
        <f t="shared" si="4"/>
        <v>201934</v>
      </c>
      <c r="N68" s="297"/>
      <c r="O68" s="137" t="s">
        <v>1801</v>
      </c>
      <c r="P68" s="175">
        <f t="shared" si="6"/>
        <v>201934</v>
      </c>
      <c r="Q68" s="327">
        <f>+'[1]BG N2'!Z101</f>
        <v>201934</v>
      </c>
      <c r="R68" s="327">
        <f t="shared" si="7"/>
        <v>0</v>
      </c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>
      <c r="A69" s="36">
        <f t="shared" si="5"/>
        <v>65</v>
      </c>
      <c r="B69" s="121" t="s">
        <v>1798</v>
      </c>
      <c r="C69" s="122" t="s">
        <v>1799</v>
      </c>
      <c r="D69" s="115">
        <v>43110</v>
      </c>
      <c r="E69" s="332">
        <f>4000000*1.2%</f>
        <v>48000</v>
      </c>
      <c r="F69" s="206">
        <f t="shared" ref="F69:F125" si="10">+I69*K69</f>
        <v>48000</v>
      </c>
      <c r="G69" s="113">
        <f t="shared" ref="G69:G125" si="11">+E69/I69</f>
        <v>48000</v>
      </c>
      <c r="H69" s="214">
        <v>0</v>
      </c>
      <c r="I69" s="124">
        <v>1</v>
      </c>
      <c r="J69" s="124">
        <v>1</v>
      </c>
      <c r="K69" s="107">
        <f t="shared" ref="K69:K125" si="12">+G69+H69</f>
        <v>48000</v>
      </c>
      <c r="L69" s="107">
        <f t="shared" ref="L69:L125" si="13">+J69*K69</f>
        <v>48000</v>
      </c>
      <c r="M69" s="208">
        <f t="shared" ref="M69:M125" si="14">+G69*J69</f>
        <v>48000</v>
      </c>
      <c r="N69" s="287"/>
      <c r="O69" s="338" t="s">
        <v>1796</v>
      </c>
      <c r="P69" s="175">
        <f t="shared" si="6"/>
        <v>48000</v>
      </c>
      <c r="Q69" s="327">
        <f>+'[1]BG N2'!Z102</f>
        <v>48000</v>
      </c>
      <c r="R69" s="327">
        <f t="shared" si="7"/>
        <v>0</v>
      </c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>
      <c r="A70" s="36">
        <f t="shared" ref="A70:A74" si="15">+A69+1</f>
        <v>66</v>
      </c>
      <c r="B70" s="121" t="s">
        <v>1798</v>
      </c>
      <c r="C70" s="122" t="s">
        <v>1799</v>
      </c>
      <c r="D70" s="115">
        <v>43141</v>
      </c>
      <c r="E70" s="332">
        <f>1000000*1.2%</f>
        <v>12000</v>
      </c>
      <c r="F70" s="206">
        <f t="shared" si="10"/>
        <v>12000</v>
      </c>
      <c r="G70" s="113">
        <f t="shared" si="11"/>
        <v>12000</v>
      </c>
      <c r="H70" s="214">
        <v>0</v>
      </c>
      <c r="I70" s="124">
        <v>1</v>
      </c>
      <c r="J70" s="124">
        <v>1</v>
      </c>
      <c r="K70" s="107">
        <f t="shared" si="12"/>
        <v>12000</v>
      </c>
      <c r="L70" s="107">
        <f t="shared" si="13"/>
        <v>12000</v>
      </c>
      <c r="M70" s="208">
        <f t="shared" si="14"/>
        <v>12000</v>
      </c>
      <c r="N70" s="287"/>
      <c r="O70" s="137" t="s">
        <v>1797</v>
      </c>
      <c r="P70" s="175">
        <f t="shared" ref="P70:P125" si="16">+M70</f>
        <v>12000</v>
      </c>
      <c r="Q70" s="327">
        <f>+'[1]BG N2'!Z103</f>
        <v>12000</v>
      </c>
      <c r="R70" s="327">
        <f t="shared" ref="R70:R125" si="17">+P70-Q70</f>
        <v>0</v>
      </c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>
      <c r="A71" s="36">
        <f t="shared" si="15"/>
        <v>67</v>
      </c>
      <c r="B71" s="339" t="s">
        <v>1725</v>
      </c>
      <c r="C71" s="340" t="s">
        <v>1726</v>
      </c>
      <c r="D71" s="212">
        <v>42439</v>
      </c>
      <c r="E71" s="214">
        <v>90000</v>
      </c>
      <c r="F71" s="206">
        <f t="shared" si="10"/>
        <v>90000</v>
      </c>
      <c r="G71" s="113">
        <f t="shared" si="11"/>
        <v>90000</v>
      </c>
      <c r="H71" s="214">
        <v>0</v>
      </c>
      <c r="I71" s="124">
        <v>1</v>
      </c>
      <c r="J71" s="124">
        <v>1</v>
      </c>
      <c r="K71" s="107">
        <f t="shared" si="12"/>
        <v>90000</v>
      </c>
      <c r="L71" s="107">
        <f t="shared" si="13"/>
        <v>90000</v>
      </c>
      <c r="M71" s="208">
        <f t="shared" si="14"/>
        <v>90000</v>
      </c>
      <c r="N71" s="104"/>
      <c r="O71" s="137" t="s">
        <v>1802</v>
      </c>
      <c r="P71" s="175">
        <f t="shared" si="16"/>
        <v>90000</v>
      </c>
      <c r="Q71" s="327">
        <f>+'[1]BG N2'!Z104</f>
        <v>90000</v>
      </c>
      <c r="R71" s="327">
        <f t="shared" si="17"/>
        <v>0</v>
      </c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>
      <c r="A72" s="36">
        <f t="shared" si="15"/>
        <v>68</v>
      </c>
      <c r="B72" s="121" t="s">
        <v>1725</v>
      </c>
      <c r="C72" s="122" t="s">
        <v>1726</v>
      </c>
      <c r="D72" s="212">
        <v>42439</v>
      </c>
      <c r="E72" s="326">
        <f>7500000*1.2%</f>
        <v>90000</v>
      </c>
      <c r="F72" s="206">
        <f t="shared" si="10"/>
        <v>90000</v>
      </c>
      <c r="G72" s="113">
        <f t="shared" si="11"/>
        <v>90000</v>
      </c>
      <c r="H72" s="214">
        <v>0</v>
      </c>
      <c r="I72" s="124">
        <v>1</v>
      </c>
      <c r="J72" s="124">
        <v>1</v>
      </c>
      <c r="K72" s="107">
        <f t="shared" si="12"/>
        <v>90000</v>
      </c>
      <c r="L72" s="107">
        <f t="shared" si="13"/>
        <v>90000</v>
      </c>
      <c r="M72" s="208">
        <f t="shared" si="14"/>
        <v>90000</v>
      </c>
      <c r="N72" s="104"/>
      <c r="O72" s="137" t="s">
        <v>1803</v>
      </c>
      <c r="P72" s="175">
        <f t="shared" si="16"/>
        <v>90000</v>
      </c>
      <c r="Q72" s="327">
        <f>+'[1]BG N2'!Z105</f>
        <v>90000</v>
      </c>
      <c r="R72" s="327">
        <f t="shared" si="17"/>
        <v>0</v>
      </c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>
      <c r="A73" s="36">
        <f t="shared" si="15"/>
        <v>69</v>
      </c>
      <c r="B73" s="339" t="s">
        <v>1725</v>
      </c>
      <c r="C73" s="340" t="s">
        <v>1726</v>
      </c>
      <c r="D73" s="212">
        <v>42470</v>
      </c>
      <c r="E73" s="214">
        <v>90000</v>
      </c>
      <c r="F73" s="206">
        <f t="shared" si="10"/>
        <v>90000</v>
      </c>
      <c r="G73" s="113">
        <f t="shared" si="11"/>
        <v>90000</v>
      </c>
      <c r="H73" s="214">
        <v>0</v>
      </c>
      <c r="I73" s="124">
        <v>1</v>
      </c>
      <c r="J73" s="124">
        <v>1</v>
      </c>
      <c r="K73" s="107">
        <f t="shared" si="12"/>
        <v>90000</v>
      </c>
      <c r="L73" s="107">
        <f t="shared" si="13"/>
        <v>90000</v>
      </c>
      <c r="M73" s="208">
        <f t="shared" si="14"/>
        <v>90000</v>
      </c>
      <c r="N73" s="104"/>
      <c r="O73" s="137" t="s">
        <v>1804</v>
      </c>
      <c r="P73" s="175">
        <f t="shared" si="16"/>
        <v>90000</v>
      </c>
      <c r="Q73" s="327">
        <f>+'[1]BG N2'!Z106</f>
        <v>90000</v>
      </c>
      <c r="R73" s="327">
        <f t="shared" si="17"/>
        <v>0</v>
      </c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>
      <c r="A74" s="36">
        <f t="shared" si="15"/>
        <v>70</v>
      </c>
      <c r="B74" s="121" t="s">
        <v>1725</v>
      </c>
      <c r="C74" s="122" t="s">
        <v>1726</v>
      </c>
      <c r="D74" s="212">
        <v>42470</v>
      </c>
      <c r="E74" s="326">
        <f>7500000*1.2%</f>
        <v>90000</v>
      </c>
      <c r="F74" s="206">
        <f t="shared" si="10"/>
        <v>90000</v>
      </c>
      <c r="G74" s="113">
        <f t="shared" si="11"/>
        <v>90000</v>
      </c>
      <c r="H74" s="214">
        <v>0</v>
      </c>
      <c r="I74" s="124">
        <v>1</v>
      </c>
      <c r="J74" s="124">
        <v>1</v>
      </c>
      <c r="K74" s="107">
        <f t="shared" si="12"/>
        <v>90000</v>
      </c>
      <c r="L74" s="107">
        <f t="shared" si="13"/>
        <v>90000</v>
      </c>
      <c r="M74" s="208">
        <f t="shared" si="14"/>
        <v>90000</v>
      </c>
      <c r="N74" s="104"/>
      <c r="O74" s="137" t="s">
        <v>1805</v>
      </c>
      <c r="P74" s="175">
        <f t="shared" si="16"/>
        <v>90000</v>
      </c>
      <c r="Q74" s="327">
        <f>+'[1]BG N2'!Z107</f>
        <v>90000</v>
      </c>
      <c r="R74" s="327">
        <f t="shared" si="17"/>
        <v>0</v>
      </c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>
      <c r="A75" s="36">
        <f>+A74+1</f>
        <v>71</v>
      </c>
      <c r="B75" s="339" t="s">
        <v>1725</v>
      </c>
      <c r="C75" s="340" t="s">
        <v>1726</v>
      </c>
      <c r="D75" s="212">
        <v>42500</v>
      </c>
      <c r="E75" s="214">
        <v>90000</v>
      </c>
      <c r="F75" s="206">
        <f t="shared" si="10"/>
        <v>90000</v>
      </c>
      <c r="G75" s="113">
        <f t="shared" si="11"/>
        <v>90000</v>
      </c>
      <c r="H75" s="214">
        <v>0</v>
      </c>
      <c r="I75" s="124">
        <v>1</v>
      </c>
      <c r="J75" s="124">
        <v>1</v>
      </c>
      <c r="K75" s="107">
        <f t="shared" si="12"/>
        <v>90000</v>
      </c>
      <c r="L75" s="107">
        <f t="shared" si="13"/>
        <v>90000</v>
      </c>
      <c r="M75" s="208">
        <f t="shared" si="14"/>
        <v>90000</v>
      </c>
      <c r="N75" s="104"/>
      <c r="O75" s="137" t="s">
        <v>1806</v>
      </c>
      <c r="P75" s="175">
        <f t="shared" si="16"/>
        <v>90000</v>
      </c>
      <c r="Q75" s="327">
        <f>+'[1]BG N2'!Z108</f>
        <v>90000</v>
      </c>
      <c r="R75" s="327">
        <f t="shared" si="17"/>
        <v>0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>
      <c r="A76" s="36">
        <f>+A75+1</f>
        <v>72</v>
      </c>
      <c r="B76" s="339" t="s">
        <v>1725</v>
      </c>
      <c r="C76" s="340" t="s">
        <v>1726</v>
      </c>
      <c r="D76" s="212">
        <v>42531</v>
      </c>
      <c r="E76" s="214">
        <v>90000</v>
      </c>
      <c r="F76" s="206">
        <f t="shared" si="10"/>
        <v>90000</v>
      </c>
      <c r="G76" s="113">
        <f t="shared" si="11"/>
        <v>90000</v>
      </c>
      <c r="H76" s="214">
        <v>0</v>
      </c>
      <c r="I76" s="124">
        <v>1</v>
      </c>
      <c r="J76" s="124">
        <v>1</v>
      </c>
      <c r="K76" s="107">
        <f t="shared" si="12"/>
        <v>90000</v>
      </c>
      <c r="L76" s="107">
        <f t="shared" si="13"/>
        <v>90000</v>
      </c>
      <c r="M76" s="208">
        <f t="shared" si="14"/>
        <v>90000</v>
      </c>
      <c r="N76" s="104"/>
      <c r="O76" s="137" t="s">
        <v>1807</v>
      </c>
      <c r="P76" s="175">
        <f t="shared" si="16"/>
        <v>90000</v>
      </c>
      <c r="Q76" s="327">
        <f>+'[1]BG N2'!Z109</f>
        <v>90000</v>
      </c>
      <c r="R76" s="327">
        <f t="shared" si="17"/>
        <v>0</v>
      </c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>
      <c r="A77" s="36">
        <f>+A76+1</f>
        <v>73</v>
      </c>
      <c r="B77" s="121" t="s">
        <v>1725</v>
      </c>
      <c r="C77" s="340" t="s">
        <v>1726</v>
      </c>
      <c r="D77" s="212">
        <v>42531</v>
      </c>
      <c r="E77" s="326">
        <f t="shared" ref="E77:E90" si="18">7500000*1.2%</f>
        <v>90000</v>
      </c>
      <c r="F77" s="206">
        <f t="shared" si="10"/>
        <v>90000</v>
      </c>
      <c r="G77" s="113">
        <f t="shared" si="11"/>
        <v>90000</v>
      </c>
      <c r="H77" s="214">
        <v>0</v>
      </c>
      <c r="I77" s="124">
        <v>1</v>
      </c>
      <c r="J77" s="124">
        <v>1</v>
      </c>
      <c r="K77" s="107">
        <f t="shared" si="12"/>
        <v>90000</v>
      </c>
      <c r="L77" s="107">
        <f t="shared" si="13"/>
        <v>90000</v>
      </c>
      <c r="M77" s="208">
        <f t="shared" si="14"/>
        <v>90000</v>
      </c>
      <c r="N77" s="104"/>
      <c r="O77" s="137" t="s">
        <v>1808</v>
      </c>
      <c r="P77" s="175">
        <f t="shared" si="16"/>
        <v>90000</v>
      </c>
      <c r="Q77" s="327">
        <f>+'[1]BG N2'!Z110</f>
        <v>90000</v>
      </c>
      <c r="R77" s="327">
        <f t="shared" si="17"/>
        <v>0</v>
      </c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>
      <c r="A78" s="36">
        <f>+A77+1</f>
        <v>74</v>
      </c>
      <c r="B78" s="121" t="s">
        <v>1725</v>
      </c>
      <c r="C78" s="122" t="s">
        <v>1726</v>
      </c>
      <c r="D78" s="212">
        <v>42561</v>
      </c>
      <c r="E78" s="326">
        <f t="shared" si="18"/>
        <v>90000</v>
      </c>
      <c r="F78" s="206">
        <f t="shared" si="10"/>
        <v>90000</v>
      </c>
      <c r="G78" s="113">
        <f t="shared" si="11"/>
        <v>90000</v>
      </c>
      <c r="H78" s="214">
        <v>0</v>
      </c>
      <c r="I78" s="124">
        <v>1</v>
      </c>
      <c r="J78" s="124">
        <v>1</v>
      </c>
      <c r="K78" s="107">
        <f t="shared" si="12"/>
        <v>90000</v>
      </c>
      <c r="L78" s="107">
        <f t="shared" si="13"/>
        <v>90000</v>
      </c>
      <c r="M78" s="208">
        <f t="shared" si="14"/>
        <v>90000</v>
      </c>
      <c r="N78" s="104"/>
      <c r="O78" s="137" t="s">
        <v>1809</v>
      </c>
      <c r="P78" s="175">
        <f t="shared" si="16"/>
        <v>90000</v>
      </c>
      <c r="Q78" s="327">
        <f>+'[1]BG N2'!Z111</f>
        <v>90000</v>
      </c>
      <c r="R78" s="327">
        <f t="shared" si="17"/>
        <v>0</v>
      </c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>
      <c r="A79" s="36">
        <f t="shared" ref="A79:A103" si="19">+A78+1</f>
        <v>75</v>
      </c>
      <c r="B79" s="121" t="s">
        <v>1725</v>
      </c>
      <c r="C79" s="122" t="s">
        <v>1726</v>
      </c>
      <c r="D79" s="212">
        <v>42561</v>
      </c>
      <c r="E79" s="326">
        <f t="shared" si="18"/>
        <v>90000</v>
      </c>
      <c r="F79" s="206">
        <f t="shared" si="10"/>
        <v>90000</v>
      </c>
      <c r="G79" s="113">
        <f t="shared" si="11"/>
        <v>90000</v>
      </c>
      <c r="H79" s="214">
        <v>0</v>
      </c>
      <c r="I79" s="124">
        <v>1</v>
      </c>
      <c r="J79" s="124">
        <v>1</v>
      </c>
      <c r="K79" s="107">
        <f t="shared" si="12"/>
        <v>90000</v>
      </c>
      <c r="L79" s="107">
        <f t="shared" si="13"/>
        <v>90000</v>
      </c>
      <c r="M79" s="208">
        <f t="shared" si="14"/>
        <v>90000</v>
      </c>
      <c r="N79" s="104"/>
      <c r="O79" s="137" t="s">
        <v>1810</v>
      </c>
      <c r="P79" s="175">
        <f t="shared" si="16"/>
        <v>90000</v>
      </c>
      <c r="Q79" s="327">
        <f>+'[1]BG N2'!Z112</f>
        <v>90000</v>
      </c>
      <c r="R79" s="327">
        <f t="shared" si="17"/>
        <v>0</v>
      </c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>
      <c r="A80" s="36">
        <f t="shared" si="19"/>
        <v>76</v>
      </c>
      <c r="B80" s="121" t="s">
        <v>1725</v>
      </c>
      <c r="C80" s="122" t="s">
        <v>1726</v>
      </c>
      <c r="D80" s="212">
        <v>42592</v>
      </c>
      <c r="E80" s="326">
        <f t="shared" si="18"/>
        <v>90000</v>
      </c>
      <c r="F80" s="206">
        <f t="shared" si="10"/>
        <v>90000</v>
      </c>
      <c r="G80" s="113">
        <f t="shared" si="11"/>
        <v>90000</v>
      </c>
      <c r="H80" s="214">
        <v>0</v>
      </c>
      <c r="I80" s="124">
        <v>1</v>
      </c>
      <c r="J80" s="124">
        <v>1</v>
      </c>
      <c r="K80" s="107">
        <f t="shared" si="12"/>
        <v>90000</v>
      </c>
      <c r="L80" s="107">
        <f t="shared" si="13"/>
        <v>90000</v>
      </c>
      <c r="M80" s="208">
        <f t="shared" si="14"/>
        <v>90000</v>
      </c>
      <c r="N80" s="104"/>
      <c r="O80" s="137" t="s">
        <v>1811</v>
      </c>
      <c r="P80" s="175">
        <f t="shared" si="16"/>
        <v>90000</v>
      </c>
      <c r="Q80" s="327">
        <f>+'[1]BG N2'!Z113</f>
        <v>90000</v>
      </c>
      <c r="R80" s="327">
        <f t="shared" si="17"/>
        <v>0</v>
      </c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>
      <c r="A81" s="36">
        <f t="shared" si="19"/>
        <v>77</v>
      </c>
      <c r="B81" s="121" t="s">
        <v>1725</v>
      </c>
      <c r="C81" s="122" t="s">
        <v>1726</v>
      </c>
      <c r="D81" s="212">
        <v>42592</v>
      </c>
      <c r="E81" s="326">
        <f t="shared" si="18"/>
        <v>90000</v>
      </c>
      <c r="F81" s="206">
        <f t="shared" si="10"/>
        <v>90000</v>
      </c>
      <c r="G81" s="113">
        <f t="shared" si="11"/>
        <v>90000</v>
      </c>
      <c r="H81" s="214">
        <v>0</v>
      </c>
      <c r="I81" s="124">
        <v>1</v>
      </c>
      <c r="J81" s="124">
        <v>1</v>
      </c>
      <c r="K81" s="107">
        <f t="shared" si="12"/>
        <v>90000</v>
      </c>
      <c r="L81" s="107">
        <f t="shared" si="13"/>
        <v>90000</v>
      </c>
      <c r="M81" s="208">
        <f t="shared" si="14"/>
        <v>90000</v>
      </c>
      <c r="N81" s="104"/>
      <c r="O81" s="137" t="s">
        <v>1812</v>
      </c>
      <c r="P81" s="175">
        <f t="shared" si="16"/>
        <v>90000</v>
      </c>
      <c r="Q81" s="327">
        <f>+'[1]BG N2'!Z114</f>
        <v>90000</v>
      </c>
      <c r="R81" s="327">
        <f t="shared" si="17"/>
        <v>0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>
      <c r="A82" s="36">
        <f t="shared" si="19"/>
        <v>78</v>
      </c>
      <c r="B82" s="339" t="s">
        <v>1725</v>
      </c>
      <c r="C82" s="340" t="s">
        <v>1726</v>
      </c>
      <c r="D82" s="212">
        <v>42623</v>
      </c>
      <c r="E82" s="214">
        <f t="shared" si="18"/>
        <v>90000</v>
      </c>
      <c r="F82" s="206">
        <f t="shared" si="10"/>
        <v>90000</v>
      </c>
      <c r="G82" s="113">
        <f t="shared" si="11"/>
        <v>90000</v>
      </c>
      <c r="H82" s="214">
        <v>0</v>
      </c>
      <c r="I82" s="124">
        <v>1</v>
      </c>
      <c r="J82" s="124">
        <v>1</v>
      </c>
      <c r="K82" s="107">
        <f t="shared" si="12"/>
        <v>90000</v>
      </c>
      <c r="L82" s="107">
        <f t="shared" si="13"/>
        <v>90000</v>
      </c>
      <c r="M82" s="208">
        <f t="shared" si="14"/>
        <v>90000</v>
      </c>
      <c r="N82" s="104"/>
      <c r="O82" s="137" t="s">
        <v>1813</v>
      </c>
      <c r="P82" s="175">
        <f t="shared" si="16"/>
        <v>90000</v>
      </c>
      <c r="Q82" s="327">
        <f>+'[1]BG N2'!Z115</f>
        <v>90000</v>
      </c>
      <c r="R82" s="327">
        <f t="shared" si="17"/>
        <v>0</v>
      </c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>
      <c r="A83" s="36">
        <f t="shared" si="19"/>
        <v>79</v>
      </c>
      <c r="B83" s="339" t="s">
        <v>1725</v>
      </c>
      <c r="C83" s="340" t="s">
        <v>1726</v>
      </c>
      <c r="D83" s="212">
        <v>42623</v>
      </c>
      <c r="E83" s="214">
        <f t="shared" si="18"/>
        <v>90000</v>
      </c>
      <c r="F83" s="206">
        <f t="shared" si="10"/>
        <v>90000</v>
      </c>
      <c r="G83" s="113">
        <f t="shared" si="11"/>
        <v>90000</v>
      </c>
      <c r="H83" s="214">
        <v>0</v>
      </c>
      <c r="I83" s="124">
        <v>1</v>
      </c>
      <c r="J83" s="124">
        <v>1</v>
      </c>
      <c r="K83" s="107">
        <f t="shared" si="12"/>
        <v>90000</v>
      </c>
      <c r="L83" s="107">
        <f t="shared" si="13"/>
        <v>90000</v>
      </c>
      <c r="M83" s="208">
        <f t="shared" si="14"/>
        <v>90000</v>
      </c>
      <c r="N83" s="104"/>
      <c r="O83" s="137" t="s">
        <v>1814</v>
      </c>
      <c r="P83" s="175">
        <f t="shared" si="16"/>
        <v>90000</v>
      </c>
      <c r="Q83" s="327">
        <f>+'[1]BG N2'!Z116</f>
        <v>90000</v>
      </c>
      <c r="R83" s="327">
        <f t="shared" si="17"/>
        <v>0</v>
      </c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>
      <c r="A84" s="36">
        <f t="shared" si="19"/>
        <v>80</v>
      </c>
      <c r="B84" s="349" t="s">
        <v>1725</v>
      </c>
      <c r="C84" s="350" t="s">
        <v>1726</v>
      </c>
      <c r="D84" s="212">
        <v>42653</v>
      </c>
      <c r="E84" s="214">
        <f t="shared" si="18"/>
        <v>90000</v>
      </c>
      <c r="F84" s="206">
        <f t="shared" si="10"/>
        <v>90000</v>
      </c>
      <c r="G84" s="113">
        <f t="shared" si="11"/>
        <v>90000</v>
      </c>
      <c r="H84" s="214">
        <v>0</v>
      </c>
      <c r="I84" s="124">
        <v>1</v>
      </c>
      <c r="J84" s="124">
        <v>1</v>
      </c>
      <c r="K84" s="107">
        <f t="shared" si="12"/>
        <v>90000</v>
      </c>
      <c r="L84" s="107">
        <f t="shared" si="13"/>
        <v>90000</v>
      </c>
      <c r="M84" s="208">
        <f t="shared" si="14"/>
        <v>90000</v>
      </c>
      <c r="N84" s="104"/>
      <c r="O84" s="137" t="s">
        <v>1813</v>
      </c>
      <c r="P84" s="175">
        <f t="shared" si="16"/>
        <v>90000</v>
      </c>
      <c r="Q84" s="327">
        <f>+'[1]BG N2'!Z117</f>
        <v>90000</v>
      </c>
      <c r="R84" s="327">
        <f t="shared" si="17"/>
        <v>0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>
      <c r="A85" s="36">
        <f t="shared" si="19"/>
        <v>81</v>
      </c>
      <c r="B85" s="349" t="s">
        <v>1725</v>
      </c>
      <c r="C85" s="350" t="s">
        <v>1726</v>
      </c>
      <c r="D85" s="212">
        <v>42653</v>
      </c>
      <c r="E85" s="214">
        <f t="shared" si="18"/>
        <v>90000</v>
      </c>
      <c r="F85" s="206">
        <f t="shared" si="10"/>
        <v>90000</v>
      </c>
      <c r="G85" s="113">
        <f t="shared" si="11"/>
        <v>90000</v>
      </c>
      <c r="H85" s="214">
        <v>0</v>
      </c>
      <c r="I85" s="124">
        <v>1</v>
      </c>
      <c r="J85" s="124">
        <v>1</v>
      </c>
      <c r="K85" s="107">
        <f t="shared" si="12"/>
        <v>90000</v>
      </c>
      <c r="L85" s="107">
        <f t="shared" si="13"/>
        <v>90000</v>
      </c>
      <c r="M85" s="208">
        <f t="shared" si="14"/>
        <v>90000</v>
      </c>
      <c r="N85" s="104"/>
      <c r="O85" s="137" t="s">
        <v>1814</v>
      </c>
      <c r="P85" s="175">
        <f t="shared" si="16"/>
        <v>90000</v>
      </c>
      <c r="Q85" s="327">
        <f>+'[1]BG N2'!Z118</f>
        <v>90000</v>
      </c>
      <c r="R85" s="327">
        <f t="shared" si="17"/>
        <v>0</v>
      </c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>
      <c r="A86" s="36">
        <f t="shared" si="19"/>
        <v>82</v>
      </c>
      <c r="B86" s="316" t="s">
        <v>1725</v>
      </c>
      <c r="C86" s="317" t="s">
        <v>1726</v>
      </c>
      <c r="D86" s="115">
        <v>42684</v>
      </c>
      <c r="E86" s="326">
        <f t="shared" si="18"/>
        <v>90000</v>
      </c>
      <c r="F86" s="206">
        <f t="shared" si="10"/>
        <v>90000</v>
      </c>
      <c r="G86" s="113">
        <f t="shared" si="11"/>
        <v>90000</v>
      </c>
      <c r="H86" s="214">
        <v>0</v>
      </c>
      <c r="I86" s="124">
        <v>1</v>
      </c>
      <c r="J86" s="124">
        <v>1</v>
      </c>
      <c r="K86" s="107">
        <f t="shared" si="12"/>
        <v>90000</v>
      </c>
      <c r="L86" s="107">
        <f t="shared" si="13"/>
        <v>90000</v>
      </c>
      <c r="M86" s="208">
        <f t="shared" si="14"/>
        <v>90000</v>
      </c>
      <c r="N86" s="104"/>
      <c r="O86" s="137" t="s">
        <v>1815</v>
      </c>
      <c r="P86" s="175">
        <f t="shared" si="16"/>
        <v>90000</v>
      </c>
      <c r="Q86" s="327">
        <f>+'[1]BG N2'!Z119</f>
        <v>90000</v>
      </c>
      <c r="R86" s="327">
        <f t="shared" si="17"/>
        <v>0</v>
      </c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>
      <c r="A87" s="36">
        <f t="shared" si="19"/>
        <v>83</v>
      </c>
      <c r="B87" s="316" t="s">
        <v>1725</v>
      </c>
      <c r="C87" s="350" t="s">
        <v>1726</v>
      </c>
      <c r="D87" s="115">
        <v>42684</v>
      </c>
      <c r="E87" s="326">
        <f t="shared" si="18"/>
        <v>90000</v>
      </c>
      <c r="F87" s="206">
        <f t="shared" si="10"/>
        <v>90000</v>
      </c>
      <c r="G87" s="113">
        <f t="shared" si="11"/>
        <v>90000</v>
      </c>
      <c r="H87" s="214">
        <v>0</v>
      </c>
      <c r="I87" s="124">
        <v>1</v>
      </c>
      <c r="J87" s="124">
        <v>1</v>
      </c>
      <c r="K87" s="107">
        <f t="shared" si="12"/>
        <v>90000</v>
      </c>
      <c r="L87" s="107">
        <f t="shared" si="13"/>
        <v>90000</v>
      </c>
      <c r="M87" s="208">
        <f t="shared" si="14"/>
        <v>90000</v>
      </c>
      <c r="N87" s="104"/>
      <c r="O87" s="137" t="s">
        <v>1772</v>
      </c>
      <c r="P87" s="175">
        <f t="shared" si="16"/>
        <v>90000</v>
      </c>
      <c r="Q87" s="327">
        <f>+'[1]BG N2'!Z120</f>
        <v>90000</v>
      </c>
      <c r="R87" s="327">
        <f t="shared" si="17"/>
        <v>0</v>
      </c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>
      <c r="A88" s="36">
        <f t="shared" si="19"/>
        <v>84</v>
      </c>
      <c r="B88" s="121" t="s">
        <v>1725</v>
      </c>
      <c r="C88" s="122" t="s">
        <v>1726</v>
      </c>
      <c r="D88" s="115">
        <v>42714</v>
      </c>
      <c r="E88" s="326">
        <f t="shared" si="18"/>
        <v>90000</v>
      </c>
      <c r="F88" s="206">
        <f t="shared" si="10"/>
        <v>90000</v>
      </c>
      <c r="G88" s="113">
        <f t="shared" si="11"/>
        <v>90000</v>
      </c>
      <c r="H88" s="214">
        <v>0</v>
      </c>
      <c r="I88" s="124">
        <v>1</v>
      </c>
      <c r="J88" s="124">
        <v>1</v>
      </c>
      <c r="K88" s="107">
        <f t="shared" si="12"/>
        <v>90000</v>
      </c>
      <c r="L88" s="107">
        <f t="shared" si="13"/>
        <v>90000</v>
      </c>
      <c r="M88" s="208">
        <f t="shared" si="14"/>
        <v>90000</v>
      </c>
      <c r="N88" s="104"/>
      <c r="O88" s="137" t="s">
        <v>1739</v>
      </c>
      <c r="P88" s="175">
        <f t="shared" si="16"/>
        <v>90000</v>
      </c>
      <c r="Q88" s="327">
        <f>+'[1]BG N2'!Z121</f>
        <v>90000</v>
      </c>
      <c r="R88" s="327">
        <f t="shared" si="17"/>
        <v>0</v>
      </c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>
      <c r="A89" s="36">
        <f t="shared" si="19"/>
        <v>85</v>
      </c>
      <c r="B89" s="121" t="s">
        <v>1725</v>
      </c>
      <c r="C89" s="122" t="s">
        <v>1726</v>
      </c>
      <c r="D89" s="115">
        <v>42714</v>
      </c>
      <c r="E89" s="326">
        <f t="shared" si="18"/>
        <v>90000</v>
      </c>
      <c r="F89" s="206">
        <f t="shared" si="10"/>
        <v>90000</v>
      </c>
      <c r="G89" s="113">
        <f t="shared" si="11"/>
        <v>90000</v>
      </c>
      <c r="H89" s="214">
        <v>0</v>
      </c>
      <c r="I89" s="124">
        <v>1</v>
      </c>
      <c r="J89" s="124">
        <v>1</v>
      </c>
      <c r="K89" s="107">
        <f t="shared" si="12"/>
        <v>90000</v>
      </c>
      <c r="L89" s="107">
        <f t="shared" si="13"/>
        <v>90000</v>
      </c>
      <c r="M89" s="208">
        <f t="shared" si="14"/>
        <v>90000</v>
      </c>
      <c r="N89" s="104"/>
      <c r="O89" s="137" t="s">
        <v>1774</v>
      </c>
      <c r="P89" s="175">
        <f t="shared" si="16"/>
        <v>90000</v>
      </c>
      <c r="Q89" s="327">
        <f>+'[1]BG N2'!Z122</f>
        <v>90000</v>
      </c>
      <c r="R89" s="327">
        <f t="shared" si="17"/>
        <v>0</v>
      </c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>
      <c r="A90" s="36">
        <f t="shared" si="19"/>
        <v>86</v>
      </c>
      <c r="B90" s="121" t="s">
        <v>1725</v>
      </c>
      <c r="C90" s="122" t="s">
        <v>1726</v>
      </c>
      <c r="D90" s="115">
        <v>42745</v>
      </c>
      <c r="E90" s="326">
        <f t="shared" si="18"/>
        <v>90000</v>
      </c>
      <c r="F90" s="343">
        <f t="shared" si="10"/>
        <v>90000</v>
      </c>
      <c r="G90" s="344">
        <f t="shared" si="11"/>
        <v>90000</v>
      </c>
      <c r="H90" s="345">
        <v>0</v>
      </c>
      <c r="I90" s="346">
        <v>1</v>
      </c>
      <c r="J90" s="124">
        <v>1</v>
      </c>
      <c r="K90" s="351">
        <f t="shared" si="12"/>
        <v>90000</v>
      </c>
      <c r="L90" s="351">
        <f t="shared" si="13"/>
        <v>90000</v>
      </c>
      <c r="M90" s="352">
        <f t="shared" si="14"/>
        <v>90000</v>
      </c>
      <c r="N90" s="104"/>
      <c r="O90" s="137" t="s">
        <v>1776</v>
      </c>
      <c r="P90" s="175">
        <f t="shared" si="16"/>
        <v>90000</v>
      </c>
      <c r="Q90" s="327">
        <f>+'[1]BG N2'!Z123</f>
        <v>90000</v>
      </c>
      <c r="R90" s="327">
        <f t="shared" si="17"/>
        <v>0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>
      <c r="A91" s="36">
        <f t="shared" si="19"/>
        <v>87</v>
      </c>
      <c r="B91" s="121" t="s">
        <v>1725</v>
      </c>
      <c r="C91" s="122" t="s">
        <v>1726</v>
      </c>
      <c r="D91" s="115">
        <v>42745</v>
      </c>
      <c r="E91" s="329">
        <v>90000</v>
      </c>
      <c r="F91" s="343">
        <f t="shared" si="10"/>
        <v>90000</v>
      </c>
      <c r="G91" s="344">
        <f t="shared" si="11"/>
        <v>90000</v>
      </c>
      <c r="H91" s="345">
        <v>0</v>
      </c>
      <c r="I91" s="346">
        <v>1</v>
      </c>
      <c r="J91" s="124">
        <v>1</v>
      </c>
      <c r="K91" s="351">
        <f t="shared" si="12"/>
        <v>90000</v>
      </c>
      <c r="L91" s="351">
        <f t="shared" si="13"/>
        <v>90000</v>
      </c>
      <c r="M91" s="352">
        <f t="shared" si="14"/>
        <v>90000</v>
      </c>
      <c r="N91" s="104"/>
      <c r="O91" s="137" t="s">
        <v>1740</v>
      </c>
      <c r="P91" s="175">
        <f t="shared" si="16"/>
        <v>90000</v>
      </c>
      <c r="Q91" s="327">
        <f>+'[1]BG N2'!Z124</f>
        <v>90000</v>
      </c>
      <c r="R91" s="327">
        <f t="shared" si="17"/>
        <v>0</v>
      </c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>
      <c r="A92" s="36">
        <f t="shared" si="19"/>
        <v>88</v>
      </c>
      <c r="B92" s="121" t="s">
        <v>1725</v>
      </c>
      <c r="C92" s="122" t="s">
        <v>1726</v>
      </c>
      <c r="D92" s="115">
        <v>42776</v>
      </c>
      <c r="E92" s="326">
        <f t="shared" ref="E92:E100" si="20">7500000*1.2%</f>
        <v>90000</v>
      </c>
      <c r="F92" s="343">
        <f t="shared" si="10"/>
        <v>90000</v>
      </c>
      <c r="G92" s="344">
        <f t="shared" si="11"/>
        <v>90000</v>
      </c>
      <c r="H92" s="345">
        <v>0</v>
      </c>
      <c r="I92" s="346">
        <v>1</v>
      </c>
      <c r="J92" s="124">
        <v>1</v>
      </c>
      <c r="K92" s="351">
        <f t="shared" si="12"/>
        <v>90000</v>
      </c>
      <c r="L92" s="351">
        <f t="shared" si="13"/>
        <v>90000</v>
      </c>
      <c r="M92" s="352">
        <f t="shared" si="14"/>
        <v>90000</v>
      </c>
      <c r="N92" s="150"/>
      <c r="O92" s="137" t="s">
        <v>1742</v>
      </c>
      <c r="P92" s="175">
        <f t="shared" si="16"/>
        <v>90000</v>
      </c>
      <c r="Q92" s="327">
        <f>+'[1]BG N2'!Z125</f>
        <v>90000</v>
      </c>
      <c r="R92" s="327">
        <f t="shared" si="17"/>
        <v>0</v>
      </c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>
      <c r="A93" s="36">
        <f t="shared" si="19"/>
        <v>89</v>
      </c>
      <c r="B93" s="121" t="s">
        <v>1725</v>
      </c>
      <c r="C93" s="122" t="s">
        <v>1726</v>
      </c>
      <c r="D93" s="115">
        <v>42776</v>
      </c>
      <c r="E93" s="326">
        <f t="shared" si="20"/>
        <v>90000</v>
      </c>
      <c r="F93" s="343">
        <f t="shared" si="10"/>
        <v>90000</v>
      </c>
      <c r="G93" s="344">
        <f t="shared" si="11"/>
        <v>90000</v>
      </c>
      <c r="H93" s="345">
        <v>0</v>
      </c>
      <c r="I93" s="346">
        <v>1</v>
      </c>
      <c r="J93" s="124">
        <v>1</v>
      </c>
      <c r="K93" s="351">
        <f t="shared" si="12"/>
        <v>90000</v>
      </c>
      <c r="L93" s="351">
        <f t="shared" si="13"/>
        <v>90000</v>
      </c>
      <c r="M93" s="352">
        <f t="shared" si="14"/>
        <v>90000</v>
      </c>
      <c r="N93" s="150"/>
      <c r="O93" s="137" t="s">
        <v>1779</v>
      </c>
      <c r="P93" s="175">
        <f t="shared" si="16"/>
        <v>90000</v>
      </c>
      <c r="Q93" s="327">
        <f>+'[1]BG N2'!Z126</f>
        <v>90000</v>
      </c>
      <c r="R93" s="327">
        <f t="shared" si="17"/>
        <v>0</v>
      </c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>
      <c r="A94" s="36">
        <f t="shared" si="19"/>
        <v>90</v>
      </c>
      <c r="B94" s="121" t="s">
        <v>1725</v>
      </c>
      <c r="C94" s="122" t="s">
        <v>1726</v>
      </c>
      <c r="D94" s="115">
        <v>42804</v>
      </c>
      <c r="E94" s="326">
        <f t="shared" si="20"/>
        <v>90000</v>
      </c>
      <c r="F94" s="343">
        <f t="shared" si="10"/>
        <v>90000</v>
      </c>
      <c r="G94" s="344">
        <f t="shared" si="11"/>
        <v>90000</v>
      </c>
      <c r="H94" s="345">
        <v>0</v>
      </c>
      <c r="I94" s="346">
        <v>1</v>
      </c>
      <c r="J94" s="124">
        <v>1</v>
      </c>
      <c r="K94" s="351">
        <f t="shared" si="12"/>
        <v>90000</v>
      </c>
      <c r="L94" s="351">
        <f t="shared" si="13"/>
        <v>90000</v>
      </c>
      <c r="M94" s="352">
        <f t="shared" si="14"/>
        <v>90000</v>
      </c>
      <c r="N94" s="104"/>
      <c r="O94" s="137" t="s">
        <v>1743</v>
      </c>
      <c r="P94" s="175">
        <f t="shared" si="16"/>
        <v>90000</v>
      </c>
      <c r="Q94" s="327">
        <f>+'[1]BG N2'!Z127</f>
        <v>90000</v>
      </c>
      <c r="R94" s="327">
        <f t="shared" si="17"/>
        <v>0</v>
      </c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>
      <c r="A95" s="36">
        <f t="shared" si="19"/>
        <v>91</v>
      </c>
      <c r="B95" s="121" t="s">
        <v>1725</v>
      </c>
      <c r="C95" s="122" t="s">
        <v>1726</v>
      </c>
      <c r="D95" s="115">
        <v>42804</v>
      </c>
      <c r="E95" s="326">
        <f t="shared" si="20"/>
        <v>90000</v>
      </c>
      <c r="F95" s="343">
        <f t="shared" si="10"/>
        <v>90000</v>
      </c>
      <c r="G95" s="344">
        <f t="shared" si="11"/>
        <v>90000</v>
      </c>
      <c r="H95" s="345">
        <v>0</v>
      </c>
      <c r="I95" s="346">
        <v>1</v>
      </c>
      <c r="J95" s="124">
        <v>1</v>
      </c>
      <c r="K95" s="351">
        <f t="shared" si="12"/>
        <v>90000</v>
      </c>
      <c r="L95" s="351">
        <f t="shared" si="13"/>
        <v>90000</v>
      </c>
      <c r="M95" s="352">
        <f t="shared" si="14"/>
        <v>90000</v>
      </c>
      <c r="N95" s="104"/>
      <c r="O95" s="137" t="s">
        <v>1781</v>
      </c>
      <c r="P95" s="175">
        <f t="shared" si="16"/>
        <v>90000</v>
      </c>
      <c r="Q95" s="327">
        <f>+'[1]BG N2'!Z128</f>
        <v>90000</v>
      </c>
      <c r="R95" s="327">
        <f t="shared" si="17"/>
        <v>0</v>
      </c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>
      <c r="A96" s="36">
        <f t="shared" si="19"/>
        <v>92</v>
      </c>
      <c r="B96" s="121" t="s">
        <v>1725</v>
      </c>
      <c r="C96" s="122" t="s">
        <v>1726</v>
      </c>
      <c r="D96" s="115">
        <v>42835</v>
      </c>
      <c r="E96" s="326">
        <f t="shared" si="20"/>
        <v>90000</v>
      </c>
      <c r="F96" s="343">
        <f t="shared" si="10"/>
        <v>90000</v>
      </c>
      <c r="G96" s="344">
        <f t="shared" si="11"/>
        <v>90000</v>
      </c>
      <c r="H96" s="345">
        <v>0</v>
      </c>
      <c r="I96" s="346">
        <v>1</v>
      </c>
      <c r="J96" s="124">
        <v>1</v>
      </c>
      <c r="K96" s="351">
        <f t="shared" si="12"/>
        <v>90000</v>
      </c>
      <c r="L96" s="351">
        <f t="shared" si="13"/>
        <v>90000</v>
      </c>
      <c r="M96" s="352">
        <f t="shared" si="14"/>
        <v>90000</v>
      </c>
      <c r="N96" s="104"/>
      <c r="O96" s="137" t="s">
        <v>1744</v>
      </c>
      <c r="P96" s="175">
        <f t="shared" si="16"/>
        <v>90000</v>
      </c>
      <c r="Q96" s="327">
        <f>+'[1]BG N2'!Z129</f>
        <v>90000</v>
      </c>
      <c r="R96" s="327">
        <f t="shared" si="17"/>
        <v>0</v>
      </c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>
      <c r="A97" s="36">
        <f t="shared" si="19"/>
        <v>93</v>
      </c>
      <c r="B97" s="121" t="s">
        <v>1725</v>
      </c>
      <c r="C97" s="122" t="s">
        <v>1726</v>
      </c>
      <c r="D97" s="115">
        <v>42835</v>
      </c>
      <c r="E97" s="326">
        <f t="shared" si="20"/>
        <v>90000</v>
      </c>
      <c r="F97" s="343">
        <f t="shared" si="10"/>
        <v>90000</v>
      </c>
      <c r="G97" s="344">
        <f t="shared" si="11"/>
        <v>90000</v>
      </c>
      <c r="H97" s="345">
        <v>0</v>
      </c>
      <c r="I97" s="346">
        <v>1</v>
      </c>
      <c r="J97" s="124">
        <v>1</v>
      </c>
      <c r="K97" s="351">
        <f t="shared" si="12"/>
        <v>90000</v>
      </c>
      <c r="L97" s="351">
        <f t="shared" si="13"/>
        <v>90000</v>
      </c>
      <c r="M97" s="352">
        <f t="shared" si="14"/>
        <v>90000</v>
      </c>
      <c r="N97" s="104"/>
      <c r="O97" s="137" t="s">
        <v>1783</v>
      </c>
      <c r="P97" s="175">
        <f t="shared" si="16"/>
        <v>90000</v>
      </c>
      <c r="Q97" s="327">
        <f>+'[1]BG N2'!Z130</f>
        <v>90000</v>
      </c>
      <c r="R97" s="327">
        <f t="shared" si="17"/>
        <v>0</v>
      </c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>
      <c r="A98" s="36">
        <f t="shared" si="19"/>
        <v>94</v>
      </c>
      <c r="B98" s="121" t="s">
        <v>1725</v>
      </c>
      <c r="C98" s="330" t="s">
        <v>1726</v>
      </c>
      <c r="D98" s="115">
        <v>42865</v>
      </c>
      <c r="E98" s="326">
        <f t="shared" si="20"/>
        <v>90000</v>
      </c>
      <c r="F98" s="206">
        <f t="shared" si="10"/>
        <v>90000</v>
      </c>
      <c r="G98" s="113">
        <f t="shared" si="11"/>
        <v>90000</v>
      </c>
      <c r="H98" s="214">
        <v>0</v>
      </c>
      <c r="I98" s="124">
        <v>1</v>
      </c>
      <c r="J98" s="124">
        <v>1</v>
      </c>
      <c r="K98" s="107">
        <f t="shared" si="12"/>
        <v>90000</v>
      </c>
      <c r="L98" s="107">
        <f t="shared" si="13"/>
        <v>90000</v>
      </c>
      <c r="M98" s="208">
        <f t="shared" si="14"/>
        <v>90000</v>
      </c>
      <c r="N98" s="104"/>
      <c r="O98" s="137" t="s">
        <v>1746</v>
      </c>
      <c r="P98" s="175">
        <f t="shared" si="16"/>
        <v>90000</v>
      </c>
      <c r="Q98" s="327">
        <f>+'[1]BG N2'!Z131</f>
        <v>90000</v>
      </c>
      <c r="R98" s="327">
        <f t="shared" si="17"/>
        <v>0</v>
      </c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>
      <c r="A99" s="36">
        <f t="shared" si="19"/>
        <v>95</v>
      </c>
      <c r="B99" s="121" t="s">
        <v>1725</v>
      </c>
      <c r="C99" s="330" t="s">
        <v>1726</v>
      </c>
      <c r="D99" s="115">
        <v>42865</v>
      </c>
      <c r="E99" s="326">
        <f t="shared" si="20"/>
        <v>90000</v>
      </c>
      <c r="F99" s="206">
        <f t="shared" si="10"/>
        <v>90000</v>
      </c>
      <c r="G99" s="113">
        <f t="shared" si="11"/>
        <v>90000</v>
      </c>
      <c r="H99" s="214">
        <v>0</v>
      </c>
      <c r="I99" s="124">
        <v>1</v>
      </c>
      <c r="J99" s="124">
        <v>1</v>
      </c>
      <c r="K99" s="107">
        <f t="shared" si="12"/>
        <v>90000</v>
      </c>
      <c r="L99" s="107">
        <f t="shared" si="13"/>
        <v>90000</v>
      </c>
      <c r="M99" s="208">
        <f t="shared" si="14"/>
        <v>90000</v>
      </c>
      <c r="N99" s="104"/>
      <c r="O99" s="137" t="s">
        <v>1784</v>
      </c>
      <c r="P99" s="175">
        <f t="shared" si="16"/>
        <v>90000</v>
      </c>
      <c r="Q99" s="327">
        <f>+'[1]BG N2'!Z132</f>
        <v>90000</v>
      </c>
      <c r="R99" s="327">
        <f t="shared" si="17"/>
        <v>0</v>
      </c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>
      <c r="A100" s="36">
        <f t="shared" si="19"/>
        <v>96</v>
      </c>
      <c r="B100" s="121" t="s">
        <v>1725</v>
      </c>
      <c r="C100" s="122" t="s">
        <v>1726</v>
      </c>
      <c r="D100" s="115">
        <v>42896</v>
      </c>
      <c r="E100" s="332">
        <f t="shared" si="20"/>
        <v>90000</v>
      </c>
      <c r="F100" s="206">
        <f t="shared" si="10"/>
        <v>90000</v>
      </c>
      <c r="G100" s="113">
        <f t="shared" si="11"/>
        <v>90000</v>
      </c>
      <c r="H100" s="214">
        <v>0</v>
      </c>
      <c r="I100" s="124">
        <v>1</v>
      </c>
      <c r="J100" s="124">
        <v>1</v>
      </c>
      <c r="K100" s="107">
        <f t="shared" si="12"/>
        <v>90000</v>
      </c>
      <c r="L100" s="107">
        <f t="shared" si="13"/>
        <v>90000</v>
      </c>
      <c r="M100" s="208">
        <f t="shared" si="14"/>
        <v>90000</v>
      </c>
      <c r="N100" s="297"/>
      <c r="O100" s="137" t="s">
        <v>1748</v>
      </c>
      <c r="P100" s="175">
        <f t="shared" si="16"/>
        <v>90000</v>
      </c>
      <c r="Q100" s="327">
        <f>+'[1]BG N2'!Z133</f>
        <v>90000</v>
      </c>
      <c r="R100" s="327">
        <f t="shared" si="17"/>
        <v>0</v>
      </c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>
      <c r="A101" s="36">
        <f t="shared" si="19"/>
        <v>97</v>
      </c>
      <c r="B101" s="121" t="s">
        <v>1725</v>
      </c>
      <c r="C101" s="122" t="s">
        <v>1726</v>
      </c>
      <c r="D101" s="115">
        <v>42926</v>
      </c>
      <c r="E101" s="332">
        <v>90000</v>
      </c>
      <c r="F101" s="206">
        <f t="shared" si="10"/>
        <v>90000</v>
      </c>
      <c r="G101" s="113">
        <f t="shared" si="11"/>
        <v>90000</v>
      </c>
      <c r="H101" s="214">
        <v>0</v>
      </c>
      <c r="I101" s="124">
        <v>1</v>
      </c>
      <c r="J101" s="124">
        <v>1</v>
      </c>
      <c r="K101" s="107">
        <f t="shared" si="12"/>
        <v>90000</v>
      </c>
      <c r="L101" s="107">
        <f t="shared" si="13"/>
        <v>90000</v>
      </c>
      <c r="M101" s="208">
        <f t="shared" si="14"/>
        <v>90000</v>
      </c>
      <c r="N101" s="297"/>
      <c r="O101" s="137" t="s">
        <v>1816</v>
      </c>
      <c r="P101" s="175">
        <f t="shared" si="16"/>
        <v>90000</v>
      </c>
      <c r="Q101" s="327">
        <f>+'[1]BG N2'!Z134</f>
        <v>90000</v>
      </c>
      <c r="R101" s="327">
        <f t="shared" si="17"/>
        <v>0</v>
      </c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>
      <c r="A102" s="36">
        <f t="shared" si="19"/>
        <v>98</v>
      </c>
      <c r="B102" s="121" t="s">
        <v>1725</v>
      </c>
      <c r="C102" s="122" t="s">
        <v>1726</v>
      </c>
      <c r="D102" s="115">
        <v>42926</v>
      </c>
      <c r="E102" s="332">
        <f t="shared" ref="E102:E110" si="21">7500000*1.2%</f>
        <v>90000</v>
      </c>
      <c r="F102" s="206">
        <f t="shared" si="10"/>
        <v>90000</v>
      </c>
      <c r="G102" s="113">
        <f t="shared" si="11"/>
        <v>90000</v>
      </c>
      <c r="H102" s="214">
        <v>0</v>
      </c>
      <c r="I102" s="124">
        <v>1</v>
      </c>
      <c r="J102" s="124">
        <v>1</v>
      </c>
      <c r="K102" s="107">
        <f t="shared" si="12"/>
        <v>90000</v>
      </c>
      <c r="L102" s="107">
        <f t="shared" si="13"/>
        <v>90000</v>
      </c>
      <c r="M102" s="208">
        <f t="shared" si="14"/>
        <v>90000</v>
      </c>
      <c r="N102" s="297"/>
      <c r="O102" s="137" t="s">
        <v>1750</v>
      </c>
      <c r="P102" s="175">
        <f t="shared" si="16"/>
        <v>90000</v>
      </c>
      <c r="Q102" s="327">
        <f>+'[1]BG N2'!Z135</f>
        <v>90000</v>
      </c>
      <c r="R102" s="327">
        <f t="shared" si="17"/>
        <v>0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 customFormat="1">
      <c r="A103" s="36">
        <f t="shared" si="19"/>
        <v>99</v>
      </c>
      <c r="B103" s="121" t="s">
        <v>1725</v>
      </c>
      <c r="C103" s="122" t="s">
        <v>1726</v>
      </c>
      <c r="D103" s="115">
        <v>42957</v>
      </c>
      <c r="E103" s="333">
        <f t="shared" si="21"/>
        <v>90000</v>
      </c>
      <c r="F103" s="206">
        <f t="shared" si="10"/>
        <v>90000</v>
      </c>
      <c r="G103" s="113">
        <f t="shared" si="11"/>
        <v>90000</v>
      </c>
      <c r="H103" s="214">
        <v>0</v>
      </c>
      <c r="I103" s="124">
        <v>1</v>
      </c>
      <c r="J103" s="124">
        <v>1</v>
      </c>
      <c r="K103" s="107">
        <f t="shared" si="12"/>
        <v>90000</v>
      </c>
      <c r="L103" s="107">
        <f t="shared" si="13"/>
        <v>90000</v>
      </c>
      <c r="M103" s="208">
        <f t="shared" si="14"/>
        <v>90000</v>
      </c>
      <c r="N103" s="297"/>
      <c r="O103" s="137" t="s">
        <v>1752</v>
      </c>
      <c r="P103" s="175">
        <f t="shared" si="16"/>
        <v>90000</v>
      </c>
      <c r="Q103" s="327">
        <f>+'[1]BG N2'!Z136</f>
        <v>90000</v>
      </c>
      <c r="R103" s="327">
        <f t="shared" si="17"/>
        <v>0</v>
      </c>
    </row>
    <row r="104" spans="1:29" customFormat="1">
      <c r="A104" s="36">
        <f>+A103+1</f>
        <v>100</v>
      </c>
      <c r="B104" s="121" t="s">
        <v>1725</v>
      </c>
      <c r="C104" s="122" t="s">
        <v>1726</v>
      </c>
      <c r="D104" s="115">
        <v>42957</v>
      </c>
      <c r="E104" s="332">
        <f t="shared" si="21"/>
        <v>90000</v>
      </c>
      <c r="F104" s="206">
        <f t="shared" si="10"/>
        <v>90000</v>
      </c>
      <c r="G104" s="113">
        <f t="shared" si="11"/>
        <v>90000</v>
      </c>
      <c r="H104" s="214">
        <v>0</v>
      </c>
      <c r="I104" s="124">
        <v>1</v>
      </c>
      <c r="J104" s="124">
        <v>1</v>
      </c>
      <c r="K104" s="107">
        <f t="shared" si="12"/>
        <v>90000</v>
      </c>
      <c r="L104" s="107">
        <f t="shared" si="13"/>
        <v>90000</v>
      </c>
      <c r="M104" s="208">
        <f t="shared" si="14"/>
        <v>90000</v>
      </c>
      <c r="N104" s="297"/>
      <c r="O104" s="137" t="s">
        <v>1817</v>
      </c>
      <c r="P104" s="175">
        <f t="shared" si="16"/>
        <v>90000</v>
      </c>
      <c r="Q104" s="327">
        <f>+'[1]BG N2'!Z137</f>
        <v>90000</v>
      </c>
      <c r="R104" s="327">
        <f t="shared" si="17"/>
        <v>0</v>
      </c>
    </row>
    <row r="105" spans="1:29" customFormat="1">
      <c r="A105" s="36">
        <f t="shared" ref="A105:A125" si="22">+A104+1</f>
        <v>101</v>
      </c>
      <c r="B105" s="121" t="s">
        <v>1725</v>
      </c>
      <c r="C105" s="122" t="s">
        <v>1726</v>
      </c>
      <c r="D105" s="115">
        <v>42988</v>
      </c>
      <c r="E105" s="333">
        <f t="shared" si="21"/>
        <v>90000</v>
      </c>
      <c r="F105" s="206">
        <f t="shared" si="10"/>
        <v>90000</v>
      </c>
      <c r="G105" s="113">
        <f t="shared" si="11"/>
        <v>90000</v>
      </c>
      <c r="H105" s="214">
        <v>0</v>
      </c>
      <c r="I105" s="124">
        <v>1</v>
      </c>
      <c r="J105" s="124">
        <v>1</v>
      </c>
      <c r="K105" s="107">
        <f t="shared" si="12"/>
        <v>90000</v>
      </c>
      <c r="L105" s="107">
        <f t="shared" si="13"/>
        <v>90000</v>
      </c>
      <c r="M105" s="208">
        <f t="shared" si="14"/>
        <v>90000</v>
      </c>
      <c r="N105" s="297"/>
      <c r="O105" s="137" t="s">
        <v>1753</v>
      </c>
      <c r="P105" s="175">
        <f t="shared" si="16"/>
        <v>90000</v>
      </c>
      <c r="Q105" s="327">
        <f>+'[1]BG N2'!Z138</f>
        <v>90000</v>
      </c>
      <c r="R105" s="327">
        <f t="shared" si="17"/>
        <v>0</v>
      </c>
    </row>
    <row r="106" spans="1:29" customFormat="1">
      <c r="A106" s="36">
        <f t="shared" si="22"/>
        <v>102</v>
      </c>
      <c r="B106" s="121" t="s">
        <v>1725</v>
      </c>
      <c r="C106" s="122" t="s">
        <v>1726</v>
      </c>
      <c r="D106" s="115">
        <v>42988</v>
      </c>
      <c r="E106" s="332">
        <f t="shared" si="21"/>
        <v>90000</v>
      </c>
      <c r="F106" s="206">
        <f t="shared" si="10"/>
        <v>90000</v>
      </c>
      <c r="G106" s="113">
        <f t="shared" si="11"/>
        <v>90000</v>
      </c>
      <c r="H106" s="214">
        <v>0</v>
      </c>
      <c r="I106" s="124">
        <v>1</v>
      </c>
      <c r="J106" s="124">
        <v>1</v>
      </c>
      <c r="K106" s="107">
        <f t="shared" si="12"/>
        <v>90000</v>
      </c>
      <c r="L106" s="107">
        <f t="shared" si="13"/>
        <v>90000</v>
      </c>
      <c r="M106" s="208">
        <f t="shared" si="14"/>
        <v>90000</v>
      </c>
      <c r="N106" s="297"/>
      <c r="O106" s="137" t="s">
        <v>1790</v>
      </c>
      <c r="P106" s="175">
        <f t="shared" si="16"/>
        <v>90000</v>
      </c>
      <c r="Q106" s="327">
        <f>+'[1]BG N2'!Z139</f>
        <v>90000</v>
      </c>
      <c r="R106" s="327">
        <f t="shared" si="17"/>
        <v>0</v>
      </c>
    </row>
    <row r="107" spans="1:29" customFormat="1">
      <c r="A107" s="36">
        <f t="shared" si="22"/>
        <v>103</v>
      </c>
      <c r="B107" s="121" t="s">
        <v>1725</v>
      </c>
      <c r="C107" s="122" t="s">
        <v>1726</v>
      </c>
      <c r="D107" s="115">
        <v>43018</v>
      </c>
      <c r="E107" s="332">
        <f t="shared" si="21"/>
        <v>90000</v>
      </c>
      <c r="F107" s="206">
        <f t="shared" si="10"/>
        <v>90000</v>
      </c>
      <c r="G107" s="113">
        <f t="shared" si="11"/>
        <v>90000</v>
      </c>
      <c r="H107" s="214">
        <v>0</v>
      </c>
      <c r="I107" s="124">
        <v>1</v>
      </c>
      <c r="J107" s="124">
        <v>1</v>
      </c>
      <c r="K107" s="107">
        <f t="shared" si="12"/>
        <v>90000</v>
      </c>
      <c r="L107" s="107">
        <f t="shared" si="13"/>
        <v>90000</v>
      </c>
      <c r="M107" s="208">
        <f t="shared" si="14"/>
        <v>90000</v>
      </c>
      <c r="N107" s="297"/>
      <c r="O107" s="137" t="s">
        <v>1756</v>
      </c>
      <c r="P107" s="175">
        <f t="shared" si="16"/>
        <v>90000</v>
      </c>
      <c r="Q107" s="327">
        <f>+'[1]BG N2'!Z140</f>
        <v>90000</v>
      </c>
      <c r="R107" s="327">
        <f t="shared" si="17"/>
        <v>0</v>
      </c>
    </row>
    <row r="108" spans="1:29" customFormat="1">
      <c r="A108" s="36">
        <f t="shared" si="22"/>
        <v>104</v>
      </c>
      <c r="B108" s="121" t="s">
        <v>1725</v>
      </c>
      <c r="C108" s="122" t="s">
        <v>1726</v>
      </c>
      <c r="D108" s="115">
        <v>43018</v>
      </c>
      <c r="E108" s="332">
        <f t="shared" si="21"/>
        <v>90000</v>
      </c>
      <c r="F108" s="206">
        <f t="shared" si="10"/>
        <v>90000</v>
      </c>
      <c r="G108" s="113">
        <f t="shared" si="11"/>
        <v>90000</v>
      </c>
      <c r="H108" s="214">
        <v>0</v>
      </c>
      <c r="I108" s="124">
        <v>1</v>
      </c>
      <c r="J108" s="124">
        <v>1</v>
      </c>
      <c r="K108" s="107">
        <f t="shared" si="12"/>
        <v>90000</v>
      </c>
      <c r="L108" s="107">
        <f t="shared" si="13"/>
        <v>90000</v>
      </c>
      <c r="M108" s="208">
        <f t="shared" si="14"/>
        <v>90000</v>
      </c>
      <c r="N108" s="297"/>
      <c r="O108" s="137" t="s">
        <v>1791</v>
      </c>
      <c r="P108" s="175">
        <f t="shared" si="16"/>
        <v>90000</v>
      </c>
      <c r="Q108" s="327">
        <f>+'[1]BG N2'!Z141</f>
        <v>90000</v>
      </c>
      <c r="R108" s="327">
        <f t="shared" si="17"/>
        <v>0</v>
      </c>
    </row>
    <row r="109" spans="1:29" customFormat="1">
      <c r="A109" s="36">
        <f t="shared" si="22"/>
        <v>105</v>
      </c>
      <c r="B109" s="121" t="s">
        <v>1725</v>
      </c>
      <c r="C109" s="122" t="s">
        <v>1726</v>
      </c>
      <c r="D109" s="115">
        <v>43018</v>
      </c>
      <c r="E109" s="332">
        <f t="shared" si="21"/>
        <v>90000</v>
      </c>
      <c r="F109" s="206">
        <f t="shared" si="10"/>
        <v>90000</v>
      </c>
      <c r="G109" s="113">
        <f t="shared" si="11"/>
        <v>90000</v>
      </c>
      <c r="H109" s="214">
        <v>0</v>
      </c>
      <c r="I109" s="124">
        <v>1</v>
      </c>
      <c r="J109" s="124">
        <v>1</v>
      </c>
      <c r="K109" s="107">
        <f t="shared" si="12"/>
        <v>90000</v>
      </c>
      <c r="L109" s="107">
        <f t="shared" si="13"/>
        <v>90000</v>
      </c>
      <c r="M109" s="208">
        <f t="shared" si="14"/>
        <v>90000</v>
      </c>
      <c r="N109" s="297"/>
      <c r="O109" s="347" t="s">
        <v>1758</v>
      </c>
      <c r="P109" s="175">
        <f t="shared" si="16"/>
        <v>90000</v>
      </c>
      <c r="Q109" s="327">
        <f>+'[1]BG N2'!Z142</f>
        <v>90000</v>
      </c>
      <c r="R109" s="327">
        <f t="shared" si="17"/>
        <v>0</v>
      </c>
    </row>
    <row r="110" spans="1:29" customFormat="1">
      <c r="A110" s="36">
        <f t="shared" si="22"/>
        <v>106</v>
      </c>
      <c r="B110" s="121" t="s">
        <v>1725</v>
      </c>
      <c r="C110" s="122" t="s">
        <v>1726</v>
      </c>
      <c r="D110" s="115">
        <v>43018</v>
      </c>
      <c r="E110" s="332">
        <f t="shared" si="21"/>
        <v>90000</v>
      </c>
      <c r="F110" s="206">
        <f t="shared" si="10"/>
        <v>90000</v>
      </c>
      <c r="G110" s="113">
        <f t="shared" si="11"/>
        <v>90000</v>
      </c>
      <c r="H110" s="214">
        <v>0</v>
      </c>
      <c r="I110" s="124">
        <v>1</v>
      </c>
      <c r="J110" s="124">
        <v>1</v>
      </c>
      <c r="K110" s="107">
        <f t="shared" si="12"/>
        <v>90000</v>
      </c>
      <c r="L110" s="107">
        <f t="shared" si="13"/>
        <v>90000</v>
      </c>
      <c r="M110" s="208">
        <f t="shared" si="14"/>
        <v>90000</v>
      </c>
      <c r="N110" s="297"/>
      <c r="O110" s="137" t="s">
        <v>1793</v>
      </c>
      <c r="P110" s="175">
        <f t="shared" si="16"/>
        <v>90000</v>
      </c>
      <c r="Q110" s="327">
        <f>+'[1]BG N2'!Z143</f>
        <v>90000</v>
      </c>
      <c r="R110" s="327">
        <f t="shared" si="17"/>
        <v>0</v>
      </c>
    </row>
    <row r="111" spans="1:29" customFormat="1">
      <c r="A111" s="36">
        <f t="shared" si="22"/>
        <v>107</v>
      </c>
      <c r="B111" s="121" t="s">
        <v>1725</v>
      </c>
      <c r="C111" s="122" t="s">
        <v>1726</v>
      </c>
      <c r="D111" s="115">
        <v>43079</v>
      </c>
      <c r="E111" s="116">
        <v>90000</v>
      </c>
      <c r="F111" s="206">
        <f t="shared" si="10"/>
        <v>90000</v>
      </c>
      <c r="G111" s="113">
        <f t="shared" si="11"/>
        <v>90000</v>
      </c>
      <c r="H111" s="214">
        <v>0</v>
      </c>
      <c r="I111" s="124">
        <v>1</v>
      </c>
      <c r="J111" s="124">
        <v>1</v>
      </c>
      <c r="K111" s="107">
        <f t="shared" si="12"/>
        <v>90000</v>
      </c>
      <c r="L111" s="107">
        <f t="shared" si="13"/>
        <v>90000</v>
      </c>
      <c r="M111" s="208">
        <f t="shared" si="14"/>
        <v>90000</v>
      </c>
      <c r="N111" s="176"/>
      <c r="O111" s="347" t="s">
        <v>1759</v>
      </c>
      <c r="P111" s="175">
        <f t="shared" si="16"/>
        <v>90000</v>
      </c>
      <c r="Q111" s="327">
        <f>+'[1]BG N2'!Z144</f>
        <v>90000</v>
      </c>
      <c r="R111" s="327">
        <f t="shared" si="17"/>
        <v>0</v>
      </c>
    </row>
    <row r="112" spans="1:29" customFormat="1">
      <c r="A112" s="36">
        <f t="shared" si="22"/>
        <v>108</v>
      </c>
      <c r="B112" s="121" t="s">
        <v>1725</v>
      </c>
      <c r="C112" s="122" t="s">
        <v>1726</v>
      </c>
      <c r="D112" s="115">
        <v>43079</v>
      </c>
      <c r="E112" s="116">
        <v>90000</v>
      </c>
      <c r="F112" s="206">
        <f t="shared" si="10"/>
        <v>90000</v>
      </c>
      <c r="G112" s="113">
        <f t="shared" si="11"/>
        <v>90000</v>
      </c>
      <c r="H112" s="214">
        <v>0</v>
      </c>
      <c r="I112" s="124">
        <v>1</v>
      </c>
      <c r="J112" s="124">
        <v>1</v>
      </c>
      <c r="K112" s="107">
        <f t="shared" si="12"/>
        <v>90000</v>
      </c>
      <c r="L112" s="107">
        <f t="shared" si="13"/>
        <v>90000</v>
      </c>
      <c r="M112" s="208">
        <f t="shared" si="14"/>
        <v>90000</v>
      </c>
      <c r="N112" s="297"/>
      <c r="O112" s="137" t="s">
        <v>1795</v>
      </c>
      <c r="P112" s="175">
        <f t="shared" si="16"/>
        <v>90000</v>
      </c>
      <c r="Q112" s="327">
        <f>+'[1]BG N2'!Z145</f>
        <v>90000</v>
      </c>
      <c r="R112" s="327">
        <f t="shared" si="17"/>
        <v>0</v>
      </c>
    </row>
    <row r="113" spans="1:29" customFormat="1">
      <c r="A113" s="36">
        <f t="shared" si="22"/>
        <v>109</v>
      </c>
      <c r="B113" s="121" t="s">
        <v>1725</v>
      </c>
      <c r="C113" s="122" t="s">
        <v>1726</v>
      </c>
      <c r="D113" s="115">
        <v>43110</v>
      </c>
      <c r="E113" s="332">
        <f>7500000*1.2%</f>
        <v>90000</v>
      </c>
      <c r="F113" s="206">
        <f t="shared" si="10"/>
        <v>90000</v>
      </c>
      <c r="G113" s="113">
        <f t="shared" si="11"/>
        <v>90000</v>
      </c>
      <c r="H113" s="214">
        <v>0</v>
      </c>
      <c r="I113" s="124">
        <v>1</v>
      </c>
      <c r="J113" s="124">
        <v>1</v>
      </c>
      <c r="K113" s="107">
        <f t="shared" si="12"/>
        <v>90000</v>
      </c>
      <c r="L113" s="107">
        <f t="shared" si="13"/>
        <v>90000</v>
      </c>
      <c r="M113" s="208">
        <f t="shared" si="14"/>
        <v>90000</v>
      </c>
      <c r="N113" s="287"/>
      <c r="O113" s="338" t="s">
        <v>1796</v>
      </c>
      <c r="P113" s="175">
        <f t="shared" si="16"/>
        <v>90000</v>
      </c>
      <c r="Q113" s="327">
        <f>+'[1]BG N2'!Z146</f>
        <v>90000</v>
      </c>
      <c r="R113" s="327">
        <f t="shared" si="17"/>
        <v>0</v>
      </c>
    </row>
    <row r="114" spans="1:29" customFormat="1">
      <c r="A114" s="36">
        <f t="shared" si="22"/>
        <v>110</v>
      </c>
      <c r="B114" s="121" t="s">
        <v>1725</v>
      </c>
      <c r="C114" s="122" t="s">
        <v>1726</v>
      </c>
      <c r="D114" s="115">
        <v>43141</v>
      </c>
      <c r="E114" s="332">
        <f>7500000*1.2%</f>
        <v>90000</v>
      </c>
      <c r="F114" s="206">
        <f t="shared" si="10"/>
        <v>90000</v>
      </c>
      <c r="G114" s="113">
        <f t="shared" si="11"/>
        <v>90000</v>
      </c>
      <c r="H114" s="214">
        <v>0</v>
      </c>
      <c r="I114" s="124">
        <v>1</v>
      </c>
      <c r="J114" s="124">
        <v>1</v>
      </c>
      <c r="K114" s="107">
        <f t="shared" si="12"/>
        <v>90000</v>
      </c>
      <c r="L114" s="107">
        <f t="shared" si="13"/>
        <v>90000</v>
      </c>
      <c r="M114" s="208">
        <f t="shared" si="14"/>
        <v>90000</v>
      </c>
      <c r="N114" s="297"/>
      <c r="O114" s="137" t="s">
        <v>1763</v>
      </c>
      <c r="P114" s="175">
        <f t="shared" si="16"/>
        <v>90000</v>
      </c>
      <c r="Q114" s="327">
        <f>+'[1]BG N2'!Z147</f>
        <v>90000</v>
      </c>
      <c r="R114" s="327">
        <f t="shared" si="17"/>
        <v>0</v>
      </c>
    </row>
    <row r="115" spans="1:29" customFormat="1">
      <c r="A115" s="36">
        <f t="shared" si="22"/>
        <v>111</v>
      </c>
      <c r="B115" s="121" t="s">
        <v>1725</v>
      </c>
      <c r="C115" s="122" t="s">
        <v>1726</v>
      </c>
      <c r="D115" s="115">
        <v>43141</v>
      </c>
      <c r="E115" s="332">
        <f>7500000*1.2%</f>
        <v>90000</v>
      </c>
      <c r="F115" s="206">
        <f t="shared" si="10"/>
        <v>90000</v>
      </c>
      <c r="G115" s="113">
        <f t="shared" si="11"/>
        <v>90000</v>
      </c>
      <c r="H115" s="214">
        <v>0</v>
      </c>
      <c r="I115" s="124">
        <v>1</v>
      </c>
      <c r="J115" s="124">
        <v>1</v>
      </c>
      <c r="K115" s="107">
        <f t="shared" si="12"/>
        <v>90000</v>
      </c>
      <c r="L115" s="107">
        <f t="shared" si="13"/>
        <v>90000</v>
      </c>
      <c r="M115" s="208">
        <f t="shared" si="14"/>
        <v>90000</v>
      </c>
      <c r="N115" s="287"/>
      <c r="O115" s="137" t="s">
        <v>1797</v>
      </c>
      <c r="P115" s="175">
        <f t="shared" si="16"/>
        <v>90000</v>
      </c>
      <c r="Q115" s="327">
        <f>+'[1]BG N2'!Z148</f>
        <v>90000</v>
      </c>
      <c r="R115" s="327">
        <f t="shared" si="17"/>
        <v>0</v>
      </c>
    </row>
    <row r="116" spans="1:29" customFormat="1">
      <c r="A116" s="36">
        <f t="shared" si="22"/>
        <v>112</v>
      </c>
      <c r="B116" s="353" t="s">
        <v>1725</v>
      </c>
      <c r="C116" s="353" t="s">
        <v>1726</v>
      </c>
      <c r="D116" s="115">
        <v>43169</v>
      </c>
      <c r="E116" s="292">
        <f>7500000*1.2%</f>
        <v>90000</v>
      </c>
      <c r="F116" s="206">
        <f t="shared" si="10"/>
        <v>90000</v>
      </c>
      <c r="G116" s="113">
        <f t="shared" si="11"/>
        <v>90000</v>
      </c>
      <c r="H116" s="214">
        <v>0</v>
      </c>
      <c r="I116" s="124">
        <v>1</v>
      </c>
      <c r="J116" s="124">
        <v>1</v>
      </c>
      <c r="K116" s="107">
        <f t="shared" si="12"/>
        <v>90000</v>
      </c>
      <c r="L116" s="107">
        <f t="shared" si="13"/>
        <v>90000</v>
      </c>
      <c r="M116" s="208">
        <f t="shared" si="14"/>
        <v>90000</v>
      </c>
      <c r="N116" s="74"/>
      <c r="O116" s="209" t="s">
        <v>1818</v>
      </c>
      <c r="P116" s="175">
        <f t="shared" si="16"/>
        <v>90000</v>
      </c>
      <c r="Q116" s="327">
        <f>+'[1]BG N2'!Z149</f>
        <v>90000</v>
      </c>
      <c r="R116" s="327">
        <f t="shared" si="17"/>
        <v>0</v>
      </c>
    </row>
    <row r="117" spans="1:29" customFormat="1">
      <c r="A117" s="36">
        <f t="shared" si="22"/>
        <v>113</v>
      </c>
      <c r="B117" s="353" t="s">
        <v>1460</v>
      </c>
      <c r="C117" s="353" t="s">
        <v>1461</v>
      </c>
      <c r="D117" s="115">
        <v>43169</v>
      </c>
      <c r="E117" s="292">
        <f>7500000*1.2%</f>
        <v>90000</v>
      </c>
      <c r="F117" s="206">
        <f t="shared" si="10"/>
        <v>90000</v>
      </c>
      <c r="G117" s="113">
        <f t="shared" si="11"/>
        <v>90000</v>
      </c>
      <c r="H117" s="214">
        <v>0</v>
      </c>
      <c r="I117" s="124">
        <v>1</v>
      </c>
      <c r="J117" s="124">
        <v>1</v>
      </c>
      <c r="K117" s="107">
        <f t="shared" si="12"/>
        <v>90000</v>
      </c>
      <c r="L117" s="107">
        <f t="shared" si="13"/>
        <v>90000</v>
      </c>
      <c r="M117" s="208">
        <f t="shared" si="14"/>
        <v>90000</v>
      </c>
      <c r="N117" s="74"/>
      <c r="O117" s="209" t="s">
        <v>1818</v>
      </c>
      <c r="P117" s="175">
        <f t="shared" si="16"/>
        <v>90000</v>
      </c>
      <c r="Q117" s="327">
        <f>+'[1]BG N2'!Z150</f>
        <v>90000</v>
      </c>
      <c r="R117" s="327">
        <f t="shared" si="17"/>
        <v>0</v>
      </c>
    </row>
    <row r="118" spans="1:29" customFormat="1">
      <c r="A118" s="36">
        <f t="shared" si="22"/>
        <v>114</v>
      </c>
      <c r="B118" s="353" t="s">
        <v>1819</v>
      </c>
      <c r="C118" s="353" t="s">
        <v>1820</v>
      </c>
      <c r="D118" s="115">
        <v>43169</v>
      </c>
      <c r="E118" s="292">
        <f>1000000*1.2%</f>
        <v>12000</v>
      </c>
      <c r="F118" s="206">
        <f t="shared" si="10"/>
        <v>12000</v>
      </c>
      <c r="G118" s="113">
        <f t="shared" si="11"/>
        <v>12000</v>
      </c>
      <c r="H118" s="214">
        <v>0</v>
      </c>
      <c r="I118" s="124">
        <v>1</v>
      </c>
      <c r="J118" s="124">
        <v>1</v>
      </c>
      <c r="K118" s="107">
        <f t="shared" si="12"/>
        <v>12000</v>
      </c>
      <c r="L118" s="107">
        <f t="shared" si="13"/>
        <v>12000</v>
      </c>
      <c r="M118" s="208">
        <f t="shared" si="14"/>
        <v>12000</v>
      </c>
      <c r="N118" s="74"/>
      <c r="O118" s="209" t="s">
        <v>1818</v>
      </c>
      <c r="P118" s="175">
        <f t="shared" si="16"/>
        <v>12000</v>
      </c>
      <c r="Q118" s="327">
        <f>+'[1]BG N2'!Z151</f>
        <v>12000</v>
      </c>
      <c r="R118" s="327">
        <f t="shared" si="17"/>
        <v>0</v>
      </c>
    </row>
    <row r="119" spans="1:29" customFormat="1">
      <c r="A119" s="36">
        <f t="shared" si="22"/>
        <v>115</v>
      </c>
      <c r="B119" s="353" t="s">
        <v>1476</v>
      </c>
      <c r="C119" s="353" t="s">
        <v>1477</v>
      </c>
      <c r="D119" s="115">
        <v>43169</v>
      </c>
      <c r="E119" s="292">
        <f>2000000*1.2%</f>
        <v>24000</v>
      </c>
      <c r="F119" s="206">
        <f t="shared" si="10"/>
        <v>24000</v>
      </c>
      <c r="G119" s="113">
        <f t="shared" si="11"/>
        <v>24000</v>
      </c>
      <c r="H119" s="214">
        <v>0</v>
      </c>
      <c r="I119" s="124">
        <v>1</v>
      </c>
      <c r="J119" s="124">
        <v>1</v>
      </c>
      <c r="K119" s="107">
        <f t="shared" si="12"/>
        <v>24000</v>
      </c>
      <c r="L119" s="107">
        <f t="shared" si="13"/>
        <v>24000</v>
      </c>
      <c r="M119" s="208">
        <f t="shared" si="14"/>
        <v>24000</v>
      </c>
      <c r="N119" s="74"/>
      <c r="O119" s="209" t="s">
        <v>1818</v>
      </c>
      <c r="P119" s="175">
        <f t="shared" si="16"/>
        <v>24000</v>
      </c>
      <c r="Q119" s="327">
        <f>+'[1]BG N2'!Z152</f>
        <v>24000</v>
      </c>
      <c r="R119" s="327">
        <f t="shared" si="17"/>
        <v>0</v>
      </c>
    </row>
    <row r="120" spans="1:29">
      <c r="A120" s="36">
        <f t="shared" si="22"/>
        <v>116</v>
      </c>
      <c r="B120" s="353" t="s">
        <v>1722</v>
      </c>
      <c r="C120" s="353" t="s">
        <v>1723</v>
      </c>
      <c r="D120" s="115">
        <v>43169</v>
      </c>
      <c r="E120" s="292">
        <f>2500000*1.2%</f>
        <v>30000</v>
      </c>
      <c r="F120" s="206">
        <f t="shared" si="10"/>
        <v>30000</v>
      </c>
      <c r="G120" s="113">
        <f t="shared" si="11"/>
        <v>30000</v>
      </c>
      <c r="H120" s="214">
        <v>0</v>
      </c>
      <c r="I120" s="124">
        <v>1</v>
      </c>
      <c r="J120" s="124">
        <v>1</v>
      </c>
      <c r="K120" s="107">
        <f t="shared" si="12"/>
        <v>30000</v>
      </c>
      <c r="L120" s="107">
        <f t="shared" si="13"/>
        <v>30000</v>
      </c>
      <c r="M120" s="208">
        <f t="shared" si="14"/>
        <v>30000</v>
      </c>
      <c r="N120" s="74"/>
      <c r="O120" s="209" t="s">
        <v>1821</v>
      </c>
      <c r="P120" s="175">
        <f t="shared" si="16"/>
        <v>30000</v>
      </c>
      <c r="Q120" s="327">
        <f>+'[1]BG N2'!Z153</f>
        <v>30000</v>
      </c>
      <c r="R120" s="327">
        <f t="shared" si="17"/>
        <v>0</v>
      </c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>
      <c r="A121" s="36">
        <f t="shared" si="22"/>
        <v>117</v>
      </c>
      <c r="B121" s="353" t="s">
        <v>1798</v>
      </c>
      <c r="C121" s="353" t="s">
        <v>1799</v>
      </c>
      <c r="D121" s="115">
        <v>43169</v>
      </c>
      <c r="E121" s="292">
        <f>1000000*1.2%</f>
        <v>12000</v>
      </c>
      <c r="F121" s="206">
        <f t="shared" si="10"/>
        <v>12000</v>
      </c>
      <c r="G121" s="113">
        <f t="shared" si="11"/>
        <v>12000</v>
      </c>
      <c r="H121" s="214">
        <v>0</v>
      </c>
      <c r="I121" s="124">
        <v>1</v>
      </c>
      <c r="J121" s="124">
        <v>1</v>
      </c>
      <c r="K121" s="107">
        <f t="shared" si="12"/>
        <v>12000</v>
      </c>
      <c r="L121" s="107">
        <f t="shared" si="13"/>
        <v>12000</v>
      </c>
      <c r="M121" s="208">
        <f t="shared" si="14"/>
        <v>12000</v>
      </c>
      <c r="N121" s="74"/>
      <c r="O121" s="209" t="s">
        <v>1821</v>
      </c>
      <c r="P121" s="175">
        <f t="shared" si="16"/>
        <v>12000</v>
      </c>
      <c r="Q121" s="327">
        <f>+'[1]BG N2'!Z154</f>
        <v>12000</v>
      </c>
      <c r="R121" s="327">
        <f t="shared" si="17"/>
        <v>0</v>
      </c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>
      <c r="A122" s="36">
        <f t="shared" si="22"/>
        <v>118</v>
      </c>
      <c r="B122" s="353" t="s">
        <v>1725</v>
      </c>
      <c r="C122" s="353" t="s">
        <v>1726</v>
      </c>
      <c r="D122" s="115">
        <v>43169</v>
      </c>
      <c r="E122" s="292">
        <f>7500000*1.2%</f>
        <v>90000</v>
      </c>
      <c r="F122" s="206">
        <f t="shared" si="10"/>
        <v>90000</v>
      </c>
      <c r="G122" s="113">
        <f t="shared" si="11"/>
        <v>90000</v>
      </c>
      <c r="H122" s="214">
        <v>0</v>
      </c>
      <c r="I122" s="124">
        <v>1</v>
      </c>
      <c r="J122" s="124">
        <v>1</v>
      </c>
      <c r="K122" s="107">
        <f t="shared" si="12"/>
        <v>90000</v>
      </c>
      <c r="L122" s="107">
        <f t="shared" si="13"/>
        <v>90000</v>
      </c>
      <c r="M122" s="208">
        <f t="shared" si="14"/>
        <v>90000</v>
      </c>
      <c r="N122" s="74"/>
      <c r="O122" s="209" t="s">
        <v>1821</v>
      </c>
      <c r="P122" s="175">
        <f t="shared" si="16"/>
        <v>90000</v>
      </c>
      <c r="Q122" s="327">
        <f>+'[1]BG N2'!Z155</f>
        <v>90000</v>
      </c>
      <c r="R122" s="327">
        <f t="shared" si="17"/>
        <v>0</v>
      </c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>
      <c r="A123" s="36">
        <f t="shared" si="22"/>
        <v>119</v>
      </c>
      <c r="B123" s="353" t="s">
        <v>1722</v>
      </c>
      <c r="C123" s="353" t="s">
        <v>1723</v>
      </c>
      <c r="D123" s="115">
        <v>43169</v>
      </c>
      <c r="E123" s="354">
        <f>5000000*1.2%</f>
        <v>60000</v>
      </c>
      <c r="F123" s="206">
        <f t="shared" si="10"/>
        <v>60000</v>
      </c>
      <c r="G123" s="113">
        <f t="shared" si="11"/>
        <v>60000</v>
      </c>
      <c r="H123" s="214">
        <v>0</v>
      </c>
      <c r="I123" s="124">
        <v>1</v>
      </c>
      <c r="J123" s="124">
        <v>1</v>
      </c>
      <c r="K123" s="107">
        <f t="shared" si="12"/>
        <v>60000</v>
      </c>
      <c r="L123" s="107">
        <f t="shared" si="13"/>
        <v>60000</v>
      </c>
      <c r="M123" s="208">
        <f t="shared" si="14"/>
        <v>60000</v>
      </c>
      <c r="N123" s="74"/>
      <c r="O123" s="209" t="s">
        <v>1822</v>
      </c>
      <c r="P123" s="175">
        <f t="shared" si="16"/>
        <v>60000</v>
      </c>
      <c r="Q123" s="327">
        <f>+'[1]BG N2'!Z156</f>
        <v>60000</v>
      </c>
      <c r="R123" s="327">
        <f t="shared" si="17"/>
        <v>0</v>
      </c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29">
      <c r="A124" s="36">
        <f t="shared" si="22"/>
        <v>120</v>
      </c>
      <c r="B124" s="353" t="s">
        <v>1764</v>
      </c>
      <c r="C124" s="353" t="s">
        <v>1765</v>
      </c>
      <c r="D124" s="115">
        <v>43169</v>
      </c>
      <c r="E124" s="355">
        <f>7000000*1.2%</f>
        <v>84000</v>
      </c>
      <c r="F124" s="206">
        <f t="shared" si="10"/>
        <v>84000</v>
      </c>
      <c r="G124" s="113">
        <f t="shared" si="11"/>
        <v>84000</v>
      </c>
      <c r="H124" s="214">
        <v>0</v>
      </c>
      <c r="I124" s="124">
        <v>1</v>
      </c>
      <c r="J124" s="124">
        <v>1</v>
      </c>
      <c r="K124" s="107">
        <f t="shared" si="12"/>
        <v>84000</v>
      </c>
      <c r="L124" s="107">
        <f t="shared" si="13"/>
        <v>84000</v>
      </c>
      <c r="M124" s="208">
        <f t="shared" si="14"/>
        <v>84000</v>
      </c>
      <c r="N124" s="74"/>
      <c r="O124" s="209" t="s">
        <v>1822</v>
      </c>
      <c r="P124" s="175">
        <f t="shared" si="16"/>
        <v>84000</v>
      </c>
      <c r="Q124" s="327">
        <f>+'[1]BG N2'!Z157</f>
        <v>84000</v>
      </c>
      <c r="R124" s="327">
        <f t="shared" si="17"/>
        <v>0</v>
      </c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29">
      <c r="A125" s="36">
        <f t="shared" si="22"/>
        <v>121</v>
      </c>
      <c r="B125" s="353" t="s">
        <v>1767</v>
      </c>
      <c r="C125" s="353" t="s">
        <v>1768</v>
      </c>
      <c r="D125" s="115">
        <v>43169</v>
      </c>
      <c r="E125" s="354">
        <f>2000000*1.2%</f>
        <v>24000</v>
      </c>
      <c r="F125" s="206">
        <f t="shared" si="10"/>
        <v>24000</v>
      </c>
      <c r="G125" s="113">
        <f t="shared" si="11"/>
        <v>24000</v>
      </c>
      <c r="H125" s="214">
        <v>0</v>
      </c>
      <c r="I125" s="124">
        <v>1</v>
      </c>
      <c r="J125" s="124">
        <v>1</v>
      </c>
      <c r="K125" s="107">
        <f t="shared" si="12"/>
        <v>24000</v>
      </c>
      <c r="L125" s="107">
        <f t="shared" si="13"/>
        <v>24000</v>
      </c>
      <c r="M125" s="208">
        <f t="shared" si="14"/>
        <v>24000</v>
      </c>
      <c r="N125" s="74"/>
      <c r="O125" s="209" t="s">
        <v>1822</v>
      </c>
      <c r="P125" s="175">
        <f t="shared" si="16"/>
        <v>24000</v>
      </c>
      <c r="Q125" s="327">
        <f>+'[1]BG N2'!Z158</f>
        <v>24000</v>
      </c>
      <c r="R125" s="327">
        <f t="shared" si="17"/>
        <v>0</v>
      </c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29">
      <c r="A126" s="36"/>
      <c r="B126" s="104"/>
      <c r="C126" s="36"/>
      <c r="D126" s="129"/>
      <c r="E126" s="111"/>
      <c r="F126" s="111"/>
      <c r="G126" s="187"/>
      <c r="H126" s="108"/>
      <c r="I126" s="36"/>
      <c r="J126" s="104"/>
      <c r="K126" s="182"/>
      <c r="L126" s="108"/>
      <c r="M126" s="182"/>
      <c r="N126" s="150"/>
      <c r="O126" s="151"/>
      <c r="P126" s="175"/>
      <c r="Q126" s="327"/>
      <c r="R126" s="327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spans="1:29">
      <c r="A127" s="36"/>
      <c r="B127" s="104" t="s">
        <v>6</v>
      </c>
      <c r="C127" s="36"/>
      <c r="D127" s="129"/>
      <c r="E127" s="111">
        <f>SUM(E5:E126)</f>
        <v>8962954</v>
      </c>
      <c r="F127" s="111">
        <f t="shared" ref="F127:M127" si="23">SUM(F5:F126)</f>
        <v>8962954</v>
      </c>
      <c r="G127" s="111">
        <f t="shared" si="23"/>
        <v>8962954</v>
      </c>
      <c r="H127" s="111">
        <f t="shared" si="23"/>
        <v>0</v>
      </c>
      <c r="I127" s="111">
        <f t="shared" si="23"/>
        <v>121</v>
      </c>
      <c r="J127" s="111">
        <f t="shared" si="23"/>
        <v>121</v>
      </c>
      <c r="K127" s="111">
        <f t="shared" si="23"/>
        <v>8962954</v>
      </c>
      <c r="L127" s="111">
        <f t="shared" si="23"/>
        <v>8962954</v>
      </c>
      <c r="M127" s="111">
        <f t="shared" si="23"/>
        <v>8962954</v>
      </c>
      <c r="N127" s="111"/>
      <c r="O127" s="151"/>
      <c r="P127" s="111">
        <f t="shared" ref="P127:R127" si="24">SUM(P5:P126)</f>
        <v>8962954</v>
      </c>
      <c r="Q127" s="111">
        <f t="shared" si="24"/>
        <v>8962954</v>
      </c>
      <c r="R127" s="111">
        <f t="shared" si="24"/>
        <v>0</v>
      </c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</sheetData>
  <pageMargins left="0.7" right="0.7" top="0.75" bottom="0.75" header="0.3" footer="0.3"/>
  <pageSetup orientation="portrait" horizontalDpi="4294967293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8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21" customHeight="1"/>
  <cols>
    <col min="1" max="1" width="9.5703125" style="8" bestFit="1" customWidth="1"/>
    <col min="2" max="2" width="37.7109375" style="46" bestFit="1" customWidth="1"/>
    <col min="3" max="3" width="10.140625" style="8" bestFit="1" customWidth="1"/>
    <col min="4" max="4" width="13.85546875" style="152" bestFit="1" customWidth="1"/>
    <col min="5" max="6" width="19.85546875" style="154" bestFit="1" customWidth="1"/>
    <col min="7" max="7" width="17.140625" style="192" bestFit="1" customWidth="1"/>
    <col min="8" max="8" width="11.85546875" style="82" bestFit="1" customWidth="1"/>
    <col min="9" max="9" width="8" style="8" bestFit="1" customWidth="1"/>
    <col min="10" max="10" width="8" style="46" bestFit="1" customWidth="1"/>
    <col min="11" max="11" width="18.42578125" style="194" bestFit="1" customWidth="1"/>
    <col min="12" max="12" width="19.5703125" style="82" bestFit="1" customWidth="1"/>
    <col min="13" max="13" width="19.42578125" style="194" bestFit="1" customWidth="1"/>
    <col min="14" max="14" width="16.28515625" style="155" bestFit="1" customWidth="1"/>
    <col min="15" max="15" width="38.5703125" style="153" bestFit="1" customWidth="1"/>
    <col min="16" max="17" width="15.85546875" style="2" bestFit="1" customWidth="1"/>
    <col min="18" max="18" width="5.85546875" style="2" bestFit="1" customWidth="1"/>
    <col min="19" max="29" width="9.140625" style="2"/>
    <col min="30" max="16384" width="9.140625" style="46"/>
  </cols>
  <sheetData>
    <row r="1" spans="1:29" ht="20.25">
      <c r="A1" s="78" t="s">
        <v>0</v>
      </c>
      <c r="B1" s="2"/>
      <c r="C1" s="3"/>
      <c r="D1" s="4"/>
      <c r="E1" s="4"/>
      <c r="F1" s="80"/>
      <c r="G1" s="80"/>
      <c r="H1" s="80"/>
      <c r="I1" s="81"/>
      <c r="J1" s="81"/>
      <c r="K1" s="157"/>
      <c r="L1" s="5"/>
      <c r="M1" s="157"/>
      <c r="N1" s="83"/>
      <c r="O1" s="1"/>
    </row>
    <row r="2" spans="1:29" ht="20.25">
      <c r="A2" s="85" t="s">
        <v>1835</v>
      </c>
      <c r="B2" s="2"/>
      <c r="C2" s="3"/>
      <c r="D2" s="4"/>
      <c r="E2" s="4"/>
      <c r="F2" s="80"/>
      <c r="G2" s="80"/>
      <c r="H2" s="80"/>
      <c r="I2" s="81"/>
      <c r="J2" s="81"/>
      <c r="K2" s="157"/>
      <c r="L2" s="5"/>
      <c r="M2" s="157"/>
      <c r="N2" s="83"/>
      <c r="O2" s="1"/>
    </row>
    <row r="3" spans="1:29" s="8" customFormat="1" ht="15.75">
      <c r="A3" s="86" t="s">
        <v>1</v>
      </c>
      <c r="B3" s="86" t="s">
        <v>2</v>
      </c>
      <c r="C3" s="86" t="s">
        <v>3</v>
      </c>
      <c r="D3" s="87" t="s">
        <v>4</v>
      </c>
      <c r="E3" s="88" t="s">
        <v>5</v>
      </c>
      <c r="F3" s="88" t="s">
        <v>6</v>
      </c>
      <c r="G3" s="86" t="s">
        <v>7</v>
      </c>
      <c r="H3" s="89" t="s">
        <v>8</v>
      </c>
      <c r="I3" s="91" t="s">
        <v>9</v>
      </c>
      <c r="J3" s="86" t="s">
        <v>10</v>
      </c>
      <c r="K3" s="92" t="s">
        <v>11</v>
      </c>
      <c r="L3" s="90" t="s">
        <v>12</v>
      </c>
      <c r="M3" s="93" t="s">
        <v>13</v>
      </c>
      <c r="N3" s="202" t="s">
        <v>67</v>
      </c>
      <c r="O3" s="86" t="s">
        <v>68</v>
      </c>
      <c r="P3" s="86"/>
      <c r="Q3" s="86"/>
      <c r="R3" s="86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8" customFormat="1" ht="15.75">
      <c r="A4" s="162"/>
      <c r="B4" s="162"/>
      <c r="C4" s="162"/>
      <c r="D4" s="164" t="s">
        <v>17</v>
      </c>
      <c r="E4" s="165"/>
      <c r="F4" s="166" t="s">
        <v>5</v>
      </c>
      <c r="G4" s="162"/>
      <c r="H4" s="167"/>
      <c r="I4" s="168"/>
      <c r="J4" s="162" t="s">
        <v>18</v>
      </c>
      <c r="K4" s="169" t="s">
        <v>19</v>
      </c>
      <c r="L4" s="174" t="s">
        <v>8</v>
      </c>
      <c r="M4" s="170"/>
      <c r="N4" s="203"/>
      <c r="O4" s="204"/>
      <c r="P4" s="162"/>
      <c r="Q4" s="162"/>
      <c r="R4" s="162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>
      <c r="A5" s="162">
        <f>+A4+1</f>
        <v>1</v>
      </c>
      <c r="B5" s="318" t="s">
        <v>1728</v>
      </c>
      <c r="C5" s="319" t="s">
        <v>1729</v>
      </c>
      <c r="D5" s="225">
        <v>41739</v>
      </c>
      <c r="E5" s="226">
        <v>112065</v>
      </c>
      <c r="F5" s="227">
        <f>+I5*K5</f>
        <v>112065</v>
      </c>
      <c r="G5" s="228">
        <f>+E5/I5</f>
        <v>112065</v>
      </c>
      <c r="H5" s="227">
        <v>0</v>
      </c>
      <c r="I5" s="229">
        <v>1</v>
      </c>
      <c r="J5" s="230">
        <v>1</v>
      </c>
      <c r="K5" s="108">
        <f>+G5+H5</f>
        <v>112065</v>
      </c>
      <c r="L5" s="108">
        <f>+J5*K5</f>
        <v>112065</v>
      </c>
      <c r="M5" s="108">
        <f>+G5*J5</f>
        <v>112065</v>
      </c>
      <c r="N5" s="321" t="s">
        <v>1730</v>
      </c>
      <c r="O5" s="323" t="s">
        <v>1823</v>
      </c>
      <c r="P5" s="175">
        <f>+M5</f>
        <v>112065</v>
      </c>
      <c r="Q5" s="327">
        <f>+'[3]BG_LAIN" 2'!Z8</f>
        <v>112065</v>
      </c>
      <c r="R5" s="327">
        <f>+P5-Q5</f>
        <v>0</v>
      </c>
    </row>
    <row r="6" spans="1:29" ht="15.75">
      <c r="A6" s="162">
        <f>+A5+1</f>
        <v>2</v>
      </c>
      <c r="B6" s="318" t="s">
        <v>1728</v>
      </c>
      <c r="C6" s="319" t="s">
        <v>1729</v>
      </c>
      <c r="D6" s="235">
        <v>41769</v>
      </c>
      <c r="E6" s="226">
        <v>195000.00000000003</v>
      </c>
      <c r="F6" s="227">
        <f>+I6*K6</f>
        <v>195000.00000000003</v>
      </c>
      <c r="G6" s="228">
        <f>+E6/I6</f>
        <v>195000.00000000003</v>
      </c>
      <c r="H6" s="227">
        <v>0</v>
      </c>
      <c r="I6" s="229">
        <v>1</v>
      </c>
      <c r="J6" s="230">
        <v>1</v>
      </c>
      <c r="K6" s="108">
        <f>+G6+H6</f>
        <v>195000.00000000003</v>
      </c>
      <c r="L6" s="108">
        <f>+J6*K6</f>
        <v>195000.00000000003</v>
      </c>
      <c r="M6" s="108">
        <f>+G6*J6</f>
        <v>195000.00000000003</v>
      </c>
      <c r="N6" s="321" t="s">
        <v>1730</v>
      </c>
      <c r="O6" s="323" t="s">
        <v>1824</v>
      </c>
      <c r="P6" s="175">
        <f>+M6</f>
        <v>195000.00000000003</v>
      </c>
      <c r="Q6" s="327">
        <f>+'[3]BG_LAIN" 2'!Z9</f>
        <v>195000.00000000003</v>
      </c>
      <c r="R6" s="327">
        <f>+P6-Q6</f>
        <v>0</v>
      </c>
    </row>
    <row r="7" spans="1:29" ht="15.75">
      <c r="A7" s="162">
        <f>+A6+1</f>
        <v>3</v>
      </c>
      <c r="B7" s="318" t="s">
        <v>1728</v>
      </c>
      <c r="C7" s="319" t="s">
        <v>1729</v>
      </c>
      <c r="D7" s="235">
        <v>41800</v>
      </c>
      <c r="E7" s="226">
        <v>195000.00000000003</v>
      </c>
      <c r="F7" s="227">
        <f>+I7*K7</f>
        <v>195000.00000000003</v>
      </c>
      <c r="G7" s="228">
        <f>+E7/I7</f>
        <v>195000.00000000003</v>
      </c>
      <c r="H7" s="227">
        <v>0</v>
      </c>
      <c r="I7" s="229">
        <v>1</v>
      </c>
      <c r="J7" s="230">
        <v>1</v>
      </c>
      <c r="K7" s="108">
        <f>+G7+H7</f>
        <v>195000.00000000003</v>
      </c>
      <c r="L7" s="108">
        <f>+J7*K7</f>
        <v>195000.00000000003</v>
      </c>
      <c r="M7" s="108">
        <f>+G7*J7</f>
        <v>195000.00000000003</v>
      </c>
      <c r="N7" s="321" t="s">
        <v>1730</v>
      </c>
      <c r="O7" s="323" t="s">
        <v>1825</v>
      </c>
      <c r="P7" s="175">
        <f>+M7</f>
        <v>195000.00000000003</v>
      </c>
      <c r="Q7" s="327">
        <f>+'[3]BG_LAIN" 2'!Z10</f>
        <v>195000.00000000003</v>
      </c>
      <c r="R7" s="327">
        <f>+P7-Q7</f>
        <v>0</v>
      </c>
    </row>
    <row r="8" spans="1:29" ht="15.75">
      <c r="A8" s="36"/>
      <c r="B8" s="186"/>
      <c r="C8" s="36"/>
      <c r="D8" s="129"/>
      <c r="E8" s="111"/>
      <c r="F8" s="111"/>
      <c r="G8" s="187"/>
      <c r="H8" s="108"/>
      <c r="I8" s="36"/>
      <c r="J8" s="104"/>
      <c r="K8" s="182"/>
      <c r="L8" s="108"/>
      <c r="M8" s="182"/>
      <c r="N8" s="150"/>
      <c r="O8" s="151"/>
      <c r="P8" s="104"/>
      <c r="Q8" s="104"/>
      <c r="R8" s="104"/>
    </row>
    <row r="9" spans="1:29" ht="15.75">
      <c r="A9" s="36"/>
      <c r="B9" s="104" t="s">
        <v>6</v>
      </c>
      <c r="C9" s="36"/>
      <c r="D9" s="129"/>
      <c r="E9" s="108">
        <f>SUM(E5:E8)</f>
        <v>502065</v>
      </c>
      <c r="F9" s="108">
        <f t="shared" ref="F9:M9" si="0">SUM(F5:F8)</f>
        <v>502065</v>
      </c>
      <c r="G9" s="108">
        <f t="shared" si="0"/>
        <v>502065</v>
      </c>
      <c r="H9" s="108">
        <f t="shared" si="0"/>
        <v>0</v>
      </c>
      <c r="I9" s="108">
        <f t="shared" si="0"/>
        <v>3</v>
      </c>
      <c r="J9" s="108">
        <f t="shared" si="0"/>
        <v>3</v>
      </c>
      <c r="K9" s="108">
        <f t="shared" si="0"/>
        <v>502065</v>
      </c>
      <c r="L9" s="108">
        <f t="shared" si="0"/>
        <v>502065</v>
      </c>
      <c r="M9" s="108">
        <f t="shared" si="0"/>
        <v>502065</v>
      </c>
      <c r="N9" s="150"/>
      <c r="O9" s="151"/>
      <c r="P9" s="108">
        <f>SUM(P5:P7)</f>
        <v>502065</v>
      </c>
      <c r="Q9" s="108">
        <f>SUM(Q5:Q7)</f>
        <v>502065</v>
      </c>
      <c r="R9" s="108">
        <f>SUM(R5:R7)</f>
        <v>0</v>
      </c>
    </row>
    <row r="10" spans="1:29" ht="15.75">
      <c r="B10" s="291"/>
    </row>
    <row r="11" spans="1:29" ht="15.75">
      <c r="B11" s="291"/>
    </row>
    <row r="12" spans="1:29" ht="15.75">
      <c r="B12" s="291"/>
    </row>
    <row r="13" spans="1:29" ht="15.75">
      <c r="A13" s="46"/>
      <c r="B13" s="291"/>
      <c r="C13" s="46"/>
      <c r="D13" s="46"/>
      <c r="E13" s="46"/>
      <c r="F13" s="46"/>
      <c r="G13" s="46"/>
      <c r="H13" s="46"/>
      <c r="I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15.75">
      <c r="A14" s="46"/>
      <c r="B14" s="291"/>
      <c r="C14" s="46"/>
      <c r="D14" s="46"/>
      <c r="E14" s="46"/>
      <c r="F14" s="46"/>
      <c r="G14" s="46"/>
      <c r="H14" s="46"/>
      <c r="I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 ht="15.75">
      <c r="A15" s="46"/>
      <c r="B15" s="291"/>
      <c r="C15" s="46"/>
      <c r="D15" s="46"/>
      <c r="E15" s="46"/>
      <c r="F15" s="46"/>
      <c r="G15" s="46"/>
      <c r="H15" s="46"/>
      <c r="I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spans="1:29" ht="15.75">
      <c r="A16" s="46"/>
      <c r="B16" s="291"/>
      <c r="C16" s="46"/>
      <c r="D16" s="46"/>
      <c r="E16" s="46"/>
      <c r="F16" s="46"/>
      <c r="G16" s="46"/>
      <c r="H16" s="46"/>
      <c r="I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spans="1:29" ht="15.75">
      <c r="A17" s="46"/>
      <c r="B17" s="291"/>
      <c r="C17" s="46"/>
      <c r="D17" s="46"/>
      <c r="E17" s="46"/>
      <c r="F17" s="46"/>
      <c r="G17" s="46"/>
      <c r="H17" s="46"/>
      <c r="I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 ht="15.75">
      <c r="A18" s="46"/>
      <c r="B18" s="291"/>
      <c r="C18" s="46"/>
      <c r="D18" s="46"/>
      <c r="E18" s="46"/>
      <c r="F18" s="46"/>
      <c r="G18" s="46"/>
      <c r="H18" s="46"/>
      <c r="I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</sheetData>
  <pageMargins left="0.7" right="0.7" top="0.75" bottom="0.75" header="0.3" footer="0.3"/>
  <pageSetup orientation="portrait" horizontalDpi="4294967293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31"/>
  <sheetViews>
    <sheetView showGridLines="0" view="pageBreakPreview" zoomScaleSheetLayoutView="100" workbookViewId="0">
      <pane ySplit="4" topLeftCell="A5" activePane="bottomLeft" state="frozen"/>
      <selection pane="bottomLeft" activeCell="B6" sqref="B6"/>
    </sheetView>
  </sheetViews>
  <sheetFormatPr defaultRowHeight="15.75"/>
  <cols>
    <col min="1" max="1" width="6.28515625" style="46" customWidth="1"/>
    <col min="2" max="2" width="34.28515625" style="46" bestFit="1" customWidth="1"/>
    <col min="3" max="3" width="10.140625" style="8" bestFit="1" customWidth="1"/>
    <col min="4" max="4" width="11.85546875" style="8" bestFit="1" customWidth="1"/>
    <col min="5" max="5" width="14.140625" style="411" bestFit="1" customWidth="1"/>
    <col min="6" max="6" width="15.140625" style="412" bestFit="1" customWidth="1"/>
    <col min="7" max="7" width="20.7109375" style="154" bestFit="1" customWidth="1"/>
    <col min="8" max="8" width="19.85546875" style="154" bestFit="1" customWidth="1"/>
    <col min="9" max="9" width="18.28515625" style="46" bestFit="1" customWidth="1"/>
    <col min="10" max="10" width="18" style="82" bestFit="1" customWidth="1"/>
    <col min="11" max="11" width="9.7109375" style="8" bestFit="1" customWidth="1"/>
    <col min="12" max="12" width="10.42578125" style="46" bestFit="1" customWidth="1"/>
    <col min="13" max="13" width="19" style="413" bestFit="1" customWidth="1"/>
    <col min="14" max="14" width="20.42578125" style="413" bestFit="1" customWidth="1"/>
    <col min="15" max="15" width="18.140625" style="413" customWidth="1"/>
    <col min="16" max="16" width="25.28515625" style="155" bestFit="1" customWidth="1"/>
    <col min="17" max="17" width="45" style="153" bestFit="1" customWidth="1"/>
    <col min="18" max="16384" width="9.140625" style="46"/>
  </cols>
  <sheetData>
    <row r="1" spans="1:17" ht="21.75" customHeight="1">
      <c r="A1" s="78" t="s">
        <v>1826</v>
      </c>
      <c r="B1" s="2"/>
      <c r="C1" s="3"/>
      <c r="D1" s="3"/>
      <c r="E1" s="357"/>
      <c r="F1" s="358"/>
      <c r="G1" s="79"/>
      <c r="H1" s="79"/>
      <c r="I1" s="2"/>
      <c r="J1" s="5"/>
      <c r="L1" s="2"/>
      <c r="M1" s="359"/>
      <c r="N1" s="359"/>
      <c r="O1" s="359"/>
      <c r="P1" s="83"/>
      <c r="Q1" s="1"/>
    </row>
    <row r="2" spans="1:17" ht="21.75" customHeight="1">
      <c r="A2" s="85" t="s">
        <v>1836</v>
      </c>
      <c r="B2" s="2"/>
      <c r="C2" s="3"/>
      <c r="D2" s="3"/>
      <c r="E2" s="357"/>
      <c r="F2" s="358"/>
      <c r="G2" s="79"/>
      <c r="H2" s="79"/>
      <c r="I2" s="2"/>
      <c r="J2" s="5"/>
      <c r="L2" s="2"/>
      <c r="M2" s="359"/>
      <c r="N2" s="359"/>
      <c r="O2" s="359"/>
      <c r="P2" s="83"/>
      <c r="Q2" s="1"/>
    </row>
    <row r="3" spans="1:17" ht="21.75" customHeight="1">
      <c r="A3" s="86" t="s">
        <v>1</v>
      </c>
      <c r="B3" s="86" t="s">
        <v>2</v>
      </c>
      <c r="C3" s="86" t="s">
        <v>3</v>
      </c>
      <c r="D3" s="248" t="s">
        <v>24</v>
      </c>
      <c r="E3" s="87" t="s">
        <v>4</v>
      </c>
      <c r="F3" s="360" t="s">
        <v>4</v>
      </c>
      <c r="G3" s="88" t="s">
        <v>5</v>
      </c>
      <c r="H3" s="88" t="s">
        <v>6</v>
      </c>
      <c r="I3" s="86" t="s">
        <v>7</v>
      </c>
      <c r="J3" s="90" t="s">
        <v>8</v>
      </c>
      <c r="K3" s="86" t="s">
        <v>9</v>
      </c>
      <c r="L3" s="86" t="s">
        <v>10</v>
      </c>
      <c r="M3" s="93" t="s">
        <v>11</v>
      </c>
      <c r="N3" s="93" t="s">
        <v>12</v>
      </c>
      <c r="O3" s="93" t="s">
        <v>13</v>
      </c>
      <c r="P3" s="93" t="s">
        <v>14</v>
      </c>
      <c r="Q3" s="86" t="s">
        <v>15</v>
      </c>
    </row>
    <row r="4" spans="1:17" ht="21.75" customHeight="1">
      <c r="A4" s="94"/>
      <c r="B4" s="94"/>
      <c r="C4" s="94"/>
      <c r="D4" s="94"/>
      <c r="E4" s="95" t="s">
        <v>17</v>
      </c>
      <c r="F4" s="361" t="s">
        <v>66</v>
      </c>
      <c r="G4" s="96"/>
      <c r="H4" s="166" t="s">
        <v>5</v>
      </c>
      <c r="I4" s="162"/>
      <c r="J4" s="325"/>
      <c r="K4" s="162"/>
      <c r="L4" s="162" t="s">
        <v>18</v>
      </c>
      <c r="M4" s="170" t="s">
        <v>19</v>
      </c>
      <c r="N4" s="170" t="s">
        <v>8</v>
      </c>
      <c r="O4" s="170" t="s">
        <v>1827</v>
      </c>
      <c r="P4" s="299"/>
      <c r="Q4" s="204"/>
    </row>
    <row r="5" spans="1:17" ht="21.75" customHeight="1">
      <c r="A5" s="36">
        <f t="shared" ref="A5:A9" si="0">+A4+1</f>
        <v>1</v>
      </c>
      <c r="B5" s="104" t="s">
        <v>1080</v>
      </c>
      <c r="C5" s="105" t="s">
        <v>1081</v>
      </c>
      <c r="D5" s="28" t="s">
        <v>1082</v>
      </c>
      <c r="E5" s="41">
        <v>43005</v>
      </c>
      <c r="F5" s="28">
        <v>43202</v>
      </c>
      <c r="G5" s="126">
        <f>30000000</f>
        <v>30000000</v>
      </c>
      <c r="H5" s="33">
        <f t="shared" ref="H5:H9" si="1">+K5*M5</f>
        <v>42984000</v>
      </c>
      <c r="I5" s="118">
        <v>834000</v>
      </c>
      <c r="J5" s="118">
        <f>G5*1.2%</f>
        <v>360000</v>
      </c>
      <c r="K5" s="36">
        <v>36</v>
      </c>
      <c r="L5" s="110">
        <v>30</v>
      </c>
      <c r="M5" s="30">
        <f t="shared" ref="M5:M9" si="2">+I5+J5</f>
        <v>1194000</v>
      </c>
      <c r="N5" s="30">
        <f t="shared" ref="N5:N9" si="3">+L5*M5</f>
        <v>35820000</v>
      </c>
      <c r="O5" s="112">
        <f>G5-(I5*6)</f>
        <v>24996000</v>
      </c>
      <c r="P5" s="34" t="s">
        <v>1083</v>
      </c>
      <c r="Q5" s="34" t="s">
        <v>75</v>
      </c>
    </row>
    <row r="6" spans="1:17" ht="21.75" customHeight="1">
      <c r="A6" s="36">
        <f t="shared" si="0"/>
        <v>2</v>
      </c>
      <c r="B6" s="104" t="s">
        <v>28</v>
      </c>
      <c r="C6" s="105" t="s">
        <v>29</v>
      </c>
      <c r="D6" s="106" t="s">
        <v>494</v>
      </c>
      <c r="E6" s="41">
        <v>43059</v>
      </c>
      <c r="F6" s="28">
        <v>43200</v>
      </c>
      <c r="G6" s="107">
        <f>700000+17500+10710+1500000</f>
        <v>2228210</v>
      </c>
      <c r="H6" s="33">
        <f t="shared" si="1"/>
        <v>2550000</v>
      </c>
      <c r="I6" s="118">
        <f>212500-J6</f>
        <v>185761</v>
      </c>
      <c r="J6" s="118">
        <v>26739</v>
      </c>
      <c r="K6" s="36">
        <v>12</v>
      </c>
      <c r="L6" s="110">
        <v>7</v>
      </c>
      <c r="M6" s="30">
        <f t="shared" si="2"/>
        <v>212500</v>
      </c>
      <c r="N6" s="30">
        <f t="shared" si="3"/>
        <v>1487500</v>
      </c>
      <c r="O6" s="38">
        <f>G6-(I6*5)</f>
        <v>1299405</v>
      </c>
      <c r="P6" s="34" t="s">
        <v>495</v>
      </c>
      <c r="Q6" s="34" t="s">
        <v>75</v>
      </c>
    </row>
    <row r="7" spans="1:17" ht="21.75" customHeight="1">
      <c r="A7" s="36">
        <f t="shared" si="0"/>
        <v>3</v>
      </c>
      <c r="B7" s="104" t="s">
        <v>41</v>
      </c>
      <c r="C7" s="105" t="s">
        <v>43</v>
      </c>
      <c r="D7" s="106" t="s">
        <v>1302</v>
      </c>
      <c r="E7" s="41">
        <v>42907</v>
      </c>
      <c r="F7" s="28">
        <v>43194</v>
      </c>
      <c r="G7" s="107">
        <f>25830000+645750+3524250</f>
        <v>30000000</v>
      </c>
      <c r="H7" s="33">
        <f t="shared" si="1"/>
        <v>43002000</v>
      </c>
      <c r="I7" s="126">
        <f>1194500-J7</f>
        <v>834500</v>
      </c>
      <c r="J7" s="107">
        <f t="shared" ref="J7" si="4">+G7*1.2%</f>
        <v>360000</v>
      </c>
      <c r="K7" s="36">
        <v>36</v>
      </c>
      <c r="L7" s="110">
        <v>27</v>
      </c>
      <c r="M7" s="30">
        <f t="shared" si="2"/>
        <v>1194500</v>
      </c>
      <c r="N7" s="30">
        <f t="shared" si="3"/>
        <v>32251500</v>
      </c>
      <c r="O7" s="112">
        <f>G7-(I7*9)</f>
        <v>22489500</v>
      </c>
      <c r="P7" s="34" t="s">
        <v>1303</v>
      </c>
      <c r="Q7" s="34" t="s">
        <v>31</v>
      </c>
    </row>
    <row r="8" spans="1:17" ht="21.75" customHeight="1">
      <c r="A8" s="36">
        <f t="shared" si="0"/>
        <v>4</v>
      </c>
      <c r="B8" s="104" t="s">
        <v>42</v>
      </c>
      <c r="C8" s="105" t="s">
        <v>44</v>
      </c>
      <c r="D8" s="106" t="s">
        <v>708</v>
      </c>
      <c r="E8" s="41">
        <v>42972</v>
      </c>
      <c r="F8" s="28">
        <v>43194</v>
      </c>
      <c r="G8" s="107">
        <f>24162000+604050+5233950</f>
        <v>30000000</v>
      </c>
      <c r="H8" s="33">
        <f t="shared" si="1"/>
        <v>42984000</v>
      </c>
      <c r="I8" s="126">
        <v>834000</v>
      </c>
      <c r="J8" s="118">
        <f>G8*1.2%</f>
        <v>360000</v>
      </c>
      <c r="K8" s="36">
        <v>36</v>
      </c>
      <c r="L8" s="110">
        <v>29</v>
      </c>
      <c r="M8" s="30">
        <f t="shared" si="2"/>
        <v>1194000</v>
      </c>
      <c r="N8" s="30">
        <f t="shared" si="3"/>
        <v>34626000</v>
      </c>
      <c r="O8" s="112">
        <f>G8-(I8*7)</f>
        <v>24162000</v>
      </c>
      <c r="P8" s="34" t="s">
        <v>48</v>
      </c>
      <c r="Q8" s="34" t="s">
        <v>31</v>
      </c>
    </row>
    <row r="9" spans="1:17" ht="21.75" customHeight="1">
      <c r="A9" s="36">
        <f t="shared" si="0"/>
        <v>5</v>
      </c>
      <c r="B9" s="104" t="s">
        <v>49</v>
      </c>
      <c r="C9" s="105" t="s">
        <v>50</v>
      </c>
      <c r="D9" s="106" t="s">
        <v>768</v>
      </c>
      <c r="E9" s="41">
        <v>42963</v>
      </c>
      <c r="F9" s="28">
        <v>43194</v>
      </c>
      <c r="G9" s="107">
        <f>20000000</f>
        <v>20000000</v>
      </c>
      <c r="H9" s="33">
        <f t="shared" si="1"/>
        <v>25788000</v>
      </c>
      <c r="I9" s="126">
        <f>1074500-J9</f>
        <v>834500</v>
      </c>
      <c r="J9" s="107">
        <f t="shared" ref="J9" si="5">+G9*1.2%</f>
        <v>240000</v>
      </c>
      <c r="K9" s="36">
        <v>24</v>
      </c>
      <c r="L9" s="110">
        <v>16</v>
      </c>
      <c r="M9" s="30">
        <f t="shared" si="2"/>
        <v>1074500</v>
      </c>
      <c r="N9" s="30">
        <f t="shared" si="3"/>
        <v>17192000</v>
      </c>
      <c r="O9" s="112">
        <f>G9-(I9*8)</f>
        <v>13324000</v>
      </c>
      <c r="P9" s="34" t="s">
        <v>20</v>
      </c>
      <c r="Q9" s="34" t="s">
        <v>36</v>
      </c>
    </row>
    <row r="10" spans="1:17" ht="21.75" customHeight="1">
      <c r="A10" s="36"/>
      <c r="B10" s="107"/>
      <c r="C10" s="119"/>
      <c r="D10" s="119"/>
      <c r="E10" s="41"/>
      <c r="F10" s="28"/>
      <c r="G10" s="108"/>
      <c r="H10" s="111"/>
      <c r="I10" s="107"/>
      <c r="J10" s="107"/>
      <c r="K10" s="120"/>
      <c r="L10" s="110"/>
      <c r="M10" s="33"/>
      <c r="N10" s="107"/>
      <c r="O10" s="33"/>
      <c r="P10" s="117"/>
      <c r="Q10" s="137"/>
    </row>
    <row r="11" spans="1:17" ht="21.75" customHeight="1">
      <c r="A11" s="36"/>
      <c r="B11" s="107"/>
      <c r="C11" s="119"/>
      <c r="D11" s="119"/>
      <c r="E11" s="41"/>
      <c r="F11" s="28"/>
      <c r="G11" s="108"/>
      <c r="H11" s="111"/>
      <c r="I11" s="107"/>
      <c r="J11" s="107"/>
      <c r="K11" s="36"/>
      <c r="L11" s="110"/>
      <c r="M11" s="33"/>
      <c r="N11" s="107"/>
      <c r="O11" s="33"/>
      <c r="P11" s="117"/>
      <c r="Q11" s="137"/>
    </row>
    <row r="12" spans="1:17" ht="21.75" customHeight="1">
      <c r="A12" s="36"/>
      <c r="B12" s="107"/>
      <c r="C12" s="119"/>
      <c r="D12" s="28"/>
      <c r="E12" s="41"/>
      <c r="F12" s="28"/>
      <c r="G12" s="108"/>
      <c r="H12" s="33"/>
      <c r="I12" s="107"/>
      <c r="J12" s="107"/>
      <c r="K12" s="120"/>
      <c r="L12" s="110"/>
      <c r="M12" s="33"/>
      <c r="N12" s="107"/>
      <c r="O12" s="33"/>
      <c r="P12" s="117"/>
      <c r="Q12" s="137"/>
    </row>
    <row r="13" spans="1:17" ht="21.75" customHeight="1">
      <c r="A13" s="36"/>
      <c r="B13" s="104"/>
      <c r="C13" s="106"/>
      <c r="D13" s="106"/>
      <c r="E13" s="41"/>
      <c r="F13" s="28"/>
      <c r="G13" s="107"/>
      <c r="H13" s="108"/>
      <c r="I13" s="107"/>
      <c r="J13" s="108"/>
      <c r="K13" s="36"/>
      <c r="L13" s="110"/>
      <c r="M13" s="107"/>
      <c r="N13" s="107"/>
      <c r="O13" s="107"/>
      <c r="P13" s="137"/>
      <c r="Q13" s="117"/>
    </row>
    <row r="14" spans="1:17" ht="21.75" customHeight="1">
      <c r="A14" s="36"/>
      <c r="B14" s="107"/>
      <c r="C14" s="119"/>
      <c r="D14" s="119"/>
      <c r="E14" s="125"/>
      <c r="F14" s="41"/>
      <c r="G14" s="108"/>
      <c r="H14" s="111"/>
      <c r="I14" s="107"/>
      <c r="J14" s="108"/>
      <c r="K14" s="120"/>
      <c r="L14" s="110"/>
      <c r="M14" s="182"/>
      <c r="N14" s="107"/>
      <c r="O14" s="107"/>
      <c r="P14" s="117"/>
      <c r="Q14" s="117"/>
    </row>
    <row r="15" spans="1:17" ht="21.75" customHeight="1">
      <c r="A15" s="36"/>
      <c r="B15" s="104"/>
      <c r="C15" s="105"/>
      <c r="D15" s="106"/>
      <c r="E15" s="41"/>
      <c r="F15" s="41"/>
      <c r="G15" s="107"/>
      <c r="H15" s="33"/>
      <c r="I15" s="107"/>
      <c r="J15" s="107"/>
      <c r="K15" s="36"/>
      <c r="L15" s="110"/>
      <c r="M15" s="33"/>
      <c r="N15" s="33"/>
      <c r="O15" s="33"/>
      <c r="P15" s="137"/>
      <c r="Q15" s="137"/>
    </row>
    <row r="16" spans="1:17" ht="21.75" customHeight="1">
      <c r="A16" s="36"/>
      <c r="B16" s="107"/>
      <c r="C16" s="119"/>
      <c r="D16" s="28"/>
      <c r="E16" s="41"/>
      <c r="F16" s="41"/>
      <c r="G16" s="108"/>
      <c r="H16" s="33"/>
      <c r="I16" s="107"/>
      <c r="J16" s="107"/>
      <c r="K16" s="120"/>
      <c r="L16" s="110"/>
      <c r="M16" s="33"/>
      <c r="N16" s="107"/>
      <c r="O16" s="33"/>
      <c r="P16" s="117"/>
      <c r="Q16" s="137"/>
    </row>
    <row r="17" spans="1:17" ht="21.75" customHeight="1">
      <c r="A17" s="36"/>
      <c r="B17" s="107"/>
      <c r="C17" s="119"/>
      <c r="D17" s="119"/>
      <c r="E17" s="125"/>
      <c r="F17" s="41"/>
      <c r="G17" s="108"/>
      <c r="H17" s="176"/>
      <c r="I17" s="107"/>
      <c r="J17" s="108"/>
      <c r="K17" s="120"/>
      <c r="L17" s="110"/>
      <c r="M17" s="107"/>
      <c r="N17" s="107"/>
      <c r="O17" s="130"/>
      <c r="P17" s="117"/>
      <c r="Q17" s="117"/>
    </row>
    <row r="18" spans="1:17" ht="21.75" customHeight="1">
      <c r="A18" s="36"/>
      <c r="B18" s="107"/>
      <c r="C18" s="119"/>
      <c r="D18" s="119"/>
      <c r="E18" s="125"/>
      <c r="F18" s="41"/>
      <c r="G18" s="108"/>
      <c r="H18" s="176"/>
      <c r="I18" s="107"/>
      <c r="J18" s="108"/>
      <c r="K18" s="120"/>
      <c r="L18" s="110"/>
      <c r="M18" s="107"/>
      <c r="N18" s="107"/>
      <c r="O18" s="130"/>
      <c r="P18" s="117"/>
      <c r="Q18" s="117"/>
    </row>
    <row r="19" spans="1:17" ht="21.75" customHeight="1">
      <c r="A19" s="36"/>
      <c r="B19" s="107"/>
      <c r="C19" s="119"/>
      <c r="D19" s="119"/>
      <c r="E19" s="41"/>
      <c r="F19" s="41"/>
      <c r="G19" s="145"/>
      <c r="H19" s="176"/>
      <c r="I19" s="107"/>
      <c r="J19" s="108"/>
      <c r="K19" s="120"/>
      <c r="L19" s="110"/>
      <c r="M19" s="107"/>
      <c r="N19" s="107"/>
      <c r="O19" s="108"/>
      <c r="P19" s="117"/>
      <c r="Q19" s="117"/>
    </row>
    <row r="20" spans="1:17" ht="21.75" customHeight="1">
      <c r="A20" s="36"/>
      <c r="B20" s="104"/>
      <c r="C20" s="105"/>
      <c r="D20" s="106"/>
      <c r="E20" s="41"/>
      <c r="F20" s="41"/>
      <c r="G20" s="107"/>
      <c r="H20" s="33"/>
      <c r="I20" s="107"/>
      <c r="J20" s="107"/>
      <c r="K20" s="36"/>
      <c r="L20" s="110"/>
      <c r="M20" s="33"/>
      <c r="N20" s="33"/>
      <c r="O20" s="33"/>
      <c r="P20" s="137"/>
      <c r="Q20" s="137"/>
    </row>
    <row r="21" spans="1:17" ht="21.75" customHeight="1">
      <c r="A21" s="36"/>
      <c r="B21" s="104"/>
      <c r="C21" s="105"/>
      <c r="D21" s="105"/>
      <c r="E21" s="41"/>
      <c r="F21" s="41"/>
      <c r="G21" s="107"/>
      <c r="H21" s="33"/>
      <c r="I21" s="107"/>
      <c r="J21" s="107"/>
      <c r="K21" s="36"/>
      <c r="L21" s="110"/>
      <c r="M21" s="33"/>
      <c r="N21" s="33"/>
      <c r="O21" s="33"/>
      <c r="P21" s="137"/>
      <c r="Q21" s="137"/>
    </row>
    <row r="22" spans="1:17" ht="21.75" customHeight="1">
      <c r="A22" s="36"/>
      <c r="B22" s="107"/>
      <c r="C22" s="119"/>
      <c r="D22" s="119"/>
      <c r="E22" s="41"/>
      <c r="F22" s="41"/>
      <c r="G22" s="108"/>
      <c r="H22" s="111"/>
      <c r="I22" s="107"/>
      <c r="J22" s="108"/>
      <c r="K22" s="120"/>
      <c r="L22" s="110"/>
      <c r="M22" s="33"/>
      <c r="N22" s="107"/>
      <c r="O22" s="33"/>
      <c r="P22" s="117"/>
      <c r="Q22" s="117"/>
    </row>
    <row r="23" spans="1:17" ht="21.75" customHeight="1">
      <c r="A23" s="36"/>
      <c r="B23" s="107"/>
      <c r="C23" s="119"/>
      <c r="D23" s="119"/>
      <c r="E23" s="41"/>
      <c r="F23" s="41"/>
      <c r="G23" s="108"/>
      <c r="H23" s="176"/>
      <c r="I23" s="107"/>
      <c r="J23" s="108"/>
      <c r="K23" s="120"/>
      <c r="L23" s="110"/>
      <c r="M23" s="107"/>
      <c r="N23" s="107"/>
      <c r="O23" s="107"/>
      <c r="P23" s="117"/>
      <c r="Q23" s="134"/>
    </row>
    <row r="24" spans="1:17" ht="21.75" customHeight="1">
      <c r="A24" s="36"/>
      <c r="B24" s="107"/>
      <c r="C24" s="119"/>
      <c r="D24" s="119"/>
      <c r="E24" s="41"/>
      <c r="F24" s="41"/>
      <c r="G24" s="108"/>
      <c r="H24" s="176"/>
      <c r="I24" s="107"/>
      <c r="J24" s="108"/>
      <c r="K24" s="120"/>
      <c r="L24" s="110"/>
      <c r="M24" s="107"/>
      <c r="N24" s="107"/>
      <c r="O24" s="108"/>
      <c r="P24" s="117"/>
      <c r="Q24" s="117"/>
    </row>
    <row r="25" spans="1:17" ht="21.75" customHeight="1">
      <c r="A25" s="36"/>
      <c r="B25" s="107"/>
      <c r="C25" s="119"/>
      <c r="D25" s="119"/>
      <c r="E25" s="41"/>
      <c r="F25" s="41"/>
      <c r="G25" s="108"/>
      <c r="H25" s="111"/>
      <c r="I25" s="107"/>
      <c r="J25" s="108"/>
      <c r="K25" s="120"/>
      <c r="L25" s="110"/>
      <c r="M25" s="33"/>
      <c r="N25" s="107"/>
      <c r="O25" s="33"/>
      <c r="P25" s="117"/>
      <c r="Q25" s="117"/>
    </row>
    <row r="26" spans="1:17" ht="21.75" customHeight="1">
      <c r="A26" s="36"/>
      <c r="B26" s="107"/>
      <c r="C26" s="119"/>
      <c r="D26" s="119"/>
      <c r="E26" s="41"/>
      <c r="F26" s="125"/>
      <c r="G26" s="108"/>
      <c r="H26" s="176"/>
      <c r="I26" s="107"/>
      <c r="J26" s="108"/>
      <c r="K26" s="120"/>
      <c r="L26" s="110"/>
      <c r="M26" s="107"/>
      <c r="N26" s="107"/>
      <c r="O26" s="107"/>
      <c r="P26" s="362"/>
      <c r="Q26" s="362"/>
    </row>
    <row r="27" spans="1:17" ht="21.75" customHeight="1">
      <c r="A27" s="36"/>
      <c r="B27" s="107"/>
      <c r="C27" s="119"/>
      <c r="D27" s="119"/>
      <c r="E27" s="41"/>
      <c r="F27" s="125"/>
      <c r="G27" s="108"/>
      <c r="H27" s="176"/>
      <c r="I27" s="107"/>
      <c r="J27" s="108"/>
      <c r="K27" s="120"/>
      <c r="L27" s="110"/>
      <c r="M27" s="107"/>
      <c r="N27" s="107"/>
      <c r="O27" s="107"/>
      <c r="P27" s="362"/>
      <c r="Q27" s="362"/>
    </row>
    <row r="28" spans="1:17" ht="21.75" customHeight="1">
      <c r="A28" s="36"/>
      <c r="B28" s="104" t="s">
        <v>6</v>
      </c>
      <c r="C28" s="106"/>
      <c r="D28" s="106"/>
      <c r="E28" s="125"/>
      <c r="F28" s="142"/>
      <c r="G28" s="107">
        <f>SUM(G5:G24)</f>
        <v>112228210</v>
      </c>
      <c r="H28" s="107">
        <f t="shared" ref="H28:O28" si="6">SUM(H5:H24)</f>
        <v>157308000</v>
      </c>
      <c r="I28" s="107">
        <f t="shared" si="6"/>
        <v>3522761</v>
      </c>
      <c r="J28" s="107">
        <f t="shared" si="6"/>
        <v>1346739</v>
      </c>
      <c r="K28" s="107">
        <f t="shared" si="6"/>
        <v>144</v>
      </c>
      <c r="L28" s="107">
        <f t="shared" si="6"/>
        <v>109</v>
      </c>
      <c r="M28" s="107">
        <f t="shared" si="6"/>
        <v>4869500</v>
      </c>
      <c r="N28" s="107">
        <f t="shared" si="6"/>
        <v>121377000</v>
      </c>
      <c r="O28" s="107">
        <f t="shared" si="6"/>
        <v>86270905</v>
      </c>
      <c r="P28" s="104"/>
      <c r="Q28" s="104"/>
    </row>
    <row r="29" spans="1:17" ht="21.75" customHeight="1">
      <c r="A29" s="85" t="s">
        <v>1837</v>
      </c>
      <c r="B29" s="2"/>
      <c r="C29" s="3"/>
      <c r="D29" s="3"/>
      <c r="E29" s="357"/>
      <c r="F29" s="358"/>
      <c r="G29" s="79"/>
      <c r="H29" s="79"/>
      <c r="I29" s="2"/>
      <c r="J29" s="5"/>
      <c r="L29" s="2"/>
      <c r="M29" s="359"/>
      <c r="N29" s="359"/>
      <c r="O29" s="359"/>
      <c r="P29" s="83"/>
      <c r="Q29" s="1"/>
    </row>
    <row r="30" spans="1:17" ht="21.75" customHeight="1">
      <c r="A30" s="86" t="s">
        <v>1</v>
      </c>
      <c r="B30" s="86" t="s">
        <v>2</v>
      </c>
      <c r="C30" s="86" t="s">
        <v>3</v>
      </c>
      <c r="D30" s="248" t="s">
        <v>24</v>
      </c>
      <c r="E30" s="87" t="s">
        <v>4</v>
      </c>
      <c r="F30" s="363" t="s">
        <v>4</v>
      </c>
      <c r="G30" s="88" t="s">
        <v>5</v>
      </c>
      <c r="H30" s="88" t="s">
        <v>6</v>
      </c>
      <c r="I30" s="86" t="s">
        <v>7</v>
      </c>
      <c r="J30" s="90" t="s">
        <v>8</v>
      </c>
      <c r="K30" s="86" t="s">
        <v>9</v>
      </c>
      <c r="L30" s="86" t="s">
        <v>10</v>
      </c>
      <c r="M30" s="93" t="s">
        <v>11</v>
      </c>
      <c r="N30" s="93" t="s">
        <v>12</v>
      </c>
      <c r="O30" s="93" t="s">
        <v>13</v>
      </c>
      <c r="P30" s="93" t="s">
        <v>14</v>
      </c>
      <c r="Q30" s="86" t="s">
        <v>15</v>
      </c>
    </row>
    <row r="31" spans="1:17" ht="21.75" customHeight="1">
      <c r="A31" s="94"/>
      <c r="B31" s="94"/>
      <c r="C31" s="162"/>
      <c r="D31" s="94"/>
      <c r="E31" s="95" t="s">
        <v>17</v>
      </c>
      <c r="F31" s="361" t="s">
        <v>66</v>
      </c>
      <c r="G31" s="96"/>
      <c r="H31" s="166" t="s">
        <v>5</v>
      </c>
      <c r="I31" s="162"/>
      <c r="J31" s="325"/>
      <c r="K31" s="162"/>
      <c r="L31" s="162" t="s">
        <v>18</v>
      </c>
      <c r="M31" s="170" t="s">
        <v>19</v>
      </c>
      <c r="N31" s="170" t="s">
        <v>8</v>
      </c>
      <c r="O31" s="170" t="s">
        <v>1827</v>
      </c>
      <c r="P31" s="299"/>
      <c r="Q31" s="204"/>
    </row>
    <row r="32" spans="1:17" ht="21.75" customHeight="1">
      <c r="A32" s="67">
        <f t="shared" ref="A32:A33" si="7">+A31+1</f>
        <v>1</v>
      </c>
      <c r="B32" s="217" t="s">
        <v>1698</v>
      </c>
      <c r="C32" s="218" t="s">
        <v>1699</v>
      </c>
      <c r="D32" s="218" t="s">
        <v>1700</v>
      </c>
      <c r="E32" s="41">
        <v>42872</v>
      </c>
      <c r="F32" s="41">
        <v>43203</v>
      </c>
      <c r="G32" s="219">
        <f>15000+150000</f>
        <v>165000</v>
      </c>
      <c r="H32" s="219">
        <f t="shared" ref="H32:H33" si="8">+K32*M32</f>
        <v>188760</v>
      </c>
      <c r="I32" s="219">
        <f t="shared" ref="I32:I33" si="9">+G32/K32</f>
        <v>13750</v>
      </c>
      <c r="J32" s="219">
        <f t="shared" ref="J32:J33" si="10">+G32*1.2%</f>
        <v>1980</v>
      </c>
      <c r="K32" s="67">
        <v>12</v>
      </c>
      <c r="L32" s="36">
        <v>1</v>
      </c>
      <c r="M32" s="65">
        <f t="shared" ref="M32:M33" si="11">+I32+J32</f>
        <v>15730</v>
      </c>
      <c r="N32" s="64">
        <f t="shared" ref="N32:N33" si="12">+L32*M32</f>
        <v>15730</v>
      </c>
      <c r="O32" s="64">
        <f t="shared" ref="O32:O33" si="13">+I32*L32</f>
        <v>13750</v>
      </c>
      <c r="P32" s="282" t="s">
        <v>350</v>
      </c>
      <c r="Q32" s="282" t="s">
        <v>1701</v>
      </c>
    </row>
    <row r="33" spans="1:17" ht="21.75" customHeight="1">
      <c r="A33" s="67">
        <f t="shared" si="7"/>
        <v>2</v>
      </c>
      <c r="B33" s="217" t="s">
        <v>1698</v>
      </c>
      <c r="C33" s="218" t="s">
        <v>1699</v>
      </c>
      <c r="D33" s="218" t="s">
        <v>1700</v>
      </c>
      <c r="E33" s="41">
        <v>42872</v>
      </c>
      <c r="F33" s="41">
        <v>43203</v>
      </c>
      <c r="G33" s="219">
        <f>15000+150000</f>
        <v>165000</v>
      </c>
      <c r="H33" s="219">
        <f t="shared" si="8"/>
        <v>188760</v>
      </c>
      <c r="I33" s="219">
        <f t="shared" si="9"/>
        <v>13750</v>
      </c>
      <c r="J33" s="219">
        <f t="shared" si="10"/>
        <v>1980</v>
      </c>
      <c r="K33" s="67">
        <v>12</v>
      </c>
      <c r="L33" s="36">
        <v>1</v>
      </c>
      <c r="M33" s="65">
        <f t="shared" si="11"/>
        <v>15730</v>
      </c>
      <c r="N33" s="64">
        <f t="shared" si="12"/>
        <v>15730</v>
      </c>
      <c r="O33" s="64">
        <f t="shared" si="13"/>
        <v>13750</v>
      </c>
      <c r="P33" s="282" t="s">
        <v>350</v>
      </c>
      <c r="Q33" s="282" t="s">
        <v>1701</v>
      </c>
    </row>
    <row r="34" spans="1:17" ht="21.75" customHeight="1">
      <c r="A34" s="67"/>
      <c r="B34" s="68"/>
      <c r="C34" s="69"/>
      <c r="D34" s="69"/>
      <c r="E34" s="41"/>
      <c r="F34" s="41"/>
      <c r="G34" s="219"/>
      <c r="H34" s="219"/>
      <c r="I34" s="219"/>
      <c r="J34" s="219"/>
      <c r="K34" s="67"/>
      <c r="L34" s="36"/>
      <c r="M34" s="65"/>
      <c r="N34" s="219"/>
      <c r="O34" s="364"/>
      <c r="P34" s="132"/>
      <c r="Q34" s="241"/>
    </row>
    <row r="35" spans="1:17" ht="21.75" customHeight="1">
      <c r="A35" s="36"/>
      <c r="B35" s="365"/>
      <c r="C35" s="366"/>
      <c r="D35" s="366"/>
      <c r="E35" s="125"/>
      <c r="F35" s="367"/>
      <c r="G35" s="126"/>
      <c r="H35" s="143"/>
      <c r="I35" s="128"/>
      <c r="J35" s="128"/>
      <c r="K35" s="368"/>
      <c r="L35" s="369"/>
      <c r="M35" s="178"/>
      <c r="N35" s="107"/>
      <c r="O35" s="107"/>
      <c r="P35" s="370"/>
      <c r="Q35" s="365"/>
    </row>
    <row r="36" spans="1:17" ht="21.75" customHeight="1">
      <c r="A36" s="36"/>
      <c r="B36" s="107"/>
      <c r="C36" s="119"/>
      <c r="D36" s="119"/>
      <c r="E36" s="125"/>
      <c r="F36" s="367"/>
      <c r="G36" s="108"/>
      <c r="H36" s="111"/>
      <c r="I36" s="107"/>
      <c r="J36" s="108"/>
      <c r="K36" s="120"/>
      <c r="L36" s="110"/>
      <c r="M36" s="182"/>
      <c r="N36" s="107"/>
      <c r="O36" s="107"/>
      <c r="P36" s="362"/>
      <c r="Q36" s="362"/>
    </row>
    <row r="37" spans="1:17" ht="21.75" customHeight="1">
      <c r="A37" s="36"/>
      <c r="B37" s="104"/>
      <c r="C37" s="106"/>
      <c r="D37" s="106"/>
      <c r="E37" s="125"/>
      <c r="F37" s="41"/>
      <c r="G37" s="143"/>
      <c r="H37" s="108"/>
      <c r="I37" s="107"/>
      <c r="J37" s="128"/>
      <c r="K37" s="144"/>
      <c r="L37" s="36"/>
      <c r="M37" s="108"/>
      <c r="N37" s="108"/>
      <c r="O37" s="108"/>
      <c r="P37" s="370"/>
      <c r="Q37" s="362"/>
    </row>
    <row r="38" spans="1:17" ht="21.75" customHeight="1">
      <c r="A38" s="36"/>
      <c r="B38" s="104" t="s">
        <v>6</v>
      </c>
      <c r="C38" s="371"/>
      <c r="D38" s="371"/>
      <c r="E38" s="142"/>
      <c r="F38" s="142"/>
      <c r="G38" s="107">
        <f>SUM(G32:G37)</f>
        <v>330000</v>
      </c>
      <c r="H38" s="107">
        <f t="shared" ref="H38:O38" si="14">SUM(H32:H37)</f>
        <v>377520</v>
      </c>
      <c r="I38" s="107">
        <f t="shared" si="14"/>
        <v>27500</v>
      </c>
      <c r="J38" s="107">
        <f t="shared" si="14"/>
        <v>3960</v>
      </c>
      <c r="K38" s="107">
        <f t="shared" si="14"/>
        <v>24</v>
      </c>
      <c r="L38" s="107">
        <f t="shared" si="14"/>
        <v>2</v>
      </c>
      <c r="M38" s="107">
        <f t="shared" si="14"/>
        <v>31460</v>
      </c>
      <c r="N38" s="107">
        <f t="shared" si="14"/>
        <v>31460</v>
      </c>
      <c r="O38" s="107">
        <f t="shared" si="14"/>
        <v>27500</v>
      </c>
      <c r="P38" s="323"/>
      <c r="Q38" s="323"/>
    </row>
    <row r="39" spans="1:17" ht="21.75" customHeight="1">
      <c r="A39" s="85" t="s">
        <v>1838</v>
      </c>
      <c r="B39" s="2"/>
      <c r="C39" s="3"/>
      <c r="D39" s="3"/>
      <c r="E39" s="357"/>
      <c r="F39" s="358"/>
      <c r="G39" s="79"/>
      <c r="H39" s="79"/>
      <c r="I39" s="2"/>
      <c r="J39" s="5"/>
      <c r="L39" s="2"/>
      <c r="M39" s="359"/>
      <c r="N39" s="359"/>
      <c r="O39" s="359"/>
      <c r="P39" s="83"/>
      <c r="Q39" s="1"/>
    </row>
    <row r="40" spans="1:17" ht="21.75" customHeight="1">
      <c r="A40" s="86" t="s">
        <v>1</v>
      </c>
      <c r="B40" s="86" t="s">
        <v>2</v>
      </c>
      <c r="C40" s="86" t="s">
        <v>3</v>
      </c>
      <c r="D40" s="248" t="s">
        <v>24</v>
      </c>
      <c r="E40" s="87" t="s">
        <v>4</v>
      </c>
      <c r="F40" s="360" t="s">
        <v>4</v>
      </c>
      <c r="G40" s="88" t="s">
        <v>5</v>
      </c>
      <c r="H40" s="88" t="s">
        <v>6</v>
      </c>
      <c r="I40" s="86" t="s">
        <v>7</v>
      </c>
      <c r="J40" s="90" t="s">
        <v>8</v>
      </c>
      <c r="K40" s="86" t="s">
        <v>9</v>
      </c>
      <c r="L40" s="86" t="s">
        <v>10</v>
      </c>
      <c r="M40" s="93" t="s">
        <v>11</v>
      </c>
      <c r="N40" s="93" t="s">
        <v>12</v>
      </c>
      <c r="O40" s="93" t="s">
        <v>13</v>
      </c>
      <c r="P40" s="93" t="s">
        <v>14</v>
      </c>
      <c r="Q40" s="86" t="s">
        <v>15</v>
      </c>
    </row>
    <row r="41" spans="1:17" ht="21.75" customHeight="1">
      <c r="A41" s="94"/>
      <c r="B41" s="94"/>
      <c r="C41" s="94"/>
      <c r="D41" s="94"/>
      <c r="E41" s="95" t="s">
        <v>17</v>
      </c>
      <c r="F41" s="361" t="s">
        <v>66</v>
      </c>
      <c r="G41" s="96"/>
      <c r="H41" s="166" t="s">
        <v>5</v>
      </c>
      <c r="I41" s="162"/>
      <c r="J41" s="325"/>
      <c r="K41" s="162"/>
      <c r="L41" s="162" t="s">
        <v>18</v>
      </c>
      <c r="M41" s="170" t="s">
        <v>19</v>
      </c>
      <c r="N41" s="170" t="s">
        <v>8</v>
      </c>
      <c r="O41" s="170" t="s">
        <v>1827</v>
      </c>
      <c r="P41" s="299"/>
      <c r="Q41" s="204"/>
    </row>
    <row r="42" spans="1:17" ht="21.75" customHeight="1">
      <c r="A42" s="290"/>
      <c r="B42" s="186"/>
      <c r="C42" s="301"/>
      <c r="D42" s="302"/>
      <c r="E42" s="302"/>
      <c r="F42" s="41"/>
      <c r="G42" s="303"/>
      <c r="H42" s="372"/>
      <c r="I42" s="305"/>
      <c r="J42" s="305"/>
      <c r="K42" s="307"/>
      <c r="L42" s="307"/>
      <c r="M42" s="308"/>
      <c r="N42" s="304"/>
      <c r="O42" s="304"/>
      <c r="P42" s="373"/>
      <c r="Q42" s="311"/>
    </row>
    <row r="43" spans="1:17" ht="21.75" customHeight="1">
      <c r="A43" s="290"/>
      <c r="B43" s="186"/>
      <c r="C43" s="301"/>
      <c r="D43" s="302"/>
      <c r="E43" s="302"/>
      <c r="F43" s="41"/>
      <c r="G43" s="303"/>
      <c r="H43" s="372"/>
      <c r="I43" s="305"/>
      <c r="J43" s="305"/>
      <c r="K43" s="307"/>
      <c r="L43" s="307"/>
      <c r="M43" s="308"/>
      <c r="N43" s="304"/>
      <c r="O43" s="304"/>
      <c r="P43" s="373"/>
      <c r="Q43" s="311"/>
    </row>
    <row r="44" spans="1:17" ht="21.75" customHeight="1">
      <c r="A44" s="290"/>
      <c r="B44" s="186"/>
      <c r="C44" s="301"/>
      <c r="D44" s="302"/>
      <c r="E44" s="302"/>
      <c r="F44" s="41"/>
      <c r="G44" s="303"/>
      <c r="H44" s="372"/>
      <c r="I44" s="305"/>
      <c r="J44" s="305"/>
      <c r="K44" s="307"/>
      <c r="L44" s="307"/>
      <c r="M44" s="374"/>
      <c r="N44" s="305"/>
      <c r="O44" s="305"/>
      <c r="P44" s="373"/>
      <c r="Q44" s="311"/>
    </row>
    <row r="45" spans="1:17" ht="21.75" customHeight="1">
      <c r="A45" s="290"/>
      <c r="B45" s="186"/>
      <c r="C45" s="301"/>
      <c r="D45" s="302"/>
      <c r="E45" s="302"/>
      <c r="F45" s="41"/>
      <c r="G45" s="303"/>
      <c r="H45" s="372"/>
      <c r="I45" s="305"/>
      <c r="J45" s="305"/>
      <c r="K45" s="307"/>
      <c r="L45" s="307"/>
      <c r="M45" s="374"/>
      <c r="N45" s="305"/>
      <c r="O45" s="305"/>
      <c r="P45" s="373"/>
      <c r="Q45" s="311"/>
    </row>
    <row r="46" spans="1:17" ht="21.75" customHeight="1">
      <c r="A46" s="290"/>
      <c r="B46" s="186"/>
      <c r="C46" s="301"/>
      <c r="D46" s="302"/>
      <c r="E46" s="302"/>
      <c r="F46" s="41"/>
      <c r="G46" s="375"/>
      <c r="H46" s="376"/>
      <c r="I46" s="308"/>
      <c r="J46" s="315"/>
      <c r="K46" s="290"/>
      <c r="L46" s="307"/>
      <c r="M46" s="308"/>
      <c r="N46" s="304"/>
      <c r="O46" s="304"/>
      <c r="P46" s="309"/>
      <c r="Q46" s="311"/>
    </row>
    <row r="47" spans="1:17" ht="21.75" customHeight="1">
      <c r="A47" s="300"/>
      <c r="B47" s="186"/>
      <c r="C47" s="301"/>
      <c r="D47" s="302"/>
      <c r="E47" s="302"/>
      <c r="F47" s="41"/>
      <c r="G47" s="377"/>
      <c r="H47" s="376"/>
      <c r="I47" s="308"/>
      <c r="J47" s="315"/>
      <c r="K47" s="290"/>
      <c r="L47" s="307"/>
      <c r="M47" s="308"/>
      <c r="N47" s="304"/>
      <c r="O47" s="304"/>
      <c r="P47" s="309"/>
      <c r="Q47" s="311"/>
    </row>
    <row r="48" spans="1:17" ht="21.75" customHeight="1">
      <c r="A48" s="290"/>
      <c r="B48" s="186"/>
      <c r="C48" s="301"/>
      <c r="D48" s="302"/>
      <c r="E48" s="302"/>
      <c r="F48" s="41"/>
      <c r="G48" s="377"/>
      <c r="H48" s="376"/>
      <c r="I48" s="308"/>
      <c r="J48" s="315"/>
      <c r="K48" s="290"/>
      <c r="L48" s="307"/>
      <c r="M48" s="308"/>
      <c r="N48" s="304"/>
      <c r="O48" s="304"/>
      <c r="P48" s="309"/>
      <c r="Q48" s="311"/>
    </row>
    <row r="49" spans="1:17" ht="21.75" customHeight="1">
      <c r="A49" s="290"/>
      <c r="B49" s="186"/>
      <c r="C49" s="301"/>
      <c r="D49" s="302"/>
      <c r="E49" s="302"/>
      <c r="F49" s="41"/>
      <c r="G49" s="377"/>
      <c r="H49" s="376"/>
      <c r="I49" s="308"/>
      <c r="J49" s="315"/>
      <c r="K49" s="290"/>
      <c r="L49" s="307"/>
      <c r="M49" s="308"/>
      <c r="N49" s="304"/>
      <c r="O49" s="304"/>
      <c r="P49" s="309"/>
      <c r="Q49" s="311"/>
    </row>
    <row r="50" spans="1:17" ht="21.75" customHeight="1">
      <c r="A50" s="290"/>
      <c r="B50" s="186"/>
      <c r="C50" s="301"/>
      <c r="D50" s="302"/>
      <c r="E50" s="302"/>
      <c r="F50" s="41"/>
      <c r="G50" s="377"/>
      <c r="H50" s="376"/>
      <c r="I50" s="308"/>
      <c r="J50" s="315"/>
      <c r="K50" s="290"/>
      <c r="L50" s="307"/>
      <c r="M50" s="308"/>
      <c r="N50" s="304"/>
      <c r="O50" s="304"/>
      <c r="P50" s="309"/>
      <c r="Q50" s="310"/>
    </row>
    <row r="51" spans="1:17" ht="21.75" customHeight="1">
      <c r="A51" s="290"/>
      <c r="B51" s="186"/>
      <c r="C51" s="301"/>
      <c r="D51" s="302"/>
      <c r="E51" s="302"/>
      <c r="F51" s="41"/>
      <c r="G51" s="314"/>
      <c r="H51" s="376"/>
      <c r="I51" s="308"/>
      <c r="J51" s="315"/>
      <c r="K51" s="290"/>
      <c r="L51" s="307"/>
      <c r="M51" s="308"/>
      <c r="N51" s="304"/>
      <c r="O51" s="304"/>
      <c r="P51" s="309"/>
      <c r="Q51" s="310"/>
    </row>
    <row r="52" spans="1:17" ht="21.75" customHeight="1">
      <c r="A52" s="290"/>
      <c r="B52" s="186"/>
      <c r="C52" s="301"/>
      <c r="D52" s="302"/>
      <c r="E52" s="302"/>
      <c r="F52" s="41"/>
      <c r="G52" s="306"/>
      <c r="H52" s="376"/>
      <c r="I52" s="308"/>
      <c r="J52" s="315"/>
      <c r="K52" s="290"/>
      <c r="L52" s="307"/>
      <c r="M52" s="308"/>
      <c r="N52" s="304"/>
      <c r="O52" s="304"/>
      <c r="P52" s="376"/>
      <c r="Q52" s="310"/>
    </row>
    <row r="53" spans="1:17" ht="21.75" customHeight="1">
      <c r="A53" s="290"/>
      <c r="B53" s="186"/>
      <c r="C53" s="301"/>
      <c r="D53" s="302"/>
      <c r="E53" s="302"/>
      <c r="F53" s="41"/>
      <c r="G53" s="314"/>
      <c r="H53" s="376"/>
      <c r="I53" s="308"/>
      <c r="J53" s="315"/>
      <c r="K53" s="290"/>
      <c r="L53" s="307"/>
      <c r="M53" s="308"/>
      <c r="N53" s="308"/>
      <c r="O53" s="378"/>
      <c r="P53" s="309"/>
      <c r="Q53" s="310"/>
    </row>
    <row r="54" spans="1:17" ht="21.75" customHeight="1">
      <c r="A54" s="36"/>
      <c r="B54" s="186"/>
      <c r="C54" s="301"/>
      <c r="D54" s="302"/>
      <c r="E54" s="302"/>
      <c r="F54" s="41"/>
      <c r="G54" s="314"/>
      <c r="H54" s="376"/>
      <c r="I54" s="308"/>
      <c r="J54" s="315"/>
      <c r="K54" s="290"/>
      <c r="L54" s="307"/>
      <c r="M54" s="308"/>
      <c r="N54" s="308"/>
      <c r="O54" s="378"/>
      <c r="P54" s="309"/>
      <c r="Q54" s="310"/>
    </row>
    <row r="55" spans="1:17" ht="21.75" customHeight="1">
      <c r="A55" s="36"/>
      <c r="B55" s="186"/>
      <c r="C55" s="301"/>
      <c r="D55" s="302"/>
      <c r="E55" s="302"/>
      <c r="F55" s="41"/>
      <c r="G55" s="314"/>
      <c r="H55" s="376"/>
      <c r="I55" s="308"/>
      <c r="J55" s="315"/>
      <c r="K55" s="290"/>
      <c r="L55" s="307"/>
      <c r="M55" s="308"/>
      <c r="N55" s="308"/>
      <c r="O55" s="378"/>
      <c r="P55" s="309"/>
      <c r="Q55" s="310"/>
    </row>
    <row r="56" spans="1:17" ht="21.75" customHeight="1">
      <c r="A56" s="36"/>
      <c r="B56" s="104"/>
      <c r="C56" s="105"/>
      <c r="D56" s="41"/>
      <c r="E56" s="125"/>
      <c r="F56" s="41"/>
      <c r="G56" s="312"/>
      <c r="H56" s="176"/>
      <c r="I56" s="107"/>
      <c r="J56" s="111"/>
      <c r="K56" s="36"/>
      <c r="L56" s="379"/>
      <c r="M56" s="107"/>
      <c r="N56" s="140"/>
      <c r="O56" s="140"/>
      <c r="P56" s="297"/>
      <c r="Q56" s="137"/>
    </row>
    <row r="57" spans="1:17" ht="21.75" customHeight="1">
      <c r="A57" s="36"/>
      <c r="B57" s="104"/>
      <c r="C57" s="105"/>
      <c r="D57" s="41"/>
      <c r="E57" s="125"/>
      <c r="F57" s="41"/>
      <c r="G57" s="380"/>
      <c r="H57" s="176"/>
      <c r="I57" s="107"/>
      <c r="J57" s="111"/>
      <c r="K57" s="36"/>
      <c r="L57" s="379"/>
      <c r="M57" s="107"/>
      <c r="N57" s="140"/>
      <c r="O57" s="140"/>
      <c r="P57" s="297"/>
      <c r="Q57" s="209"/>
    </row>
    <row r="58" spans="1:17" ht="21.75" customHeight="1">
      <c r="A58" s="36"/>
      <c r="B58" s="104"/>
      <c r="C58" s="105"/>
      <c r="D58" s="41"/>
      <c r="E58" s="125"/>
      <c r="F58" s="41"/>
      <c r="G58" s="109"/>
      <c r="H58" s="176"/>
      <c r="I58" s="107"/>
      <c r="J58" s="111"/>
      <c r="K58" s="36"/>
      <c r="L58" s="379"/>
      <c r="M58" s="107"/>
      <c r="N58" s="140"/>
      <c r="O58" s="140"/>
      <c r="P58" s="297"/>
      <c r="Q58" s="209"/>
    </row>
    <row r="59" spans="1:17" ht="21.75" customHeight="1">
      <c r="A59" s="36"/>
      <c r="B59" s="2"/>
      <c r="C59" s="381"/>
      <c r="D59" s="41"/>
      <c r="E59" s="125"/>
      <c r="F59" s="41"/>
      <c r="G59" s="380"/>
      <c r="H59" s="176"/>
      <c r="I59" s="107"/>
      <c r="J59" s="111"/>
      <c r="K59" s="36"/>
      <c r="L59" s="379"/>
      <c r="M59" s="107"/>
      <c r="N59" s="107"/>
      <c r="O59" s="208"/>
      <c r="P59" s="297"/>
      <c r="Q59" s="209"/>
    </row>
    <row r="60" spans="1:17" ht="21.75" customHeight="1">
      <c r="A60" s="36"/>
      <c r="B60" s="2"/>
      <c r="C60" s="381"/>
      <c r="D60" s="41"/>
      <c r="E60" s="125"/>
      <c r="F60" s="41"/>
      <c r="G60" s="380"/>
      <c r="H60" s="176"/>
      <c r="I60" s="107"/>
      <c r="J60" s="111"/>
      <c r="K60" s="36"/>
      <c r="L60" s="379"/>
      <c r="M60" s="107"/>
      <c r="N60" s="107"/>
      <c r="O60" s="208"/>
      <c r="P60" s="297"/>
      <c r="Q60" s="209"/>
    </row>
    <row r="61" spans="1:17" ht="21.75" customHeight="1">
      <c r="A61" s="36"/>
      <c r="B61" s="107"/>
      <c r="C61" s="119"/>
      <c r="D61" s="41"/>
      <c r="E61" s="125"/>
      <c r="F61" s="41"/>
      <c r="G61" s="313"/>
      <c r="H61" s="176"/>
      <c r="I61" s="107"/>
      <c r="J61" s="111"/>
      <c r="K61" s="36"/>
      <c r="L61" s="36"/>
      <c r="M61" s="107"/>
      <c r="N61" s="107"/>
      <c r="O61" s="208"/>
      <c r="P61" s="356"/>
      <c r="Q61" s="209"/>
    </row>
    <row r="62" spans="1:17" ht="21.75" customHeight="1">
      <c r="A62" s="290"/>
      <c r="B62" s="382"/>
      <c r="C62" s="383"/>
      <c r="D62" s="302"/>
      <c r="E62" s="125"/>
      <c r="F62" s="125"/>
      <c r="G62" s="314"/>
      <c r="H62" s="376"/>
      <c r="I62" s="308"/>
      <c r="J62" s="315"/>
      <c r="K62" s="290"/>
      <c r="L62" s="307"/>
      <c r="M62" s="308"/>
      <c r="N62" s="304"/>
      <c r="O62" s="304"/>
      <c r="P62" s="309"/>
      <c r="Q62" s="310"/>
    </row>
    <row r="63" spans="1:17" ht="21.75" customHeight="1">
      <c r="A63" s="290"/>
      <c r="B63" s="382"/>
      <c r="C63" s="383"/>
      <c r="D63" s="302"/>
      <c r="E63" s="125"/>
      <c r="F63" s="125"/>
      <c r="G63" s="306"/>
      <c r="H63" s="376"/>
      <c r="I63" s="308"/>
      <c r="J63" s="315"/>
      <c r="K63" s="290"/>
      <c r="L63" s="307"/>
      <c r="M63" s="308"/>
      <c r="N63" s="304"/>
      <c r="O63" s="304"/>
      <c r="P63" s="309"/>
      <c r="Q63" s="310"/>
    </row>
    <row r="64" spans="1:17" ht="21.75" customHeight="1">
      <c r="A64" s="290"/>
      <c r="B64" s="382"/>
      <c r="C64" s="383"/>
      <c r="D64" s="302"/>
      <c r="E64" s="125"/>
      <c r="F64" s="125"/>
      <c r="G64" s="314"/>
      <c r="H64" s="376"/>
      <c r="I64" s="308"/>
      <c r="J64" s="315"/>
      <c r="K64" s="290"/>
      <c r="L64" s="307"/>
      <c r="M64" s="308"/>
      <c r="N64" s="308"/>
      <c r="O64" s="378"/>
      <c r="P64" s="309"/>
      <c r="Q64" s="310"/>
    </row>
    <row r="65" spans="1:17" ht="21.75" customHeight="1">
      <c r="A65" s="36"/>
      <c r="B65" s="295"/>
      <c r="C65" s="384"/>
      <c r="D65" s="41"/>
      <c r="E65" s="125"/>
      <c r="F65" s="125"/>
      <c r="G65" s="380"/>
      <c r="H65" s="176"/>
      <c r="I65" s="107"/>
      <c r="J65" s="111"/>
      <c r="K65" s="36"/>
      <c r="L65" s="379"/>
      <c r="M65" s="107"/>
      <c r="N65" s="107"/>
      <c r="O65" s="208"/>
      <c r="P65" s="297"/>
      <c r="Q65" s="209"/>
    </row>
    <row r="66" spans="1:17" ht="21.75" customHeight="1">
      <c r="A66" s="36"/>
      <c r="B66" s="104"/>
      <c r="C66" s="106"/>
      <c r="D66" s="106"/>
      <c r="E66" s="125"/>
      <c r="F66" s="125"/>
      <c r="G66" s="108"/>
      <c r="H66" s="108"/>
      <c r="I66" s="108"/>
      <c r="J66" s="108"/>
      <c r="K66" s="36"/>
      <c r="L66" s="36"/>
      <c r="M66" s="108"/>
      <c r="N66" s="130"/>
      <c r="O66" s="108"/>
      <c r="P66" s="297"/>
      <c r="Q66" s="298"/>
    </row>
    <row r="67" spans="1:17" ht="21.75" customHeight="1">
      <c r="A67" s="36"/>
      <c r="B67" s="104"/>
      <c r="C67" s="106"/>
      <c r="D67" s="106"/>
      <c r="E67" s="125"/>
      <c r="F67" s="125"/>
      <c r="G67" s="108"/>
      <c r="H67" s="108"/>
      <c r="I67" s="108"/>
      <c r="J67" s="108"/>
      <c r="K67" s="36"/>
      <c r="L67" s="36"/>
      <c r="M67" s="108"/>
      <c r="N67" s="130"/>
      <c r="O67" s="108"/>
      <c r="P67" s="297"/>
      <c r="Q67" s="298"/>
    </row>
    <row r="68" spans="1:17" ht="21.75" customHeight="1">
      <c r="A68" s="36"/>
      <c r="B68" s="104"/>
      <c r="C68" s="106"/>
      <c r="D68" s="106"/>
      <c r="E68" s="125"/>
      <c r="F68" s="125"/>
      <c r="G68" s="108"/>
      <c r="H68" s="108"/>
      <c r="I68" s="108"/>
      <c r="J68" s="108"/>
      <c r="K68" s="36"/>
      <c r="L68" s="36"/>
      <c r="M68" s="108"/>
      <c r="N68" s="130"/>
      <c r="O68" s="108"/>
      <c r="P68" s="297"/>
      <c r="Q68" s="298"/>
    </row>
    <row r="69" spans="1:17" ht="21.75" customHeight="1">
      <c r="A69" s="36"/>
      <c r="B69" s="104"/>
      <c r="C69" s="106"/>
      <c r="D69" s="106"/>
      <c r="E69" s="125"/>
      <c r="F69" s="125"/>
      <c r="G69" s="108"/>
      <c r="H69" s="108"/>
      <c r="I69" s="108"/>
      <c r="J69" s="108"/>
      <c r="K69" s="36"/>
      <c r="L69" s="36"/>
      <c r="M69" s="108"/>
      <c r="N69" s="130"/>
      <c r="O69" s="108"/>
      <c r="P69" s="297"/>
      <c r="Q69" s="298"/>
    </row>
    <row r="70" spans="1:17" ht="21.75" customHeight="1">
      <c r="A70" s="36"/>
      <c r="B70" s="104"/>
      <c r="C70" s="106"/>
      <c r="D70" s="106"/>
      <c r="E70" s="125"/>
      <c r="F70" s="125"/>
      <c r="G70" s="108"/>
      <c r="H70" s="108"/>
      <c r="I70" s="108"/>
      <c r="J70" s="108"/>
      <c r="K70" s="36"/>
      <c r="L70" s="36"/>
      <c r="M70" s="108"/>
      <c r="N70" s="130"/>
      <c r="O70" s="108"/>
      <c r="P70" s="297"/>
      <c r="Q70" s="298"/>
    </row>
    <row r="71" spans="1:17" ht="21.75" customHeight="1">
      <c r="A71" s="36"/>
      <c r="B71" s="104"/>
      <c r="C71" s="106"/>
      <c r="D71" s="106"/>
      <c r="E71" s="125"/>
      <c r="F71" s="125"/>
      <c r="G71" s="108"/>
      <c r="H71" s="108"/>
      <c r="I71" s="108"/>
      <c r="J71" s="108"/>
      <c r="K71" s="36"/>
      <c r="L71" s="36"/>
      <c r="M71" s="108"/>
      <c r="N71" s="130"/>
      <c r="O71" s="108"/>
      <c r="P71" s="297"/>
      <c r="Q71" s="298"/>
    </row>
    <row r="72" spans="1:17" ht="21.75" customHeight="1">
      <c r="A72" s="36"/>
      <c r="B72" s="104"/>
      <c r="C72" s="106"/>
      <c r="D72" s="106"/>
      <c r="E72" s="125"/>
      <c r="F72" s="125"/>
      <c r="G72" s="108"/>
      <c r="H72" s="108"/>
      <c r="I72" s="108"/>
      <c r="J72" s="108"/>
      <c r="K72" s="36"/>
      <c r="L72" s="36"/>
      <c r="M72" s="108"/>
      <c r="N72" s="130"/>
      <c r="O72" s="108"/>
      <c r="P72" s="297"/>
      <c r="Q72" s="298"/>
    </row>
    <row r="73" spans="1:17" ht="21.75" customHeight="1">
      <c r="A73" s="36"/>
      <c r="B73" s="104"/>
      <c r="C73" s="106"/>
      <c r="D73" s="106"/>
      <c r="E73" s="125"/>
      <c r="F73" s="125"/>
      <c r="G73" s="108"/>
      <c r="H73" s="108"/>
      <c r="I73" s="108"/>
      <c r="J73" s="108"/>
      <c r="K73" s="36"/>
      <c r="L73" s="36"/>
      <c r="M73" s="108"/>
      <c r="N73" s="130"/>
      <c r="O73" s="108"/>
      <c r="P73" s="297"/>
      <c r="Q73" s="298"/>
    </row>
    <row r="74" spans="1:17" ht="21.75" customHeight="1">
      <c r="A74" s="36"/>
      <c r="B74" s="104"/>
      <c r="C74" s="106"/>
      <c r="D74" s="106"/>
      <c r="E74" s="125"/>
      <c r="F74" s="125"/>
      <c r="G74" s="108"/>
      <c r="H74" s="108"/>
      <c r="I74" s="108"/>
      <c r="J74" s="108"/>
      <c r="K74" s="36"/>
      <c r="L74" s="36"/>
      <c r="M74" s="108"/>
      <c r="N74" s="130"/>
      <c r="O74" s="108"/>
      <c r="P74" s="297"/>
      <c r="Q74" s="298"/>
    </row>
    <row r="75" spans="1:17" ht="21.75" customHeight="1">
      <c r="A75" s="36"/>
      <c r="B75" s="104"/>
      <c r="C75" s="106"/>
      <c r="D75" s="106"/>
      <c r="E75" s="125"/>
      <c r="F75" s="125"/>
      <c r="G75" s="108"/>
      <c r="H75" s="108"/>
      <c r="I75" s="108"/>
      <c r="J75" s="108"/>
      <c r="K75" s="36"/>
      <c r="L75" s="36"/>
      <c r="M75" s="108"/>
      <c r="N75" s="130"/>
      <c r="O75" s="108"/>
      <c r="P75" s="297"/>
      <c r="Q75" s="298"/>
    </row>
    <row r="76" spans="1:17" ht="21.75" customHeight="1">
      <c r="A76" s="36"/>
      <c r="B76" s="104"/>
      <c r="C76" s="106"/>
      <c r="D76" s="106"/>
      <c r="E76" s="125"/>
      <c r="F76" s="125"/>
      <c r="G76" s="108"/>
      <c r="H76" s="108"/>
      <c r="I76" s="108"/>
      <c r="J76" s="108"/>
      <c r="K76" s="36"/>
      <c r="L76" s="36"/>
      <c r="M76" s="108"/>
      <c r="N76" s="130"/>
      <c r="O76" s="108"/>
      <c r="P76" s="297"/>
      <c r="Q76" s="298"/>
    </row>
    <row r="77" spans="1:17" ht="21.75" customHeight="1">
      <c r="A77" s="36"/>
      <c r="B77" s="104"/>
      <c r="C77" s="106"/>
      <c r="D77" s="106"/>
      <c r="E77" s="125"/>
      <c r="F77" s="125"/>
      <c r="G77" s="108"/>
      <c r="H77" s="108"/>
      <c r="I77" s="108"/>
      <c r="J77" s="108"/>
      <c r="K77" s="36"/>
      <c r="L77" s="36"/>
      <c r="M77" s="108"/>
      <c r="N77" s="130"/>
      <c r="O77" s="108"/>
      <c r="P77" s="297"/>
      <c r="Q77" s="298"/>
    </row>
    <row r="78" spans="1:17" ht="21.75" customHeight="1">
      <c r="A78" s="36"/>
      <c r="B78" s="104"/>
      <c r="C78" s="106"/>
      <c r="D78" s="106"/>
      <c r="E78" s="125"/>
      <c r="F78" s="125"/>
      <c r="G78" s="108"/>
      <c r="H78" s="108"/>
      <c r="I78" s="108"/>
      <c r="J78" s="108"/>
      <c r="K78" s="36"/>
      <c r="L78" s="36"/>
      <c r="M78" s="108"/>
      <c r="N78" s="130"/>
      <c r="O78" s="108"/>
      <c r="P78" s="297"/>
      <c r="Q78" s="298"/>
    </row>
    <row r="79" spans="1:17" ht="21.75" customHeight="1">
      <c r="A79" s="36"/>
      <c r="B79" s="104"/>
      <c r="C79" s="106"/>
      <c r="D79" s="106"/>
      <c r="E79" s="125"/>
      <c r="F79" s="125"/>
      <c r="G79" s="108"/>
      <c r="H79" s="108"/>
      <c r="I79" s="108"/>
      <c r="J79" s="108"/>
      <c r="K79" s="36"/>
      <c r="L79" s="36"/>
      <c r="M79" s="108"/>
      <c r="N79" s="130"/>
      <c r="O79" s="108"/>
      <c r="P79" s="297"/>
      <c r="Q79" s="298"/>
    </row>
    <row r="80" spans="1:17" ht="21.75" customHeight="1">
      <c r="A80" s="36"/>
      <c r="B80" s="104"/>
      <c r="C80" s="106"/>
      <c r="D80" s="106"/>
      <c r="E80" s="125"/>
      <c r="F80" s="125"/>
      <c r="G80" s="108"/>
      <c r="H80" s="108"/>
      <c r="I80" s="108"/>
      <c r="J80" s="108"/>
      <c r="K80" s="36"/>
      <c r="L80" s="36"/>
      <c r="M80" s="108"/>
      <c r="N80" s="130"/>
      <c r="O80" s="108"/>
      <c r="P80" s="297"/>
      <c r="Q80" s="298"/>
    </row>
    <row r="81" spans="1:17" ht="21.75" customHeight="1">
      <c r="A81" s="36"/>
      <c r="B81" s="104"/>
      <c r="C81" s="106"/>
      <c r="D81" s="106"/>
      <c r="E81" s="125"/>
      <c r="F81" s="125"/>
      <c r="G81" s="108"/>
      <c r="H81" s="108"/>
      <c r="I81" s="108"/>
      <c r="J81" s="108"/>
      <c r="K81" s="36"/>
      <c r="L81" s="36"/>
      <c r="M81" s="108"/>
      <c r="N81" s="130"/>
      <c r="O81" s="108"/>
      <c r="P81" s="297"/>
      <c r="Q81" s="298"/>
    </row>
    <row r="82" spans="1:17" ht="21.75" customHeight="1">
      <c r="A82" s="36"/>
      <c r="B82" s="104"/>
      <c r="C82" s="106"/>
      <c r="D82" s="106"/>
      <c r="E82" s="125"/>
      <c r="F82" s="125"/>
      <c r="G82" s="108"/>
      <c r="H82" s="108"/>
      <c r="I82" s="108"/>
      <c r="J82" s="108"/>
      <c r="K82" s="36"/>
      <c r="L82" s="36"/>
      <c r="M82" s="108"/>
      <c r="N82" s="130"/>
      <c r="O82" s="108"/>
      <c r="P82" s="297"/>
      <c r="Q82" s="298"/>
    </row>
    <row r="83" spans="1:17" ht="21.75" customHeight="1">
      <c r="A83" s="36"/>
      <c r="B83" s="104"/>
      <c r="C83" s="106"/>
      <c r="D83" s="106"/>
      <c r="E83" s="125"/>
      <c r="F83" s="125"/>
      <c r="G83" s="108"/>
      <c r="H83" s="108"/>
      <c r="I83" s="108"/>
      <c r="J83" s="108"/>
      <c r="K83" s="36"/>
      <c r="L83" s="36"/>
      <c r="M83" s="108"/>
      <c r="N83" s="130"/>
      <c r="O83" s="108"/>
      <c r="P83" s="297"/>
      <c r="Q83" s="298"/>
    </row>
    <row r="84" spans="1:17" ht="21.75" customHeight="1">
      <c r="A84" s="36"/>
      <c r="B84" s="104"/>
      <c r="C84" s="106"/>
      <c r="D84" s="106"/>
      <c r="E84" s="125"/>
      <c r="F84" s="125"/>
      <c r="G84" s="108"/>
      <c r="H84" s="108"/>
      <c r="I84" s="108"/>
      <c r="J84" s="108"/>
      <c r="K84" s="36"/>
      <c r="L84" s="36"/>
      <c r="M84" s="108"/>
      <c r="N84" s="130"/>
      <c r="O84" s="108"/>
      <c r="P84" s="297"/>
      <c r="Q84" s="298"/>
    </row>
    <row r="85" spans="1:17" ht="21.75" customHeight="1">
      <c r="A85" s="36"/>
      <c r="B85" s="104"/>
      <c r="C85" s="106"/>
      <c r="D85" s="106"/>
      <c r="E85" s="125"/>
      <c r="F85" s="125"/>
      <c r="G85" s="108"/>
      <c r="H85" s="108"/>
      <c r="I85" s="108"/>
      <c r="J85" s="108"/>
      <c r="K85" s="36"/>
      <c r="L85" s="36"/>
      <c r="M85" s="108"/>
      <c r="N85" s="130"/>
      <c r="O85" s="108"/>
      <c r="P85" s="297"/>
      <c r="Q85" s="298"/>
    </row>
    <row r="86" spans="1:17" ht="21.75" customHeight="1">
      <c r="A86" s="36"/>
      <c r="B86" s="104"/>
      <c r="C86" s="106"/>
      <c r="D86" s="106"/>
      <c r="E86" s="125"/>
      <c r="F86" s="125"/>
      <c r="G86" s="108"/>
      <c r="H86" s="108"/>
      <c r="I86" s="108"/>
      <c r="J86" s="108"/>
      <c r="K86" s="36"/>
      <c r="L86" s="36"/>
      <c r="M86" s="108"/>
      <c r="N86" s="130"/>
      <c r="O86" s="108"/>
      <c r="P86" s="297"/>
      <c r="Q86" s="298"/>
    </row>
    <row r="87" spans="1:17" ht="21.75" customHeight="1">
      <c r="A87" s="36"/>
      <c r="B87" s="104"/>
      <c r="C87" s="106"/>
      <c r="D87" s="106"/>
      <c r="E87" s="125"/>
      <c r="F87" s="125"/>
      <c r="G87" s="108"/>
      <c r="H87" s="108"/>
      <c r="I87" s="108"/>
      <c r="J87" s="108"/>
      <c r="K87" s="36"/>
      <c r="L87" s="36"/>
      <c r="M87" s="108"/>
      <c r="N87" s="130"/>
      <c r="O87" s="108"/>
      <c r="P87" s="297"/>
      <c r="Q87" s="298"/>
    </row>
    <row r="88" spans="1:17" ht="21.75" customHeight="1">
      <c r="A88" s="36"/>
      <c r="B88" s="104"/>
      <c r="C88" s="106"/>
      <c r="D88" s="106"/>
      <c r="E88" s="125"/>
      <c r="F88" s="125"/>
      <c r="G88" s="108"/>
      <c r="H88" s="108"/>
      <c r="I88" s="108"/>
      <c r="J88" s="108"/>
      <c r="K88" s="36"/>
      <c r="L88" s="36"/>
      <c r="M88" s="108"/>
      <c r="N88" s="130"/>
      <c r="O88" s="108"/>
      <c r="P88" s="297"/>
      <c r="Q88" s="298"/>
    </row>
    <row r="89" spans="1:17" ht="21.75" customHeight="1">
      <c r="A89" s="36"/>
      <c r="B89" s="104"/>
      <c r="C89" s="106"/>
      <c r="D89" s="106"/>
      <c r="E89" s="125"/>
      <c r="F89" s="125"/>
      <c r="G89" s="108"/>
      <c r="H89" s="108"/>
      <c r="I89" s="108"/>
      <c r="J89" s="108"/>
      <c r="K89" s="36"/>
      <c r="L89" s="36"/>
      <c r="M89" s="108"/>
      <c r="N89" s="130"/>
      <c r="O89" s="108"/>
      <c r="P89" s="297"/>
      <c r="Q89" s="298"/>
    </row>
    <row r="90" spans="1:17" ht="21.75" customHeight="1">
      <c r="A90" s="36"/>
      <c r="B90" s="104"/>
      <c r="C90" s="106"/>
      <c r="D90" s="106"/>
      <c r="E90" s="125"/>
      <c r="F90" s="125"/>
      <c r="G90" s="108"/>
      <c r="H90" s="108"/>
      <c r="I90" s="108"/>
      <c r="J90" s="108"/>
      <c r="K90" s="36"/>
      <c r="L90" s="36"/>
      <c r="M90" s="108"/>
      <c r="N90" s="130"/>
      <c r="O90" s="108"/>
      <c r="P90" s="297"/>
      <c r="Q90" s="298"/>
    </row>
    <row r="91" spans="1:17" ht="21.75" customHeight="1">
      <c r="A91" s="36"/>
      <c r="B91" s="104"/>
      <c r="C91" s="106"/>
      <c r="D91" s="106"/>
      <c r="E91" s="125"/>
      <c r="F91" s="125"/>
      <c r="G91" s="108"/>
      <c r="H91" s="108"/>
      <c r="I91" s="108"/>
      <c r="J91" s="108"/>
      <c r="K91" s="36"/>
      <c r="L91" s="36"/>
      <c r="M91" s="108"/>
      <c r="N91" s="130"/>
      <c r="O91" s="108"/>
      <c r="P91" s="297"/>
      <c r="Q91" s="298"/>
    </row>
    <row r="92" spans="1:17" ht="21.75" customHeight="1">
      <c r="A92" s="36"/>
      <c r="B92" s="104"/>
      <c r="C92" s="106"/>
      <c r="D92" s="106"/>
      <c r="E92" s="125"/>
      <c r="F92" s="125"/>
      <c r="G92" s="108"/>
      <c r="H92" s="108"/>
      <c r="I92" s="108"/>
      <c r="J92" s="108"/>
      <c r="K92" s="36"/>
      <c r="L92" s="36"/>
      <c r="M92" s="108"/>
      <c r="N92" s="130"/>
      <c r="O92" s="108"/>
      <c r="P92" s="297"/>
      <c r="Q92" s="298"/>
    </row>
    <row r="93" spans="1:17" ht="21.75" customHeight="1">
      <c r="A93" s="36"/>
      <c r="B93" s="104"/>
      <c r="C93" s="106"/>
      <c r="D93" s="106"/>
      <c r="E93" s="125"/>
      <c r="F93" s="125"/>
      <c r="G93" s="108"/>
      <c r="H93" s="108"/>
      <c r="I93" s="108"/>
      <c r="J93" s="108"/>
      <c r="K93" s="36"/>
      <c r="L93" s="36"/>
      <c r="M93" s="108"/>
      <c r="N93" s="130"/>
      <c r="O93" s="108"/>
      <c r="P93" s="297"/>
      <c r="Q93" s="298"/>
    </row>
    <row r="94" spans="1:17" ht="21.75" customHeight="1">
      <c r="A94" s="36"/>
      <c r="B94" s="104"/>
      <c r="C94" s="106"/>
      <c r="D94" s="106"/>
      <c r="E94" s="125"/>
      <c r="F94" s="125"/>
      <c r="G94" s="108"/>
      <c r="H94" s="108"/>
      <c r="I94" s="108"/>
      <c r="J94" s="108"/>
      <c r="K94" s="36"/>
      <c r="L94" s="36"/>
      <c r="M94" s="108"/>
      <c r="N94" s="130"/>
      <c r="O94" s="108"/>
      <c r="P94" s="297"/>
      <c r="Q94" s="298"/>
    </row>
    <row r="95" spans="1:17" ht="21.75" customHeight="1">
      <c r="A95" s="36"/>
      <c r="B95" s="104"/>
      <c r="C95" s="106"/>
      <c r="D95" s="106"/>
      <c r="E95" s="125"/>
      <c r="F95" s="125"/>
      <c r="G95" s="108"/>
      <c r="H95" s="108"/>
      <c r="I95" s="108"/>
      <c r="J95" s="108"/>
      <c r="K95" s="36"/>
      <c r="L95" s="36"/>
      <c r="M95" s="108"/>
      <c r="N95" s="130"/>
      <c r="O95" s="108"/>
      <c r="P95" s="297"/>
      <c r="Q95" s="298"/>
    </row>
    <row r="96" spans="1:17" ht="21.75" customHeight="1">
      <c r="A96" s="36"/>
      <c r="B96" s="104"/>
      <c r="C96" s="106"/>
      <c r="D96" s="106"/>
      <c r="E96" s="125"/>
      <c r="F96" s="125"/>
      <c r="G96" s="108"/>
      <c r="H96" s="108"/>
      <c r="I96" s="108"/>
      <c r="J96" s="108"/>
      <c r="K96" s="36"/>
      <c r="L96" s="36"/>
      <c r="M96" s="108"/>
      <c r="N96" s="130"/>
      <c r="O96" s="108"/>
      <c r="P96" s="297"/>
      <c r="Q96" s="298"/>
    </row>
    <row r="97" spans="1:17" ht="21.75" customHeight="1">
      <c r="A97" s="36"/>
      <c r="B97" s="104"/>
      <c r="C97" s="106"/>
      <c r="D97" s="106"/>
      <c r="E97" s="125"/>
      <c r="F97" s="125"/>
      <c r="G97" s="108"/>
      <c r="H97" s="108"/>
      <c r="I97" s="108"/>
      <c r="J97" s="108"/>
      <c r="K97" s="36"/>
      <c r="L97" s="36"/>
      <c r="M97" s="108"/>
      <c r="N97" s="130"/>
      <c r="O97" s="108"/>
      <c r="P97" s="297"/>
      <c r="Q97" s="298"/>
    </row>
    <row r="98" spans="1:17" ht="21.75" customHeight="1">
      <c r="A98" s="36"/>
      <c r="B98" s="104"/>
      <c r="C98" s="106"/>
      <c r="D98" s="106"/>
      <c r="E98" s="125"/>
      <c r="F98" s="125"/>
      <c r="G98" s="108"/>
      <c r="H98" s="108"/>
      <c r="I98" s="108"/>
      <c r="J98" s="108"/>
      <c r="K98" s="36"/>
      <c r="L98" s="36"/>
      <c r="M98" s="108"/>
      <c r="N98" s="130"/>
      <c r="O98" s="108"/>
      <c r="P98" s="297"/>
      <c r="Q98" s="298"/>
    </row>
    <row r="99" spans="1:17" ht="21.75" customHeight="1">
      <c r="A99" s="36"/>
      <c r="B99" s="104"/>
      <c r="C99" s="106"/>
      <c r="D99" s="106"/>
      <c r="E99" s="125"/>
      <c r="F99" s="125"/>
      <c r="G99" s="108"/>
      <c r="H99" s="108"/>
      <c r="I99" s="108"/>
      <c r="J99" s="108"/>
      <c r="K99" s="36"/>
      <c r="L99" s="36"/>
      <c r="M99" s="108"/>
      <c r="N99" s="130"/>
      <c r="O99" s="108"/>
      <c r="P99" s="297"/>
      <c r="Q99" s="298"/>
    </row>
    <row r="100" spans="1:17" ht="21.75" customHeight="1">
      <c r="A100" s="36"/>
      <c r="B100" s="104"/>
      <c r="C100" s="106"/>
      <c r="D100" s="106"/>
      <c r="E100" s="125"/>
      <c r="F100" s="125"/>
      <c r="G100" s="108"/>
      <c r="H100" s="108"/>
      <c r="I100" s="108"/>
      <c r="J100" s="108"/>
      <c r="K100" s="36"/>
      <c r="L100" s="36"/>
      <c r="M100" s="108"/>
      <c r="N100" s="130"/>
      <c r="O100" s="108"/>
      <c r="P100" s="297"/>
      <c r="Q100" s="298"/>
    </row>
    <row r="101" spans="1:17" ht="21.75" customHeight="1">
      <c r="A101" s="36"/>
      <c r="B101" s="104"/>
      <c r="C101" s="106"/>
      <c r="D101" s="106"/>
      <c r="E101" s="125"/>
      <c r="F101" s="125"/>
      <c r="G101" s="108"/>
      <c r="H101" s="108"/>
      <c r="I101" s="108"/>
      <c r="J101" s="108"/>
      <c r="K101" s="36"/>
      <c r="L101" s="36"/>
      <c r="M101" s="108"/>
      <c r="N101" s="130"/>
      <c r="O101" s="108"/>
      <c r="P101" s="297"/>
      <c r="Q101" s="298"/>
    </row>
    <row r="102" spans="1:17" ht="21.75" customHeight="1">
      <c r="A102" s="36"/>
      <c r="B102" s="104"/>
      <c r="C102" s="106"/>
      <c r="D102" s="106"/>
      <c r="E102" s="125"/>
      <c r="F102" s="125"/>
      <c r="G102" s="108"/>
      <c r="H102" s="108"/>
      <c r="I102" s="108"/>
      <c r="J102" s="108"/>
      <c r="K102" s="36"/>
      <c r="L102" s="36"/>
      <c r="M102" s="108"/>
      <c r="N102" s="130"/>
      <c r="O102" s="108"/>
      <c r="P102" s="297"/>
      <c r="Q102" s="298"/>
    </row>
    <row r="103" spans="1:17" ht="21.75" customHeight="1">
      <c r="A103" s="36"/>
      <c r="B103" s="104"/>
      <c r="C103" s="106"/>
      <c r="D103" s="106"/>
      <c r="E103" s="125"/>
      <c r="F103" s="125"/>
      <c r="G103" s="108"/>
      <c r="H103" s="108"/>
      <c r="I103" s="108"/>
      <c r="J103" s="108"/>
      <c r="K103" s="36"/>
      <c r="L103" s="36"/>
      <c r="M103" s="108"/>
      <c r="N103" s="130"/>
      <c r="O103" s="108"/>
      <c r="P103" s="297"/>
      <c r="Q103" s="298"/>
    </row>
    <row r="104" spans="1:17" ht="21.75" customHeight="1">
      <c r="A104" s="36"/>
      <c r="B104" s="104"/>
      <c r="C104" s="106"/>
      <c r="D104" s="106"/>
      <c r="E104" s="125"/>
      <c r="F104" s="125"/>
      <c r="G104" s="108"/>
      <c r="H104" s="108"/>
      <c r="I104" s="108"/>
      <c r="J104" s="108"/>
      <c r="K104" s="36"/>
      <c r="L104" s="36"/>
      <c r="M104" s="108"/>
      <c r="N104" s="130"/>
      <c r="O104" s="108"/>
      <c r="P104" s="297"/>
      <c r="Q104" s="298"/>
    </row>
    <row r="105" spans="1:17" ht="21.75" customHeight="1">
      <c r="A105" s="36"/>
      <c r="B105" s="104"/>
      <c r="C105" s="106"/>
      <c r="D105" s="106"/>
      <c r="E105" s="125"/>
      <c r="F105" s="125"/>
      <c r="G105" s="108"/>
      <c r="H105" s="108"/>
      <c r="I105" s="108"/>
      <c r="J105" s="108"/>
      <c r="K105" s="36"/>
      <c r="L105" s="36"/>
      <c r="M105" s="108"/>
      <c r="N105" s="130"/>
      <c r="O105" s="108"/>
      <c r="P105" s="297"/>
      <c r="Q105" s="298"/>
    </row>
    <row r="106" spans="1:17" ht="21.75" customHeight="1">
      <c r="A106" s="36"/>
      <c r="B106" s="104"/>
      <c r="C106" s="106"/>
      <c r="D106" s="106"/>
      <c r="E106" s="125"/>
      <c r="F106" s="125"/>
      <c r="G106" s="108"/>
      <c r="H106" s="108"/>
      <c r="I106" s="108"/>
      <c r="J106" s="108"/>
      <c r="K106" s="36"/>
      <c r="L106" s="36"/>
      <c r="M106" s="108"/>
      <c r="N106" s="130"/>
      <c r="O106" s="108"/>
      <c r="P106" s="297"/>
      <c r="Q106" s="298"/>
    </row>
    <row r="107" spans="1:17" ht="21.75" customHeight="1">
      <c r="A107" s="36"/>
      <c r="B107" s="104"/>
      <c r="C107" s="106"/>
      <c r="D107" s="106"/>
      <c r="E107" s="125"/>
      <c r="F107" s="125"/>
      <c r="G107" s="108"/>
      <c r="H107" s="108"/>
      <c r="I107" s="108"/>
      <c r="J107" s="108"/>
      <c r="K107" s="36"/>
      <c r="L107" s="36"/>
      <c r="M107" s="108"/>
      <c r="N107" s="130"/>
      <c r="O107" s="108"/>
      <c r="P107" s="297"/>
      <c r="Q107" s="298"/>
    </row>
    <row r="108" spans="1:17" ht="21.75" customHeight="1">
      <c r="A108" s="36"/>
      <c r="B108" s="104"/>
      <c r="C108" s="106"/>
      <c r="D108" s="106"/>
      <c r="E108" s="125"/>
      <c r="F108" s="125"/>
      <c r="G108" s="108"/>
      <c r="H108" s="108"/>
      <c r="I108" s="108"/>
      <c r="J108" s="108"/>
      <c r="K108" s="36"/>
      <c r="L108" s="36"/>
      <c r="M108" s="108"/>
      <c r="N108" s="130"/>
      <c r="O108" s="108"/>
      <c r="P108" s="297"/>
      <c r="Q108" s="298"/>
    </row>
    <row r="109" spans="1:17" ht="21.75" customHeight="1">
      <c r="A109" s="36"/>
      <c r="B109" s="104"/>
      <c r="C109" s="106"/>
      <c r="D109" s="106"/>
      <c r="E109" s="125"/>
      <c r="F109" s="125"/>
      <c r="G109" s="108"/>
      <c r="H109" s="108"/>
      <c r="I109" s="108"/>
      <c r="J109" s="108"/>
      <c r="K109" s="36"/>
      <c r="L109" s="36"/>
      <c r="M109" s="108"/>
      <c r="N109" s="130"/>
      <c r="O109" s="108"/>
      <c r="P109" s="297"/>
      <c r="Q109" s="298"/>
    </row>
    <row r="110" spans="1:17" ht="21.75" customHeight="1">
      <c r="A110" s="36"/>
      <c r="B110" s="104"/>
      <c r="C110" s="106"/>
      <c r="D110" s="106"/>
      <c r="E110" s="125"/>
      <c r="F110" s="125"/>
      <c r="G110" s="108"/>
      <c r="H110" s="108"/>
      <c r="I110" s="108"/>
      <c r="J110" s="108"/>
      <c r="K110" s="36"/>
      <c r="L110" s="36"/>
      <c r="M110" s="108"/>
      <c r="N110" s="130"/>
      <c r="O110" s="108"/>
      <c r="P110" s="297"/>
      <c r="Q110" s="298"/>
    </row>
    <row r="111" spans="1:17" ht="21.75" customHeight="1">
      <c r="A111" s="36"/>
      <c r="B111" s="104"/>
      <c r="C111" s="106"/>
      <c r="D111" s="106"/>
      <c r="E111" s="125"/>
      <c r="F111" s="125"/>
      <c r="G111" s="108"/>
      <c r="H111" s="108"/>
      <c r="I111" s="108"/>
      <c r="J111" s="108"/>
      <c r="K111" s="36"/>
      <c r="L111" s="36"/>
      <c r="M111" s="108"/>
      <c r="N111" s="130"/>
      <c r="O111" s="108"/>
      <c r="P111" s="297"/>
      <c r="Q111" s="298"/>
    </row>
    <row r="112" spans="1:17" ht="21.75" customHeight="1">
      <c r="A112" s="36"/>
      <c r="B112" s="104"/>
      <c r="C112" s="106"/>
      <c r="D112" s="106"/>
      <c r="E112" s="125"/>
      <c r="F112" s="125"/>
      <c r="G112" s="108"/>
      <c r="H112" s="108"/>
      <c r="I112" s="108"/>
      <c r="J112" s="108"/>
      <c r="K112" s="36"/>
      <c r="L112" s="36"/>
      <c r="M112" s="108"/>
      <c r="N112" s="130"/>
      <c r="O112" s="108"/>
      <c r="P112" s="297"/>
      <c r="Q112" s="298"/>
    </row>
    <row r="113" spans="1:17" ht="21.75" customHeight="1">
      <c r="A113" s="36"/>
      <c r="B113" s="104"/>
      <c r="C113" s="106"/>
      <c r="D113" s="106"/>
      <c r="E113" s="125"/>
      <c r="F113" s="125"/>
      <c r="G113" s="108"/>
      <c r="H113" s="108"/>
      <c r="I113" s="108"/>
      <c r="J113" s="108"/>
      <c r="K113" s="36"/>
      <c r="L113" s="36"/>
      <c r="M113" s="108"/>
      <c r="N113" s="130"/>
      <c r="O113" s="108"/>
      <c r="P113" s="297"/>
      <c r="Q113" s="298"/>
    </row>
    <row r="114" spans="1:17" ht="21.75" customHeight="1">
      <c r="A114" s="36"/>
      <c r="B114" s="104"/>
      <c r="C114" s="106"/>
      <c r="D114" s="106"/>
      <c r="E114" s="125"/>
      <c r="F114" s="125"/>
      <c r="G114" s="108"/>
      <c r="H114" s="108"/>
      <c r="I114" s="108"/>
      <c r="J114" s="108"/>
      <c r="K114" s="36"/>
      <c r="L114" s="36"/>
      <c r="M114" s="108"/>
      <c r="N114" s="130"/>
      <c r="O114" s="108"/>
      <c r="P114" s="297"/>
      <c r="Q114" s="298"/>
    </row>
    <row r="115" spans="1:17" ht="21.75" customHeight="1">
      <c r="A115" s="36"/>
      <c r="B115" s="104"/>
      <c r="C115" s="106"/>
      <c r="D115" s="106"/>
      <c r="E115" s="125"/>
      <c r="F115" s="125"/>
      <c r="G115" s="108"/>
      <c r="H115" s="108"/>
      <c r="I115" s="108"/>
      <c r="J115" s="108"/>
      <c r="K115" s="36"/>
      <c r="L115" s="36"/>
      <c r="M115" s="108"/>
      <c r="N115" s="130"/>
      <c r="O115" s="108"/>
      <c r="P115" s="297"/>
      <c r="Q115" s="298"/>
    </row>
    <row r="116" spans="1:17" ht="21.75" customHeight="1">
      <c r="A116" s="36"/>
      <c r="B116" s="104"/>
      <c r="C116" s="106"/>
      <c r="D116" s="106"/>
      <c r="E116" s="125"/>
      <c r="F116" s="125"/>
      <c r="G116" s="108"/>
      <c r="H116" s="108"/>
      <c r="I116" s="108"/>
      <c r="J116" s="108"/>
      <c r="K116" s="36"/>
      <c r="L116" s="36"/>
      <c r="M116" s="108"/>
      <c r="N116" s="130"/>
      <c r="O116" s="108"/>
      <c r="P116" s="297"/>
      <c r="Q116" s="298"/>
    </row>
    <row r="117" spans="1:17" ht="21.75" customHeight="1">
      <c r="A117" s="36"/>
      <c r="B117" s="104"/>
      <c r="C117" s="106"/>
      <c r="D117" s="106"/>
      <c r="E117" s="125"/>
      <c r="F117" s="125"/>
      <c r="G117" s="108"/>
      <c r="H117" s="108"/>
      <c r="I117" s="108"/>
      <c r="J117" s="108"/>
      <c r="K117" s="36"/>
      <c r="L117" s="36"/>
      <c r="M117" s="108"/>
      <c r="N117" s="130"/>
      <c r="O117" s="108"/>
      <c r="P117" s="297"/>
      <c r="Q117" s="298"/>
    </row>
    <row r="118" spans="1:17" ht="21.75" customHeight="1">
      <c r="A118" s="36"/>
      <c r="B118" s="104"/>
      <c r="C118" s="106"/>
      <c r="D118" s="106"/>
      <c r="E118" s="125"/>
      <c r="F118" s="125"/>
      <c r="G118" s="108"/>
      <c r="H118" s="108"/>
      <c r="I118" s="108"/>
      <c r="J118" s="108"/>
      <c r="K118" s="36"/>
      <c r="L118" s="36"/>
      <c r="M118" s="108"/>
      <c r="N118" s="130"/>
      <c r="O118" s="108"/>
      <c r="P118" s="297"/>
      <c r="Q118" s="298"/>
    </row>
    <row r="119" spans="1:17" ht="21.75" customHeight="1">
      <c r="A119" s="36"/>
      <c r="B119" s="104"/>
      <c r="C119" s="106"/>
      <c r="D119" s="106"/>
      <c r="E119" s="125"/>
      <c r="F119" s="125"/>
      <c r="G119" s="108"/>
      <c r="H119" s="108"/>
      <c r="I119" s="108"/>
      <c r="J119" s="108"/>
      <c r="K119" s="36"/>
      <c r="L119" s="36"/>
      <c r="M119" s="108"/>
      <c r="N119" s="130"/>
      <c r="O119" s="108"/>
      <c r="P119" s="297"/>
      <c r="Q119" s="298"/>
    </row>
    <row r="120" spans="1:17" ht="21.75" customHeight="1">
      <c r="A120" s="36"/>
      <c r="B120" s="104"/>
      <c r="C120" s="106"/>
      <c r="D120" s="106"/>
      <c r="E120" s="125"/>
      <c r="F120" s="125"/>
      <c r="G120" s="108"/>
      <c r="H120" s="108"/>
      <c r="I120" s="108"/>
      <c r="J120" s="108"/>
      <c r="K120" s="36"/>
      <c r="L120" s="36"/>
      <c r="M120" s="108"/>
      <c r="N120" s="130"/>
      <c r="O120" s="108"/>
      <c r="P120" s="297"/>
      <c r="Q120" s="298"/>
    </row>
    <row r="121" spans="1:17" ht="21.75" customHeight="1">
      <c r="A121" s="36"/>
      <c r="B121" s="104"/>
      <c r="C121" s="106"/>
      <c r="D121" s="106"/>
      <c r="E121" s="125"/>
      <c r="F121" s="125"/>
      <c r="G121" s="108"/>
      <c r="H121" s="108"/>
      <c r="I121" s="108"/>
      <c r="J121" s="108"/>
      <c r="K121" s="36"/>
      <c r="L121" s="36"/>
      <c r="M121" s="108"/>
      <c r="N121" s="130"/>
      <c r="O121" s="108"/>
      <c r="P121" s="297"/>
      <c r="Q121" s="298"/>
    </row>
    <row r="122" spans="1:17" ht="21.75" customHeight="1">
      <c r="A122" s="36"/>
      <c r="B122" s="104"/>
      <c r="C122" s="106"/>
      <c r="D122" s="106"/>
      <c r="E122" s="125"/>
      <c r="F122" s="125"/>
      <c r="G122" s="108"/>
      <c r="H122" s="108"/>
      <c r="I122" s="108"/>
      <c r="J122" s="108"/>
      <c r="K122" s="36"/>
      <c r="L122" s="36"/>
      <c r="M122" s="108"/>
      <c r="N122" s="130"/>
      <c r="O122" s="108"/>
      <c r="P122" s="297"/>
      <c r="Q122" s="298"/>
    </row>
    <row r="123" spans="1:17" ht="21.75" customHeight="1">
      <c r="A123" s="36"/>
      <c r="B123" s="104"/>
      <c r="C123" s="106"/>
      <c r="D123" s="106"/>
      <c r="E123" s="125"/>
      <c r="F123" s="125"/>
      <c r="G123" s="108"/>
      <c r="H123" s="108"/>
      <c r="I123" s="108"/>
      <c r="J123" s="108"/>
      <c r="K123" s="36"/>
      <c r="L123" s="36"/>
      <c r="M123" s="108"/>
      <c r="N123" s="130"/>
      <c r="O123" s="108"/>
      <c r="P123" s="297"/>
      <c r="Q123" s="298"/>
    </row>
    <row r="124" spans="1:17" ht="21.75" customHeight="1">
      <c r="A124" s="36"/>
      <c r="B124" s="104"/>
      <c r="C124" s="106"/>
      <c r="D124" s="106"/>
      <c r="E124" s="125"/>
      <c r="F124" s="125"/>
      <c r="G124" s="108"/>
      <c r="H124" s="108"/>
      <c r="I124" s="108"/>
      <c r="J124" s="108"/>
      <c r="K124" s="36"/>
      <c r="L124" s="36"/>
      <c r="M124" s="108"/>
      <c r="N124" s="130"/>
      <c r="O124" s="108"/>
      <c r="P124" s="297"/>
      <c r="Q124" s="298"/>
    </row>
    <row r="125" spans="1:17" ht="21.75" customHeight="1">
      <c r="A125" s="36"/>
      <c r="B125" s="104"/>
      <c r="C125" s="106"/>
      <c r="D125" s="106"/>
      <c r="E125" s="125"/>
      <c r="F125" s="125"/>
      <c r="G125" s="108"/>
      <c r="H125" s="108"/>
      <c r="I125" s="108"/>
      <c r="J125" s="108"/>
      <c r="K125" s="36"/>
      <c r="L125" s="36"/>
      <c r="M125" s="108"/>
      <c r="N125" s="130"/>
      <c r="O125" s="108"/>
      <c r="P125" s="297"/>
      <c r="Q125" s="298"/>
    </row>
    <row r="126" spans="1:17" ht="21.75" customHeight="1">
      <c r="A126" s="36"/>
      <c r="B126" s="104"/>
      <c r="C126" s="106"/>
      <c r="D126" s="106"/>
      <c r="E126" s="125"/>
      <c r="F126" s="125"/>
      <c r="G126" s="108"/>
      <c r="H126" s="108"/>
      <c r="I126" s="108"/>
      <c r="J126" s="108"/>
      <c r="K126" s="36"/>
      <c r="L126" s="36"/>
      <c r="M126" s="108"/>
      <c r="N126" s="130"/>
      <c r="O126" s="108"/>
      <c r="P126" s="297"/>
      <c r="Q126" s="298"/>
    </row>
    <row r="127" spans="1:17" ht="21.75" customHeight="1">
      <c r="A127" s="36"/>
      <c r="B127" s="104"/>
      <c r="C127" s="106"/>
      <c r="D127" s="106"/>
      <c r="E127" s="125"/>
      <c r="F127" s="125"/>
      <c r="G127" s="108"/>
      <c r="H127" s="108"/>
      <c r="I127" s="108"/>
      <c r="J127" s="108"/>
      <c r="K127" s="36"/>
      <c r="L127" s="36"/>
      <c r="M127" s="108"/>
      <c r="N127" s="130"/>
      <c r="O127" s="108"/>
      <c r="P127" s="297"/>
      <c r="Q127" s="298"/>
    </row>
    <row r="128" spans="1:17" ht="21.75" customHeight="1">
      <c r="A128" s="36"/>
      <c r="B128" s="104"/>
      <c r="C128" s="106"/>
      <c r="D128" s="106"/>
      <c r="E128" s="125"/>
      <c r="F128" s="125"/>
      <c r="G128" s="108"/>
      <c r="H128" s="108"/>
      <c r="I128" s="108"/>
      <c r="J128" s="108"/>
      <c r="K128" s="36"/>
      <c r="L128" s="36"/>
      <c r="M128" s="108"/>
      <c r="N128" s="130"/>
      <c r="O128" s="108"/>
      <c r="P128" s="297"/>
      <c r="Q128" s="298"/>
    </row>
    <row r="129" spans="1:17" ht="21.75" customHeight="1">
      <c r="A129" s="36"/>
      <c r="B129" s="104"/>
      <c r="C129" s="106"/>
      <c r="D129" s="106"/>
      <c r="E129" s="125"/>
      <c r="F129" s="125"/>
      <c r="G129" s="108"/>
      <c r="H129" s="108"/>
      <c r="I129" s="108"/>
      <c r="J129" s="108"/>
      <c r="K129" s="36"/>
      <c r="L129" s="36"/>
      <c r="M129" s="108"/>
      <c r="N129" s="130"/>
      <c r="O129" s="108"/>
      <c r="P129" s="297"/>
      <c r="Q129" s="298"/>
    </row>
    <row r="130" spans="1:17" ht="21.75" customHeight="1">
      <c r="A130" s="36"/>
      <c r="B130" s="104"/>
      <c r="C130" s="106"/>
      <c r="D130" s="106"/>
      <c r="E130" s="125"/>
      <c r="F130" s="125"/>
      <c r="G130" s="108"/>
      <c r="H130" s="108"/>
      <c r="I130" s="108"/>
      <c r="J130" s="108"/>
      <c r="K130" s="36"/>
      <c r="L130" s="36"/>
      <c r="M130" s="108"/>
      <c r="N130" s="130"/>
      <c r="O130" s="108"/>
      <c r="P130" s="297"/>
      <c r="Q130" s="298"/>
    </row>
    <row r="131" spans="1:17" ht="21.75" customHeight="1">
      <c r="A131" s="36"/>
      <c r="B131" s="104"/>
      <c r="C131" s="106"/>
      <c r="D131" s="106"/>
      <c r="E131" s="125"/>
      <c r="F131" s="125"/>
      <c r="G131" s="108"/>
      <c r="H131" s="108"/>
      <c r="I131" s="108"/>
      <c r="J131" s="108"/>
      <c r="K131" s="36"/>
      <c r="L131" s="36"/>
      <c r="M131" s="108"/>
      <c r="N131" s="130"/>
      <c r="O131" s="108"/>
      <c r="P131" s="297"/>
      <c r="Q131" s="298"/>
    </row>
    <row r="132" spans="1:17" ht="21.75" customHeight="1">
      <c r="A132" s="36"/>
      <c r="B132" s="104"/>
      <c r="C132" s="106"/>
      <c r="D132" s="106"/>
      <c r="E132" s="125"/>
      <c r="F132" s="125"/>
      <c r="G132" s="108"/>
      <c r="H132" s="108"/>
      <c r="I132" s="108"/>
      <c r="J132" s="108"/>
      <c r="K132" s="36"/>
      <c r="L132" s="36"/>
      <c r="M132" s="108"/>
      <c r="N132" s="130"/>
      <c r="O132" s="108"/>
      <c r="P132" s="297"/>
      <c r="Q132" s="298"/>
    </row>
    <row r="133" spans="1:17" ht="21.75" customHeight="1">
      <c r="A133" s="36"/>
      <c r="B133" s="104"/>
      <c r="C133" s="106"/>
      <c r="D133" s="106"/>
      <c r="E133" s="125"/>
      <c r="F133" s="125"/>
      <c r="G133" s="108"/>
      <c r="H133" s="108"/>
      <c r="I133" s="108"/>
      <c r="J133" s="108"/>
      <c r="K133" s="36"/>
      <c r="L133" s="36"/>
      <c r="M133" s="108"/>
      <c r="N133" s="130"/>
      <c r="O133" s="108"/>
      <c r="P133" s="297"/>
      <c r="Q133" s="298"/>
    </row>
    <row r="134" spans="1:17" ht="21.75" customHeight="1">
      <c r="A134" s="36"/>
      <c r="B134" s="104"/>
      <c r="C134" s="106"/>
      <c r="D134" s="106"/>
      <c r="E134" s="125"/>
      <c r="F134" s="125"/>
      <c r="G134" s="108"/>
      <c r="H134" s="108"/>
      <c r="I134" s="108"/>
      <c r="J134" s="108"/>
      <c r="K134" s="36"/>
      <c r="L134" s="36"/>
      <c r="M134" s="108"/>
      <c r="N134" s="130"/>
      <c r="O134" s="108"/>
      <c r="P134" s="297"/>
      <c r="Q134" s="298"/>
    </row>
    <row r="135" spans="1:17" ht="21.75" customHeight="1">
      <c r="A135" s="36"/>
      <c r="B135" s="104"/>
      <c r="C135" s="106"/>
      <c r="D135" s="106"/>
      <c r="E135" s="125"/>
      <c r="F135" s="125"/>
      <c r="G135" s="108"/>
      <c r="H135" s="108"/>
      <c r="I135" s="108"/>
      <c r="J135" s="108"/>
      <c r="K135" s="36"/>
      <c r="L135" s="36"/>
      <c r="M135" s="108"/>
      <c r="N135" s="130"/>
      <c r="O135" s="108"/>
      <c r="P135" s="297"/>
      <c r="Q135" s="298"/>
    </row>
    <row r="136" spans="1:17" ht="21.75" customHeight="1">
      <c r="A136" s="36"/>
      <c r="B136" s="104"/>
      <c r="C136" s="106"/>
      <c r="D136" s="106"/>
      <c r="E136" s="125"/>
      <c r="F136" s="125"/>
      <c r="G136" s="108"/>
      <c r="H136" s="108"/>
      <c r="I136" s="108"/>
      <c r="J136" s="108"/>
      <c r="K136" s="36"/>
      <c r="L136" s="36"/>
      <c r="M136" s="108"/>
      <c r="N136" s="130"/>
      <c r="O136" s="108"/>
      <c r="P136" s="297"/>
      <c r="Q136" s="298"/>
    </row>
    <row r="137" spans="1:17" ht="21.75" customHeight="1">
      <c r="A137" s="36"/>
      <c r="B137" s="104"/>
      <c r="C137" s="106"/>
      <c r="D137" s="106"/>
      <c r="E137" s="125"/>
      <c r="F137" s="125"/>
      <c r="G137" s="108"/>
      <c r="H137" s="108"/>
      <c r="I137" s="108"/>
      <c r="J137" s="108"/>
      <c r="K137" s="36"/>
      <c r="L137" s="36"/>
      <c r="M137" s="108"/>
      <c r="N137" s="130"/>
      <c r="O137" s="108"/>
      <c r="P137" s="297"/>
      <c r="Q137" s="298"/>
    </row>
    <row r="138" spans="1:17" ht="21.75" customHeight="1">
      <c r="A138" s="36"/>
      <c r="B138" s="104"/>
      <c r="C138" s="106"/>
      <c r="D138" s="106"/>
      <c r="E138" s="125"/>
      <c r="F138" s="125"/>
      <c r="G138" s="108"/>
      <c r="H138" s="108"/>
      <c r="I138" s="108"/>
      <c r="J138" s="108"/>
      <c r="K138" s="36"/>
      <c r="L138" s="36"/>
      <c r="M138" s="108"/>
      <c r="N138" s="130"/>
      <c r="O138" s="108"/>
      <c r="P138" s="297"/>
      <c r="Q138" s="298"/>
    </row>
    <row r="139" spans="1:17" ht="21.75" customHeight="1">
      <c r="A139" s="36"/>
      <c r="B139" s="104"/>
      <c r="C139" s="106"/>
      <c r="D139" s="106"/>
      <c r="E139" s="125"/>
      <c r="F139" s="125"/>
      <c r="G139" s="108"/>
      <c r="H139" s="108"/>
      <c r="I139" s="108"/>
      <c r="J139" s="108"/>
      <c r="K139" s="36"/>
      <c r="L139" s="36"/>
      <c r="M139" s="108"/>
      <c r="N139" s="130"/>
      <c r="O139" s="108"/>
      <c r="P139" s="297"/>
      <c r="Q139" s="298"/>
    </row>
    <row r="140" spans="1:17" ht="21.75" customHeight="1">
      <c r="A140" s="36"/>
      <c r="B140" s="104"/>
      <c r="C140" s="106"/>
      <c r="D140" s="106"/>
      <c r="E140" s="125"/>
      <c r="F140" s="125"/>
      <c r="G140" s="108"/>
      <c r="H140" s="108"/>
      <c r="I140" s="108"/>
      <c r="J140" s="108"/>
      <c r="K140" s="36"/>
      <c r="L140" s="36"/>
      <c r="M140" s="108"/>
      <c r="N140" s="130"/>
      <c r="O140" s="108"/>
      <c r="P140" s="297"/>
      <c r="Q140" s="298"/>
    </row>
    <row r="141" spans="1:17" ht="21.75" customHeight="1">
      <c r="A141" s="36"/>
      <c r="B141" s="104"/>
      <c r="C141" s="106"/>
      <c r="D141" s="106"/>
      <c r="E141" s="125"/>
      <c r="F141" s="125"/>
      <c r="G141" s="108"/>
      <c r="H141" s="108"/>
      <c r="I141" s="108"/>
      <c r="J141" s="108"/>
      <c r="K141" s="36"/>
      <c r="L141" s="36"/>
      <c r="M141" s="108"/>
      <c r="N141" s="130"/>
      <c r="O141" s="108"/>
      <c r="P141" s="297"/>
      <c r="Q141" s="298"/>
    </row>
    <row r="142" spans="1:17" ht="21.75" customHeight="1">
      <c r="A142" s="36"/>
      <c r="B142" s="104"/>
      <c r="C142" s="106"/>
      <c r="D142" s="106"/>
      <c r="E142" s="125"/>
      <c r="F142" s="125"/>
      <c r="G142" s="108"/>
      <c r="H142" s="108"/>
      <c r="I142" s="108"/>
      <c r="J142" s="108"/>
      <c r="K142" s="36"/>
      <c r="L142" s="36"/>
      <c r="M142" s="108"/>
      <c r="N142" s="130"/>
      <c r="O142" s="108"/>
      <c r="P142" s="297"/>
      <c r="Q142" s="298"/>
    </row>
    <row r="143" spans="1:17" ht="21.75" customHeight="1">
      <c r="A143" s="36"/>
      <c r="B143" s="104"/>
      <c r="C143" s="106"/>
      <c r="D143" s="106"/>
      <c r="E143" s="125"/>
      <c r="F143" s="125"/>
      <c r="G143" s="108"/>
      <c r="H143" s="108"/>
      <c r="I143" s="108"/>
      <c r="J143" s="108"/>
      <c r="K143" s="36"/>
      <c r="L143" s="36"/>
      <c r="M143" s="108"/>
      <c r="N143" s="130"/>
      <c r="O143" s="108"/>
      <c r="P143" s="297"/>
      <c r="Q143" s="298"/>
    </row>
    <row r="144" spans="1:17" ht="21.75" customHeight="1">
      <c r="A144" s="36"/>
      <c r="B144" s="104"/>
      <c r="C144" s="106"/>
      <c r="D144" s="106"/>
      <c r="E144" s="125"/>
      <c r="F144" s="125"/>
      <c r="G144" s="108"/>
      <c r="H144" s="108"/>
      <c r="I144" s="108"/>
      <c r="J144" s="108"/>
      <c r="K144" s="36"/>
      <c r="L144" s="36"/>
      <c r="M144" s="108"/>
      <c r="N144" s="130"/>
      <c r="O144" s="108"/>
      <c r="P144" s="297"/>
      <c r="Q144" s="298"/>
    </row>
    <row r="145" spans="1:17" ht="21.75" customHeight="1">
      <c r="A145" s="36"/>
      <c r="B145" s="104"/>
      <c r="C145" s="106"/>
      <c r="D145" s="106"/>
      <c r="E145" s="125"/>
      <c r="F145" s="125"/>
      <c r="G145" s="108"/>
      <c r="H145" s="108"/>
      <c r="I145" s="108"/>
      <c r="J145" s="108"/>
      <c r="K145" s="36"/>
      <c r="L145" s="36"/>
      <c r="M145" s="108"/>
      <c r="N145" s="130"/>
      <c r="O145" s="108"/>
      <c r="P145" s="297"/>
      <c r="Q145" s="298"/>
    </row>
    <row r="146" spans="1:17" ht="21.75" customHeight="1">
      <c r="A146" s="36"/>
      <c r="B146" s="104"/>
      <c r="C146" s="106"/>
      <c r="D146" s="106"/>
      <c r="E146" s="125"/>
      <c r="F146" s="125"/>
      <c r="G146" s="108"/>
      <c r="H146" s="108"/>
      <c r="I146" s="108"/>
      <c r="J146" s="108"/>
      <c r="K146" s="36"/>
      <c r="L146" s="36"/>
      <c r="M146" s="108"/>
      <c r="N146" s="130"/>
      <c r="O146" s="108"/>
      <c r="P146" s="297"/>
      <c r="Q146" s="298"/>
    </row>
    <row r="147" spans="1:17" ht="21.75" customHeight="1">
      <c r="A147" s="36"/>
      <c r="B147" s="104"/>
      <c r="C147" s="106"/>
      <c r="D147" s="106"/>
      <c r="E147" s="125"/>
      <c r="F147" s="125"/>
      <c r="G147" s="108"/>
      <c r="H147" s="108"/>
      <c r="I147" s="108"/>
      <c r="J147" s="108"/>
      <c r="K147" s="36"/>
      <c r="L147" s="36"/>
      <c r="M147" s="108"/>
      <c r="N147" s="130"/>
      <c r="O147" s="108"/>
      <c r="P147" s="297"/>
      <c r="Q147" s="298"/>
    </row>
    <row r="148" spans="1:17" ht="21.75" customHeight="1">
      <c r="A148" s="36"/>
      <c r="B148" s="104"/>
      <c r="C148" s="106"/>
      <c r="D148" s="106"/>
      <c r="E148" s="125"/>
      <c r="F148" s="125"/>
      <c r="G148" s="108"/>
      <c r="H148" s="108"/>
      <c r="I148" s="108"/>
      <c r="J148" s="108"/>
      <c r="K148" s="36"/>
      <c r="L148" s="36"/>
      <c r="M148" s="108"/>
      <c r="N148" s="130"/>
      <c r="O148" s="108"/>
      <c r="P148" s="297"/>
      <c r="Q148" s="298"/>
    </row>
    <row r="149" spans="1:17" ht="21.75" customHeight="1">
      <c r="A149" s="36"/>
      <c r="B149" s="104"/>
      <c r="C149" s="106"/>
      <c r="D149" s="106"/>
      <c r="E149" s="125"/>
      <c r="F149" s="125"/>
      <c r="G149" s="108"/>
      <c r="H149" s="108"/>
      <c r="I149" s="108"/>
      <c r="J149" s="108"/>
      <c r="K149" s="36"/>
      <c r="L149" s="36"/>
      <c r="M149" s="108"/>
      <c r="N149" s="130"/>
      <c r="O149" s="108"/>
      <c r="P149" s="297"/>
      <c r="Q149" s="298"/>
    </row>
    <row r="150" spans="1:17" ht="21.75" customHeight="1">
      <c r="A150" s="36"/>
      <c r="B150" s="104"/>
      <c r="C150" s="106"/>
      <c r="D150" s="106"/>
      <c r="E150" s="125"/>
      <c r="F150" s="125"/>
      <c r="G150" s="108"/>
      <c r="H150" s="108"/>
      <c r="I150" s="108"/>
      <c r="J150" s="108"/>
      <c r="K150" s="36"/>
      <c r="L150" s="36"/>
      <c r="M150" s="108"/>
      <c r="N150" s="130"/>
      <c r="O150" s="108"/>
      <c r="P150" s="297"/>
      <c r="Q150" s="298"/>
    </row>
    <row r="151" spans="1:17" ht="21.75" customHeight="1">
      <c r="A151" s="36"/>
      <c r="B151" s="104"/>
      <c r="C151" s="106"/>
      <c r="D151" s="106"/>
      <c r="E151" s="125"/>
      <c r="F151" s="125"/>
      <c r="G151" s="108"/>
      <c r="H151" s="108"/>
      <c r="I151" s="108"/>
      <c r="J151" s="108"/>
      <c r="K151" s="36"/>
      <c r="L151" s="36"/>
      <c r="M151" s="108"/>
      <c r="N151" s="130"/>
      <c r="O151" s="108"/>
      <c r="P151" s="297"/>
      <c r="Q151" s="298"/>
    </row>
    <row r="152" spans="1:17" ht="21.75" customHeight="1">
      <c r="A152" s="36"/>
      <c r="B152" s="104"/>
      <c r="C152" s="106"/>
      <c r="D152" s="106"/>
      <c r="E152" s="125"/>
      <c r="F152" s="125"/>
      <c r="G152" s="108"/>
      <c r="H152" s="108"/>
      <c r="I152" s="108"/>
      <c r="J152" s="108"/>
      <c r="K152" s="36"/>
      <c r="L152" s="36"/>
      <c r="M152" s="108"/>
      <c r="N152" s="130"/>
      <c r="O152" s="108"/>
      <c r="P152" s="297"/>
      <c r="Q152" s="298"/>
    </row>
    <row r="153" spans="1:17" ht="21.75" customHeight="1">
      <c r="A153" s="36"/>
      <c r="B153" s="104"/>
      <c r="C153" s="106"/>
      <c r="D153" s="106"/>
      <c r="E153" s="125"/>
      <c r="F153" s="125"/>
      <c r="G153" s="108"/>
      <c r="H153" s="108"/>
      <c r="I153" s="108"/>
      <c r="J153" s="108"/>
      <c r="K153" s="36"/>
      <c r="L153" s="36"/>
      <c r="M153" s="108"/>
      <c r="N153" s="130"/>
      <c r="O153" s="108"/>
      <c r="P153" s="297"/>
      <c r="Q153" s="298"/>
    </row>
    <row r="154" spans="1:17" ht="21.75" customHeight="1">
      <c r="A154" s="36"/>
      <c r="B154" s="104"/>
      <c r="C154" s="106"/>
      <c r="D154" s="106"/>
      <c r="E154" s="125"/>
      <c r="F154" s="125"/>
      <c r="G154" s="108"/>
      <c r="H154" s="108"/>
      <c r="I154" s="108"/>
      <c r="J154" s="108"/>
      <c r="K154" s="36"/>
      <c r="L154" s="36"/>
      <c r="M154" s="108"/>
      <c r="N154" s="130"/>
      <c r="O154" s="108"/>
      <c r="P154" s="297"/>
      <c r="Q154" s="298"/>
    </row>
    <row r="155" spans="1:17" ht="21.75" customHeight="1">
      <c r="A155" s="36"/>
      <c r="B155" s="104"/>
      <c r="C155" s="106"/>
      <c r="D155" s="106"/>
      <c r="E155" s="125"/>
      <c r="F155" s="125"/>
      <c r="G155" s="108"/>
      <c r="H155" s="108"/>
      <c r="I155" s="108"/>
      <c r="J155" s="108"/>
      <c r="K155" s="36"/>
      <c r="L155" s="36"/>
      <c r="M155" s="108"/>
      <c r="N155" s="130"/>
      <c r="O155" s="108"/>
      <c r="P155" s="297"/>
      <c r="Q155" s="298"/>
    </row>
    <row r="156" spans="1:17" ht="21.75" customHeight="1">
      <c r="A156" s="36"/>
      <c r="B156" s="104"/>
      <c r="C156" s="106"/>
      <c r="D156" s="106"/>
      <c r="E156" s="125"/>
      <c r="F156" s="125"/>
      <c r="G156" s="108"/>
      <c r="H156" s="108"/>
      <c r="I156" s="108"/>
      <c r="J156" s="108"/>
      <c r="K156" s="36"/>
      <c r="L156" s="36"/>
      <c r="M156" s="108"/>
      <c r="N156" s="130"/>
      <c r="O156" s="108"/>
      <c r="P156" s="297"/>
      <c r="Q156" s="298"/>
    </row>
    <row r="157" spans="1:17" ht="21.75" customHeight="1">
      <c r="A157" s="36"/>
      <c r="B157" s="104"/>
      <c r="C157" s="106"/>
      <c r="D157" s="106"/>
      <c r="E157" s="125"/>
      <c r="F157" s="125"/>
      <c r="G157" s="108"/>
      <c r="H157" s="108"/>
      <c r="I157" s="108"/>
      <c r="J157" s="108"/>
      <c r="K157" s="36"/>
      <c r="L157" s="36"/>
      <c r="M157" s="108"/>
      <c r="N157" s="130"/>
      <c r="O157" s="108"/>
      <c r="P157" s="297"/>
      <c r="Q157" s="298"/>
    </row>
    <row r="158" spans="1:17" ht="21.75" customHeight="1">
      <c r="A158" s="36"/>
      <c r="B158" s="104"/>
      <c r="C158" s="106"/>
      <c r="D158" s="106"/>
      <c r="E158" s="125"/>
      <c r="F158" s="125"/>
      <c r="G158" s="108"/>
      <c r="H158" s="108"/>
      <c r="I158" s="108"/>
      <c r="J158" s="108"/>
      <c r="K158" s="36"/>
      <c r="L158" s="36"/>
      <c r="M158" s="108"/>
      <c r="N158" s="130"/>
      <c r="O158" s="108"/>
      <c r="P158" s="297"/>
      <c r="Q158" s="298"/>
    </row>
    <row r="159" spans="1:17" ht="21.75" customHeight="1">
      <c r="A159" s="36"/>
      <c r="B159" s="104"/>
      <c r="C159" s="106"/>
      <c r="D159" s="106"/>
      <c r="E159" s="125"/>
      <c r="F159" s="125"/>
      <c r="G159" s="108"/>
      <c r="H159" s="108"/>
      <c r="I159" s="108"/>
      <c r="J159" s="108"/>
      <c r="K159" s="36"/>
      <c r="L159" s="36"/>
      <c r="M159" s="108"/>
      <c r="N159" s="130"/>
      <c r="O159" s="108"/>
      <c r="P159" s="297"/>
      <c r="Q159" s="298"/>
    </row>
    <row r="160" spans="1:17" ht="21.75" customHeight="1">
      <c r="A160" s="36"/>
      <c r="B160" s="104"/>
      <c r="C160" s="106"/>
      <c r="D160" s="106"/>
      <c r="E160" s="125"/>
      <c r="F160" s="125"/>
      <c r="G160" s="108"/>
      <c r="H160" s="108"/>
      <c r="I160" s="108"/>
      <c r="J160" s="108"/>
      <c r="K160" s="36"/>
      <c r="L160" s="36"/>
      <c r="M160" s="108"/>
      <c r="N160" s="130"/>
      <c r="O160" s="108"/>
      <c r="P160" s="297"/>
      <c r="Q160" s="298"/>
    </row>
    <row r="161" spans="1:17" ht="21.75" customHeight="1">
      <c r="A161" s="36"/>
      <c r="B161" s="104"/>
      <c r="C161" s="106"/>
      <c r="D161" s="106"/>
      <c r="E161" s="125"/>
      <c r="F161" s="125"/>
      <c r="G161" s="108"/>
      <c r="H161" s="108"/>
      <c r="I161" s="108"/>
      <c r="J161" s="108"/>
      <c r="K161" s="36"/>
      <c r="L161" s="36"/>
      <c r="M161" s="108"/>
      <c r="N161" s="130"/>
      <c r="O161" s="108"/>
      <c r="P161" s="297"/>
      <c r="Q161" s="298"/>
    </row>
    <row r="162" spans="1:17" ht="21.75" customHeight="1">
      <c r="A162" s="36"/>
      <c r="B162" s="104"/>
      <c r="C162" s="106"/>
      <c r="D162" s="106"/>
      <c r="E162" s="125"/>
      <c r="F162" s="125"/>
      <c r="G162" s="108"/>
      <c r="H162" s="108"/>
      <c r="I162" s="108"/>
      <c r="J162" s="108"/>
      <c r="K162" s="36"/>
      <c r="L162" s="36"/>
      <c r="M162" s="108"/>
      <c r="N162" s="130"/>
      <c r="O162" s="108"/>
      <c r="P162" s="297"/>
      <c r="Q162" s="298"/>
    </row>
    <row r="163" spans="1:17" ht="21.75" customHeight="1">
      <c r="A163" s="36"/>
      <c r="B163" s="104"/>
      <c r="C163" s="106"/>
      <c r="D163" s="106"/>
      <c r="E163" s="125"/>
      <c r="F163" s="125"/>
      <c r="G163" s="108"/>
      <c r="H163" s="108"/>
      <c r="I163" s="108"/>
      <c r="J163" s="108"/>
      <c r="K163" s="36"/>
      <c r="L163" s="36"/>
      <c r="M163" s="108"/>
      <c r="N163" s="130"/>
      <c r="O163" s="108"/>
      <c r="P163" s="297"/>
      <c r="Q163" s="298"/>
    </row>
    <row r="164" spans="1:17" ht="21.75" customHeight="1">
      <c r="A164" s="36"/>
      <c r="B164" s="104"/>
      <c r="C164" s="106"/>
      <c r="D164" s="106"/>
      <c r="E164" s="125"/>
      <c r="F164" s="125"/>
      <c r="G164" s="108"/>
      <c r="H164" s="108"/>
      <c r="I164" s="108"/>
      <c r="J164" s="108"/>
      <c r="K164" s="36"/>
      <c r="L164" s="36"/>
      <c r="M164" s="108"/>
      <c r="N164" s="130"/>
      <c r="O164" s="108"/>
      <c r="P164" s="297"/>
      <c r="Q164" s="298"/>
    </row>
    <row r="165" spans="1:17" ht="21.75" customHeight="1">
      <c r="A165" s="36"/>
      <c r="B165" s="104"/>
      <c r="C165" s="106"/>
      <c r="D165" s="106"/>
      <c r="E165" s="125"/>
      <c r="F165" s="125"/>
      <c r="G165" s="108"/>
      <c r="H165" s="108"/>
      <c r="I165" s="108"/>
      <c r="J165" s="108"/>
      <c r="K165" s="36"/>
      <c r="L165" s="36"/>
      <c r="M165" s="108"/>
      <c r="N165" s="130"/>
      <c r="O165" s="108"/>
      <c r="P165" s="297"/>
      <c r="Q165" s="298"/>
    </row>
    <row r="166" spans="1:17" ht="21.75" customHeight="1">
      <c r="A166" s="36"/>
      <c r="B166" s="104"/>
      <c r="C166" s="106"/>
      <c r="D166" s="106"/>
      <c r="E166" s="125"/>
      <c r="F166" s="125"/>
      <c r="G166" s="108"/>
      <c r="H166" s="108"/>
      <c r="I166" s="108"/>
      <c r="J166" s="108"/>
      <c r="K166" s="36"/>
      <c r="L166" s="36"/>
      <c r="M166" s="108"/>
      <c r="N166" s="130"/>
      <c r="O166" s="108"/>
      <c r="P166" s="297"/>
      <c r="Q166" s="298"/>
    </row>
    <row r="167" spans="1:17" ht="21.75" customHeight="1">
      <c r="A167" s="36"/>
      <c r="B167" s="104"/>
      <c r="C167" s="106"/>
      <c r="D167" s="106"/>
      <c r="E167" s="125"/>
      <c r="F167" s="125"/>
      <c r="G167" s="108"/>
      <c r="H167" s="108"/>
      <c r="I167" s="108"/>
      <c r="J167" s="108"/>
      <c r="K167" s="36"/>
      <c r="L167" s="36"/>
      <c r="M167" s="108"/>
      <c r="N167" s="130"/>
      <c r="O167" s="108"/>
      <c r="P167" s="297"/>
      <c r="Q167" s="298"/>
    </row>
    <row r="168" spans="1:17" ht="21.75" customHeight="1">
      <c r="A168" s="36"/>
      <c r="B168" s="104"/>
      <c r="C168" s="106"/>
      <c r="D168" s="106"/>
      <c r="E168" s="125"/>
      <c r="F168" s="125"/>
      <c r="G168" s="108"/>
      <c r="H168" s="108"/>
      <c r="I168" s="108"/>
      <c r="J168" s="108"/>
      <c r="K168" s="36"/>
      <c r="L168" s="36"/>
      <c r="M168" s="108"/>
      <c r="N168" s="130"/>
      <c r="O168" s="108"/>
      <c r="P168" s="297"/>
      <c r="Q168" s="298"/>
    </row>
    <row r="169" spans="1:17" ht="21.75" customHeight="1">
      <c r="A169" s="36"/>
      <c r="B169" s="104"/>
      <c r="C169" s="106"/>
      <c r="D169" s="106"/>
      <c r="E169" s="125"/>
      <c r="F169" s="125"/>
      <c r="G169" s="108"/>
      <c r="H169" s="108"/>
      <c r="I169" s="108"/>
      <c r="J169" s="108"/>
      <c r="K169" s="36"/>
      <c r="L169" s="36"/>
      <c r="M169" s="108"/>
      <c r="N169" s="130"/>
      <c r="O169" s="108"/>
      <c r="P169" s="297"/>
      <c r="Q169" s="298"/>
    </row>
    <row r="170" spans="1:17" ht="21.75" customHeight="1">
      <c r="A170" s="36"/>
      <c r="B170" s="104"/>
      <c r="C170" s="106"/>
      <c r="D170" s="106"/>
      <c r="E170" s="125"/>
      <c r="F170" s="125"/>
      <c r="G170" s="108"/>
      <c r="H170" s="108"/>
      <c r="I170" s="108"/>
      <c r="J170" s="108"/>
      <c r="K170" s="36"/>
      <c r="L170" s="36"/>
      <c r="M170" s="108"/>
      <c r="N170" s="130"/>
      <c r="O170" s="108"/>
      <c r="P170" s="297"/>
      <c r="Q170" s="298"/>
    </row>
    <row r="171" spans="1:17" ht="21.75" customHeight="1">
      <c r="A171" s="36"/>
      <c r="B171" s="104"/>
      <c r="C171" s="106"/>
      <c r="D171" s="106"/>
      <c r="E171" s="125"/>
      <c r="F171" s="125"/>
      <c r="G171" s="108"/>
      <c r="H171" s="108"/>
      <c r="I171" s="108"/>
      <c r="J171" s="108"/>
      <c r="K171" s="36"/>
      <c r="L171" s="36"/>
      <c r="M171" s="108"/>
      <c r="N171" s="130"/>
      <c r="O171" s="108"/>
      <c r="P171" s="297"/>
      <c r="Q171" s="298"/>
    </row>
    <row r="172" spans="1:17" ht="21.75" customHeight="1">
      <c r="A172" s="36"/>
      <c r="B172" s="104"/>
      <c r="C172" s="106"/>
      <c r="D172" s="106"/>
      <c r="E172" s="125"/>
      <c r="F172" s="125"/>
      <c r="G172" s="108"/>
      <c r="H172" s="108"/>
      <c r="I172" s="108"/>
      <c r="J172" s="108"/>
      <c r="K172" s="36"/>
      <c r="L172" s="36"/>
      <c r="M172" s="108"/>
      <c r="N172" s="130"/>
      <c r="O172" s="108"/>
      <c r="P172" s="297"/>
      <c r="Q172" s="298"/>
    </row>
    <row r="173" spans="1:17" ht="21.75" customHeight="1">
      <c r="A173" s="36"/>
      <c r="B173" s="104"/>
      <c r="C173" s="106"/>
      <c r="D173" s="106"/>
      <c r="E173" s="125"/>
      <c r="F173" s="125"/>
      <c r="G173" s="108"/>
      <c r="H173" s="108"/>
      <c r="I173" s="108"/>
      <c r="J173" s="108"/>
      <c r="K173" s="36"/>
      <c r="L173" s="36"/>
      <c r="M173" s="108"/>
      <c r="N173" s="130"/>
      <c r="O173" s="108"/>
      <c r="P173" s="297"/>
      <c r="Q173" s="298"/>
    </row>
    <row r="174" spans="1:17" ht="21.75" customHeight="1">
      <c r="A174" s="36"/>
      <c r="B174" s="104"/>
      <c r="C174" s="106"/>
      <c r="D174" s="106"/>
      <c r="E174" s="125"/>
      <c r="F174" s="125"/>
      <c r="G174" s="108"/>
      <c r="H174" s="108"/>
      <c r="I174" s="108"/>
      <c r="J174" s="108"/>
      <c r="K174" s="36"/>
      <c r="L174" s="36"/>
      <c r="M174" s="108"/>
      <c r="N174" s="130"/>
      <c r="O174" s="108"/>
      <c r="P174" s="297"/>
      <c r="Q174" s="298"/>
    </row>
    <row r="175" spans="1:17" ht="21.75" customHeight="1">
      <c r="A175" s="36"/>
      <c r="B175" s="104"/>
      <c r="C175" s="106"/>
      <c r="D175" s="106"/>
      <c r="E175" s="125"/>
      <c r="F175" s="125"/>
      <c r="G175" s="108"/>
      <c r="H175" s="108"/>
      <c r="I175" s="108"/>
      <c r="J175" s="108"/>
      <c r="K175" s="36"/>
      <c r="L175" s="36"/>
      <c r="M175" s="108"/>
      <c r="N175" s="130"/>
      <c r="O175" s="108"/>
      <c r="P175" s="297"/>
      <c r="Q175" s="298"/>
    </row>
    <row r="176" spans="1:17" ht="21.75" customHeight="1">
      <c r="A176" s="36"/>
      <c r="B176" s="104"/>
      <c r="C176" s="106"/>
      <c r="D176" s="106"/>
      <c r="E176" s="125"/>
      <c r="F176" s="125"/>
      <c r="G176" s="108"/>
      <c r="H176" s="108"/>
      <c r="I176" s="108"/>
      <c r="J176" s="108"/>
      <c r="K176" s="36"/>
      <c r="L176" s="36"/>
      <c r="M176" s="108"/>
      <c r="N176" s="130"/>
      <c r="O176" s="108"/>
      <c r="P176" s="297"/>
      <c r="Q176" s="298"/>
    </row>
    <row r="177" spans="1:17" ht="21.75" customHeight="1">
      <c r="A177" s="36"/>
      <c r="B177" s="104"/>
      <c r="C177" s="106"/>
      <c r="D177" s="106"/>
      <c r="E177" s="125"/>
      <c r="F177" s="125"/>
      <c r="G177" s="108"/>
      <c r="H177" s="108"/>
      <c r="I177" s="108"/>
      <c r="J177" s="108"/>
      <c r="K177" s="36"/>
      <c r="L177" s="36"/>
      <c r="M177" s="108"/>
      <c r="N177" s="130"/>
      <c r="O177" s="108"/>
      <c r="P177" s="297"/>
      <c r="Q177" s="298"/>
    </row>
    <row r="178" spans="1:17" ht="21.75" customHeight="1">
      <c r="A178" s="36"/>
      <c r="B178" s="104"/>
      <c r="C178" s="106"/>
      <c r="D178" s="106"/>
      <c r="E178" s="125"/>
      <c r="F178" s="125"/>
      <c r="G178" s="108"/>
      <c r="H178" s="108"/>
      <c r="I178" s="108"/>
      <c r="J178" s="108"/>
      <c r="K178" s="36"/>
      <c r="L178" s="36"/>
      <c r="M178" s="108"/>
      <c r="N178" s="130"/>
      <c r="O178" s="108"/>
      <c r="P178" s="297"/>
      <c r="Q178" s="298"/>
    </row>
    <row r="179" spans="1:17" ht="21.75" customHeight="1">
      <c r="A179" s="36"/>
      <c r="B179" s="104"/>
      <c r="C179" s="106"/>
      <c r="D179" s="106"/>
      <c r="E179" s="125"/>
      <c r="F179" s="125"/>
      <c r="G179" s="108"/>
      <c r="H179" s="108"/>
      <c r="I179" s="108"/>
      <c r="J179" s="108"/>
      <c r="K179" s="36"/>
      <c r="L179" s="36"/>
      <c r="M179" s="108"/>
      <c r="N179" s="130"/>
      <c r="O179" s="108"/>
      <c r="P179" s="297"/>
      <c r="Q179" s="298"/>
    </row>
    <row r="180" spans="1:17" ht="21.75" customHeight="1">
      <c r="A180" s="36"/>
      <c r="B180" s="104"/>
      <c r="C180" s="106"/>
      <c r="D180" s="106"/>
      <c r="E180" s="125"/>
      <c r="F180" s="125"/>
      <c r="G180" s="108"/>
      <c r="H180" s="108"/>
      <c r="I180" s="108"/>
      <c r="J180" s="108"/>
      <c r="K180" s="36"/>
      <c r="L180" s="36"/>
      <c r="M180" s="108"/>
      <c r="N180" s="130"/>
      <c r="O180" s="108"/>
      <c r="P180" s="297"/>
      <c r="Q180" s="298"/>
    </row>
    <row r="181" spans="1:17" ht="21.75" customHeight="1">
      <c r="A181" s="36"/>
      <c r="B181" s="104"/>
      <c r="C181" s="106"/>
      <c r="D181" s="106"/>
      <c r="E181" s="125"/>
      <c r="F181" s="125"/>
      <c r="G181" s="108"/>
      <c r="H181" s="108"/>
      <c r="I181" s="108"/>
      <c r="J181" s="108"/>
      <c r="K181" s="36"/>
      <c r="L181" s="36"/>
      <c r="M181" s="108"/>
      <c r="N181" s="130"/>
      <c r="O181" s="108"/>
      <c r="P181" s="297"/>
      <c r="Q181" s="298"/>
    </row>
    <row r="182" spans="1:17" ht="21.75" customHeight="1">
      <c r="A182" s="36"/>
      <c r="B182" s="104"/>
      <c r="C182" s="106"/>
      <c r="D182" s="106"/>
      <c r="E182" s="125"/>
      <c r="F182" s="125"/>
      <c r="G182" s="108"/>
      <c r="H182" s="108"/>
      <c r="I182" s="108"/>
      <c r="J182" s="108"/>
      <c r="K182" s="36"/>
      <c r="L182" s="36"/>
      <c r="M182" s="108"/>
      <c r="N182" s="130"/>
      <c r="O182" s="108"/>
      <c r="P182" s="297"/>
      <c r="Q182" s="298"/>
    </row>
    <row r="187" spans="1:17" ht="21.75" customHeight="1">
      <c r="A187" s="36"/>
      <c r="B187" s="104"/>
      <c r="C187" s="106"/>
      <c r="D187" s="106"/>
      <c r="E187" s="125"/>
      <c r="F187" s="125"/>
      <c r="G187" s="108"/>
      <c r="H187" s="108"/>
      <c r="I187" s="108"/>
      <c r="J187" s="108"/>
      <c r="K187" s="36"/>
      <c r="L187" s="36"/>
      <c r="M187" s="108"/>
      <c r="N187" s="130"/>
      <c r="O187" s="108"/>
      <c r="P187" s="297"/>
      <c r="Q187" s="298"/>
    </row>
    <row r="188" spans="1:17" ht="21.75" customHeight="1">
      <c r="A188" s="36"/>
      <c r="B188" s="104"/>
      <c r="C188" s="106"/>
      <c r="D188" s="106"/>
      <c r="E188" s="125"/>
      <c r="F188" s="125"/>
      <c r="G188" s="108"/>
      <c r="H188" s="108"/>
      <c r="I188" s="108"/>
      <c r="J188" s="108"/>
      <c r="K188" s="36"/>
      <c r="L188" s="36"/>
      <c r="M188" s="108"/>
      <c r="N188" s="130"/>
      <c r="O188" s="108"/>
      <c r="P188" s="297"/>
      <c r="Q188" s="298"/>
    </row>
    <row r="189" spans="1:17" ht="21.75" customHeight="1">
      <c r="A189" s="36"/>
      <c r="B189" s="104"/>
      <c r="C189" s="106"/>
      <c r="D189" s="106"/>
      <c r="E189" s="125"/>
      <c r="F189" s="125"/>
      <c r="G189" s="108"/>
      <c r="H189" s="108"/>
      <c r="I189" s="108"/>
      <c r="J189" s="108"/>
      <c r="K189" s="36"/>
      <c r="L189" s="36"/>
      <c r="M189" s="108"/>
      <c r="N189" s="130"/>
      <c r="O189" s="108"/>
      <c r="P189" s="297"/>
      <c r="Q189" s="298"/>
    </row>
    <row r="190" spans="1:17" ht="21.75" customHeight="1">
      <c r="A190" s="36"/>
      <c r="B190" s="104"/>
      <c r="C190" s="106"/>
      <c r="D190" s="106"/>
      <c r="E190" s="125"/>
      <c r="F190" s="125"/>
      <c r="G190" s="108"/>
      <c r="H190" s="108"/>
      <c r="I190" s="108"/>
      <c r="J190" s="108"/>
      <c r="K190" s="36"/>
      <c r="L190" s="36"/>
      <c r="M190" s="108"/>
      <c r="N190" s="130"/>
      <c r="O190" s="108"/>
      <c r="P190" s="297"/>
      <c r="Q190" s="298"/>
    </row>
    <row r="191" spans="1:17" ht="21.75" customHeight="1">
      <c r="A191" s="36"/>
      <c r="B191" s="104"/>
      <c r="C191" s="106"/>
      <c r="D191" s="106"/>
      <c r="E191" s="125"/>
      <c r="F191" s="125"/>
      <c r="G191" s="108"/>
      <c r="H191" s="108"/>
      <c r="I191" s="108"/>
      <c r="J191" s="108"/>
      <c r="K191" s="36"/>
      <c r="L191" s="36"/>
      <c r="M191" s="108"/>
      <c r="N191" s="130"/>
      <c r="O191" s="108"/>
      <c r="P191" s="297"/>
      <c r="Q191" s="298"/>
    </row>
    <row r="192" spans="1:17" ht="21.75" customHeight="1">
      <c r="A192" s="36"/>
      <c r="B192" s="104"/>
      <c r="C192" s="106"/>
      <c r="D192" s="106"/>
      <c r="E192" s="125"/>
      <c r="F192" s="125"/>
      <c r="G192" s="108"/>
      <c r="H192" s="108"/>
      <c r="I192" s="108"/>
      <c r="J192" s="108"/>
      <c r="K192" s="36"/>
      <c r="L192" s="36"/>
      <c r="M192" s="108"/>
      <c r="N192" s="130"/>
      <c r="O192" s="108"/>
      <c r="P192" s="297"/>
      <c r="Q192" s="298"/>
    </row>
    <row r="193" spans="1:17" ht="21.75" customHeight="1">
      <c r="A193" s="36"/>
      <c r="B193" s="104"/>
      <c r="C193" s="106"/>
      <c r="D193" s="106"/>
      <c r="E193" s="125"/>
      <c r="F193" s="125"/>
      <c r="G193" s="108"/>
      <c r="H193" s="108"/>
      <c r="I193" s="108"/>
      <c r="J193" s="108"/>
      <c r="K193" s="36"/>
      <c r="L193" s="36"/>
      <c r="M193" s="108"/>
      <c r="N193" s="130"/>
      <c r="O193" s="108"/>
      <c r="P193" s="297"/>
      <c r="Q193" s="298"/>
    </row>
    <row r="194" spans="1:17" ht="21.75" customHeight="1">
      <c r="A194" s="36"/>
      <c r="B194" s="104"/>
      <c r="C194" s="106"/>
      <c r="D194" s="106"/>
      <c r="E194" s="125"/>
      <c r="F194" s="125"/>
      <c r="G194" s="108"/>
      <c r="H194" s="108"/>
      <c r="I194" s="108"/>
      <c r="J194" s="108"/>
      <c r="K194" s="36"/>
      <c r="L194" s="36"/>
      <c r="M194" s="108"/>
      <c r="N194" s="130"/>
      <c r="O194" s="108"/>
      <c r="P194" s="297"/>
      <c r="Q194" s="298"/>
    </row>
    <row r="195" spans="1:17" ht="21.75" customHeight="1">
      <c r="A195" s="36"/>
      <c r="B195" s="104"/>
      <c r="C195" s="106"/>
      <c r="D195" s="106"/>
      <c r="E195" s="125"/>
      <c r="F195" s="125"/>
      <c r="G195" s="108"/>
      <c r="H195" s="108"/>
      <c r="I195" s="108"/>
      <c r="J195" s="108"/>
      <c r="K195" s="36"/>
      <c r="L195" s="36"/>
      <c r="M195" s="108"/>
      <c r="N195" s="130"/>
      <c r="O195" s="108"/>
      <c r="P195" s="297"/>
      <c r="Q195" s="298"/>
    </row>
    <row r="196" spans="1:17" ht="21.75" customHeight="1">
      <c r="A196" s="36"/>
      <c r="B196" s="104"/>
      <c r="C196" s="106"/>
      <c r="D196" s="106"/>
      <c r="E196" s="125"/>
      <c r="F196" s="125"/>
      <c r="G196" s="108"/>
      <c r="H196" s="108"/>
      <c r="I196" s="108"/>
      <c r="J196" s="108"/>
      <c r="K196" s="36"/>
      <c r="L196" s="36"/>
      <c r="M196" s="108"/>
      <c r="N196" s="130"/>
      <c r="O196" s="108"/>
      <c r="P196" s="297"/>
      <c r="Q196" s="298"/>
    </row>
    <row r="197" spans="1:17" ht="21.75" customHeight="1">
      <c r="A197" s="104"/>
      <c r="B197" s="104" t="s">
        <v>6</v>
      </c>
      <c r="C197" s="36"/>
      <c r="D197" s="36"/>
      <c r="E197" s="385"/>
      <c r="F197" s="386"/>
      <c r="G197" s="108">
        <f>SUM(G42:G196)</f>
        <v>0</v>
      </c>
      <c r="H197" s="108">
        <f t="shared" ref="H197:O197" si="15">SUM(H42:H196)</f>
        <v>0</v>
      </c>
      <c r="I197" s="108">
        <f t="shared" si="15"/>
        <v>0</v>
      </c>
      <c r="J197" s="108">
        <f t="shared" si="15"/>
        <v>0</v>
      </c>
      <c r="K197" s="108">
        <f t="shared" si="15"/>
        <v>0</v>
      </c>
      <c r="L197" s="108">
        <f t="shared" si="15"/>
        <v>0</v>
      </c>
      <c r="M197" s="108">
        <f t="shared" si="15"/>
        <v>0</v>
      </c>
      <c r="N197" s="108">
        <f t="shared" si="15"/>
        <v>0</v>
      </c>
      <c r="O197" s="108">
        <f t="shared" si="15"/>
        <v>0</v>
      </c>
      <c r="P197" s="150"/>
      <c r="Q197" s="151"/>
    </row>
    <row r="198" spans="1:17" ht="21.75" customHeight="1">
      <c r="A198" s="85" t="s">
        <v>1839</v>
      </c>
      <c r="B198" s="2"/>
      <c r="C198" s="3"/>
      <c r="D198" s="3"/>
      <c r="E198" s="357"/>
      <c r="F198" s="358"/>
      <c r="G198" s="79"/>
      <c r="H198" s="79"/>
      <c r="I198" s="2"/>
      <c r="J198" s="5"/>
      <c r="L198" s="2"/>
      <c r="M198" s="359"/>
      <c r="N198" s="359"/>
      <c r="O198" s="359"/>
      <c r="P198" s="83"/>
      <c r="Q198" s="1"/>
    </row>
    <row r="199" spans="1:17" ht="21.75" customHeight="1">
      <c r="A199" s="86" t="s">
        <v>1</v>
      </c>
      <c r="B199" s="86" t="s">
        <v>2</v>
      </c>
      <c r="C199" s="86" t="s">
        <v>3</v>
      </c>
      <c r="D199" s="248" t="s">
        <v>24</v>
      </c>
      <c r="E199" s="87" t="s">
        <v>4</v>
      </c>
      <c r="F199" s="360" t="s">
        <v>4</v>
      </c>
      <c r="G199" s="88" t="s">
        <v>5</v>
      </c>
      <c r="H199" s="88" t="s">
        <v>6</v>
      </c>
      <c r="I199" s="86" t="s">
        <v>7</v>
      </c>
      <c r="J199" s="90" t="s">
        <v>8</v>
      </c>
      <c r="K199" s="86" t="s">
        <v>9</v>
      </c>
      <c r="L199" s="86" t="s">
        <v>10</v>
      </c>
      <c r="M199" s="93" t="s">
        <v>11</v>
      </c>
      <c r="N199" s="93" t="s">
        <v>12</v>
      </c>
      <c r="O199" s="93" t="s">
        <v>13</v>
      </c>
      <c r="P199" s="93" t="s">
        <v>14</v>
      </c>
      <c r="Q199" s="86" t="s">
        <v>15</v>
      </c>
    </row>
    <row r="200" spans="1:17" ht="21.75" customHeight="1">
      <c r="A200" s="162"/>
      <c r="B200" s="162"/>
      <c r="C200" s="162"/>
      <c r="D200" s="94"/>
      <c r="E200" s="95" t="s">
        <v>17</v>
      </c>
      <c r="F200" s="361" t="s">
        <v>66</v>
      </c>
      <c r="G200" s="165"/>
      <c r="H200" s="166" t="s">
        <v>5</v>
      </c>
      <c r="I200" s="162"/>
      <c r="J200" s="325"/>
      <c r="K200" s="162"/>
      <c r="L200" s="162" t="s">
        <v>18</v>
      </c>
      <c r="M200" s="170" t="s">
        <v>19</v>
      </c>
      <c r="N200" s="170" t="s">
        <v>8</v>
      </c>
      <c r="O200" s="170" t="s">
        <v>1827</v>
      </c>
      <c r="P200" s="299"/>
      <c r="Q200" s="204"/>
    </row>
    <row r="201" spans="1:17" ht="21.75" customHeight="1">
      <c r="A201" s="290"/>
      <c r="B201" s="186"/>
      <c r="C201" s="301"/>
      <c r="D201" s="302"/>
      <c r="E201" s="129"/>
      <c r="F201" s="125"/>
      <c r="G201" s="387"/>
      <c r="H201" s="376"/>
      <c r="I201" s="308"/>
      <c r="J201" s="315"/>
      <c r="K201" s="290"/>
      <c r="L201" s="290"/>
      <c r="M201" s="308"/>
      <c r="N201" s="308"/>
      <c r="O201" s="378"/>
      <c r="P201" s="388"/>
      <c r="Q201" s="311"/>
    </row>
    <row r="202" spans="1:17" ht="21.75" customHeight="1">
      <c r="A202" s="290"/>
      <c r="B202" s="186"/>
      <c r="C202" s="301"/>
      <c r="D202" s="302"/>
      <c r="E202" s="129"/>
      <c r="F202" s="41"/>
      <c r="G202" s="387"/>
      <c r="H202" s="376"/>
      <c r="I202" s="308"/>
      <c r="J202" s="315"/>
      <c r="K202" s="290"/>
      <c r="L202" s="290"/>
      <c r="M202" s="308"/>
      <c r="N202" s="308"/>
      <c r="O202" s="378"/>
      <c r="P202" s="186"/>
      <c r="Q202" s="311"/>
    </row>
    <row r="203" spans="1:17" ht="21.75" customHeight="1">
      <c r="A203" s="290"/>
      <c r="B203" s="186"/>
      <c r="C203" s="301"/>
      <c r="D203" s="302"/>
      <c r="E203" s="129"/>
      <c r="F203" s="41"/>
      <c r="G203" s="387"/>
      <c r="H203" s="376"/>
      <c r="I203" s="308"/>
      <c r="J203" s="315"/>
      <c r="K203" s="290"/>
      <c r="L203" s="290"/>
      <c r="M203" s="308"/>
      <c r="N203" s="308"/>
      <c r="O203" s="378"/>
      <c r="P203" s="186"/>
      <c r="Q203" s="311"/>
    </row>
    <row r="204" spans="1:17" ht="21.75" customHeight="1">
      <c r="A204" s="290"/>
      <c r="B204" s="186"/>
      <c r="C204" s="301"/>
      <c r="D204" s="302"/>
      <c r="E204" s="129"/>
      <c r="F204" s="41"/>
      <c r="G204" s="387"/>
      <c r="H204" s="376"/>
      <c r="I204" s="308"/>
      <c r="J204" s="315"/>
      <c r="K204" s="290"/>
      <c r="L204" s="290"/>
      <c r="M204" s="308"/>
      <c r="N204" s="308"/>
      <c r="O204" s="378"/>
      <c r="P204" s="186"/>
      <c r="Q204" s="311"/>
    </row>
    <row r="205" spans="1:17" ht="21.75" customHeight="1">
      <c r="A205" s="290"/>
      <c r="B205" s="186"/>
      <c r="C205" s="301"/>
      <c r="D205" s="302"/>
      <c r="E205" s="129"/>
      <c r="F205" s="41"/>
      <c r="G205" s="314"/>
      <c r="H205" s="376"/>
      <c r="I205" s="308"/>
      <c r="J205" s="315"/>
      <c r="K205" s="290"/>
      <c r="L205" s="290"/>
      <c r="M205" s="308"/>
      <c r="N205" s="308"/>
      <c r="O205" s="378"/>
      <c r="P205" s="309"/>
      <c r="Q205" s="311"/>
    </row>
    <row r="206" spans="1:17" ht="21.75" customHeight="1">
      <c r="A206" s="290"/>
      <c r="B206" s="186"/>
      <c r="C206" s="301"/>
      <c r="D206" s="302"/>
      <c r="E206" s="125"/>
      <c r="F206" s="125"/>
      <c r="G206" s="314"/>
      <c r="H206" s="376"/>
      <c r="I206" s="308"/>
      <c r="J206" s="315"/>
      <c r="K206" s="290"/>
      <c r="L206" s="290"/>
      <c r="M206" s="308"/>
      <c r="N206" s="308"/>
      <c r="O206" s="378"/>
      <c r="P206" s="309"/>
      <c r="Q206" s="311"/>
    </row>
    <row r="207" spans="1:17" ht="21.75" customHeight="1">
      <c r="A207" s="290"/>
      <c r="B207" s="186"/>
      <c r="C207" s="301"/>
      <c r="D207" s="302"/>
      <c r="E207" s="125"/>
      <c r="F207" s="125"/>
      <c r="G207" s="314"/>
      <c r="H207" s="376"/>
      <c r="I207" s="308"/>
      <c r="J207" s="315"/>
      <c r="K207" s="290"/>
      <c r="L207" s="290"/>
      <c r="M207" s="308"/>
      <c r="N207" s="308"/>
      <c r="O207" s="378"/>
      <c r="P207" s="309"/>
      <c r="Q207" s="311"/>
    </row>
    <row r="208" spans="1:17" ht="21.75" customHeight="1">
      <c r="A208" s="290"/>
      <c r="B208" s="186"/>
      <c r="C208" s="301"/>
      <c r="D208" s="302"/>
      <c r="E208" s="125"/>
      <c r="F208" s="125"/>
      <c r="G208" s="389"/>
      <c r="H208" s="376"/>
      <c r="I208" s="308"/>
      <c r="J208" s="315"/>
      <c r="K208" s="290"/>
      <c r="L208" s="290"/>
      <c r="M208" s="308"/>
      <c r="N208" s="308"/>
      <c r="O208" s="378"/>
      <c r="P208" s="309"/>
      <c r="Q208" s="311"/>
    </row>
    <row r="209" spans="1:17" ht="21.75" customHeight="1">
      <c r="A209" s="290"/>
      <c r="B209" s="186"/>
      <c r="C209" s="301"/>
      <c r="D209" s="302"/>
      <c r="E209" s="129"/>
      <c r="F209" s="125"/>
      <c r="G209" s="314"/>
      <c r="H209" s="376"/>
      <c r="I209" s="308"/>
      <c r="J209" s="315"/>
      <c r="K209" s="290"/>
      <c r="L209" s="290"/>
      <c r="M209" s="308"/>
      <c r="N209" s="308"/>
      <c r="O209" s="378"/>
      <c r="P209" s="309"/>
      <c r="Q209" s="311"/>
    </row>
    <row r="210" spans="1:17" ht="21.75" customHeight="1">
      <c r="A210" s="36"/>
      <c r="B210" s="186"/>
      <c r="C210" s="301"/>
      <c r="D210" s="302"/>
      <c r="E210" s="129"/>
      <c r="F210" s="125"/>
      <c r="G210" s="314"/>
      <c r="H210" s="376"/>
      <c r="I210" s="308"/>
      <c r="J210" s="315"/>
      <c r="K210" s="290"/>
      <c r="L210" s="290"/>
      <c r="M210" s="308"/>
      <c r="N210" s="308"/>
      <c r="O210" s="378"/>
      <c r="P210" s="309"/>
      <c r="Q210" s="311"/>
    </row>
    <row r="211" spans="1:17" ht="21.75" customHeight="1">
      <c r="A211" s="36"/>
      <c r="B211" s="186"/>
      <c r="C211" s="301"/>
      <c r="D211" s="302"/>
      <c r="E211" s="129"/>
      <c r="F211" s="125"/>
      <c r="G211" s="148"/>
      <c r="H211" s="376"/>
      <c r="I211" s="308"/>
      <c r="J211" s="315"/>
      <c r="K211" s="290"/>
      <c r="L211" s="290"/>
      <c r="M211" s="308"/>
      <c r="N211" s="308"/>
      <c r="O211" s="378"/>
      <c r="P211" s="309"/>
      <c r="Q211" s="311"/>
    </row>
    <row r="212" spans="1:17" ht="21.75" customHeight="1">
      <c r="A212" s="36"/>
      <c r="B212" s="186"/>
      <c r="C212" s="301"/>
      <c r="D212" s="302"/>
      <c r="E212" s="129"/>
      <c r="F212" s="125"/>
      <c r="G212" s="314"/>
      <c r="H212" s="376"/>
      <c r="I212" s="308"/>
      <c r="J212" s="315"/>
      <c r="K212" s="290"/>
      <c r="L212" s="290"/>
      <c r="M212" s="308"/>
      <c r="N212" s="308"/>
      <c r="O212" s="378"/>
      <c r="P212" s="309"/>
      <c r="Q212" s="311"/>
    </row>
    <row r="213" spans="1:17" ht="21.75" customHeight="1">
      <c r="A213" s="67"/>
      <c r="B213" s="104"/>
      <c r="C213" s="106"/>
      <c r="D213" s="41"/>
      <c r="E213" s="129"/>
      <c r="F213" s="125"/>
      <c r="G213" s="380"/>
      <c r="H213" s="176"/>
      <c r="I213" s="107"/>
      <c r="J213" s="111"/>
      <c r="K213" s="36"/>
      <c r="L213" s="36"/>
      <c r="M213" s="107"/>
      <c r="N213" s="107"/>
      <c r="O213" s="208"/>
      <c r="P213" s="297"/>
      <c r="Q213" s="137"/>
    </row>
    <row r="214" spans="1:17" ht="21.75" customHeight="1">
      <c r="A214" s="290"/>
      <c r="B214" s="104"/>
      <c r="C214" s="105"/>
      <c r="D214" s="41"/>
      <c r="E214" s="129"/>
      <c r="F214" s="125"/>
      <c r="G214" s="108"/>
      <c r="H214" s="176"/>
      <c r="I214" s="107"/>
      <c r="J214" s="111"/>
      <c r="K214" s="36"/>
      <c r="L214" s="36"/>
      <c r="M214" s="107"/>
      <c r="N214" s="107"/>
      <c r="O214" s="208"/>
      <c r="P214" s="297"/>
      <c r="Q214" s="137"/>
    </row>
    <row r="215" spans="1:17" ht="21.75" customHeight="1">
      <c r="A215" s="67"/>
      <c r="B215" s="104"/>
      <c r="C215" s="105"/>
      <c r="D215" s="41"/>
      <c r="E215" s="129"/>
      <c r="F215" s="125"/>
      <c r="G215" s="380"/>
      <c r="H215" s="176"/>
      <c r="I215" s="107"/>
      <c r="J215" s="111"/>
      <c r="K215" s="36"/>
      <c r="L215" s="36"/>
      <c r="M215" s="107"/>
      <c r="N215" s="107"/>
      <c r="O215" s="208"/>
      <c r="P215" s="297"/>
      <c r="Q215" s="137"/>
    </row>
    <row r="216" spans="1:17" ht="21.75" customHeight="1">
      <c r="A216" s="36"/>
      <c r="B216" s="104"/>
      <c r="C216" s="105"/>
      <c r="D216" s="41"/>
      <c r="E216" s="129"/>
      <c r="F216" s="125"/>
      <c r="G216" s="380"/>
      <c r="H216" s="176"/>
      <c r="I216" s="107"/>
      <c r="J216" s="111"/>
      <c r="K216" s="36"/>
      <c r="L216" s="36"/>
      <c r="M216" s="107"/>
      <c r="N216" s="107"/>
      <c r="O216" s="208"/>
      <c r="P216" s="297"/>
      <c r="Q216" s="137"/>
    </row>
    <row r="217" spans="1:17" ht="21.75" customHeight="1">
      <c r="A217" s="290"/>
      <c r="B217" s="186"/>
      <c r="C217" s="301"/>
      <c r="D217" s="302"/>
      <c r="E217" s="129"/>
      <c r="F217" s="125"/>
      <c r="G217" s="377"/>
      <c r="H217" s="376"/>
      <c r="I217" s="308"/>
      <c r="J217" s="315"/>
      <c r="K217" s="290"/>
      <c r="L217" s="290"/>
      <c r="M217" s="308"/>
      <c r="N217" s="308"/>
      <c r="O217" s="378"/>
      <c r="P217" s="390"/>
      <c r="Q217" s="391"/>
    </row>
    <row r="218" spans="1:17" ht="21.75" customHeight="1">
      <c r="A218" s="290"/>
      <c r="B218" s="186"/>
      <c r="C218" s="301"/>
      <c r="D218" s="302"/>
      <c r="E218" s="129"/>
      <c r="F218" s="125"/>
      <c r="G218" s="377"/>
      <c r="H218" s="376"/>
      <c r="I218" s="308"/>
      <c r="J218" s="315"/>
      <c r="K218" s="290"/>
      <c r="L218" s="290"/>
      <c r="M218" s="308"/>
      <c r="N218" s="308"/>
      <c r="O218" s="378"/>
      <c r="P218" s="390"/>
      <c r="Q218" s="311"/>
    </row>
    <row r="219" spans="1:17" ht="21.75" customHeight="1">
      <c r="A219" s="300"/>
      <c r="B219" s="186"/>
      <c r="C219" s="301"/>
      <c r="D219" s="302"/>
      <c r="E219" s="129"/>
      <c r="F219" s="125"/>
      <c r="G219" s="392"/>
      <c r="H219" s="376"/>
      <c r="I219" s="308"/>
      <c r="J219" s="315"/>
      <c r="K219" s="290"/>
      <c r="L219" s="290"/>
      <c r="M219" s="308"/>
      <c r="N219" s="308"/>
      <c r="O219" s="378"/>
      <c r="P219" s="186"/>
      <c r="Q219" s="311"/>
    </row>
    <row r="220" spans="1:17" ht="21.75" customHeight="1">
      <c r="A220" s="300"/>
      <c r="B220" s="308"/>
      <c r="C220" s="393"/>
      <c r="D220" s="302"/>
      <c r="E220" s="129"/>
      <c r="F220" s="125"/>
      <c r="G220" s="387"/>
      <c r="H220" s="376"/>
      <c r="I220" s="308"/>
      <c r="J220" s="315"/>
      <c r="K220" s="290"/>
      <c r="L220" s="290"/>
      <c r="M220" s="308"/>
      <c r="N220" s="308"/>
      <c r="O220" s="378"/>
      <c r="P220" s="186"/>
      <c r="Q220" s="311"/>
    </row>
    <row r="221" spans="1:17" ht="21.75" customHeight="1">
      <c r="A221" s="300"/>
      <c r="B221" s="186"/>
      <c r="C221" s="301"/>
      <c r="D221" s="302"/>
      <c r="E221" s="129"/>
      <c r="F221" s="125"/>
      <c r="G221" s="314"/>
      <c r="H221" s="376"/>
      <c r="I221" s="308"/>
      <c r="J221" s="315"/>
      <c r="K221" s="290"/>
      <c r="L221" s="290"/>
      <c r="M221" s="308"/>
      <c r="N221" s="308"/>
      <c r="O221" s="378"/>
      <c r="P221" s="309"/>
      <c r="Q221" s="311"/>
    </row>
    <row r="222" spans="1:17" ht="21.75" customHeight="1">
      <c r="A222" s="300"/>
      <c r="B222" s="186"/>
      <c r="C222" s="301"/>
      <c r="D222" s="302"/>
      <c r="E222" s="129"/>
      <c r="F222" s="125"/>
      <c r="G222" s="314"/>
      <c r="H222" s="376"/>
      <c r="I222" s="308"/>
      <c r="J222" s="315"/>
      <c r="K222" s="290"/>
      <c r="L222" s="290"/>
      <c r="M222" s="308"/>
      <c r="N222" s="308"/>
      <c r="O222" s="378"/>
      <c r="P222" s="309"/>
      <c r="Q222" s="311"/>
    </row>
    <row r="223" spans="1:17" ht="21.75" customHeight="1">
      <c r="A223" s="300"/>
      <c r="B223" s="186"/>
      <c r="C223" s="301"/>
      <c r="D223" s="302"/>
      <c r="E223" s="129"/>
      <c r="F223" s="125"/>
      <c r="G223" s="314"/>
      <c r="H223" s="376"/>
      <c r="I223" s="308"/>
      <c r="J223" s="315"/>
      <c r="K223" s="290"/>
      <c r="L223" s="290"/>
      <c r="M223" s="308"/>
      <c r="N223" s="308"/>
      <c r="O223" s="378"/>
      <c r="P223" s="309"/>
      <c r="Q223" s="311"/>
    </row>
    <row r="224" spans="1:17" ht="21.75" customHeight="1">
      <c r="A224" s="300"/>
      <c r="B224" s="186"/>
      <c r="C224" s="301"/>
      <c r="D224" s="302"/>
      <c r="E224" s="129"/>
      <c r="F224" s="125"/>
      <c r="G224" s="314"/>
      <c r="H224" s="376"/>
      <c r="I224" s="308"/>
      <c r="J224" s="315"/>
      <c r="K224" s="290"/>
      <c r="L224" s="290"/>
      <c r="M224" s="308"/>
      <c r="N224" s="308"/>
      <c r="O224" s="378"/>
      <c r="P224" s="309"/>
      <c r="Q224" s="311"/>
    </row>
    <row r="225" spans="1:17" ht="21.75" customHeight="1">
      <c r="A225" s="300"/>
      <c r="B225" s="186"/>
      <c r="C225" s="301"/>
      <c r="D225" s="302"/>
      <c r="E225" s="129"/>
      <c r="F225" s="125"/>
      <c r="G225" s="314"/>
      <c r="H225" s="376"/>
      <c r="I225" s="308"/>
      <c r="J225" s="315"/>
      <c r="K225" s="290"/>
      <c r="L225" s="290"/>
      <c r="M225" s="308"/>
      <c r="N225" s="308"/>
      <c r="O225" s="378"/>
      <c r="P225" s="309"/>
      <c r="Q225" s="311"/>
    </row>
    <row r="226" spans="1:17" ht="21.75" customHeight="1">
      <c r="A226" s="300"/>
      <c r="B226" s="186"/>
      <c r="C226" s="301"/>
      <c r="D226" s="302"/>
      <c r="E226" s="129"/>
      <c r="F226" s="125"/>
      <c r="G226" s="314"/>
      <c r="H226" s="376"/>
      <c r="I226" s="308"/>
      <c r="J226" s="315"/>
      <c r="K226" s="290"/>
      <c r="L226" s="290"/>
      <c r="M226" s="308"/>
      <c r="N226" s="308"/>
      <c r="O226" s="378"/>
      <c r="P226" s="309"/>
      <c r="Q226" s="311"/>
    </row>
    <row r="227" spans="1:17" ht="21.75" customHeight="1">
      <c r="A227" s="300"/>
      <c r="B227" s="186"/>
      <c r="C227" s="301"/>
      <c r="D227" s="302"/>
      <c r="E227" s="129"/>
      <c r="F227" s="125"/>
      <c r="G227" s="314"/>
      <c r="H227" s="376"/>
      <c r="I227" s="308"/>
      <c r="J227" s="315"/>
      <c r="K227" s="290"/>
      <c r="L227" s="290"/>
      <c r="M227" s="308"/>
      <c r="N227" s="308"/>
      <c r="O227" s="378"/>
      <c r="P227" s="309"/>
      <c r="Q227" s="311"/>
    </row>
    <row r="228" spans="1:17" ht="21.75" customHeight="1">
      <c r="A228" s="300"/>
      <c r="B228" s="186"/>
      <c r="C228" s="301"/>
      <c r="D228" s="302"/>
      <c r="E228" s="129"/>
      <c r="F228" s="125"/>
      <c r="G228" s="394"/>
      <c r="H228" s="376"/>
      <c r="I228" s="308"/>
      <c r="J228" s="315"/>
      <c r="K228" s="290"/>
      <c r="L228" s="290"/>
      <c r="M228" s="308"/>
      <c r="N228" s="308"/>
      <c r="O228" s="378"/>
      <c r="P228" s="309"/>
      <c r="Q228" s="311"/>
    </row>
    <row r="229" spans="1:17" ht="21.75" customHeight="1">
      <c r="A229" s="300"/>
      <c r="B229" s="186"/>
      <c r="C229" s="301"/>
      <c r="D229" s="302"/>
      <c r="E229" s="129"/>
      <c r="F229" s="125"/>
      <c r="G229" s="314"/>
      <c r="H229" s="376"/>
      <c r="I229" s="308"/>
      <c r="J229" s="315"/>
      <c r="K229" s="290"/>
      <c r="L229" s="290"/>
      <c r="M229" s="308"/>
      <c r="N229" s="308"/>
      <c r="O229" s="378"/>
      <c r="P229" s="309"/>
      <c r="Q229" s="311"/>
    </row>
    <row r="230" spans="1:17" ht="21.75" customHeight="1">
      <c r="A230" s="300"/>
      <c r="B230" s="186"/>
      <c r="C230" s="301"/>
      <c r="D230" s="302"/>
      <c r="E230" s="129"/>
      <c r="F230" s="125"/>
      <c r="G230" s="394"/>
      <c r="H230" s="376"/>
      <c r="I230" s="308"/>
      <c r="J230" s="315"/>
      <c r="K230" s="290"/>
      <c r="L230" s="290"/>
      <c r="M230" s="308"/>
      <c r="N230" s="308"/>
      <c r="O230" s="378"/>
      <c r="P230" s="309"/>
      <c r="Q230" s="311"/>
    </row>
    <row r="231" spans="1:17" ht="21.75" customHeight="1">
      <c r="A231" s="300"/>
      <c r="B231" s="186"/>
      <c r="C231" s="301"/>
      <c r="D231" s="302"/>
      <c r="E231" s="129"/>
      <c r="F231" s="125"/>
      <c r="G231" s="314"/>
      <c r="H231" s="376"/>
      <c r="I231" s="308"/>
      <c r="J231" s="315"/>
      <c r="K231" s="290"/>
      <c r="L231" s="290"/>
      <c r="M231" s="308"/>
      <c r="N231" s="308"/>
      <c r="O231" s="378"/>
      <c r="P231" s="309"/>
      <c r="Q231" s="311"/>
    </row>
    <row r="232" spans="1:17" ht="21.75" customHeight="1">
      <c r="A232" s="300"/>
      <c r="B232" s="395"/>
      <c r="C232" s="396"/>
      <c r="D232" s="397"/>
      <c r="E232" s="129"/>
      <c r="F232" s="125"/>
      <c r="G232" s="398"/>
      <c r="H232" s="399"/>
      <c r="I232" s="400"/>
      <c r="J232" s="401"/>
      <c r="K232" s="402"/>
      <c r="L232" s="290"/>
      <c r="M232" s="308"/>
      <c r="N232" s="308"/>
      <c r="O232" s="378"/>
      <c r="P232" s="403"/>
      <c r="Q232" s="311"/>
    </row>
    <row r="233" spans="1:17" ht="21.75" customHeight="1">
      <c r="A233" s="290"/>
      <c r="B233" s="186"/>
      <c r="C233" s="301"/>
      <c r="D233" s="302"/>
      <c r="E233" s="129"/>
      <c r="F233" s="125"/>
      <c r="G233" s="148"/>
      <c r="H233" s="376"/>
      <c r="I233" s="308"/>
      <c r="J233" s="315"/>
      <c r="K233" s="290"/>
      <c r="L233" s="290"/>
      <c r="M233" s="308"/>
      <c r="N233" s="308"/>
      <c r="O233" s="378"/>
      <c r="P233" s="309"/>
      <c r="Q233" s="311"/>
    </row>
    <row r="234" spans="1:17" ht="21.75" customHeight="1">
      <c r="A234" s="290"/>
      <c r="B234" s="186"/>
      <c r="C234" s="301"/>
      <c r="D234" s="302"/>
      <c r="E234" s="129"/>
      <c r="F234" s="125"/>
      <c r="G234" s="394"/>
      <c r="H234" s="376"/>
      <c r="I234" s="308"/>
      <c r="J234" s="315"/>
      <c r="K234" s="290"/>
      <c r="L234" s="290"/>
      <c r="M234" s="308"/>
      <c r="N234" s="308"/>
      <c r="O234" s="378"/>
      <c r="P234" s="390"/>
      <c r="Q234" s="391"/>
    </row>
    <row r="235" spans="1:17" ht="21.75" customHeight="1">
      <c r="A235" s="290"/>
      <c r="B235" s="186"/>
      <c r="C235" s="301"/>
      <c r="D235" s="302"/>
      <c r="E235" s="129"/>
      <c r="F235" s="125"/>
      <c r="G235" s="314"/>
      <c r="H235" s="376"/>
      <c r="I235" s="308"/>
      <c r="J235" s="315"/>
      <c r="K235" s="290"/>
      <c r="L235" s="290"/>
      <c r="M235" s="308"/>
      <c r="N235" s="308"/>
      <c r="O235" s="378"/>
      <c r="P235" s="390"/>
      <c r="Q235" s="391"/>
    </row>
    <row r="236" spans="1:17" ht="21.75" customHeight="1">
      <c r="A236" s="290"/>
      <c r="B236" s="186"/>
      <c r="C236" s="301"/>
      <c r="D236" s="302"/>
      <c r="E236" s="129"/>
      <c r="F236" s="125"/>
      <c r="G236" s="394"/>
      <c r="H236" s="376"/>
      <c r="I236" s="308"/>
      <c r="J236" s="315"/>
      <c r="K236" s="290"/>
      <c r="L236" s="290"/>
      <c r="M236" s="308"/>
      <c r="N236" s="308"/>
      <c r="O236" s="378"/>
      <c r="P236" s="390"/>
      <c r="Q236" s="311"/>
    </row>
    <row r="237" spans="1:17" ht="21.75" customHeight="1">
      <c r="A237" s="290"/>
      <c r="B237" s="186"/>
      <c r="C237" s="301"/>
      <c r="D237" s="302"/>
      <c r="E237" s="129"/>
      <c r="F237" s="125"/>
      <c r="G237" s="314"/>
      <c r="H237" s="376"/>
      <c r="I237" s="308"/>
      <c r="J237" s="315"/>
      <c r="K237" s="290"/>
      <c r="L237" s="290"/>
      <c r="M237" s="308"/>
      <c r="N237" s="308"/>
      <c r="O237" s="378"/>
      <c r="P237" s="390"/>
      <c r="Q237" s="311"/>
    </row>
    <row r="238" spans="1:17" ht="21.75" customHeight="1">
      <c r="A238" s="290"/>
      <c r="B238" s="186"/>
      <c r="C238" s="301"/>
      <c r="D238" s="404"/>
      <c r="E238" s="129"/>
      <c r="F238" s="125"/>
      <c r="G238" s="387"/>
      <c r="H238" s="376"/>
      <c r="I238" s="308"/>
      <c r="J238" s="315"/>
      <c r="K238" s="290"/>
      <c r="L238" s="290"/>
      <c r="M238" s="308"/>
      <c r="N238" s="308"/>
      <c r="O238" s="378"/>
      <c r="P238" s="186"/>
      <c r="Q238" s="311"/>
    </row>
    <row r="239" spans="1:17" ht="21.75" customHeight="1">
      <c r="A239" s="290"/>
      <c r="B239" s="382"/>
      <c r="C239" s="383"/>
      <c r="D239" s="404"/>
      <c r="E239" s="129"/>
      <c r="F239" s="125"/>
      <c r="G239" s="405"/>
      <c r="H239" s="376"/>
      <c r="I239" s="308"/>
      <c r="J239" s="315"/>
      <c r="K239" s="290"/>
      <c r="L239" s="290"/>
      <c r="M239" s="308"/>
      <c r="N239" s="308"/>
      <c r="O239" s="378"/>
      <c r="P239" s="309"/>
      <c r="Q239" s="311"/>
    </row>
    <row r="240" spans="1:17" ht="21.75" customHeight="1">
      <c r="A240" s="290"/>
      <c r="B240" s="186"/>
      <c r="C240" s="301"/>
      <c r="D240" s="404"/>
      <c r="E240" s="129"/>
      <c r="F240" s="125"/>
      <c r="G240" s="387"/>
      <c r="H240" s="376"/>
      <c r="I240" s="308"/>
      <c r="J240" s="315"/>
      <c r="K240" s="290"/>
      <c r="L240" s="290"/>
      <c r="M240" s="308"/>
      <c r="N240" s="308"/>
      <c r="O240" s="378"/>
      <c r="P240" s="186"/>
      <c r="Q240" s="311"/>
    </row>
    <row r="241" spans="1:17" ht="21.75" customHeight="1">
      <c r="A241" s="290"/>
      <c r="B241" s="186"/>
      <c r="C241" s="301"/>
      <c r="D241" s="404"/>
      <c r="E241" s="129"/>
      <c r="F241" s="125"/>
      <c r="G241" s="387"/>
      <c r="H241" s="376"/>
      <c r="I241" s="308"/>
      <c r="J241" s="315"/>
      <c r="K241" s="290"/>
      <c r="L241" s="290"/>
      <c r="M241" s="308"/>
      <c r="N241" s="308"/>
      <c r="O241" s="378"/>
      <c r="P241" s="186"/>
      <c r="Q241" s="311"/>
    </row>
    <row r="242" spans="1:17" ht="21.75" customHeight="1">
      <c r="A242" s="290"/>
      <c r="B242" s="186"/>
      <c r="C242" s="301"/>
      <c r="D242" s="404"/>
      <c r="E242" s="129"/>
      <c r="F242" s="125"/>
      <c r="G242" s="387"/>
      <c r="H242" s="376"/>
      <c r="I242" s="308"/>
      <c r="J242" s="315"/>
      <c r="K242" s="290"/>
      <c r="L242" s="290"/>
      <c r="M242" s="308"/>
      <c r="N242" s="308"/>
      <c r="O242" s="378"/>
      <c r="P242" s="186"/>
      <c r="Q242" s="311"/>
    </row>
    <row r="243" spans="1:17" ht="21.75" customHeight="1">
      <c r="A243" s="290"/>
      <c r="B243" s="382"/>
      <c r="C243" s="383"/>
      <c r="D243" s="404"/>
      <c r="E243" s="129"/>
      <c r="F243" s="125"/>
      <c r="G243" s="405"/>
      <c r="H243" s="376"/>
      <c r="I243" s="308"/>
      <c r="J243" s="315"/>
      <c r="K243" s="290"/>
      <c r="L243" s="290"/>
      <c r="M243" s="308"/>
      <c r="N243" s="308"/>
      <c r="O243" s="378"/>
      <c r="P243" s="309"/>
      <c r="Q243" s="311"/>
    </row>
    <row r="244" spans="1:17" ht="21.75" customHeight="1">
      <c r="A244" s="290"/>
      <c r="B244" s="186"/>
      <c r="C244" s="301"/>
      <c r="D244" s="404"/>
      <c r="E244" s="129"/>
      <c r="F244" s="125"/>
      <c r="G244" s="387"/>
      <c r="H244" s="376"/>
      <c r="I244" s="308"/>
      <c r="J244" s="315"/>
      <c r="K244" s="290"/>
      <c r="L244" s="290"/>
      <c r="M244" s="308"/>
      <c r="N244" s="308"/>
      <c r="O244" s="378"/>
      <c r="P244" s="186"/>
      <c r="Q244" s="311"/>
    </row>
    <row r="245" spans="1:17" ht="21.75" customHeight="1">
      <c r="A245" s="290"/>
      <c r="B245" s="382"/>
      <c r="C245" s="383"/>
      <c r="D245" s="404"/>
      <c r="E245" s="129"/>
      <c r="F245" s="125"/>
      <c r="G245" s="405"/>
      <c r="H245" s="376"/>
      <c r="I245" s="308"/>
      <c r="J245" s="315"/>
      <c r="K245" s="290"/>
      <c r="L245" s="290"/>
      <c r="M245" s="308"/>
      <c r="N245" s="308"/>
      <c r="O245" s="378"/>
      <c r="P245" s="309"/>
      <c r="Q245" s="311"/>
    </row>
    <row r="246" spans="1:17" ht="21.75" customHeight="1">
      <c r="A246" s="290"/>
      <c r="B246" s="186"/>
      <c r="C246" s="301"/>
      <c r="D246" s="404"/>
      <c r="E246" s="129"/>
      <c r="F246" s="125"/>
      <c r="G246" s="387"/>
      <c r="H246" s="376"/>
      <c r="I246" s="308"/>
      <c r="J246" s="315"/>
      <c r="K246" s="290"/>
      <c r="L246" s="290"/>
      <c r="M246" s="308"/>
      <c r="N246" s="308"/>
      <c r="O246" s="378"/>
      <c r="P246" s="186"/>
      <c r="Q246" s="311"/>
    </row>
    <row r="247" spans="1:17" ht="21.75" customHeight="1">
      <c r="A247" s="290"/>
      <c r="B247" s="382"/>
      <c r="C247" s="383"/>
      <c r="D247" s="404"/>
      <c r="E247" s="129"/>
      <c r="F247" s="125"/>
      <c r="G247" s="405"/>
      <c r="H247" s="376"/>
      <c r="I247" s="308"/>
      <c r="J247" s="315"/>
      <c r="K247" s="290"/>
      <c r="L247" s="290"/>
      <c r="M247" s="308"/>
      <c r="N247" s="308"/>
      <c r="O247" s="378"/>
      <c r="P247" s="309"/>
      <c r="Q247" s="311"/>
    </row>
    <row r="248" spans="1:17" ht="21.75" customHeight="1">
      <c r="A248" s="290"/>
      <c r="B248" s="186"/>
      <c r="C248" s="301"/>
      <c r="D248" s="404"/>
      <c r="E248" s="129"/>
      <c r="F248" s="125"/>
      <c r="G248" s="387"/>
      <c r="H248" s="376"/>
      <c r="I248" s="308"/>
      <c r="J248" s="315"/>
      <c r="K248" s="290"/>
      <c r="L248" s="290"/>
      <c r="M248" s="308"/>
      <c r="N248" s="308"/>
      <c r="O248" s="378"/>
      <c r="P248" s="186"/>
      <c r="Q248" s="311"/>
    </row>
    <row r="249" spans="1:17" ht="21.75" customHeight="1">
      <c r="A249" s="290"/>
      <c r="B249" s="382"/>
      <c r="C249" s="383"/>
      <c r="D249" s="404"/>
      <c r="E249" s="129"/>
      <c r="F249" s="125"/>
      <c r="G249" s="405"/>
      <c r="H249" s="376"/>
      <c r="I249" s="308"/>
      <c r="J249" s="315"/>
      <c r="K249" s="290"/>
      <c r="L249" s="290"/>
      <c r="M249" s="308"/>
      <c r="N249" s="308"/>
      <c r="O249" s="378"/>
      <c r="P249" s="309"/>
      <c r="Q249" s="311"/>
    </row>
    <row r="250" spans="1:17" ht="21.75" customHeight="1">
      <c r="A250" s="290"/>
      <c r="B250" s="406"/>
      <c r="C250" s="407"/>
      <c r="D250" s="404"/>
      <c r="E250" s="129"/>
      <c r="F250" s="125"/>
      <c r="G250" s="315"/>
      <c r="H250" s="376"/>
      <c r="I250" s="308"/>
      <c r="J250" s="315"/>
      <c r="K250" s="290"/>
      <c r="L250" s="290"/>
      <c r="M250" s="308"/>
      <c r="N250" s="308"/>
      <c r="O250" s="378"/>
      <c r="P250" s="186"/>
      <c r="Q250" s="311"/>
    </row>
    <row r="251" spans="1:17" ht="21.75" customHeight="1">
      <c r="A251" s="290"/>
      <c r="B251" s="382"/>
      <c r="C251" s="383"/>
      <c r="D251" s="404"/>
      <c r="E251" s="129"/>
      <c r="F251" s="125"/>
      <c r="G251" s="405"/>
      <c r="H251" s="376"/>
      <c r="I251" s="308"/>
      <c r="J251" s="315"/>
      <c r="K251" s="290"/>
      <c r="L251" s="290"/>
      <c r="M251" s="308"/>
      <c r="N251" s="308"/>
      <c r="O251" s="378"/>
      <c r="P251" s="309"/>
      <c r="Q251" s="311"/>
    </row>
    <row r="252" spans="1:17" ht="21.75" customHeight="1">
      <c r="A252" s="290"/>
      <c r="B252" s="406"/>
      <c r="C252" s="407"/>
      <c r="D252" s="404"/>
      <c r="E252" s="129"/>
      <c r="F252" s="125"/>
      <c r="G252" s="315"/>
      <c r="H252" s="376"/>
      <c r="I252" s="308"/>
      <c r="J252" s="315"/>
      <c r="K252" s="290"/>
      <c r="L252" s="290"/>
      <c r="M252" s="308"/>
      <c r="N252" s="308"/>
      <c r="O252" s="378"/>
      <c r="P252" s="186"/>
      <c r="Q252" s="311"/>
    </row>
    <row r="253" spans="1:17" ht="21.75" customHeight="1">
      <c r="A253" s="290"/>
      <c r="B253" s="382"/>
      <c r="C253" s="383"/>
      <c r="D253" s="302"/>
      <c r="E253" s="129"/>
      <c r="F253" s="125"/>
      <c r="G253" s="405"/>
      <c r="H253" s="376"/>
      <c r="I253" s="308"/>
      <c r="J253" s="315"/>
      <c r="K253" s="290"/>
      <c r="L253" s="290"/>
      <c r="M253" s="308"/>
      <c r="N253" s="308"/>
      <c r="O253" s="378"/>
      <c r="P253" s="309"/>
      <c r="Q253" s="408"/>
    </row>
    <row r="254" spans="1:17" ht="21.75" customHeight="1">
      <c r="A254" s="290"/>
      <c r="B254" s="186"/>
      <c r="C254" s="301"/>
      <c r="D254" s="302"/>
      <c r="E254" s="129"/>
      <c r="F254" s="125"/>
      <c r="G254" s="387"/>
      <c r="H254" s="376"/>
      <c r="I254" s="308"/>
      <c r="J254" s="315"/>
      <c r="K254" s="290"/>
      <c r="L254" s="290"/>
      <c r="M254" s="308"/>
      <c r="N254" s="308"/>
      <c r="O254" s="378"/>
      <c r="P254" s="186"/>
      <c r="Q254" s="311"/>
    </row>
    <row r="255" spans="1:17" ht="21.75" customHeight="1">
      <c r="A255" s="290"/>
      <c r="B255" s="382"/>
      <c r="C255" s="383"/>
      <c r="D255" s="302"/>
      <c r="E255" s="129"/>
      <c r="F255" s="125"/>
      <c r="G255" s="405"/>
      <c r="H255" s="376"/>
      <c r="I255" s="308"/>
      <c r="J255" s="315"/>
      <c r="K255" s="290"/>
      <c r="L255" s="290"/>
      <c r="M255" s="308"/>
      <c r="N255" s="308"/>
      <c r="O255" s="378"/>
      <c r="P255" s="309"/>
      <c r="Q255" s="408"/>
    </row>
    <row r="256" spans="1:17" ht="21.75" customHeight="1">
      <c r="A256" s="290"/>
      <c r="B256" s="382"/>
      <c r="C256" s="383"/>
      <c r="D256" s="302"/>
      <c r="E256" s="129"/>
      <c r="F256" s="125"/>
      <c r="G256" s="405"/>
      <c r="H256" s="376"/>
      <c r="I256" s="308"/>
      <c r="J256" s="315"/>
      <c r="K256" s="290"/>
      <c r="L256" s="290"/>
      <c r="M256" s="308"/>
      <c r="N256" s="308"/>
      <c r="O256" s="378"/>
      <c r="P256" s="309"/>
      <c r="Q256" s="137"/>
    </row>
    <row r="257" spans="1:17" ht="21.75" customHeight="1">
      <c r="A257" s="36"/>
      <c r="B257" s="104"/>
      <c r="C257" s="106"/>
      <c r="D257" s="106"/>
      <c r="E257" s="129"/>
      <c r="F257" s="125"/>
      <c r="G257" s="111"/>
      <c r="H257" s="176"/>
      <c r="I257" s="107"/>
      <c r="J257" s="111"/>
      <c r="K257" s="36"/>
      <c r="L257" s="36"/>
      <c r="M257" s="107"/>
      <c r="N257" s="107"/>
      <c r="O257" s="208"/>
      <c r="P257" s="104"/>
      <c r="Q257" s="104"/>
    </row>
    <row r="258" spans="1:17" ht="21.75" customHeight="1">
      <c r="A258" s="36"/>
      <c r="B258" s="104"/>
      <c r="C258" s="106"/>
      <c r="D258" s="106"/>
      <c r="E258" s="129"/>
      <c r="F258" s="125"/>
      <c r="G258" s="111"/>
      <c r="H258" s="176"/>
      <c r="I258" s="107"/>
      <c r="J258" s="111"/>
      <c r="K258" s="36"/>
      <c r="L258" s="36"/>
      <c r="M258" s="107"/>
      <c r="N258" s="107"/>
      <c r="O258" s="208"/>
      <c r="P258" s="104"/>
      <c r="Q258" s="104"/>
    </row>
    <row r="259" spans="1:17" ht="21.75" customHeight="1">
      <c r="A259" s="36"/>
      <c r="B259" s="104"/>
      <c r="C259" s="106"/>
      <c r="D259" s="106"/>
      <c r="E259" s="129"/>
      <c r="F259" s="125"/>
      <c r="G259" s="111"/>
      <c r="H259" s="176"/>
      <c r="I259" s="107"/>
      <c r="J259" s="111"/>
      <c r="K259" s="36"/>
      <c r="L259" s="36"/>
      <c r="M259" s="107"/>
      <c r="N259" s="107"/>
      <c r="O259" s="208"/>
      <c r="P259" s="104"/>
      <c r="Q259" s="104"/>
    </row>
    <row r="260" spans="1:17" ht="21.75" customHeight="1">
      <c r="A260" s="36"/>
      <c r="B260" s="104"/>
      <c r="C260" s="106"/>
      <c r="D260" s="106"/>
      <c r="E260" s="129"/>
      <c r="F260" s="125"/>
      <c r="G260" s="111"/>
      <c r="H260" s="176"/>
      <c r="I260" s="107"/>
      <c r="J260" s="111"/>
      <c r="K260" s="36"/>
      <c r="L260" s="36"/>
      <c r="M260" s="107"/>
      <c r="N260" s="107"/>
      <c r="O260" s="208"/>
      <c r="P260" s="104"/>
      <c r="Q260" s="104"/>
    </row>
    <row r="261" spans="1:17" ht="21.75" customHeight="1">
      <c r="A261" s="36"/>
      <c r="B261" s="104"/>
      <c r="C261" s="106"/>
      <c r="D261" s="106"/>
      <c r="E261" s="129"/>
      <c r="F261" s="125"/>
      <c r="G261" s="111"/>
      <c r="H261" s="176"/>
      <c r="I261" s="107"/>
      <c r="J261" s="111"/>
      <c r="K261" s="36"/>
      <c r="L261" s="36"/>
      <c r="M261" s="107"/>
      <c r="N261" s="107"/>
      <c r="O261" s="208"/>
      <c r="P261" s="104"/>
      <c r="Q261" s="104"/>
    </row>
    <row r="262" spans="1:17" ht="21.75" customHeight="1">
      <c r="A262" s="36"/>
      <c r="B262" s="104"/>
      <c r="C262" s="106"/>
      <c r="D262" s="106"/>
      <c r="E262" s="129"/>
      <c r="F262" s="125"/>
      <c r="G262" s="111"/>
      <c r="H262" s="176"/>
      <c r="I262" s="107"/>
      <c r="J262" s="111"/>
      <c r="K262" s="36"/>
      <c r="L262" s="36"/>
      <c r="M262" s="107"/>
      <c r="N262" s="107"/>
      <c r="O262" s="208"/>
      <c r="P262" s="104"/>
      <c r="Q262" s="104"/>
    </row>
    <row r="263" spans="1:17" ht="21.75" customHeight="1">
      <c r="A263" s="36"/>
      <c r="B263" s="104"/>
      <c r="C263" s="106"/>
      <c r="D263" s="106"/>
      <c r="E263" s="129"/>
      <c r="F263" s="125"/>
      <c r="G263" s="111"/>
      <c r="H263" s="176"/>
      <c r="I263" s="107"/>
      <c r="J263" s="111"/>
      <c r="K263" s="36"/>
      <c r="L263" s="36"/>
      <c r="M263" s="107"/>
      <c r="N263" s="107"/>
      <c r="O263" s="208"/>
      <c r="P263" s="104"/>
      <c r="Q263" s="104"/>
    </row>
    <row r="264" spans="1:17" ht="21.75" customHeight="1">
      <c r="A264" s="36"/>
      <c r="B264" s="104"/>
      <c r="C264" s="106"/>
      <c r="D264" s="106"/>
      <c r="E264" s="129"/>
      <c r="F264" s="125"/>
      <c r="G264" s="111"/>
      <c r="H264" s="176"/>
      <c r="I264" s="107"/>
      <c r="J264" s="111"/>
      <c r="K264" s="36"/>
      <c r="L264" s="36"/>
      <c r="M264" s="107"/>
      <c r="N264" s="107"/>
      <c r="O264" s="208"/>
      <c r="P264" s="104"/>
      <c r="Q264" s="104"/>
    </row>
    <row r="265" spans="1:17" ht="21.75" customHeight="1">
      <c r="A265" s="36"/>
      <c r="B265" s="104"/>
      <c r="C265" s="106"/>
      <c r="D265" s="106"/>
      <c r="E265" s="129"/>
      <c r="F265" s="125"/>
      <c r="G265" s="111"/>
      <c r="H265" s="176"/>
      <c r="I265" s="107"/>
      <c r="J265" s="111"/>
      <c r="K265" s="36"/>
      <c r="L265" s="36"/>
      <c r="M265" s="107"/>
      <c r="N265" s="107"/>
      <c r="O265" s="208"/>
      <c r="P265" s="104"/>
      <c r="Q265" s="104"/>
    </row>
    <row r="266" spans="1:17" ht="21.75" customHeight="1">
      <c r="A266" s="36"/>
      <c r="B266" s="104"/>
      <c r="C266" s="106"/>
      <c r="D266" s="106"/>
      <c r="E266" s="129"/>
      <c r="F266" s="125"/>
      <c r="G266" s="111"/>
      <c r="H266" s="176"/>
      <c r="I266" s="107"/>
      <c r="J266" s="111"/>
      <c r="K266" s="36"/>
      <c r="L266" s="36"/>
      <c r="M266" s="107"/>
      <c r="N266" s="107"/>
      <c r="O266" s="208"/>
      <c r="P266" s="104"/>
      <c r="Q266" s="104"/>
    </row>
    <row r="267" spans="1:17" ht="21.75" customHeight="1">
      <c r="A267" s="36"/>
      <c r="B267" s="104"/>
      <c r="C267" s="106"/>
      <c r="D267" s="106"/>
      <c r="E267" s="129"/>
      <c r="F267" s="125"/>
      <c r="G267" s="111"/>
      <c r="H267" s="176"/>
      <c r="I267" s="107"/>
      <c r="J267" s="111"/>
      <c r="K267" s="36"/>
      <c r="L267" s="36"/>
      <c r="M267" s="107"/>
      <c r="N267" s="107"/>
      <c r="O267" s="208"/>
      <c r="P267" s="104"/>
      <c r="Q267" s="104"/>
    </row>
    <row r="268" spans="1:17" ht="21.75" customHeight="1">
      <c r="A268" s="36"/>
      <c r="B268" s="104"/>
      <c r="C268" s="106"/>
      <c r="D268" s="106"/>
      <c r="E268" s="129"/>
      <c r="F268" s="125"/>
      <c r="G268" s="111"/>
      <c r="H268" s="176"/>
      <c r="I268" s="107"/>
      <c r="J268" s="111"/>
      <c r="K268" s="36"/>
      <c r="L268" s="36"/>
      <c r="M268" s="107"/>
      <c r="N268" s="107"/>
      <c r="O268" s="208"/>
      <c r="P268" s="104"/>
      <c r="Q268" s="104"/>
    </row>
    <row r="269" spans="1:17" ht="21.75" customHeight="1">
      <c r="A269" s="36"/>
      <c r="B269" s="104"/>
      <c r="C269" s="106"/>
      <c r="D269" s="106"/>
      <c r="E269" s="129"/>
      <c r="F269" s="125"/>
      <c r="G269" s="111"/>
      <c r="H269" s="176"/>
      <c r="I269" s="107"/>
      <c r="J269" s="111"/>
      <c r="K269" s="36"/>
      <c r="L269" s="36"/>
      <c r="M269" s="107"/>
      <c r="N269" s="107"/>
      <c r="O269" s="208"/>
      <c r="P269" s="104"/>
      <c r="Q269" s="104"/>
    </row>
    <row r="270" spans="1:17" ht="21.75" customHeight="1">
      <c r="A270" s="36"/>
      <c r="B270" s="104"/>
      <c r="C270" s="106"/>
      <c r="D270" s="106"/>
      <c r="E270" s="129"/>
      <c r="F270" s="125"/>
      <c r="G270" s="111"/>
      <c r="H270" s="176"/>
      <c r="I270" s="107"/>
      <c r="J270" s="111"/>
      <c r="K270" s="36"/>
      <c r="L270" s="36"/>
      <c r="M270" s="107"/>
      <c r="N270" s="107"/>
      <c r="O270" s="208"/>
      <c r="P270" s="104"/>
      <c r="Q270" s="104"/>
    </row>
    <row r="271" spans="1:17" ht="21.75" customHeight="1">
      <c r="A271" s="36"/>
      <c r="B271" s="104"/>
      <c r="C271" s="106"/>
      <c r="D271" s="106"/>
      <c r="E271" s="129"/>
      <c r="F271" s="125"/>
      <c r="G271" s="111"/>
      <c r="H271" s="176"/>
      <c r="I271" s="107"/>
      <c r="J271" s="111"/>
      <c r="K271" s="36"/>
      <c r="L271" s="36"/>
      <c r="M271" s="107"/>
      <c r="N271" s="107"/>
      <c r="O271" s="208"/>
      <c r="P271" s="104"/>
      <c r="Q271" s="104"/>
    </row>
    <row r="272" spans="1:17" ht="21.75" customHeight="1">
      <c r="A272" s="36"/>
      <c r="B272" s="104"/>
      <c r="C272" s="106"/>
      <c r="D272" s="106"/>
      <c r="E272" s="129"/>
      <c r="F272" s="125"/>
      <c r="G272" s="111"/>
      <c r="H272" s="176"/>
      <c r="I272" s="107"/>
      <c r="J272" s="111"/>
      <c r="K272" s="36"/>
      <c r="L272" s="36"/>
      <c r="M272" s="107"/>
      <c r="N272" s="107"/>
      <c r="O272" s="208"/>
      <c r="P272" s="104"/>
      <c r="Q272" s="104"/>
    </row>
    <row r="273" spans="1:17" ht="21.75" customHeight="1">
      <c r="A273" s="36"/>
      <c r="B273" s="104"/>
      <c r="C273" s="106"/>
      <c r="D273" s="106"/>
      <c r="E273" s="129"/>
      <c r="F273" s="125"/>
      <c r="G273" s="111"/>
      <c r="H273" s="176"/>
      <c r="I273" s="107"/>
      <c r="J273" s="111"/>
      <c r="K273" s="36"/>
      <c r="L273" s="36"/>
      <c r="M273" s="107"/>
      <c r="N273" s="107"/>
      <c r="O273" s="208"/>
      <c r="P273" s="104"/>
      <c r="Q273" s="104"/>
    </row>
    <row r="274" spans="1:17" ht="21.75" customHeight="1">
      <c r="A274" s="36"/>
      <c r="B274" s="104"/>
      <c r="C274" s="106"/>
      <c r="D274" s="106"/>
      <c r="E274" s="129"/>
      <c r="F274" s="125"/>
      <c r="G274" s="111"/>
      <c r="H274" s="176"/>
      <c r="I274" s="107"/>
      <c r="J274" s="111"/>
      <c r="K274" s="36"/>
      <c r="L274" s="36"/>
      <c r="M274" s="107"/>
      <c r="N274" s="107"/>
      <c r="O274" s="208"/>
      <c r="P274" s="104"/>
      <c r="Q274" s="104"/>
    </row>
    <row r="275" spans="1:17" ht="21.75" customHeight="1">
      <c r="A275" s="36"/>
      <c r="B275" s="104"/>
      <c r="C275" s="106"/>
      <c r="D275" s="106"/>
      <c r="E275" s="129"/>
      <c r="F275" s="125"/>
      <c r="G275" s="111"/>
      <c r="H275" s="176"/>
      <c r="I275" s="107"/>
      <c r="J275" s="111"/>
      <c r="K275" s="36"/>
      <c r="L275" s="36"/>
      <c r="M275" s="107"/>
      <c r="N275" s="107"/>
      <c r="O275" s="208"/>
      <c r="P275" s="104"/>
      <c r="Q275" s="104"/>
    </row>
    <row r="276" spans="1:17" ht="21.75" customHeight="1">
      <c r="A276" s="36"/>
      <c r="B276" s="104"/>
      <c r="C276" s="106"/>
      <c r="D276" s="106"/>
      <c r="E276" s="129"/>
      <c r="F276" s="125"/>
      <c r="G276" s="111"/>
      <c r="H276" s="176"/>
      <c r="I276" s="107"/>
      <c r="J276" s="111"/>
      <c r="K276" s="36"/>
      <c r="L276" s="36"/>
      <c r="M276" s="107"/>
      <c r="N276" s="107"/>
      <c r="O276" s="208"/>
      <c r="P276" s="104"/>
      <c r="Q276" s="104"/>
    </row>
    <row r="277" spans="1:17" ht="21.75" customHeight="1">
      <c r="A277" s="36"/>
      <c r="B277" s="104"/>
      <c r="C277" s="106"/>
      <c r="D277" s="106"/>
      <c r="E277" s="129"/>
      <c r="F277" s="125"/>
      <c r="G277" s="111"/>
      <c r="H277" s="176"/>
      <c r="I277" s="107"/>
      <c r="J277" s="111"/>
      <c r="K277" s="36"/>
      <c r="L277" s="36"/>
      <c r="M277" s="107"/>
      <c r="N277" s="107"/>
      <c r="O277" s="208"/>
      <c r="P277" s="104"/>
      <c r="Q277" s="104"/>
    </row>
    <row r="278" spans="1:17" ht="21.75" customHeight="1">
      <c r="A278" s="36"/>
      <c r="B278" s="104"/>
      <c r="C278" s="106"/>
      <c r="D278" s="106"/>
      <c r="E278" s="129"/>
      <c r="F278" s="125"/>
      <c r="G278" s="111"/>
      <c r="H278" s="176"/>
      <c r="I278" s="107"/>
      <c r="J278" s="111"/>
      <c r="K278" s="36"/>
      <c r="L278" s="36"/>
      <c r="M278" s="107"/>
      <c r="N278" s="107"/>
      <c r="O278" s="208"/>
      <c r="P278" s="104"/>
      <c r="Q278" s="104"/>
    </row>
    <row r="279" spans="1:17" ht="21.75" customHeight="1">
      <c r="A279" s="36"/>
      <c r="B279" s="104"/>
      <c r="C279" s="106"/>
      <c r="D279" s="106"/>
      <c r="E279" s="129"/>
      <c r="F279" s="125"/>
      <c r="G279" s="111"/>
      <c r="H279" s="176"/>
      <c r="I279" s="107"/>
      <c r="J279" s="111"/>
      <c r="K279" s="36"/>
      <c r="L279" s="36"/>
      <c r="M279" s="107"/>
      <c r="N279" s="107"/>
      <c r="O279" s="208"/>
      <c r="P279" s="104"/>
      <c r="Q279" s="104"/>
    </row>
    <row r="280" spans="1:17" ht="21.75" customHeight="1">
      <c r="A280" s="36"/>
      <c r="B280" s="104"/>
      <c r="C280" s="106"/>
      <c r="D280" s="106"/>
      <c r="E280" s="129"/>
      <c r="F280" s="125"/>
      <c r="G280" s="111"/>
      <c r="H280" s="176"/>
      <c r="I280" s="107"/>
      <c r="J280" s="111"/>
      <c r="K280" s="36"/>
      <c r="L280" s="36"/>
      <c r="M280" s="107"/>
      <c r="N280" s="107"/>
      <c r="O280" s="208"/>
      <c r="P280" s="104"/>
      <c r="Q280" s="104"/>
    </row>
    <row r="281" spans="1:17" ht="21.75" customHeight="1">
      <c r="A281" s="36"/>
      <c r="B281" s="104"/>
      <c r="C281" s="106"/>
      <c r="D281" s="106"/>
      <c r="E281" s="129"/>
      <c r="F281" s="125"/>
      <c r="G281" s="111"/>
      <c r="H281" s="176"/>
      <c r="I281" s="107"/>
      <c r="J281" s="111"/>
      <c r="K281" s="36"/>
      <c r="L281" s="36"/>
      <c r="M281" s="107"/>
      <c r="N281" s="107"/>
      <c r="O281" s="208"/>
      <c r="P281" s="104"/>
      <c r="Q281" s="104"/>
    </row>
    <row r="282" spans="1:17" ht="21.75" customHeight="1">
      <c r="A282" s="36"/>
      <c r="B282" s="104"/>
      <c r="C282" s="106"/>
      <c r="D282" s="106"/>
      <c r="E282" s="129"/>
      <c r="F282" s="125"/>
      <c r="G282" s="111"/>
      <c r="H282" s="176"/>
      <c r="I282" s="107"/>
      <c r="J282" s="111"/>
      <c r="K282" s="36"/>
      <c r="L282" s="36"/>
      <c r="M282" s="107"/>
      <c r="N282" s="107"/>
      <c r="O282" s="208"/>
      <c r="P282" s="104"/>
      <c r="Q282" s="104"/>
    </row>
    <row r="283" spans="1:17" ht="21.75" customHeight="1">
      <c r="A283" s="36"/>
      <c r="B283" s="104"/>
      <c r="C283" s="106"/>
      <c r="D283" s="106"/>
      <c r="E283" s="129"/>
      <c r="F283" s="125"/>
      <c r="G283" s="111"/>
      <c r="H283" s="176"/>
      <c r="I283" s="107"/>
      <c r="J283" s="111"/>
      <c r="K283" s="36"/>
      <c r="L283" s="36"/>
      <c r="M283" s="107"/>
      <c r="N283" s="107"/>
      <c r="O283" s="208"/>
      <c r="P283" s="104"/>
      <c r="Q283" s="104"/>
    </row>
    <row r="284" spans="1:17" ht="21.75" customHeight="1">
      <c r="A284" s="36"/>
      <c r="B284" s="104"/>
      <c r="C284" s="106"/>
      <c r="D284" s="106"/>
      <c r="E284" s="129"/>
      <c r="F284" s="125"/>
      <c r="G284" s="111"/>
      <c r="H284" s="176"/>
      <c r="I284" s="107"/>
      <c r="J284" s="111"/>
      <c r="K284" s="36"/>
      <c r="L284" s="36"/>
      <c r="M284" s="107"/>
      <c r="N284" s="107"/>
      <c r="O284" s="208"/>
      <c r="P284" s="104"/>
      <c r="Q284" s="104"/>
    </row>
    <row r="285" spans="1:17" ht="21.75" customHeight="1">
      <c r="A285" s="36"/>
      <c r="B285" s="104"/>
      <c r="C285" s="106"/>
      <c r="D285" s="106"/>
      <c r="E285" s="129"/>
      <c r="F285" s="125"/>
      <c r="G285" s="111"/>
      <c r="H285" s="176"/>
      <c r="I285" s="107"/>
      <c r="J285" s="111"/>
      <c r="K285" s="36"/>
      <c r="L285" s="36"/>
      <c r="M285" s="107"/>
      <c r="N285" s="107"/>
      <c r="O285" s="208"/>
      <c r="P285" s="104"/>
      <c r="Q285" s="104"/>
    </row>
    <row r="286" spans="1:17" ht="21.75" customHeight="1">
      <c r="A286" s="36"/>
      <c r="B286" s="104"/>
      <c r="C286" s="106"/>
      <c r="D286" s="106"/>
      <c r="E286" s="129"/>
      <c r="F286" s="125"/>
      <c r="G286" s="111"/>
      <c r="H286" s="176"/>
      <c r="I286" s="107"/>
      <c r="J286" s="111"/>
      <c r="K286" s="36"/>
      <c r="L286" s="36"/>
      <c r="M286" s="107"/>
      <c r="N286" s="107"/>
      <c r="O286" s="208"/>
      <c r="P286" s="104"/>
      <c r="Q286" s="104"/>
    </row>
    <row r="287" spans="1:17" ht="21.75" customHeight="1">
      <c r="A287" s="36"/>
      <c r="B287" s="104"/>
      <c r="C287" s="106"/>
      <c r="D287" s="106"/>
      <c r="E287" s="129"/>
      <c r="F287" s="125"/>
      <c r="G287" s="111"/>
      <c r="H287" s="176"/>
      <c r="I287" s="107"/>
      <c r="J287" s="111"/>
      <c r="K287" s="36"/>
      <c r="L287" s="36"/>
      <c r="M287" s="107"/>
      <c r="N287" s="107"/>
      <c r="O287" s="208"/>
      <c r="P287" s="104"/>
      <c r="Q287" s="104"/>
    </row>
    <row r="288" spans="1:17" ht="21.75" customHeight="1">
      <c r="A288" s="36"/>
      <c r="B288" s="104"/>
      <c r="C288" s="106"/>
      <c r="D288" s="106"/>
      <c r="E288" s="129"/>
      <c r="F288" s="125"/>
      <c r="G288" s="111"/>
      <c r="H288" s="176"/>
      <c r="I288" s="107"/>
      <c r="J288" s="111"/>
      <c r="K288" s="36"/>
      <c r="L288" s="36"/>
      <c r="M288" s="107"/>
      <c r="N288" s="107"/>
      <c r="O288" s="208"/>
      <c r="P288" s="104"/>
      <c r="Q288" s="104"/>
    </row>
    <row r="289" spans="1:17" ht="21.75" customHeight="1">
      <c r="A289" s="36"/>
      <c r="B289" s="104"/>
      <c r="C289" s="106"/>
      <c r="D289" s="106"/>
      <c r="E289" s="129"/>
      <c r="F289" s="125"/>
      <c r="G289" s="111"/>
      <c r="H289" s="176"/>
      <c r="I289" s="107"/>
      <c r="J289" s="111"/>
      <c r="K289" s="36"/>
      <c r="L289" s="36"/>
      <c r="M289" s="107"/>
      <c r="N289" s="107"/>
      <c r="O289" s="208"/>
      <c r="P289" s="104"/>
      <c r="Q289" s="104"/>
    </row>
    <row r="290" spans="1:17" ht="21.75" customHeight="1">
      <c r="A290" s="36"/>
      <c r="B290" s="104"/>
      <c r="C290" s="106"/>
      <c r="D290" s="106"/>
      <c r="E290" s="129"/>
      <c r="F290" s="125"/>
      <c r="G290" s="111"/>
      <c r="H290" s="176"/>
      <c r="I290" s="107"/>
      <c r="J290" s="111"/>
      <c r="K290" s="36"/>
      <c r="L290" s="36"/>
      <c r="M290" s="107"/>
      <c r="N290" s="107"/>
      <c r="O290" s="208"/>
      <c r="P290" s="104"/>
      <c r="Q290" s="104"/>
    </row>
    <row r="291" spans="1:17" ht="21.75" customHeight="1">
      <c r="A291" s="36"/>
      <c r="B291" s="104"/>
      <c r="C291" s="106"/>
      <c r="D291" s="106"/>
      <c r="E291" s="129"/>
      <c r="F291" s="125"/>
      <c r="G291" s="111"/>
      <c r="H291" s="176"/>
      <c r="I291" s="107"/>
      <c r="J291" s="111"/>
      <c r="K291" s="36"/>
      <c r="L291" s="36"/>
      <c r="M291" s="107"/>
      <c r="N291" s="107"/>
      <c r="O291" s="208"/>
      <c r="P291" s="104"/>
      <c r="Q291" s="104"/>
    </row>
    <row r="292" spans="1:17" ht="21.75" customHeight="1">
      <c r="A292" s="36"/>
      <c r="B292" s="104"/>
      <c r="C292" s="106"/>
      <c r="D292" s="106"/>
      <c r="E292" s="129"/>
      <c r="F292" s="125"/>
      <c r="G292" s="111"/>
      <c r="H292" s="176"/>
      <c r="I292" s="107"/>
      <c r="J292" s="111"/>
      <c r="K292" s="36"/>
      <c r="L292" s="36"/>
      <c r="M292" s="107"/>
      <c r="N292" s="107"/>
      <c r="O292" s="208"/>
      <c r="P292" s="104"/>
      <c r="Q292" s="104"/>
    </row>
    <row r="293" spans="1:17" ht="21.75" customHeight="1">
      <c r="A293" s="36"/>
      <c r="B293" s="104"/>
      <c r="C293" s="106"/>
      <c r="D293" s="106"/>
      <c r="E293" s="129"/>
      <c r="F293" s="125"/>
      <c r="G293" s="111"/>
      <c r="H293" s="176"/>
      <c r="I293" s="107"/>
      <c r="J293" s="111"/>
      <c r="K293" s="36"/>
      <c r="L293" s="36"/>
      <c r="M293" s="107"/>
      <c r="N293" s="107"/>
      <c r="O293" s="208"/>
      <c r="P293" s="104"/>
      <c r="Q293" s="104"/>
    </row>
    <row r="294" spans="1:17" ht="21.75" customHeight="1">
      <c r="A294" s="36"/>
      <c r="B294" s="104"/>
      <c r="C294" s="106"/>
      <c r="D294" s="106"/>
      <c r="E294" s="129"/>
      <c r="F294" s="125"/>
      <c r="G294" s="111"/>
      <c r="H294" s="176"/>
      <c r="I294" s="107"/>
      <c r="J294" s="111"/>
      <c r="K294" s="36"/>
      <c r="L294" s="36"/>
      <c r="M294" s="107"/>
      <c r="N294" s="107"/>
      <c r="O294" s="208"/>
      <c r="P294" s="104"/>
      <c r="Q294" s="104"/>
    </row>
    <row r="295" spans="1:17" ht="21.75" customHeight="1">
      <c r="A295" s="36"/>
      <c r="B295" s="104"/>
      <c r="C295" s="106"/>
      <c r="D295" s="106"/>
      <c r="E295" s="129"/>
      <c r="F295" s="125"/>
      <c r="G295" s="111"/>
      <c r="H295" s="176"/>
      <c r="I295" s="107"/>
      <c r="J295" s="111"/>
      <c r="K295" s="36"/>
      <c r="L295" s="36"/>
      <c r="M295" s="107"/>
      <c r="N295" s="107"/>
      <c r="O295" s="208"/>
      <c r="P295" s="104"/>
      <c r="Q295" s="104"/>
    </row>
    <row r="296" spans="1:17" ht="21.75" customHeight="1">
      <c r="A296" s="36"/>
      <c r="B296" s="104"/>
      <c r="C296" s="106"/>
      <c r="D296" s="106"/>
      <c r="E296" s="129"/>
      <c r="F296" s="125"/>
      <c r="G296" s="111"/>
      <c r="H296" s="176"/>
      <c r="I296" s="107"/>
      <c r="J296" s="111"/>
      <c r="K296" s="36"/>
      <c r="L296" s="36"/>
      <c r="M296" s="107"/>
      <c r="N296" s="107"/>
      <c r="O296" s="208"/>
      <c r="P296" s="104"/>
      <c r="Q296" s="104"/>
    </row>
    <row r="297" spans="1:17" ht="21.75" customHeight="1">
      <c r="A297" s="36"/>
      <c r="B297" s="104"/>
      <c r="C297" s="106"/>
      <c r="D297" s="106"/>
      <c r="E297" s="129"/>
      <c r="F297" s="125"/>
      <c r="G297" s="111"/>
      <c r="H297" s="176"/>
      <c r="I297" s="107"/>
      <c r="J297" s="111"/>
      <c r="K297" s="36"/>
      <c r="L297" s="36"/>
      <c r="M297" s="107"/>
      <c r="N297" s="107"/>
      <c r="O297" s="208"/>
      <c r="P297" s="104"/>
      <c r="Q297" s="104"/>
    </row>
    <row r="298" spans="1:17" ht="21.75" customHeight="1">
      <c r="A298" s="36"/>
      <c r="B298" s="104"/>
      <c r="C298" s="106"/>
      <c r="D298" s="106"/>
      <c r="E298" s="129"/>
      <c r="F298" s="125"/>
      <c r="G298" s="111"/>
      <c r="H298" s="176"/>
      <c r="I298" s="107"/>
      <c r="J298" s="111"/>
      <c r="K298" s="36"/>
      <c r="L298" s="36"/>
      <c r="M298" s="107"/>
      <c r="N298" s="107"/>
      <c r="O298" s="208"/>
      <c r="P298" s="104"/>
      <c r="Q298" s="104"/>
    </row>
    <row r="299" spans="1:17" ht="21.75" customHeight="1">
      <c r="A299" s="36"/>
      <c r="B299" s="104"/>
      <c r="C299" s="106"/>
      <c r="D299" s="106"/>
      <c r="E299" s="129"/>
      <c r="F299" s="125"/>
      <c r="G299" s="111"/>
      <c r="H299" s="176"/>
      <c r="I299" s="107"/>
      <c r="J299" s="111"/>
      <c r="K299" s="36"/>
      <c r="L299" s="36"/>
      <c r="M299" s="107"/>
      <c r="N299" s="107"/>
      <c r="O299" s="208"/>
      <c r="P299" s="104"/>
      <c r="Q299" s="104"/>
    </row>
    <row r="300" spans="1:17" ht="21.75" customHeight="1">
      <c r="A300" s="36"/>
      <c r="B300" s="104"/>
      <c r="C300" s="106"/>
      <c r="D300" s="106"/>
      <c r="E300" s="129"/>
      <c r="F300" s="125"/>
      <c r="G300" s="111"/>
      <c r="H300" s="176"/>
      <c r="I300" s="107"/>
      <c r="J300" s="111"/>
      <c r="K300" s="36"/>
      <c r="L300" s="36"/>
      <c r="M300" s="107"/>
      <c r="N300" s="107"/>
      <c r="O300" s="208"/>
      <c r="P300" s="104"/>
      <c r="Q300" s="104"/>
    </row>
    <row r="301" spans="1:17" ht="21.75" customHeight="1">
      <c r="A301" s="36"/>
      <c r="B301" s="104"/>
      <c r="C301" s="106"/>
      <c r="D301" s="106"/>
      <c r="E301" s="129"/>
      <c r="F301" s="125"/>
      <c r="G301" s="111"/>
      <c r="H301" s="176"/>
      <c r="I301" s="107"/>
      <c r="J301" s="111"/>
      <c r="K301" s="36"/>
      <c r="L301" s="36"/>
      <c r="M301" s="107"/>
      <c r="N301" s="107"/>
      <c r="O301" s="208"/>
      <c r="P301" s="104"/>
      <c r="Q301" s="104"/>
    </row>
    <row r="302" spans="1:17" ht="21.75" customHeight="1">
      <c r="A302" s="36"/>
      <c r="B302" s="104"/>
      <c r="C302" s="106"/>
      <c r="D302" s="106"/>
      <c r="E302" s="129"/>
      <c r="F302" s="125"/>
      <c r="G302" s="111"/>
      <c r="H302" s="176"/>
      <c r="I302" s="107"/>
      <c r="J302" s="111"/>
      <c r="K302" s="36"/>
      <c r="L302" s="36"/>
      <c r="M302" s="107"/>
      <c r="N302" s="107"/>
      <c r="O302" s="208"/>
      <c r="P302" s="104"/>
      <c r="Q302" s="104"/>
    </row>
    <row r="303" spans="1:17" ht="21.75" customHeight="1">
      <c r="A303" s="36"/>
      <c r="B303" s="104"/>
      <c r="C303" s="106"/>
      <c r="D303" s="106"/>
      <c r="E303" s="129"/>
      <c r="F303" s="125"/>
      <c r="G303" s="111"/>
      <c r="H303" s="176"/>
      <c r="I303" s="107"/>
      <c r="J303" s="111"/>
      <c r="K303" s="36"/>
      <c r="L303" s="36"/>
      <c r="M303" s="107"/>
      <c r="N303" s="107"/>
      <c r="O303" s="208"/>
      <c r="P303" s="104"/>
      <c r="Q303" s="104"/>
    </row>
    <row r="304" spans="1:17" ht="21.75" customHeight="1">
      <c r="A304" s="36"/>
      <c r="B304" s="104"/>
      <c r="C304" s="106"/>
      <c r="D304" s="106"/>
      <c r="E304" s="129"/>
      <c r="F304" s="125"/>
      <c r="G304" s="111"/>
      <c r="H304" s="176"/>
      <c r="I304" s="107"/>
      <c r="J304" s="111"/>
      <c r="K304" s="36"/>
      <c r="L304" s="36"/>
      <c r="M304" s="107"/>
      <c r="N304" s="107"/>
      <c r="O304" s="208"/>
      <c r="P304" s="104"/>
      <c r="Q304" s="104"/>
    </row>
    <row r="305" spans="1:17" ht="21.75" customHeight="1">
      <c r="A305" s="36"/>
      <c r="B305" s="104"/>
      <c r="C305" s="106"/>
      <c r="D305" s="106"/>
      <c r="E305" s="129"/>
      <c r="F305" s="125"/>
      <c r="G305" s="111"/>
      <c r="H305" s="176"/>
      <c r="I305" s="107"/>
      <c r="J305" s="111"/>
      <c r="K305" s="36"/>
      <c r="L305" s="36"/>
      <c r="M305" s="107"/>
      <c r="N305" s="107"/>
      <c r="O305" s="208"/>
      <c r="P305" s="104"/>
      <c r="Q305" s="104"/>
    </row>
    <row r="306" spans="1:17" ht="21.75" customHeight="1">
      <c r="A306" s="36"/>
      <c r="B306" s="104"/>
      <c r="C306" s="106"/>
      <c r="D306" s="106"/>
      <c r="E306" s="129"/>
      <c r="F306" s="125"/>
      <c r="G306" s="111"/>
      <c r="H306" s="176"/>
      <c r="I306" s="107"/>
      <c r="J306" s="111"/>
      <c r="K306" s="36"/>
      <c r="L306" s="36"/>
      <c r="M306" s="107"/>
      <c r="N306" s="107"/>
      <c r="O306" s="208"/>
      <c r="P306" s="104"/>
      <c r="Q306" s="104"/>
    </row>
    <row r="307" spans="1:17" ht="21.75" customHeight="1">
      <c r="A307" s="36"/>
      <c r="B307" s="104"/>
      <c r="C307" s="106"/>
      <c r="D307" s="106"/>
      <c r="E307" s="129"/>
      <c r="F307" s="125"/>
      <c r="G307" s="111"/>
      <c r="H307" s="176"/>
      <c r="I307" s="107"/>
      <c r="J307" s="111"/>
      <c r="K307" s="36"/>
      <c r="L307" s="36"/>
      <c r="M307" s="107"/>
      <c r="N307" s="107"/>
      <c r="O307" s="208"/>
      <c r="P307" s="104"/>
      <c r="Q307" s="104"/>
    </row>
    <row r="308" spans="1:17" ht="21.75" customHeight="1">
      <c r="A308" s="36"/>
      <c r="B308" s="104"/>
      <c r="C308" s="106"/>
      <c r="D308" s="106"/>
      <c r="E308" s="129"/>
      <c r="F308" s="125"/>
      <c r="G308" s="111"/>
      <c r="H308" s="176"/>
      <c r="I308" s="107"/>
      <c r="J308" s="111"/>
      <c r="K308" s="36"/>
      <c r="L308" s="36"/>
      <c r="M308" s="107"/>
      <c r="N308" s="107"/>
      <c r="O308" s="208"/>
      <c r="P308" s="104"/>
      <c r="Q308" s="104"/>
    </row>
    <row r="309" spans="1:17" ht="21.75" customHeight="1">
      <c r="A309" s="36"/>
      <c r="B309" s="104"/>
      <c r="C309" s="106"/>
      <c r="D309" s="106"/>
      <c r="E309" s="129"/>
      <c r="F309" s="125"/>
      <c r="G309" s="111"/>
      <c r="H309" s="176"/>
      <c r="I309" s="107"/>
      <c r="J309" s="111"/>
      <c r="K309" s="36"/>
      <c r="L309" s="36"/>
      <c r="M309" s="107"/>
      <c r="N309" s="107"/>
      <c r="O309" s="208"/>
      <c r="P309" s="104"/>
      <c r="Q309" s="104"/>
    </row>
    <row r="310" spans="1:17" ht="21.75" customHeight="1">
      <c r="A310" s="36"/>
      <c r="B310" s="104"/>
      <c r="C310" s="106"/>
      <c r="D310" s="106"/>
      <c r="E310" s="129"/>
      <c r="F310" s="125"/>
      <c r="G310" s="111"/>
      <c r="H310" s="176"/>
      <c r="I310" s="107"/>
      <c r="J310" s="111"/>
      <c r="K310" s="36"/>
      <c r="L310" s="36"/>
      <c r="M310" s="107"/>
      <c r="N310" s="107"/>
      <c r="O310" s="208"/>
      <c r="P310" s="104"/>
      <c r="Q310" s="104"/>
    </row>
    <row r="311" spans="1:17" ht="21.75" customHeight="1">
      <c r="A311" s="36"/>
      <c r="B311" s="104"/>
      <c r="C311" s="106"/>
      <c r="D311" s="106"/>
      <c r="E311" s="129"/>
      <c r="F311" s="125"/>
      <c r="G311" s="111"/>
      <c r="H311" s="176"/>
      <c r="I311" s="107"/>
      <c r="J311" s="111"/>
      <c r="K311" s="36"/>
      <c r="L311" s="36"/>
      <c r="M311" s="107"/>
      <c r="N311" s="107"/>
      <c r="O311" s="208"/>
      <c r="P311" s="104"/>
      <c r="Q311" s="104"/>
    </row>
    <row r="312" spans="1:17" ht="21.75" customHeight="1">
      <c r="A312" s="36"/>
      <c r="B312" s="104"/>
      <c r="C312" s="106"/>
      <c r="D312" s="106"/>
      <c r="E312" s="129"/>
      <c r="F312" s="125"/>
      <c r="G312" s="111"/>
      <c r="H312" s="176"/>
      <c r="I312" s="107"/>
      <c r="J312" s="111"/>
      <c r="K312" s="36"/>
      <c r="L312" s="36"/>
      <c r="M312" s="107"/>
      <c r="N312" s="107"/>
      <c r="O312" s="208"/>
      <c r="P312" s="104"/>
      <c r="Q312" s="104"/>
    </row>
    <row r="313" spans="1:17" ht="21.75" customHeight="1">
      <c r="A313" s="36"/>
      <c r="B313" s="104"/>
      <c r="C313" s="106"/>
      <c r="D313" s="106"/>
      <c r="E313" s="129"/>
      <c r="F313" s="125"/>
      <c r="G313" s="111"/>
      <c r="H313" s="176"/>
      <c r="I313" s="107"/>
      <c r="J313" s="111"/>
      <c r="K313" s="36"/>
      <c r="L313" s="36"/>
      <c r="M313" s="107"/>
      <c r="N313" s="107"/>
      <c r="O313" s="208"/>
      <c r="P313" s="104"/>
      <c r="Q313" s="104"/>
    </row>
    <row r="314" spans="1:17" ht="21.75" customHeight="1">
      <c r="A314" s="36"/>
      <c r="B314" s="104"/>
      <c r="C314" s="106"/>
      <c r="D314" s="106"/>
      <c r="E314" s="129"/>
      <c r="F314" s="125"/>
      <c r="G314" s="111"/>
      <c r="H314" s="176"/>
      <c r="I314" s="107"/>
      <c r="J314" s="111"/>
      <c r="K314" s="36"/>
      <c r="L314" s="36"/>
      <c r="M314" s="107"/>
      <c r="N314" s="107"/>
      <c r="O314" s="208"/>
      <c r="P314" s="104"/>
      <c r="Q314" s="104"/>
    </row>
    <row r="315" spans="1:17" ht="21.75" customHeight="1">
      <c r="A315" s="36"/>
      <c r="B315" s="104"/>
      <c r="C315" s="106"/>
      <c r="D315" s="106"/>
      <c r="E315" s="129"/>
      <c r="F315" s="125"/>
      <c r="G315" s="111"/>
      <c r="H315" s="176"/>
      <c r="I315" s="107"/>
      <c r="J315" s="111"/>
      <c r="K315" s="36"/>
      <c r="L315" s="36"/>
      <c r="M315" s="107"/>
      <c r="N315" s="107"/>
      <c r="O315" s="208"/>
      <c r="P315" s="104"/>
      <c r="Q315" s="104"/>
    </row>
    <row r="316" spans="1:17" ht="21.75" customHeight="1">
      <c r="A316" s="36"/>
      <c r="B316" s="104"/>
      <c r="C316" s="106"/>
      <c r="D316" s="106"/>
      <c r="E316" s="129"/>
      <c r="F316" s="125"/>
      <c r="G316" s="111"/>
      <c r="H316" s="176"/>
      <c r="I316" s="107"/>
      <c r="J316" s="111"/>
      <c r="K316" s="36"/>
      <c r="L316" s="36"/>
      <c r="M316" s="107"/>
      <c r="N316" s="107"/>
      <c r="O316" s="208"/>
      <c r="P316" s="104"/>
      <c r="Q316" s="104"/>
    </row>
    <row r="317" spans="1:17" ht="21.75" customHeight="1">
      <c r="A317" s="36"/>
      <c r="B317" s="104"/>
      <c r="C317" s="106"/>
      <c r="D317" s="106"/>
      <c r="E317" s="129"/>
      <c r="F317" s="125"/>
      <c r="G317" s="111"/>
      <c r="H317" s="176"/>
      <c r="I317" s="107"/>
      <c r="J317" s="111"/>
      <c r="K317" s="36"/>
      <c r="L317" s="36"/>
      <c r="M317" s="107"/>
      <c r="N317" s="107"/>
      <c r="O317" s="208"/>
      <c r="P317" s="104"/>
      <c r="Q317" s="104"/>
    </row>
    <row r="318" spans="1:17" ht="21.75" customHeight="1">
      <c r="A318" s="36"/>
      <c r="B318" s="104"/>
      <c r="C318" s="106"/>
      <c r="D318" s="106"/>
      <c r="E318" s="129"/>
      <c r="F318" s="125"/>
      <c r="G318" s="111"/>
      <c r="H318" s="176"/>
      <c r="I318" s="107"/>
      <c r="J318" s="111"/>
      <c r="K318" s="36"/>
      <c r="L318" s="36"/>
      <c r="M318" s="107"/>
      <c r="N318" s="107"/>
      <c r="O318" s="208"/>
      <c r="P318" s="104"/>
      <c r="Q318" s="104"/>
    </row>
    <row r="319" spans="1:17" ht="21.75" customHeight="1">
      <c r="A319" s="36"/>
      <c r="B319" s="104"/>
      <c r="C319" s="106"/>
      <c r="D319" s="106"/>
      <c r="E319" s="129"/>
      <c r="F319" s="125"/>
      <c r="G319" s="111"/>
      <c r="H319" s="176"/>
      <c r="I319" s="107"/>
      <c r="J319" s="111"/>
      <c r="K319" s="36"/>
      <c r="L319" s="36"/>
      <c r="M319" s="107"/>
      <c r="N319" s="107"/>
      <c r="O319" s="208"/>
      <c r="P319" s="104"/>
      <c r="Q319" s="104"/>
    </row>
    <row r="320" spans="1:17" ht="21.75" customHeight="1">
      <c r="A320" s="36"/>
      <c r="B320" s="104"/>
      <c r="C320" s="106"/>
      <c r="D320" s="106"/>
      <c r="E320" s="129"/>
      <c r="F320" s="125"/>
      <c r="G320" s="111"/>
      <c r="H320" s="176"/>
      <c r="I320" s="107"/>
      <c r="J320" s="111"/>
      <c r="K320" s="36"/>
      <c r="L320" s="36"/>
      <c r="M320" s="107"/>
      <c r="N320" s="107"/>
      <c r="O320" s="208"/>
      <c r="P320" s="104"/>
      <c r="Q320" s="104"/>
    </row>
    <row r="321" spans="1:17" ht="21.75" customHeight="1">
      <c r="A321" s="36"/>
      <c r="B321" s="104"/>
      <c r="C321" s="106"/>
      <c r="D321" s="106"/>
      <c r="E321" s="129"/>
      <c r="F321" s="125"/>
      <c r="G321" s="111"/>
      <c r="H321" s="176"/>
      <c r="I321" s="107"/>
      <c r="J321" s="111"/>
      <c r="K321" s="36"/>
      <c r="L321" s="36"/>
      <c r="M321" s="107"/>
      <c r="N321" s="107"/>
      <c r="O321" s="208"/>
      <c r="P321" s="104"/>
      <c r="Q321" s="104"/>
    </row>
    <row r="322" spans="1:17" ht="21.75" customHeight="1">
      <c r="A322" s="36"/>
      <c r="B322" s="104"/>
      <c r="C322" s="106"/>
      <c r="D322" s="106"/>
      <c r="E322" s="129"/>
      <c r="F322" s="125"/>
      <c r="G322" s="111"/>
      <c r="H322" s="176"/>
      <c r="I322" s="107"/>
      <c r="J322" s="111"/>
      <c r="K322" s="36"/>
      <c r="L322" s="36"/>
      <c r="M322" s="107"/>
      <c r="N322" s="107"/>
      <c r="O322" s="208"/>
      <c r="P322" s="104"/>
      <c r="Q322" s="104"/>
    </row>
    <row r="323" spans="1:17" ht="21.75" customHeight="1">
      <c r="A323" s="36"/>
      <c r="B323" s="104"/>
      <c r="C323" s="106"/>
      <c r="D323" s="106"/>
      <c r="E323" s="129"/>
      <c r="F323" s="125"/>
      <c r="G323" s="111"/>
      <c r="H323" s="176"/>
      <c r="I323" s="107"/>
      <c r="J323" s="111"/>
      <c r="K323" s="36"/>
      <c r="L323" s="36"/>
      <c r="M323" s="107"/>
      <c r="N323" s="107"/>
      <c r="O323" s="208"/>
      <c r="P323" s="104"/>
      <c r="Q323" s="104"/>
    </row>
    <row r="324" spans="1:17" ht="21.75" customHeight="1">
      <c r="A324" s="36"/>
      <c r="B324" s="104"/>
      <c r="C324" s="106"/>
      <c r="D324" s="106"/>
      <c r="E324" s="129"/>
      <c r="F324" s="125"/>
      <c r="G324" s="111"/>
      <c r="H324" s="176"/>
      <c r="I324" s="107"/>
      <c r="J324" s="111"/>
      <c r="K324" s="36"/>
      <c r="L324" s="36"/>
      <c r="M324" s="107"/>
      <c r="N324" s="107"/>
      <c r="O324" s="208"/>
      <c r="P324" s="104"/>
      <c r="Q324" s="104"/>
    </row>
    <row r="325" spans="1:17" ht="21.75" customHeight="1">
      <c r="A325" s="36"/>
      <c r="B325" s="104"/>
      <c r="C325" s="106"/>
      <c r="D325" s="106"/>
      <c r="E325" s="129"/>
      <c r="F325" s="125"/>
      <c r="G325" s="111"/>
      <c r="H325" s="176"/>
      <c r="I325" s="107"/>
      <c r="J325" s="111"/>
      <c r="K325" s="36"/>
      <c r="L325" s="36"/>
      <c r="M325" s="107"/>
      <c r="N325" s="107"/>
      <c r="O325" s="208"/>
      <c r="P325" s="104"/>
      <c r="Q325" s="104"/>
    </row>
    <row r="326" spans="1:17" ht="21.75" customHeight="1">
      <c r="A326" s="36"/>
      <c r="B326" s="104"/>
      <c r="C326" s="106"/>
      <c r="D326" s="106"/>
      <c r="E326" s="129"/>
      <c r="F326" s="125"/>
      <c r="G326" s="111"/>
      <c r="H326" s="176"/>
      <c r="I326" s="107"/>
      <c r="J326" s="111"/>
      <c r="K326" s="36"/>
      <c r="L326" s="36"/>
      <c r="M326" s="107"/>
      <c r="N326" s="107"/>
      <c r="O326" s="208"/>
      <c r="P326" s="104"/>
      <c r="Q326" s="104"/>
    </row>
    <row r="327" spans="1:17" ht="21.75" customHeight="1">
      <c r="A327" s="36"/>
      <c r="B327" s="104"/>
      <c r="C327" s="106"/>
      <c r="D327" s="106"/>
      <c r="E327" s="129"/>
      <c r="F327" s="125"/>
      <c r="G327" s="111"/>
      <c r="H327" s="176"/>
      <c r="I327" s="107"/>
      <c r="J327" s="111"/>
      <c r="K327" s="36"/>
      <c r="L327" s="36"/>
      <c r="M327" s="107"/>
      <c r="N327" s="107"/>
      <c r="O327" s="208"/>
      <c r="P327" s="104"/>
      <c r="Q327" s="104"/>
    </row>
    <row r="328" spans="1:17" ht="21.75" customHeight="1">
      <c r="A328" s="36"/>
      <c r="B328" s="104"/>
      <c r="C328" s="106"/>
      <c r="D328" s="106"/>
      <c r="E328" s="129"/>
      <c r="F328" s="125"/>
      <c r="G328" s="111"/>
      <c r="H328" s="176"/>
      <c r="I328" s="107"/>
      <c r="J328" s="111"/>
      <c r="K328" s="36"/>
      <c r="L328" s="36"/>
      <c r="M328" s="107"/>
      <c r="N328" s="107"/>
      <c r="O328" s="208"/>
      <c r="P328" s="104"/>
      <c r="Q328" s="104"/>
    </row>
    <row r="329" spans="1:17" ht="21.75" customHeight="1">
      <c r="A329" s="36"/>
      <c r="B329" s="104"/>
      <c r="C329" s="106"/>
      <c r="D329" s="106"/>
      <c r="E329" s="129"/>
      <c r="F329" s="125"/>
      <c r="G329" s="111"/>
      <c r="H329" s="176"/>
      <c r="I329" s="107"/>
      <c r="J329" s="111"/>
      <c r="K329" s="36"/>
      <c r="L329" s="36"/>
      <c r="M329" s="107"/>
      <c r="N329" s="107"/>
      <c r="O329" s="208"/>
      <c r="P329" s="104"/>
      <c r="Q329" s="104"/>
    </row>
    <row r="330" spans="1:17" ht="21.75" customHeight="1">
      <c r="A330" s="36"/>
      <c r="B330" s="104"/>
      <c r="C330" s="106"/>
      <c r="D330" s="106"/>
      <c r="E330" s="129"/>
      <c r="F330" s="125"/>
      <c r="G330" s="409"/>
      <c r="H330" s="176"/>
      <c r="I330" s="107"/>
      <c r="J330" s="111"/>
      <c r="K330" s="36"/>
      <c r="L330" s="36"/>
      <c r="M330" s="107"/>
      <c r="N330" s="107"/>
      <c r="O330" s="208"/>
      <c r="P330" s="104"/>
      <c r="Q330" s="104"/>
    </row>
    <row r="331" spans="1:17">
      <c r="A331" s="36"/>
      <c r="B331" s="104" t="s">
        <v>6</v>
      </c>
      <c r="C331" s="106"/>
      <c r="D331" s="106"/>
      <c r="E331" s="129"/>
      <c r="F331" s="125"/>
      <c r="G331" s="410">
        <f>SUM(G201:G330)</f>
        <v>0</v>
      </c>
      <c r="H331" s="410">
        <f t="shared" ref="H331:O331" si="16">SUM(H201:H330)</f>
        <v>0</v>
      </c>
      <c r="I331" s="410">
        <f t="shared" si="16"/>
        <v>0</v>
      </c>
      <c r="J331" s="410">
        <f t="shared" si="16"/>
        <v>0</v>
      </c>
      <c r="K331" s="410">
        <f t="shared" si="16"/>
        <v>0</v>
      </c>
      <c r="L331" s="410">
        <f t="shared" si="16"/>
        <v>0</v>
      </c>
      <c r="M331" s="410">
        <f t="shared" si="16"/>
        <v>0</v>
      </c>
      <c r="N331" s="410">
        <f t="shared" si="16"/>
        <v>0</v>
      </c>
      <c r="O331" s="410">
        <f t="shared" si="16"/>
        <v>0</v>
      </c>
      <c r="P331" s="104"/>
      <c r="Q331" s="104"/>
    </row>
  </sheetData>
  <pageMargins left="0.7" right="0.7" top="0.75" bottom="0.75" header="0.3" footer="0.3"/>
  <pageSetup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PIJ AWL</vt:lpstr>
      <vt:lpstr>N 1</vt:lpstr>
      <vt:lpstr>LAIN N 1</vt:lpstr>
      <vt:lpstr>BRG N 1</vt:lpstr>
      <vt:lpstr>dend n1</vt:lpstr>
      <vt:lpstr>LAIN DEND N1</vt:lpstr>
      <vt:lpstr>BG N 1</vt:lpstr>
      <vt:lpstr>LAIN BG N 1</vt:lpstr>
      <vt:lpstr>PEL</vt:lpstr>
      <vt:lpstr>'N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RASHYA-IZAN</cp:lastModifiedBy>
  <cp:lastPrinted>2018-04-24T02:43:09Z</cp:lastPrinted>
  <dcterms:created xsi:type="dcterms:W3CDTF">2018-04-13T08:38:06Z</dcterms:created>
  <dcterms:modified xsi:type="dcterms:W3CDTF">2018-04-29T08:17:36Z</dcterms:modified>
</cp:coreProperties>
</file>