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72" i="1" l="1"/>
  <c r="F67" i="1"/>
  <c r="F66" i="1"/>
  <c r="F65" i="1"/>
  <c r="F64" i="1"/>
  <c r="F63" i="1"/>
  <c r="F62" i="1"/>
  <c r="F61" i="1"/>
  <c r="H52" i="1"/>
  <c r="G52" i="1"/>
  <c r="F52" i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51" i="1"/>
  <c r="M39" i="1"/>
  <c r="I39" i="1"/>
  <c r="H39" i="1" s="1"/>
  <c r="L39" i="1" s="1"/>
  <c r="G39" i="1"/>
  <c r="F39" i="1"/>
  <c r="N39" i="1" s="1"/>
  <c r="Q39" i="1" s="1"/>
  <c r="A39" i="1"/>
  <c r="M38" i="1"/>
  <c r="L38" i="1"/>
  <c r="G38" i="1"/>
  <c r="F38" i="1"/>
  <c r="N38" i="1" s="1"/>
  <c r="A38" i="1"/>
  <c r="K36" i="1"/>
  <c r="J36" i="1"/>
  <c r="F34" i="1"/>
  <c r="H33" i="1"/>
  <c r="L33" i="1" s="1"/>
  <c r="G33" i="1" s="1"/>
  <c r="F33" i="1"/>
  <c r="M32" i="1"/>
  <c r="L32" i="1"/>
  <c r="G32" i="1"/>
  <c r="F32" i="1"/>
  <c r="N32" i="1" s="1"/>
  <c r="Q32" i="1" s="1"/>
  <c r="L31" i="1"/>
  <c r="F31" i="1"/>
  <c r="M30" i="1"/>
  <c r="L30" i="1"/>
  <c r="G30" i="1"/>
  <c r="F30" i="1"/>
  <c r="N30" i="1" s="1"/>
  <c r="Q30" i="1" s="1"/>
  <c r="L29" i="1"/>
  <c r="F29" i="1"/>
  <c r="Q28" i="1"/>
  <c r="I28" i="1"/>
  <c r="L28" i="1" s="1"/>
  <c r="G28" i="1" s="1"/>
  <c r="F28" i="1"/>
  <c r="N28" i="1" s="1"/>
  <c r="Q27" i="1"/>
  <c r="I27" i="1"/>
  <c r="L27" i="1" s="1"/>
  <c r="G27" i="1" s="1"/>
  <c r="F27" i="1"/>
  <c r="N27" i="1" s="1"/>
  <c r="Q26" i="1"/>
  <c r="I26" i="1"/>
  <c r="L26" i="1" s="1"/>
  <c r="G26" i="1" s="1"/>
  <c r="F26" i="1"/>
  <c r="N26" i="1" s="1"/>
  <c r="Q25" i="1"/>
  <c r="I25" i="1"/>
  <c r="L25" i="1" s="1"/>
  <c r="G25" i="1" s="1"/>
  <c r="F25" i="1"/>
  <c r="N25" i="1" s="1"/>
  <c r="Q24" i="1"/>
  <c r="I24" i="1"/>
  <c r="L24" i="1" s="1"/>
  <c r="G24" i="1" s="1"/>
  <c r="F24" i="1"/>
  <c r="N24" i="1" s="1"/>
  <c r="M23" i="1"/>
  <c r="L23" i="1"/>
  <c r="G23" i="1"/>
  <c r="F23" i="1"/>
  <c r="N23" i="1" s="1"/>
  <c r="Q23" i="1" s="1"/>
  <c r="N22" i="1"/>
  <c r="F22" i="1"/>
  <c r="N21" i="1"/>
  <c r="F21" i="1"/>
  <c r="Q21" i="1" s="1"/>
  <c r="N20" i="1"/>
  <c r="F20" i="1"/>
  <c r="N19" i="1"/>
  <c r="Q19" i="1" s="1"/>
  <c r="L19" i="1"/>
  <c r="L18" i="1"/>
  <c r="F18" i="1"/>
  <c r="F17" i="1"/>
  <c r="N17" i="1" s="1"/>
  <c r="M16" i="1"/>
  <c r="L16" i="1"/>
  <c r="G16" i="1"/>
  <c r="F16" i="1"/>
  <c r="N16" i="1" s="1"/>
  <c r="Q16" i="1" s="1"/>
  <c r="N15" i="1"/>
  <c r="F15" i="1"/>
  <c r="Q15" i="1" s="1"/>
  <c r="N14" i="1"/>
  <c r="F14" i="1"/>
  <c r="L13" i="1"/>
  <c r="F13" i="1"/>
  <c r="F12" i="1"/>
  <c r="F11" i="1"/>
  <c r="F10" i="1"/>
  <c r="F9" i="1"/>
  <c r="I9" i="1" s="1"/>
  <c r="L9" i="1" s="1"/>
  <c r="F8" i="1"/>
  <c r="F7" i="1"/>
  <c r="F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M5" i="1"/>
  <c r="L5" i="1"/>
  <c r="G5" i="1"/>
  <c r="F5" i="1"/>
  <c r="F36" i="1" s="1"/>
  <c r="G9" i="1" l="1"/>
  <c r="M9" i="1"/>
  <c r="Q11" i="1"/>
  <c r="I6" i="1"/>
  <c r="I10" i="1"/>
  <c r="L10" i="1" s="1"/>
  <c r="M13" i="1"/>
  <c r="G13" i="1"/>
  <c r="N18" i="1"/>
  <c r="Q18" i="1" s="1"/>
  <c r="N5" i="1"/>
  <c r="N6" i="1"/>
  <c r="Q6" i="1" s="1"/>
  <c r="N7" i="1"/>
  <c r="Q7" i="1" s="1"/>
  <c r="N8" i="1"/>
  <c r="Q8" i="1" s="1"/>
  <c r="N9" i="1"/>
  <c r="Q9" i="1" s="1"/>
  <c r="N10" i="1"/>
  <c r="Q10" i="1" s="1"/>
  <c r="N11" i="1"/>
  <c r="N12" i="1"/>
  <c r="Q12" i="1" s="1"/>
  <c r="N13" i="1"/>
  <c r="Q13" i="1" s="1"/>
  <c r="Q14" i="1"/>
  <c r="I17" i="1"/>
  <c r="L17" i="1" s="1"/>
  <c r="Q17" i="1"/>
  <c r="M18" i="1"/>
  <c r="G18" i="1"/>
  <c r="Q20" i="1"/>
  <c r="Q22" i="1"/>
  <c r="M24" i="1"/>
  <c r="M25" i="1"/>
  <c r="M26" i="1"/>
  <c r="M27" i="1"/>
  <c r="M28" i="1"/>
  <c r="N29" i="1"/>
  <c r="Q29" i="1" s="1"/>
  <c r="M31" i="1"/>
  <c r="G31" i="1"/>
  <c r="N33" i="1"/>
  <c r="Q33" i="1" s="1"/>
  <c r="M33" i="1"/>
  <c r="I34" i="1"/>
  <c r="H34" i="1" s="1"/>
  <c r="I7" i="1"/>
  <c r="L7" i="1" s="1"/>
  <c r="I8" i="1"/>
  <c r="L8" i="1" s="1"/>
  <c r="I11" i="1"/>
  <c r="L11" i="1" s="1"/>
  <c r="I12" i="1"/>
  <c r="L12" i="1" s="1"/>
  <c r="M19" i="1"/>
  <c r="G19" i="1"/>
  <c r="M29" i="1"/>
  <c r="G29" i="1"/>
  <c r="Q31" i="1"/>
  <c r="N31" i="1"/>
  <c r="H36" i="1"/>
  <c r="I14" i="1"/>
  <c r="L14" i="1" s="1"/>
  <c r="I15" i="1"/>
  <c r="L15" i="1" s="1"/>
  <c r="I20" i="1"/>
  <c r="L20" i="1" s="1"/>
  <c r="I21" i="1"/>
  <c r="L21" i="1" s="1"/>
  <c r="I22" i="1"/>
  <c r="L22" i="1" s="1"/>
  <c r="M21" i="1" l="1"/>
  <c r="G21" i="1"/>
  <c r="M11" i="1"/>
  <c r="G11" i="1"/>
  <c r="G7" i="1"/>
  <c r="M7" i="1"/>
  <c r="M22" i="1"/>
  <c r="G22" i="1"/>
  <c r="M20" i="1"/>
  <c r="G20" i="1"/>
  <c r="M14" i="1"/>
  <c r="G14" i="1"/>
  <c r="G12" i="1"/>
  <c r="M12" i="1"/>
  <c r="G8" i="1"/>
  <c r="M8" i="1"/>
  <c r="Q5" i="1"/>
  <c r="Q36" i="1" s="1"/>
  <c r="M15" i="1"/>
  <c r="G15" i="1"/>
  <c r="N34" i="1"/>
  <c r="Q34" i="1" s="1"/>
  <c r="L34" i="1"/>
  <c r="G17" i="1"/>
  <c r="M17" i="1"/>
  <c r="M10" i="1"/>
  <c r="G10" i="1"/>
  <c r="I36" i="1"/>
  <c r="L6" i="1"/>
  <c r="N36" i="1" l="1"/>
  <c r="M6" i="1"/>
  <c r="M36" i="1" s="1"/>
  <c r="G6" i="1"/>
  <c r="L36" i="1"/>
  <c r="M34" i="1"/>
  <c r="G34" i="1"/>
  <c r="G36" i="1" l="1"/>
</calcChain>
</file>

<file path=xl/sharedStrings.xml><?xml version="1.0" encoding="utf-8"?>
<sst xmlns="http://schemas.openxmlformats.org/spreadsheetml/2006/main" count="272" uniqueCount="157">
  <si>
    <t>KOPERASI KARYAWAN BCA " MITRA SEJAHTERA " SURABAYA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</si>
  <si>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</si>
  <si>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</si>
  <si>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</si>
  <si>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</si>
  <si>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</si>
  <si>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</si>
  <si>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</si>
  <si>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</si>
  <si>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</si>
  <si>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</si>
  <si>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</si>
  <si>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</si>
  <si>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</si>
  <si>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</si>
  <si>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</si>
  <si>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</si>
  <si>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</si>
  <si>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</si>
  <si>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</si>
  <si>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TONY CH.Y TOWOLIU</t>
  </si>
  <si>
    <t>974069</t>
  </si>
  <si>
    <t>011011</t>
  </si>
  <si>
    <t>HI KW 3 BCA DARMO</t>
  </si>
  <si>
    <t>RESCEDULE PINJ DILUAR NORM</t>
  </si>
  <si>
    <t>LISTIJOWATI SUTANTO</t>
  </si>
  <si>
    <t>912822</t>
  </si>
  <si>
    <t>002113</t>
  </si>
  <si>
    <t>AO BCA DIPONEGORO</t>
  </si>
  <si>
    <t>PIJ DILUAR NORM</t>
  </si>
  <si>
    <t>MOEDJI SANTOSO</t>
  </si>
  <si>
    <t>912769</t>
  </si>
  <si>
    <t>002347</t>
  </si>
  <si>
    <t>BCA SUNCITY</t>
  </si>
  <si>
    <t>RECOVERY PINJ DILUAR NORM</t>
  </si>
  <si>
    <t>SUGITO HARI S</t>
  </si>
  <si>
    <t>903076</t>
  </si>
  <si>
    <t>010838</t>
  </si>
  <si>
    <t>SLA KW 3 DARMO</t>
  </si>
  <si>
    <t>PRIANTONO S</t>
  </si>
  <si>
    <t>900781</t>
  </si>
  <si>
    <t>010481</t>
  </si>
  <si>
    <t>PIJ DILUAR NORM TAMBAHAN</t>
  </si>
  <si>
    <t>MUJIANA</t>
  </si>
  <si>
    <t>921870</t>
  </si>
  <si>
    <t>002686</t>
  </si>
  <si>
    <t>KFCC SBY</t>
  </si>
  <si>
    <t>RIYANTI WULANDARI</t>
  </si>
  <si>
    <t>973200</t>
  </si>
  <si>
    <t>011004</t>
  </si>
  <si>
    <t>SLK KW3 DARMO</t>
  </si>
  <si>
    <t>HENDRA</t>
  </si>
  <si>
    <t>960196</t>
  </si>
  <si>
    <t>002720</t>
  </si>
  <si>
    <t>STAF BCA INDRAPURA</t>
  </si>
  <si>
    <t>AKINA LANNY S</t>
  </si>
  <si>
    <t>911195</t>
  </si>
  <si>
    <t>011055</t>
  </si>
  <si>
    <t>DYAH MIRNA ISWARI</t>
  </si>
  <si>
    <t>960953</t>
  </si>
  <si>
    <t>002428</t>
  </si>
  <si>
    <t>BCA SIDOARJO</t>
  </si>
  <si>
    <t>M. YUSUF</t>
  </si>
  <si>
    <t>912195</t>
  </si>
  <si>
    <t>010847</t>
  </si>
  <si>
    <t>STAF BCA SIMPANG DRM</t>
  </si>
  <si>
    <t>TRI MAULANA D</t>
  </si>
  <si>
    <t>899557</t>
  </si>
  <si>
    <t>010566</t>
  </si>
  <si>
    <t>PRAMUKARYA HR MUH</t>
  </si>
  <si>
    <t>SUSMINI</t>
  </si>
  <si>
    <t>981059</t>
  </si>
  <si>
    <t>010794</t>
  </si>
  <si>
    <t>BCA KENJERAN</t>
  </si>
  <si>
    <t>NURUL MUKARROMAH</t>
  </si>
  <si>
    <t>902790</t>
  </si>
  <si>
    <t>002422</t>
  </si>
  <si>
    <t>BCA PAGERWOJO</t>
  </si>
  <si>
    <t>AGUS PURWANTO</t>
  </si>
  <si>
    <t>912784</t>
  </si>
  <si>
    <t>001902</t>
  </si>
  <si>
    <t>KTR KAS MANUKAN</t>
  </si>
  <si>
    <t>SUDARMAWAN</t>
  </si>
  <si>
    <t>921354</t>
  </si>
  <si>
    <t>002665</t>
  </si>
  <si>
    <t>PRAMUKARYA SDA</t>
  </si>
  <si>
    <t>MOCH SUUDI</t>
  </si>
  <si>
    <t>913918</t>
  </si>
  <si>
    <t>002664</t>
  </si>
  <si>
    <t>DAVID LAMONGI</t>
  </si>
  <si>
    <t>975130</t>
  </si>
  <si>
    <t>011057</t>
  </si>
  <si>
    <t>MARZUKI</t>
  </si>
  <si>
    <t>897091</t>
  </si>
  <si>
    <t>011060</t>
  </si>
  <si>
    <t>PRAMUKARYA VETERAN</t>
  </si>
  <si>
    <t>SIFERA TRISMINARTI</t>
  </si>
  <si>
    <t>010424</t>
  </si>
  <si>
    <t>011003</t>
  </si>
  <si>
    <t>ARDY MAWAR W</t>
  </si>
  <si>
    <t>904110</t>
  </si>
  <si>
    <t>010611</t>
  </si>
  <si>
    <t>AO BCA SIDOARJO</t>
  </si>
  <si>
    <t>SRIJANI ISMULANDARI</t>
  </si>
  <si>
    <t>962203</t>
  </si>
  <si>
    <t>002486</t>
  </si>
  <si>
    <t>KTR KAS BCA</t>
  </si>
  <si>
    <t>ARIEF WIDODO</t>
  </si>
  <si>
    <t>910546</t>
  </si>
  <si>
    <t>010486</t>
  </si>
  <si>
    <t>DRIVER DARMO</t>
  </si>
  <si>
    <t>RUDI KURNIAWAN</t>
  </si>
  <si>
    <t>973908</t>
  </si>
  <si>
    <t>011058</t>
  </si>
  <si>
    <t>KBG OPS PRK TMR</t>
  </si>
  <si>
    <t>EFIE LINDA JANI</t>
  </si>
  <si>
    <t>973211</t>
  </si>
  <si>
    <t>001713</t>
  </si>
  <si>
    <t>STAF KTR KAS PAGERWOJO</t>
  </si>
  <si>
    <t>MOCH ARIEF KAPRAWI</t>
  </si>
  <si>
    <t>901149</t>
  </si>
  <si>
    <t>011025</t>
  </si>
  <si>
    <t>SOY KW3 DARMO</t>
  </si>
  <si>
    <t>ENDANG INDERA</t>
  </si>
  <si>
    <t>963653</t>
  </si>
  <si>
    <t>011006</t>
  </si>
  <si>
    <t>BCA MARGOREJO</t>
  </si>
  <si>
    <t>SONY SUMARSONO</t>
  </si>
  <si>
    <t>913433</t>
  </si>
  <si>
    <t>010270</t>
  </si>
  <si>
    <t>BCA RGKT</t>
  </si>
  <si>
    <t>PRAYITNO</t>
  </si>
  <si>
    <t>899519</t>
  </si>
  <si>
    <t>002133</t>
  </si>
  <si>
    <t>PRK BRT</t>
  </si>
  <si>
    <t>GANDJAR WIDHI</t>
  </si>
  <si>
    <t>900842</t>
  </si>
  <si>
    <t>002653</t>
  </si>
  <si>
    <t>POT BNS APRIL'19</t>
  </si>
  <si>
    <t>POT THR'18</t>
  </si>
  <si>
    <t>POT TAT'18</t>
  </si>
  <si>
    <t>2580909909</t>
  </si>
  <si>
    <t>1500471006</t>
  </si>
  <si>
    <t>0101138673</t>
  </si>
  <si>
    <t>8290149798</t>
  </si>
  <si>
    <t>1870360378</t>
  </si>
  <si>
    <t>0180123318</t>
  </si>
  <si>
    <t>2131039150</t>
  </si>
  <si>
    <t>3251033577</t>
  </si>
  <si>
    <t>3251098253</t>
  </si>
  <si>
    <t>3640842341</t>
  </si>
  <si>
    <t>3251073595</t>
  </si>
  <si>
    <t>0181195257</t>
  </si>
  <si>
    <t>4681157250</t>
  </si>
  <si>
    <t>4681084848</t>
  </si>
  <si>
    <t>7250026565</t>
  </si>
  <si>
    <t>DAFTAR PINJAMAN DILUAR NORMATIF BARU TGL 01-24 MEI 2018 (UPLOAD)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</si>
</sst>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43" fontId="2" fillId="0" borderId="0" xfId="1" applyFont="1" applyFill="1" applyBorder="1" applyAlignment="1">
      <alignment horizontal="right"/>
    </xf>
    <xf numFmtId="165" fontId="2" fillId="0" borderId="0" xfId="1" applyNumberFormat="1" applyFont="1" applyFill="1" applyBorder="1" applyAlignment="1"/>
    <xf numFmtId="165" fontId="2" fillId="0" borderId="0" xfId="1" applyNumberFormat="1" applyFont="1" applyFill="1" applyBorder="1"/>
    <xf numFmtId="0" fontId="2" fillId="0" borderId="0" xfId="0" applyFont="1" applyFill="1" applyAlignment="1">
      <alignment horizontal="center"/>
    </xf>
    <xf numFmtId="43" fontId="2" fillId="0" borderId="0" xfId="1" applyFont="1" applyFill="1" applyBorder="1"/>
    <xf numFmtId="39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43" fontId="2" fillId="0" borderId="0" xfId="1" applyFont="1" applyFill="1" applyBorder="1" applyAlignment="1"/>
    <xf numFmtId="43" fontId="2" fillId="0" borderId="1" xfId="0" applyNumberFormat="1" applyFont="1" applyBorder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" xfId="0" applyFont="1" applyFill="1" applyBorder="1"/>
    <xf numFmtId="0" fontId="4" fillId="0" borderId="0" xfId="0" applyFont="1" applyFill="1" applyBorder="1"/>
    <xf numFmtId="0" fontId="4" fillId="0" borderId="4" xfId="0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43" fontId="4" fillId="0" borderId="4" xfId="1" quotePrefix="1" applyFont="1" applyFill="1" applyBorder="1" applyAlignment="1">
      <alignment horizontal="right"/>
    </xf>
    <xf numFmtId="43" fontId="4" fillId="0" borderId="4" xfId="1" applyFont="1" applyFill="1" applyBorder="1" applyAlignment="1">
      <alignment horizontal="center"/>
    </xf>
    <xf numFmtId="39" fontId="4" fillId="0" borderId="4" xfId="0" applyNumberFormat="1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/>
    </xf>
    <xf numFmtId="0" fontId="2" fillId="0" borderId="7" xfId="0" applyFont="1" applyBorder="1"/>
    <xf numFmtId="0" fontId="2" fillId="0" borderId="7" xfId="0" quotePrefix="1" applyFont="1" applyBorder="1" applyAlignment="1">
      <alignment horizontal="center"/>
    </xf>
    <xf numFmtId="164" fontId="2" fillId="0" borderId="7" xfId="1" applyNumberFormat="1" applyFont="1" applyFill="1" applyBorder="1" applyAlignment="1">
      <alignment horizontal="center"/>
    </xf>
    <xf numFmtId="165" fontId="2" fillId="0" borderId="7" xfId="0" applyNumberFormat="1" applyFont="1" applyBorder="1"/>
    <xf numFmtId="165" fontId="2" fillId="0" borderId="7" xfId="2" applyNumberFormat="1" applyFont="1" applyBorder="1" applyAlignment="1">
      <alignment horizontal="right"/>
    </xf>
    <xf numFmtId="43" fontId="2" fillId="0" borderId="7" xfId="0" applyNumberFormat="1" applyFont="1" applyBorder="1"/>
    <xf numFmtId="0" fontId="2" fillId="0" borderId="7" xfId="0" applyFont="1" applyBorder="1" applyAlignment="1">
      <alignment horizontal="center"/>
    </xf>
    <xf numFmtId="165" fontId="2" fillId="0" borderId="7" xfId="2" applyNumberFormat="1" applyFont="1" applyBorder="1"/>
    <xf numFmtId="165" fontId="2" fillId="2" borderId="7" xfId="2" applyNumberFormat="1" applyFont="1" applyFill="1" applyBorder="1" applyAlignment="1">
      <alignment horizontal="right"/>
    </xf>
    <xf numFmtId="0" fontId="5" fillId="0" borderId="7" xfId="0" applyFont="1" applyBorder="1"/>
    <xf numFmtId="0" fontId="5" fillId="0" borderId="8" xfId="0" applyFont="1" applyBorder="1"/>
    <xf numFmtId="0" fontId="2" fillId="0" borderId="0" xfId="0" applyFont="1"/>
    <xf numFmtId="0" fontId="2" fillId="0" borderId="7" xfId="0" quotePrefix="1" applyFont="1" applyBorder="1"/>
    <xf numFmtId="164" fontId="2" fillId="0" borderId="7" xfId="1" quotePrefix="1" applyNumberFormat="1" applyFont="1" applyFill="1" applyBorder="1" applyAlignment="1">
      <alignment horizontal="center"/>
    </xf>
    <xf numFmtId="43" fontId="2" fillId="0" borderId="7" xfId="1" quotePrefix="1" applyFont="1" applyBorder="1"/>
    <xf numFmtId="0" fontId="2" fillId="0" borderId="7" xfId="0" applyFont="1" applyFill="1" applyBorder="1"/>
    <xf numFmtId="0" fontId="2" fillId="0" borderId="8" xfId="0" applyFont="1" applyBorder="1"/>
    <xf numFmtId="0" fontId="2" fillId="0" borderId="0" xfId="0" applyFont="1" applyFill="1"/>
    <xf numFmtId="165" fontId="2" fillId="0" borderId="0" xfId="0" applyNumberFormat="1" applyFont="1"/>
    <xf numFmtId="43" fontId="2" fillId="0" borderId="0" xfId="0" applyNumberFormat="1" applyFont="1"/>
    <xf numFmtId="0" fontId="2" fillId="0" borderId="7" xfId="0" quotePrefix="1" applyFont="1" applyFill="1" applyBorder="1"/>
    <xf numFmtId="165" fontId="2" fillId="0" borderId="7" xfId="0" applyNumberFormat="1" applyFont="1" applyFill="1" applyBorder="1"/>
    <xf numFmtId="165" fontId="2" fillId="0" borderId="7" xfId="2" applyNumberFormat="1" applyFont="1" applyFill="1" applyBorder="1" applyAlignment="1">
      <alignment horizontal="right"/>
    </xf>
    <xf numFmtId="43" fontId="2" fillId="0" borderId="7" xfId="0" applyNumberFormat="1" applyFont="1" applyFill="1" applyBorder="1"/>
    <xf numFmtId="165" fontId="2" fillId="0" borderId="7" xfId="2" applyNumberFormat="1" applyFont="1" applyFill="1" applyBorder="1"/>
    <xf numFmtId="0" fontId="5" fillId="0" borderId="7" xfId="0" applyFont="1" applyFill="1" applyBorder="1"/>
    <xf numFmtId="0" fontId="5" fillId="0" borderId="8" xfId="0" applyFont="1" applyFill="1" applyBorder="1"/>
    <xf numFmtId="43" fontId="2" fillId="0" borderId="7" xfId="2" applyNumberFormat="1" applyFont="1" applyFill="1" applyBorder="1"/>
    <xf numFmtId="0" fontId="4" fillId="0" borderId="7" xfId="0" applyFont="1" applyFill="1" applyBorder="1"/>
    <xf numFmtId="0" fontId="2" fillId="0" borderId="7" xfId="0" quotePrefix="1" applyFont="1" applyFill="1" applyBorder="1" applyAlignment="1">
      <alignment horizontal="center"/>
    </xf>
    <xf numFmtId="43" fontId="2" fillId="0" borderId="7" xfId="1" applyFont="1" applyFill="1" applyBorder="1"/>
    <xf numFmtId="0" fontId="6" fillId="0" borderId="8" xfId="0" applyFont="1" applyFill="1" applyBorder="1"/>
    <xf numFmtId="0" fontId="2" fillId="3" borderId="0" xfId="0" applyFont="1" applyFill="1" applyAlignment="1">
      <alignment horizontal="center"/>
    </xf>
    <xf numFmtId="41" fontId="2" fillId="0" borderId="7" xfId="2" quotePrefix="1" applyFont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showGridLines="0" tabSelected="1" view="pageBreakPreview" zoomScaleNormal="100" zoomScaleSheetLayoutView="100" workbookViewId="0">
      <pane ySplit="4" topLeftCell="A5" activePane="bottomLeft" state="frozen"/>
      <selection pane="bottomLeft" activeCell="A5" sqref="A5"/>
    </sheetView>
  </sheetViews>
  <sheetFormatPr defaultRowHeight="15.75" x14ac:dyDescent="0.25"/>
  <cols>
    <col min="1" max="1" width="6.85546875" style="46" customWidth="1"/>
    <col min="2" max="2" width="26.28515625" style="40" bestFit="1" customWidth="1"/>
    <col min="3" max="3" width="7.85546875" style="40" bestFit="1" customWidth="1"/>
    <col min="4" max="4" width="10.140625" style="40" bestFit="1" customWidth="1"/>
    <col min="5" max="5" width="11.28515625" style="40" bestFit="1" customWidth="1"/>
    <col min="6" max="6" width="20.140625" style="40" bestFit="1" customWidth="1"/>
    <col min="7" max="7" width="18.7109375" style="40" bestFit="1" customWidth="1"/>
    <col min="8" max="9" width="15.7109375" style="40" bestFit="1" customWidth="1"/>
    <col min="10" max="11" width="10.42578125" style="40" bestFit="1" customWidth="1"/>
    <col min="12" max="12" width="15.7109375" style="40" bestFit="1" customWidth="1"/>
    <col min="13" max="13" width="18.7109375" style="40" bestFit="1" customWidth="1"/>
    <col min="14" max="14" width="18.28515625" style="40" bestFit="1" customWidth="1"/>
    <col min="15" max="15" width="21.140625" style="40" bestFit="1" customWidth="1"/>
    <col min="16" max="16" width="25.85546875" style="40" bestFit="1" customWidth="1"/>
    <col min="17" max="17" width="14.28515625" style="40" bestFit="1" customWidth="1"/>
    <col min="18" max="16384" width="9.140625" style="40"/>
  </cols>
  <sheetData>
    <row r="1" spans="1:17" s="2" customFormat="1" x14ac:dyDescent="0.25">
      <c r="A1" s="1" t="s">
        <v>0</v>
      </c>
      <c r="C1" s="3"/>
      <c r="D1" s="4"/>
      <c r="E1" s="4"/>
      <c r="F1" s="5"/>
      <c r="G1" s="6"/>
      <c r="H1" s="7"/>
      <c r="I1" s="5"/>
      <c r="J1" s="8"/>
      <c r="K1" s="3"/>
      <c r="L1" s="9"/>
      <c r="M1" s="9"/>
      <c r="N1" s="9"/>
      <c r="O1" s="10"/>
      <c r="P1" s="1"/>
    </row>
    <row r="2" spans="1:17" s="2" customFormat="1" x14ac:dyDescent="0.25">
      <c r="A2" s="11" t="s">
        <v>156</v>
      </c>
      <c r="C2" s="3"/>
      <c r="D2" s="4"/>
      <c r="E2" s="4"/>
      <c r="F2" s="5"/>
      <c r="G2" s="12"/>
      <c r="H2" s="13"/>
      <c r="I2" s="13"/>
      <c r="J2" s="8"/>
      <c r="K2" s="3"/>
      <c r="L2" s="7"/>
      <c r="M2" s="9"/>
      <c r="N2" s="9"/>
      <c r="O2" s="10"/>
      <c r="P2" s="1"/>
    </row>
    <row r="3" spans="1:17" s="20" customFormat="1" ht="12" x14ac:dyDescent="0.2">
      <c r="A3" s="14" t="s">
        <v>1</v>
      </c>
      <c r="B3" s="14" t="s">
        <v>2</v>
      </c>
      <c r="C3" s="14" t="s">
        <v>3</v>
      </c>
      <c r="D3" s="15" t="s">
        <v>1</v>
      </c>
      <c r="E3" s="15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4" t="s">
        <v>9</v>
      </c>
      <c r="K3" s="14" t="s">
        <v>10</v>
      </c>
      <c r="L3" s="16" t="s">
        <v>11</v>
      </c>
      <c r="M3" s="16" t="s">
        <v>12</v>
      </c>
      <c r="N3" s="16" t="s">
        <v>13</v>
      </c>
      <c r="O3" s="17" t="s">
        <v>14</v>
      </c>
      <c r="P3" s="18" t="s">
        <v>15</v>
      </c>
      <c r="Q3" s="19"/>
    </row>
    <row r="4" spans="1:17" s="20" customFormat="1" ht="12" x14ac:dyDescent="0.2">
      <c r="A4" s="21"/>
      <c r="B4" s="21"/>
      <c r="C4" s="21"/>
      <c r="D4" s="22" t="s">
        <v>16</v>
      </c>
      <c r="E4" s="22" t="s">
        <v>17</v>
      </c>
      <c r="F4" s="23"/>
      <c r="G4" s="24" t="s">
        <v>5</v>
      </c>
      <c r="H4" s="24"/>
      <c r="I4" s="24"/>
      <c r="J4" s="21"/>
      <c r="K4" s="21" t="s">
        <v>18</v>
      </c>
      <c r="L4" s="24" t="s">
        <v>19</v>
      </c>
      <c r="M4" s="24" t="s">
        <v>8</v>
      </c>
      <c r="N4" s="24"/>
      <c r="O4" s="25"/>
      <c r="P4" s="26"/>
      <c r="Q4" s="27"/>
    </row>
    <row r="5" spans="1:17" x14ac:dyDescent="0.25">
      <c r="A5" s="28">
        <v>1</v>
      </c>
      <c r="B5" s="29" t="s">
        <v>20</v>
      </c>
      <c r="C5" s="30" t="s">
        <v>21</v>
      </c>
      <c r="D5" s="30" t="s">
        <v>22</v>
      </c>
      <c r="E5" s="31">
        <v>43224</v>
      </c>
      <c r="F5" s="32">
        <f>129300000+3232500+760968+200000+0</f>
        <v>133493468</v>
      </c>
      <c r="G5" s="33">
        <f t="shared" ref="G5:G34" si="0">+J5*L5</f>
        <v>70200000</v>
      </c>
      <c r="H5" s="34">
        <v>348078</v>
      </c>
      <c r="I5" s="34">
        <v>1601922</v>
      </c>
      <c r="J5" s="35">
        <v>36</v>
      </c>
      <c r="K5" s="35">
        <v>36</v>
      </c>
      <c r="L5" s="33">
        <f t="shared" ref="L5:L34" si="1">+H5+I5</f>
        <v>1950000</v>
      </c>
      <c r="M5" s="36">
        <f t="shared" ref="M5:M34" si="2">+K5*L5</f>
        <v>70200000</v>
      </c>
      <c r="N5" s="37">
        <f t="shared" ref="N5:N34" si="3">F5-(H5*0)</f>
        <v>133493468</v>
      </c>
      <c r="O5" s="38" t="s">
        <v>23</v>
      </c>
      <c r="P5" s="39" t="s">
        <v>24</v>
      </c>
      <c r="Q5" s="34">
        <f t="shared" ref="Q5:Q34" si="4">+F5-N5</f>
        <v>0</v>
      </c>
    </row>
    <row r="6" spans="1:17" x14ac:dyDescent="0.25">
      <c r="A6" s="28">
        <f t="shared" ref="A6:A34" si="5">+A5+1</f>
        <v>2</v>
      </c>
      <c r="B6" s="29" t="s">
        <v>25</v>
      </c>
      <c r="C6" s="30" t="s">
        <v>26</v>
      </c>
      <c r="D6" s="30" t="s">
        <v>27</v>
      </c>
      <c r="E6" s="31">
        <v>43224</v>
      </c>
      <c r="F6" s="32">
        <f>700000+200000+99100000</f>
        <v>100000000</v>
      </c>
      <c r="G6" s="33">
        <f t="shared" si="0"/>
        <v>54000000</v>
      </c>
      <c r="H6" s="34">
        <v>300000</v>
      </c>
      <c r="I6" s="34">
        <f>+F6*1.2%</f>
        <v>1200000</v>
      </c>
      <c r="J6" s="35">
        <v>36</v>
      </c>
      <c r="K6" s="35">
        <v>36</v>
      </c>
      <c r="L6" s="33">
        <f t="shared" si="1"/>
        <v>1500000</v>
      </c>
      <c r="M6" s="36">
        <f t="shared" si="2"/>
        <v>54000000</v>
      </c>
      <c r="N6" s="37">
        <f t="shared" si="3"/>
        <v>100000000</v>
      </c>
      <c r="O6" s="38" t="s">
        <v>28</v>
      </c>
      <c r="P6" s="39" t="s">
        <v>29</v>
      </c>
      <c r="Q6" s="34">
        <f t="shared" si="4"/>
        <v>0</v>
      </c>
    </row>
    <row r="7" spans="1:17" x14ac:dyDescent="0.25">
      <c r="A7" s="28">
        <f t="shared" si="5"/>
        <v>3</v>
      </c>
      <c r="B7" s="29" t="s">
        <v>30</v>
      </c>
      <c r="C7" s="41" t="s">
        <v>31</v>
      </c>
      <c r="D7" s="41" t="s">
        <v>32</v>
      </c>
      <c r="E7" s="31">
        <v>43224</v>
      </c>
      <c r="F7" s="32">
        <f>22489500+562238+130452+450000+200000+51167810</f>
        <v>75000000</v>
      </c>
      <c r="G7" s="33">
        <f t="shared" si="0"/>
        <v>66500000</v>
      </c>
      <c r="H7" s="34">
        <v>1000000</v>
      </c>
      <c r="I7" s="34">
        <f t="shared" ref="I7:I12" si="6">+F7*1.2%</f>
        <v>900000</v>
      </c>
      <c r="J7" s="35">
        <v>35</v>
      </c>
      <c r="K7" s="35">
        <v>35</v>
      </c>
      <c r="L7" s="33">
        <f t="shared" si="1"/>
        <v>1900000</v>
      </c>
      <c r="M7" s="36">
        <f t="shared" si="2"/>
        <v>66500000</v>
      </c>
      <c r="N7" s="37">
        <f t="shared" si="3"/>
        <v>75000000</v>
      </c>
      <c r="O7" s="38" t="s">
        <v>33</v>
      </c>
      <c r="P7" s="39" t="s">
        <v>34</v>
      </c>
      <c r="Q7" s="34">
        <f t="shared" si="4"/>
        <v>0</v>
      </c>
    </row>
    <row r="8" spans="1:17" x14ac:dyDescent="0.25">
      <c r="A8" s="28">
        <f t="shared" si="5"/>
        <v>4</v>
      </c>
      <c r="B8" s="29" t="s">
        <v>35</v>
      </c>
      <c r="C8" s="41" t="s">
        <v>36</v>
      </c>
      <c r="D8" s="41" t="s">
        <v>37</v>
      </c>
      <c r="E8" s="31">
        <v>43223</v>
      </c>
      <c r="F8" s="32">
        <f>200000+200000+49600000</f>
        <v>50000000</v>
      </c>
      <c r="G8" s="33">
        <f t="shared" si="0"/>
        <v>30400800</v>
      </c>
      <c r="H8" s="34">
        <v>666700</v>
      </c>
      <c r="I8" s="34">
        <f t="shared" si="6"/>
        <v>600000</v>
      </c>
      <c r="J8" s="35">
        <v>24</v>
      </c>
      <c r="K8" s="35">
        <v>24</v>
      </c>
      <c r="L8" s="33">
        <f t="shared" si="1"/>
        <v>1266700</v>
      </c>
      <c r="M8" s="36">
        <f t="shared" si="2"/>
        <v>30400800</v>
      </c>
      <c r="N8" s="37">
        <f t="shared" si="3"/>
        <v>50000000</v>
      </c>
      <c r="O8" s="38" t="s">
        <v>38</v>
      </c>
      <c r="P8" s="39" t="s">
        <v>29</v>
      </c>
      <c r="Q8" s="34">
        <f t="shared" si="4"/>
        <v>0</v>
      </c>
    </row>
    <row r="9" spans="1:17" x14ac:dyDescent="0.25">
      <c r="A9" s="28">
        <f t="shared" si="5"/>
        <v>5</v>
      </c>
      <c r="B9" s="29" t="s">
        <v>39</v>
      </c>
      <c r="C9" s="41" t="s">
        <v>40</v>
      </c>
      <c r="D9" s="41" t="s">
        <v>41</v>
      </c>
      <c r="E9" s="31">
        <v>43227</v>
      </c>
      <c r="F9" s="32">
        <f>250000+24750000</f>
        <v>25000000</v>
      </c>
      <c r="G9" s="33">
        <f t="shared" si="0"/>
        <v>32200800</v>
      </c>
      <c r="H9" s="34">
        <v>1041700</v>
      </c>
      <c r="I9" s="34">
        <f t="shared" si="6"/>
        <v>300000</v>
      </c>
      <c r="J9" s="35">
        <v>24</v>
      </c>
      <c r="K9" s="35">
        <v>24</v>
      </c>
      <c r="L9" s="33">
        <f t="shared" si="1"/>
        <v>1341700</v>
      </c>
      <c r="M9" s="36">
        <f t="shared" si="2"/>
        <v>32200800</v>
      </c>
      <c r="N9" s="37">
        <f t="shared" si="3"/>
        <v>25000000</v>
      </c>
      <c r="O9" s="38" t="s">
        <v>23</v>
      </c>
      <c r="P9" s="39" t="s">
        <v>42</v>
      </c>
      <c r="Q9" s="34">
        <f t="shared" si="4"/>
        <v>0</v>
      </c>
    </row>
    <row r="10" spans="1:17" x14ac:dyDescent="0.25">
      <c r="A10" s="28">
        <f t="shared" si="5"/>
        <v>6</v>
      </c>
      <c r="B10" s="29" t="s">
        <v>43</v>
      </c>
      <c r="C10" s="41" t="s">
        <v>44</v>
      </c>
      <c r="D10" s="41" t="s">
        <v>45</v>
      </c>
      <c r="E10" s="31">
        <v>43222</v>
      </c>
      <c r="F10" s="32">
        <f>10000000+5850000+158500+0</f>
        <v>16008500</v>
      </c>
      <c r="G10" s="33">
        <f t="shared" si="0"/>
        <v>22932000</v>
      </c>
      <c r="H10" s="34">
        <v>444898</v>
      </c>
      <c r="I10" s="34">
        <f t="shared" si="6"/>
        <v>192102</v>
      </c>
      <c r="J10" s="35">
        <v>36</v>
      </c>
      <c r="K10" s="35">
        <v>36</v>
      </c>
      <c r="L10" s="33">
        <f t="shared" si="1"/>
        <v>637000</v>
      </c>
      <c r="M10" s="36">
        <f t="shared" si="2"/>
        <v>22932000</v>
      </c>
      <c r="N10" s="37">
        <f t="shared" si="3"/>
        <v>16008500</v>
      </c>
      <c r="O10" s="38" t="s">
        <v>46</v>
      </c>
      <c r="P10" s="39" t="s">
        <v>42</v>
      </c>
      <c r="Q10" s="34">
        <f t="shared" si="4"/>
        <v>0</v>
      </c>
    </row>
    <row r="11" spans="1:17" x14ac:dyDescent="0.25">
      <c r="A11" s="28">
        <f t="shared" si="5"/>
        <v>7</v>
      </c>
      <c r="B11" s="29" t="s">
        <v>47</v>
      </c>
      <c r="C11" s="41" t="s">
        <v>48</v>
      </c>
      <c r="D11" s="41" t="s">
        <v>49</v>
      </c>
      <c r="E11" s="31">
        <v>43235</v>
      </c>
      <c r="F11" s="32">
        <f>32221550+805539+913563+427785+200000+40431563</f>
        <v>75000000</v>
      </c>
      <c r="G11" s="33">
        <f t="shared" si="0"/>
        <v>59400000</v>
      </c>
      <c r="H11" s="34">
        <v>750000</v>
      </c>
      <c r="I11" s="34">
        <f t="shared" si="6"/>
        <v>900000</v>
      </c>
      <c r="J11" s="35">
        <v>36</v>
      </c>
      <c r="K11" s="35">
        <v>36</v>
      </c>
      <c r="L11" s="33">
        <f t="shared" si="1"/>
        <v>1650000</v>
      </c>
      <c r="M11" s="36">
        <f t="shared" si="2"/>
        <v>59400000</v>
      </c>
      <c r="N11" s="37">
        <f t="shared" si="3"/>
        <v>75000000</v>
      </c>
      <c r="O11" s="38" t="s">
        <v>50</v>
      </c>
      <c r="P11" s="39" t="s">
        <v>34</v>
      </c>
      <c r="Q11" s="34">
        <f t="shared" si="4"/>
        <v>0</v>
      </c>
    </row>
    <row r="12" spans="1:17" x14ac:dyDescent="0.25">
      <c r="A12" s="28">
        <f t="shared" si="5"/>
        <v>8</v>
      </c>
      <c r="B12" s="29" t="s">
        <v>51</v>
      </c>
      <c r="C12" s="41" t="s">
        <v>52</v>
      </c>
      <c r="D12" s="41" t="s">
        <v>53</v>
      </c>
      <c r="E12" s="31">
        <v>43235</v>
      </c>
      <c r="F12" s="32">
        <f>3998000+26660000+9166666+995617+568000+201753+200000+18209964</f>
        <v>60000000</v>
      </c>
      <c r="G12" s="33">
        <f t="shared" si="0"/>
        <v>45500000</v>
      </c>
      <c r="H12" s="34">
        <v>580000</v>
      </c>
      <c r="I12" s="34">
        <f t="shared" si="6"/>
        <v>720000</v>
      </c>
      <c r="J12" s="35">
        <v>35</v>
      </c>
      <c r="K12" s="35">
        <v>35</v>
      </c>
      <c r="L12" s="33">
        <f t="shared" si="1"/>
        <v>1300000</v>
      </c>
      <c r="M12" s="36">
        <f t="shared" si="2"/>
        <v>45500000</v>
      </c>
      <c r="N12" s="37">
        <f t="shared" si="3"/>
        <v>60000000</v>
      </c>
      <c r="O12" s="38" t="s">
        <v>54</v>
      </c>
      <c r="P12" s="39" t="s">
        <v>34</v>
      </c>
      <c r="Q12" s="34">
        <f t="shared" si="4"/>
        <v>0</v>
      </c>
    </row>
    <row r="13" spans="1:17" x14ac:dyDescent="0.25">
      <c r="A13" s="28">
        <f t="shared" si="5"/>
        <v>9</v>
      </c>
      <c r="B13" s="29" t="s">
        <v>55</v>
      </c>
      <c r="C13" s="41" t="s">
        <v>56</v>
      </c>
      <c r="D13" s="41" t="s">
        <v>57</v>
      </c>
      <c r="E13" s="31">
        <v>43235</v>
      </c>
      <c r="F13" s="32">
        <f>97111800+2427795+1772068+200000+0</f>
        <v>101511663</v>
      </c>
      <c r="G13" s="33">
        <f t="shared" si="0"/>
        <v>86400000</v>
      </c>
      <c r="H13" s="34">
        <v>1181860</v>
      </c>
      <c r="I13" s="34">
        <v>1218140</v>
      </c>
      <c r="J13" s="35">
        <v>36</v>
      </c>
      <c r="K13" s="35">
        <v>36</v>
      </c>
      <c r="L13" s="33">
        <f t="shared" si="1"/>
        <v>2400000</v>
      </c>
      <c r="M13" s="36">
        <f t="shared" si="2"/>
        <v>86400000</v>
      </c>
      <c r="N13" s="37">
        <f t="shared" si="3"/>
        <v>101511663</v>
      </c>
      <c r="O13" s="38" t="s">
        <v>50</v>
      </c>
      <c r="P13" s="39" t="s">
        <v>24</v>
      </c>
      <c r="Q13" s="34">
        <f t="shared" si="4"/>
        <v>0</v>
      </c>
    </row>
    <row r="14" spans="1:17" x14ac:dyDescent="0.25">
      <c r="A14" s="28">
        <f t="shared" si="5"/>
        <v>10</v>
      </c>
      <c r="B14" s="29" t="s">
        <v>58</v>
      </c>
      <c r="C14" s="41" t="s">
        <v>59</v>
      </c>
      <c r="D14" s="41" t="s">
        <v>60</v>
      </c>
      <c r="E14" s="31">
        <v>43235</v>
      </c>
      <c r="F14" s="32">
        <f>24880000+622000+488387+200000+200000+23609613</f>
        <v>50000000</v>
      </c>
      <c r="G14" s="33">
        <f t="shared" si="0"/>
        <v>45307500</v>
      </c>
      <c r="H14" s="34">
        <v>694500</v>
      </c>
      <c r="I14" s="34">
        <f t="shared" ref="I14:I15" si="7">+F14*1.2%</f>
        <v>600000</v>
      </c>
      <c r="J14" s="35">
        <v>35</v>
      </c>
      <c r="K14" s="35">
        <v>35</v>
      </c>
      <c r="L14" s="33">
        <f t="shared" si="1"/>
        <v>1294500</v>
      </c>
      <c r="M14" s="36">
        <f t="shared" si="2"/>
        <v>45307500</v>
      </c>
      <c r="N14" s="37">
        <f t="shared" si="3"/>
        <v>50000000</v>
      </c>
      <c r="O14" s="38" t="s">
        <v>61</v>
      </c>
      <c r="P14" s="39" t="s">
        <v>34</v>
      </c>
      <c r="Q14" s="34">
        <f t="shared" si="4"/>
        <v>0</v>
      </c>
    </row>
    <row r="15" spans="1:17" x14ac:dyDescent="0.25">
      <c r="A15" s="28">
        <f t="shared" si="5"/>
        <v>11</v>
      </c>
      <c r="B15" s="29" t="s">
        <v>62</v>
      </c>
      <c r="C15" s="41" t="s">
        <v>63</v>
      </c>
      <c r="D15" s="41" t="s">
        <v>64</v>
      </c>
      <c r="E15" s="31">
        <v>43235</v>
      </c>
      <c r="F15" s="32">
        <f>750000+200000+75000000</f>
        <v>75950000</v>
      </c>
      <c r="G15" s="33">
        <f t="shared" si="0"/>
        <v>108774000</v>
      </c>
      <c r="H15" s="34">
        <v>2110100</v>
      </c>
      <c r="I15" s="34">
        <f t="shared" si="7"/>
        <v>911400</v>
      </c>
      <c r="J15" s="35">
        <v>36</v>
      </c>
      <c r="K15" s="35">
        <v>36</v>
      </c>
      <c r="L15" s="33">
        <f t="shared" si="1"/>
        <v>3021500</v>
      </c>
      <c r="M15" s="36">
        <f t="shared" si="2"/>
        <v>108774000</v>
      </c>
      <c r="N15" s="37">
        <f t="shared" si="3"/>
        <v>75950000</v>
      </c>
      <c r="O15" s="38" t="s">
        <v>65</v>
      </c>
      <c r="P15" s="39" t="s">
        <v>42</v>
      </c>
      <c r="Q15" s="34">
        <f t="shared" si="4"/>
        <v>0</v>
      </c>
    </row>
    <row r="16" spans="1:17" x14ac:dyDescent="0.25">
      <c r="A16" s="28">
        <f t="shared" si="5"/>
        <v>12</v>
      </c>
      <c r="B16" s="29" t="s">
        <v>66</v>
      </c>
      <c r="C16" s="41" t="s">
        <v>67</v>
      </c>
      <c r="D16" s="41" t="s">
        <v>68</v>
      </c>
      <c r="E16" s="31">
        <v>43231</v>
      </c>
      <c r="F16" s="32">
        <f>25480000+637000+299968+154800+200000+20000000</f>
        <v>46771768</v>
      </c>
      <c r="G16" s="33">
        <f t="shared" si="0"/>
        <v>29520000</v>
      </c>
      <c r="H16" s="34">
        <v>258739</v>
      </c>
      <c r="I16" s="34">
        <v>561261</v>
      </c>
      <c r="J16" s="35">
        <v>36</v>
      </c>
      <c r="K16" s="35">
        <v>36</v>
      </c>
      <c r="L16" s="33">
        <f t="shared" si="1"/>
        <v>820000</v>
      </c>
      <c r="M16" s="36">
        <f t="shared" si="2"/>
        <v>29520000</v>
      </c>
      <c r="N16" s="37">
        <f t="shared" si="3"/>
        <v>46771768</v>
      </c>
      <c r="O16" s="38" t="s">
        <v>69</v>
      </c>
      <c r="P16" s="39" t="s">
        <v>34</v>
      </c>
      <c r="Q16" s="34">
        <f t="shared" si="4"/>
        <v>0</v>
      </c>
    </row>
    <row r="17" spans="1:17" x14ac:dyDescent="0.25">
      <c r="A17" s="28">
        <f t="shared" si="5"/>
        <v>13</v>
      </c>
      <c r="B17" s="29" t="s">
        <v>70</v>
      </c>
      <c r="C17" s="41" t="s">
        <v>71</v>
      </c>
      <c r="D17" s="41" t="s">
        <v>72</v>
      </c>
      <c r="E17" s="31">
        <v>43231</v>
      </c>
      <c r="F17" s="32">
        <f>200000+200000+49600000</f>
        <v>50000000</v>
      </c>
      <c r="G17" s="33">
        <f t="shared" si="0"/>
        <v>71600400</v>
      </c>
      <c r="H17" s="34">
        <v>1388900</v>
      </c>
      <c r="I17" s="34">
        <f>+F17*1.2%</f>
        <v>600000</v>
      </c>
      <c r="J17" s="35">
        <v>36</v>
      </c>
      <c r="K17" s="35">
        <v>36</v>
      </c>
      <c r="L17" s="33">
        <f t="shared" si="1"/>
        <v>1988900</v>
      </c>
      <c r="M17" s="36">
        <f t="shared" si="2"/>
        <v>71600400</v>
      </c>
      <c r="N17" s="37">
        <f t="shared" si="3"/>
        <v>50000000</v>
      </c>
      <c r="O17" s="38" t="s">
        <v>73</v>
      </c>
      <c r="P17" s="39" t="s">
        <v>29</v>
      </c>
      <c r="Q17" s="34">
        <f t="shared" si="4"/>
        <v>0</v>
      </c>
    </row>
    <row r="18" spans="1:17" x14ac:dyDescent="0.25">
      <c r="A18" s="28">
        <f t="shared" si="5"/>
        <v>14</v>
      </c>
      <c r="B18" s="29" t="s">
        <v>74</v>
      </c>
      <c r="C18" s="41" t="s">
        <v>75</v>
      </c>
      <c r="D18" s="41" t="s">
        <v>76</v>
      </c>
      <c r="E18" s="31">
        <v>43231</v>
      </c>
      <c r="F18" s="32">
        <f>97776000+2444400+1411613+200000+0-50916007</f>
        <v>50916006</v>
      </c>
      <c r="G18" s="33">
        <f t="shared" si="0"/>
        <v>45600000</v>
      </c>
      <c r="H18" s="34">
        <v>1289008</v>
      </c>
      <c r="I18" s="34">
        <v>610992</v>
      </c>
      <c r="J18" s="35">
        <v>24</v>
      </c>
      <c r="K18" s="35">
        <v>24</v>
      </c>
      <c r="L18" s="33">
        <f t="shared" si="1"/>
        <v>1900000</v>
      </c>
      <c r="M18" s="36">
        <f t="shared" si="2"/>
        <v>45600000</v>
      </c>
      <c r="N18" s="37">
        <f t="shared" si="3"/>
        <v>50916006</v>
      </c>
      <c r="O18" s="38" t="s">
        <v>77</v>
      </c>
      <c r="P18" s="39" t="s">
        <v>24</v>
      </c>
      <c r="Q18" s="34">
        <f t="shared" si="4"/>
        <v>0</v>
      </c>
    </row>
    <row r="19" spans="1:17" x14ac:dyDescent="0.25">
      <c r="A19" s="28">
        <f t="shared" si="5"/>
        <v>15</v>
      </c>
      <c r="B19" s="29" t="s">
        <v>74</v>
      </c>
      <c r="C19" s="41" t="s">
        <v>75</v>
      </c>
      <c r="D19" s="41" t="s">
        <v>76</v>
      </c>
      <c r="E19" s="31">
        <v>43231</v>
      </c>
      <c r="F19" s="32">
        <v>50916007</v>
      </c>
      <c r="G19" s="33">
        <f t="shared" si="0"/>
        <v>45600000</v>
      </c>
      <c r="H19" s="34">
        <v>1289008</v>
      </c>
      <c r="I19" s="34">
        <v>610992</v>
      </c>
      <c r="J19" s="35">
        <v>24</v>
      </c>
      <c r="K19" s="35">
        <v>24</v>
      </c>
      <c r="L19" s="33">
        <f t="shared" si="1"/>
        <v>1900000</v>
      </c>
      <c r="M19" s="36">
        <f t="shared" si="2"/>
        <v>45600000</v>
      </c>
      <c r="N19" s="37">
        <f t="shared" si="3"/>
        <v>50916007</v>
      </c>
      <c r="O19" s="38" t="s">
        <v>77</v>
      </c>
      <c r="P19" s="39" t="s">
        <v>24</v>
      </c>
      <c r="Q19" s="34">
        <f t="shared" si="4"/>
        <v>0</v>
      </c>
    </row>
    <row r="20" spans="1:17" x14ac:dyDescent="0.25">
      <c r="A20" s="28">
        <f t="shared" si="5"/>
        <v>16</v>
      </c>
      <c r="B20" s="29" t="s">
        <v>78</v>
      </c>
      <c r="C20" s="41" t="s">
        <v>79</v>
      </c>
      <c r="D20" s="41" t="s">
        <v>80</v>
      </c>
      <c r="E20" s="31">
        <v>43236</v>
      </c>
      <c r="F20" s="32">
        <f>1046100+60840000+1547153+766806+381139+200000+35218802</f>
        <v>100000000</v>
      </c>
      <c r="G20" s="33">
        <f t="shared" si="0"/>
        <v>62001600</v>
      </c>
      <c r="H20" s="34">
        <v>1383400</v>
      </c>
      <c r="I20" s="34">
        <f t="shared" ref="I20:I24" si="8">+F20*1.2%</f>
        <v>1200000</v>
      </c>
      <c r="J20" s="35">
        <v>24</v>
      </c>
      <c r="K20" s="35">
        <v>24</v>
      </c>
      <c r="L20" s="33">
        <f t="shared" si="1"/>
        <v>2583400</v>
      </c>
      <c r="M20" s="36">
        <f t="shared" si="2"/>
        <v>62001600</v>
      </c>
      <c r="N20" s="37">
        <f t="shared" si="3"/>
        <v>100000000</v>
      </c>
      <c r="O20" s="38" t="s">
        <v>81</v>
      </c>
      <c r="P20" s="39" t="s">
        <v>34</v>
      </c>
      <c r="Q20" s="34">
        <f t="shared" si="4"/>
        <v>0</v>
      </c>
    </row>
    <row r="21" spans="1:17" x14ac:dyDescent="0.25">
      <c r="A21" s="28">
        <f t="shared" si="5"/>
        <v>17</v>
      </c>
      <c r="B21" s="29" t="s">
        <v>82</v>
      </c>
      <c r="C21" s="41" t="s">
        <v>83</v>
      </c>
      <c r="D21" s="41" t="s">
        <v>84</v>
      </c>
      <c r="E21" s="31">
        <v>43236</v>
      </c>
      <c r="F21" s="32">
        <f>32920000+823000+515935+670800+200000+64870265</f>
        <v>100000000</v>
      </c>
      <c r="G21" s="33">
        <f t="shared" si="0"/>
        <v>50400000</v>
      </c>
      <c r="H21" s="34">
        <v>200000</v>
      </c>
      <c r="I21" s="34">
        <f t="shared" si="8"/>
        <v>1200000</v>
      </c>
      <c r="J21" s="35">
        <v>36</v>
      </c>
      <c r="K21" s="35">
        <v>36</v>
      </c>
      <c r="L21" s="33">
        <f t="shared" si="1"/>
        <v>1400000</v>
      </c>
      <c r="M21" s="36">
        <f t="shared" si="2"/>
        <v>50400000</v>
      </c>
      <c r="N21" s="37">
        <f t="shared" si="3"/>
        <v>100000000</v>
      </c>
      <c r="O21" s="38" t="s">
        <v>85</v>
      </c>
      <c r="P21" s="39" t="s">
        <v>34</v>
      </c>
      <c r="Q21" s="34">
        <f t="shared" si="4"/>
        <v>0</v>
      </c>
    </row>
    <row r="22" spans="1:17" x14ac:dyDescent="0.25">
      <c r="A22" s="28">
        <f t="shared" si="5"/>
        <v>18</v>
      </c>
      <c r="B22" s="29" t="s">
        <v>86</v>
      </c>
      <c r="C22" s="41" t="s">
        <v>87</v>
      </c>
      <c r="D22" s="41" t="s">
        <v>88</v>
      </c>
      <c r="E22" s="31">
        <v>43236</v>
      </c>
      <c r="F22" s="32">
        <f>56240000+1406000+764452+337600+200000+31051948</f>
        <v>90000000</v>
      </c>
      <c r="G22" s="33">
        <f t="shared" si="0"/>
        <v>54000000</v>
      </c>
      <c r="H22" s="34">
        <v>420000</v>
      </c>
      <c r="I22" s="34">
        <f t="shared" si="8"/>
        <v>1080000</v>
      </c>
      <c r="J22" s="35">
        <v>36</v>
      </c>
      <c r="K22" s="35">
        <v>36</v>
      </c>
      <c r="L22" s="33">
        <f t="shared" si="1"/>
        <v>1500000</v>
      </c>
      <c r="M22" s="36">
        <f t="shared" si="2"/>
        <v>54000000</v>
      </c>
      <c r="N22" s="37">
        <f t="shared" si="3"/>
        <v>90000000</v>
      </c>
      <c r="O22" s="38" t="s">
        <v>85</v>
      </c>
      <c r="P22" s="39" t="s">
        <v>34</v>
      </c>
      <c r="Q22" s="34">
        <f t="shared" si="4"/>
        <v>0</v>
      </c>
    </row>
    <row r="23" spans="1:17" x14ac:dyDescent="0.25">
      <c r="A23" s="28">
        <f t="shared" si="5"/>
        <v>19</v>
      </c>
      <c r="B23" s="29" t="s">
        <v>89</v>
      </c>
      <c r="C23" s="41" t="s">
        <v>90</v>
      </c>
      <c r="D23" s="41" t="s">
        <v>91</v>
      </c>
      <c r="E23" s="31">
        <v>43234</v>
      </c>
      <c r="F23" s="32">
        <f>187374928+10000000+4684373+1749628+1939512+1000000+200000+0</f>
        <v>206948441</v>
      </c>
      <c r="G23" s="33">
        <f t="shared" si="0"/>
        <v>174600000</v>
      </c>
      <c r="H23" s="34">
        <v>2366619</v>
      </c>
      <c r="I23" s="34">
        <v>2483381</v>
      </c>
      <c r="J23" s="35">
        <v>36</v>
      </c>
      <c r="K23" s="35">
        <v>36</v>
      </c>
      <c r="L23" s="33">
        <f t="shared" si="1"/>
        <v>4850000</v>
      </c>
      <c r="M23" s="36">
        <f t="shared" si="2"/>
        <v>174600000</v>
      </c>
      <c r="N23" s="37">
        <f t="shared" si="3"/>
        <v>206948441</v>
      </c>
      <c r="O23" s="38" t="s">
        <v>46</v>
      </c>
      <c r="P23" s="39" t="s">
        <v>24</v>
      </c>
      <c r="Q23" s="34">
        <f t="shared" si="4"/>
        <v>0</v>
      </c>
    </row>
    <row r="24" spans="1:17" x14ac:dyDescent="0.25">
      <c r="A24" s="28">
        <f t="shared" si="5"/>
        <v>20</v>
      </c>
      <c r="B24" s="29" t="s">
        <v>92</v>
      </c>
      <c r="C24" s="41" t="s">
        <v>93</v>
      </c>
      <c r="D24" s="41" t="s">
        <v>94</v>
      </c>
      <c r="E24" s="31">
        <v>43234</v>
      </c>
      <c r="F24" s="32">
        <f>10500000+105000+0</f>
        <v>10605000</v>
      </c>
      <c r="G24" s="33">
        <f t="shared" si="0"/>
        <v>15188400</v>
      </c>
      <c r="H24" s="34">
        <v>294640</v>
      </c>
      <c r="I24" s="34">
        <f t="shared" si="8"/>
        <v>127260</v>
      </c>
      <c r="J24" s="35">
        <v>36</v>
      </c>
      <c r="K24" s="35">
        <v>36</v>
      </c>
      <c r="L24" s="33">
        <f t="shared" si="1"/>
        <v>421900</v>
      </c>
      <c r="M24" s="36">
        <f t="shared" si="2"/>
        <v>15188400</v>
      </c>
      <c r="N24" s="37">
        <f t="shared" si="3"/>
        <v>10605000</v>
      </c>
      <c r="O24" s="38" t="s">
        <v>95</v>
      </c>
      <c r="P24" s="39" t="s">
        <v>24</v>
      </c>
      <c r="Q24" s="34">
        <f t="shared" si="4"/>
        <v>0</v>
      </c>
    </row>
    <row r="25" spans="1:17" x14ac:dyDescent="0.25">
      <c r="A25" s="28">
        <f t="shared" si="5"/>
        <v>21</v>
      </c>
      <c r="B25" s="29" t="s">
        <v>96</v>
      </c>
      <c r="C25" s="41" t="s">
        <v>97</v>
      </c>
      <c r="D25" s="41" t="s">
        <v>98</v>
      </c>
      <c r="E25" s="31">
        <v>43234</v>
      </c>
      <c r="F25" s="32">
        <f>913584+29166000+751990+446227+449204+200000+43072995</f>
        <v>75000000</v>
      </c>
      <c r="G25" s="33">
        <f t="shared" si="0"/>
        <v>62460000</v>
      </c>
      <c r="H25" s="34">
        <v>835000</v>
      </c>
      <c r="I25" s="34">
        <f>+F25*1.2%</f>
        <v>900000</v>
      </c>
      <c r="J25" s="35">
        <v>36</v>
      </c>
      <c r="K25" s="35">
        <v>36</v>
      </c>
      <c r="L25" s="33">
        <f t="shared" si="1"/>
        <v>1735000</v>
      </c>
      <c r="M25" s="36">
        <f t="shared" si="2"/>
        <v>62460000</v>
      </c>
      <c r="N25" s="37">
        <f t="shared" si="3"/>
        <v>75000000</v>
      </c>
      <c r="O25" s="38" t="s">
        <v>50</v>
      </c>
      <c r="P25" s="39" t="s">
        <v>34</v>
      </c>
      <c r="Q25" s="34">
        <f t="shared" si="4"/>
        <v>0</v>
      </c>
    </row>
    <row r="26" spans="1:17" x14ac:dyDescent="0.25">
      <c r="A26" s="28">
        <f t="shared" si="5"/>
        <v>22</v>
      </c>
      <c r="B26" s="29" t="s">
        <v>99</v>
      </c>
      <c r="C26" s="41" t="s">
        <v>100</v>
      </c>
      <c r="D26" s="30" t="s">
        <v>101</v>
      </c>
      <c r="E26" s="42">
        <v>43234</v>
      </c>
      <c r="F26" s="43">
        <f>34117724+852943+425353+158823+200000+14245157</f>
        <v>50000000</v>
      </c>
      <c r="G26" s="33">
        <f t="shared" si="0"/>
        <v>43200000</v>
      </c>
      <c r="H26" s="34">
        <v>600000</v>
      </c>
      <c r="I26" s="34">
        <f>+F26*1.2%</f>
        <v>600000</v>
      </c>
      <c r="J26" s="35">
        <v>36</v>
      </c>
      <c r="K26" s="35">
        <v>36</v>
      </c>
      <c r="L26" s="33">
        <f t="shared" si="1"/>
        <v>1200000</v>
      </c>
      <c r="M26" s="36">
        <f t="shared" si="2"/>
        <v>43200000</v>
      </c>
      <c r="N26" s="37">
        <f t="shared" si="3"/>
        <v>50000000</v>
      </c>
      <c r="O26" s="38" t="s">
        <v>102</v>
      </c>
      <c r="P26" s="39" t="s">
        <v>34</v>
      </c>
      <c r="Q26" s="34">
        <f t="shared" si="4"/>
        <v>0</v>
      </c>
    </row>
    <row r="27" spans="1:17" x14ac:dyDescent="0.25">
      <c r="A27" s="28">
        <f t="shared" si="5"/>
        <v>23</v>
      </c>
      <c r="B27" s="29" t="s">
        <v>103</v>
      </c>
      <c r="C27" s="41" t="s">
        <v>104</v>
      </c>
      <c r="D27" s="41" t="s">
        <v>105</v>
      </c>
      <c r="E27" s="42">
        <v>43234</v>
      </c>
      <c r="F27" s="32">
        <f>30198512+754963+372461+648015+200000+62826049</f>
        <v>95000000</v>
      </c>
      <c r="G27" s="33">
        <f t="shared" si="0"/>
        <v>77040000</v>
      </c>
      <c r="H27" s="34">
        <v>1000000</v>
      </c>
      <c r="I27" s="34">
        <f>+F27*1.2%</f>
        <v>1140000</v>
      </c>
      <c r="J27" s="35">
        <v>36</v>
      </c>
      <c r="K27" s="35">
        <v>36</v>
      </c>
      <c r="L27" s="33">
        <f t="shared" si="1"/>
        <v>2140000</v>
      </c>
      <c r="M27" s="36">
        <f t="shared" si="2"/>
        <v>77040000</v>
      </c>
      <c r="N27" s="37">
        <f t="shared" si="3"/>
        <v>95000000</v>
      </c>
      <c r="O27" s="38" t="s">
        <v>106</v>
      </c>
      <c r="P27" s="39" t="s">
        <v>34</v>
      </c>
      <c r="Q27" s="34">
        <f t="shared" si="4"/>
        <v>0</v>
      </c>
    </row>
    <row r="28" spans="1:17" x14ac:dyDescent="0.25">
      <c r="A28" s="28">
        <f t="shared" si="5"/>
        <v>24</v>
      </c>
      <c r="B28" s="29" t="s">
        <v>107</v>
      </c>
      <c r="C28" s="41" t="s">
        <v>108</v>
      </c>
      <c r="D28" s="41" t="s">
        <v>109</v>
      </c>
      <c r="E28" s="42">
        <v>43228</v>
      </c>
      <c r="F28" s="32">
        <f>19158000+478950+176903+10186147</f>
        <v>30000000</v>
      </c>
      <c r="G28" s="33">
        <f t="shared" si="0"/>
        <v>42962400</v>
      </c>
      <c r="H28" s="34">
        <v>833400</v>
      </c>
      <c r="I28" s="34">
        <f>+F28*1.2%</f>
        <v>360000</v>
      </c>
      <c r="J28" s="35">
        <v>36</v>
      </c>
      <c r="K28" s="35">
        <v>36</v>
      </c>
      <c r="L28" s="33">
        <f t="shared" si="1"/>
        <v>1193400</v>
      </c>
      <c r="M28" s="36">
        <f t="shared" si="2"/>
        <v>42962400</v>
      </c>
      <c r="N28" s="37">
        <f t="shared" si="3"/>
        <v>30000000</v>
      </c>
      <c r="O28" s="38" t="s">
        <v>110</v>
      </c>
      <c r="P28" s="39" t="s">
        <v>34</v>
      </c>
      <c r="Q28" s="34">
        <f t="shared" si="4"/>
        <v>0</v>
      </c>
    </row>
    <row r="29" spans="1:17" x14ac:dyDescent="0.25">
      <c r="A29" s="28">
        <f t="shared" si="5"/>
        <v>25</v>
      </c>
      <c r="B29" s="29" t="s">
        <v>111</v>
      </c>
      <c r="C29" s="41" t="s">
        <v>112</v>
      </c>
      <c r="D29" s="41" t="s">
        <v>113</v>
      </c>
      <c r="E29" s="42">
        <v>43237</v>
      </c>
      <c r="F29" s="32">
        <f>60719629+1517991+1007490+1288811+200000+200000+0</f>
        <v>64933921</v>
      </c>
      <c r="G29" s="33">
        <f t="shared" si="0"/>
        <v>61444800</v>
      </c>
      <c r="H29" s="34">
        <v>927593</v>
      </c>
      <c r="I29" s="34">
        <v>779207</v>
      </c>
      <c r="J29" s="35">
        <v>36</v>
      </c>
      <c r="K29" s="35">
        <v>36</v>
      </c>
      <c r="L29" s="33">
        <f t="shared" si="1"/>
        <v>1706800</v>
      </c>
      <c r="M29" s="36">
        <f t="shared" si="2"/>
        <v>61444800</v>
      </c>
      <c r="N29" s="37">
        <f t="shared" si="3"/>
        <v>64933921</v>
      </c>
      <c r="O29" s="38" t="s">
        <v>114</v>
      </c>
      <c r="P29" s="39" t="s">
        <v>24</v>
      </c>
      <c r="Q29" s="34">
        <f t="shared" si="4"/>
        <v>0</v>
      </c>
    </row>
    <row r="30" spans="1:17" x14ac:dyDescent="0.25">
      <c r="A30" s="28">
        <f t="shared" si="5"/>
        <v>26</v>
      </c>
      <c r="B30" s="29" t="s">
        <v>115</v>
      </c>
      <c r="C30" s="41" t="s">
        <v>116</v>
      </c>
      <c r="D30" s="41" t="s">
        <v>117</v>
      </c>
      <c r="E30" s="42">
        <v>43237</v>
      </c>
      <c r="F30" s="32">
        <f>125147468+3128687+1811174+1038000+200000+103800000</f>
        <v>235125329</v>
      </c>
      <c r="G30" s="33">
        <f t="shared" si="0"/>
        <v>250560000</v>
      </c>
      <c r="H30" s="34">
        <v>2398496</v>
      </c>
      <c r="I30" s="34">
        <v>2821504</v>
      </c>
      <c r="J30" s="35">
        <v>48</v>
      </c>
      <c r="K30" s="35">
        <v>48</v>
      </c>
      <c r="L30" s="33">
        <f t="shared" si="1"/>
        <v>5220000</v>
      </c>
      <c r="M30" s="36">
        <f t="shared" si="2"/>
        <v>250560000</v>
      </c>
      <c r="N30" s="37">
        <f t="shared" si="3"/>
        <v>235125329</v>
      </c>
      <c r="O30" s="38" t="s">
        <v>118</v>
      </c>
      <c r="P30" s="39" t="s">
        <v>34</v>
      </c>
      <c r="Q30" s="34">
        <f t="shared" si="4"/>
        <v>0</v>
      </c>
    </row>
    <row r="31" spans="1:17" x14ac:dyDescent="0.25">
      <c r="A31" s="28">
        <f t="shared" si="5"/>
        <v>27</v>
      </c>
      <c r="B31" s="29" t="s">
        <v>119</v>
      </c>
      <c r="C31" s="41" t="s">
        <v>120</v>
      </c>
      <c r="D31" s="41" t="s">
        <v>121</v>
      </c>
      <c r="E31" s="42">
        <v>43238</v>
      </c>
      <c r="F31" s="32">
        <f>3055500+253150706+10000000+0</f>
        <v>266206206</v>
      </c>
      <c r="G31" s="33">
        <f t="shared" si="0"/>
        <v>195000000</v>
      </c>
      <c r="H31" s="34">
        <v>55526</v>
      </c>
      <c r="I31" s="34">
        <v>3194474</v>
      </c>
      <c r="J31" s="35">
        <v>60</v>
      </c>
      <c r="K31" s="35">
        <v>60</v>
      </c>
      <c r="L31" s="33">
        <f t="shared" si="1"/>
        <v>3250000</v>
      </c>
      <c r="M31" s="36">
        <f t="shared" si="2"/>
        <v>195000000</v>
      </c>
      <c r="N31" s="37">
        <f t="shared" si="3"/>
        <v>266206206</v>
      </c>
      <c r="O31" s="38" t="s">
        <v>122</v>
      </c>
      <c r="P31" s="39" t="s">
        <v>24</v>
      </c>
      <c r="Q31" s="34">
        <f t="shared" si="4"/>
        <v>0</v>
      </c>
    </row>
    <row r="32" spans="1:17" x14ac:dyDescent="0.25">
      <c r="A32" s="28">
        <f t="shared" si="5"/>
        <v>28</v>
      </c>
      <c r="B32" s="29" t="s">
        <v>123</v>
      </c>
      <c r="C32" s="41" t="s">
        <v>124</v>
      </c>
      <c r="D32" s="41" t="s">
        <v>125</v>
      </c>
      <c r="E32" s="42">
        <v>43238</v>
      </c>
      <c r="F32" s="32">
        <f>73983622+1849591+1069932+200000+0</f>
        <v>77103145</v>
      </c>
      <c r="G32" s="33">
        <f t="shared" si="0"/>
        <v>72000000</v>
      </c>
      <c r="H32" s="34">
        <v>2074762</v>
      </c>
      <c r="I32" s="34">
        <v>925238</v>
      </c>
      <c r="J32" s="35">
        <v>24</v>
      </c>
      <c r="K32" s="35">
        <v>24</v>
      </c>
      <c r="L32" s="33">
        <f t="shared" si="1"/>
        <v>3000000</v>
      </c>
      <c r="M32" s="36">
        <f t="shared" si="2"/>
        <v>72000000</v>
      </c>
      <c r="N32" s="37">
        <f t="shared" si="3"/>
        <v>77103145</v>
      </c>
      <c r="O32" s="29" t="s">
        <v>126</v>
      </c>
      <c r="P32" s="39" t="s">
        <v>24</v>
      </c>
      <c r="Q32" s="34">
        <f t="shared" si="4"/>
        <v>0</v>
      </c>
    </row>
    <row r="33" spans="1:17" x14ac:dyDescent="0.25">
      <c r="A33" s="28">
        <f t="shared" si="5"/>
        <v>29</v>
      </c>
      <c r="B33" s="29" t="s">
        <v>127</v>
      </c>
      <c r="C33" s="41" t="s">
        <v>128</v>
      </c>
      <c r="D33" s="41" t="s">
        <v>129</v>
      </c>
      <c r="E33" s="42">
        <v>43228</v>
      </c>
      <c r="F33" s="32">
        <f>22489500+562238+211742+500000+200000+50000000</f>
        <v>73963480</v>
      </c>
      <c r="G33" s="33">
        <f t="shared" si="0"/>
        <v>22872000</v>
      </c>
      <c r="H33" s="34">
        <f>1906000-I33</f>
        <v>1018438</v>
      </c>
      <c r="I33" s="34">
        <v>887562</v>
      </c>
      <c r="J33" s="35">
        <v>12</v>
      </c>
      <c r="K33" s="35">
        <v>12</v>
      </c>
      <c r="L33" s="33">
        <f t="shared" si="1"/>
        <v>1906000</v>
      </c>
      <c r="M33" s="36">
        <f t="shared" si="2"/>
        <v>22872000</v>
      </c>
      <c r="N33" s="37">
        <f t="shared" si="3"/>
        <v>73963480</v>
      </c>
      <c r="O33" s="29" t="s">
        <v>130</v>
      </c>
      <c r="P33" s="39" t="s">
        <v>34</v>
      </c>
      <c r="Q33" s="34">
        <f t="shared" si="4"/>
        <v>0</v>
      </c>
    </row>
    <row r="34" spans="1:17" x14ac:dyDescent="0.25">
      <c r="A34" s="28">
        <f t="shared" si="5"/>
        <v>30</v>
      </c>
      <c r="B34" s="29" t="s">
        <v>131</v>
      </c>
      <c r="C34" s="41" t="s">
        <v>132</v>
      </c>
      <c r="D34" s="41" t="s">
        <v>133</v>
      </c>
      <c r="E34" s="42">
        <v>43228</v>
      </c>
      <c r="F34" s="32">
        <f>100000+9900000</f>
        <v>10000000</v>
      </c>
      <c r="G34" s="33">
        <f t="shared" si="0"/>
        <v>12880800</v>
      </c>
      <c r="H34" s="34">
        <f>536700-I34</f>
        <v>416700</v>
      </c>
      <c r="I34" s="34">
        <f>+F34*1.2%</f>
        <v>120000</v>
      </c>
      <c r="J34" s="35">
        <v>24</v>
      </c>
      <c r="K34" s="35">
        <v>24</v>
      </c>
      <c r="L34" s="33">
        <f t="shared" si="1"/>
        <v>536700</v>
      </c>
      <c r="M34" s="36">
        <f t="shared" si="2"/>
        <v>12880800</v>
      </c>
      <c r="N34" s="37">
        <f t="shared" si="3"/>
        <v>10000000</v>
      </c>
      <c r="O34" s="29" t="s">
        <v>134</v>
      </c>
      <c r="P34" s="39" t="s">
        <v>42</v>
      </c>
      <c r="Q34" s="34">
        <f t="shared" si="4"/>
        <v>0</v>
      </c>
    </row>
    <row r="35" spans="1:17" x14ac:dyDescent="0.25">
      <c r="A35" s="44"/>
      <c r="B35" s="29"/>
      <c r="C35" s="29"/>
      <c r="D35" s="29"/>
      <c r="E35" s="29"/>
      <c r="F35" s="32"/>
      <c r="G35" s="29"/>
      <c r="H35" s="34"/>
      <c r="I35" s="34"/>
      <c r="J35" s="29"/>
      <c r="K35" s="29"/>
      <c r="L35" s="29"/>
      <c r="M35" s="29"/>
      <c r="N35" s="29"/>
      <c r="O35" s="29"/>
      <c r="P35" s="45"/>
      <c r="Q35" s="29"/>
    </row>
    <row r="36" spans="1:17" x14ac:dyDescent="0.25">
      <c r="A36" s="44"/>
      <c r="B36" s="29" t="s">
        <v>6</v>
      </c>
      <c r="C36" s="29"/>
      <c r="D36" s="29"/>
      <c r="E36" s="29"/>
      <c r="F36" s="32">
        <f>SUM(F5:F35)</f>
        <v>2445452934</v>
      </c>
      <c r="G36" s="32">
        <f t="shared" ref="G36:N36" si="9">SUM(G5:G35)</f>
        <v>2010545500</v>
      </c>
      <c r="H36" s="32">
        <f t="shared" si="9"/>
        <v>28168065</v>
      </c>
      <c r="I36" s="32">
        <f t="shared" si="9"/>
        <v>29345435</v>
      </c>
      <c r="J36" s="32">
        <f t="shared" si="9"/>
        <v>1005</v>
      </c>
      <c r="K36" s="32">
        <f t="shared" si="9"/>
        <v>1005</v>
      </c>
      <c r="L36" s="32">
        <f t="shared" si="9"/>
        <v>57513500</v>
      </c>
      <c r="M36" s="32">
        <f t="shared" si="9"/>
        <v>2010545500</v>
      </c>
      <c r="N36" s="32">
        <f t="shared" si="9"/>
        <v>2445452934</v>
      </c>
      <c r="O36" s="29"/>
      <c r="P36" s="45"/>
      <c r="Q36" s="32">
        <f>SUM(Q5:Q13)</f>
        <v>0</v>
      </c>
    </row>
    <row r="37" spans="1:17" x14ac:dyDescent="0.25">
      <c r="F37" s="47"/>
      <c r="H37" s="48"/>
      <c r="I37" s="48"/>
      <c r="Q37" s="29"/>
    </row>
    <row r="38" spans="1:17" s="46" customFormat="1" x14ac:dyDescent="0.25">
      <c r="A38" s="28">
        <f t="shared" ref="A38:A39" si="10">+A37+1</f>
        <v>1</v>
      </c>
      <c r="B38" s="29" t="s">
        <v>74</v>
      </c>
      <c r="C38" s="41" t="s">
        <v>75</v>
      </c>
      <c r="D38" s="41" t="s">
        <v>76</v>
      </c>
      <c r="E38" s="31">
        <v>43231</v>
      </c>
      <c r="F38" s="32">
        <f>97776000+2444400+1411613+200000+0</f>
        <v>101832013</v>
      </c>
      <c r="G38" s="33">
        <f t="shared" ref="G38:G39" si="11">+J38*L38</f>
        <v>91200000</v>
      </c>
      <c r="H38" s="34">
        <v>2578016</v>
      </c>
      <c r="I38" s="34">
        <v>1221984</v>
      </c>
      <c r="J38" s="35">
        <v>24</v>
      </c>
      <c r="K38" s="35">
        <v>24</v>
      </c>
      <c r="L38" s="33">
        <f t="shared" ref="L38:L39" si="12">+H38+I38</f>
        <v>3800000</v>
      </c>
      <c r="M38" s="36">
        <f t="shared" ref="M38:M39" si="13">+K38*L38</f>
        <v>91200000</v>
      </c>
      <c r="N38" s="37">
        <f t="shared" ref="N38:N39" si="14">F38-(H38*0)</f>
        <v>101832013</v>
      </c>
      <c r="O38" s="38" t="s">
        <v>77</v>
      </c>
      <c r="P38" s="39" t="s">
        <v>24</v>
      </c>
      <c r="Q38" s="34"/>
    </row>
    <row r="39" spans="1:17" x14ac:dyDescent="0.25">
      <c r="A39" s="28">
        <f t="shared" si="10"/>
        <v>2</v>
      </c>
      <c r="B39" s="29" t="s">
        <v>135</v>
      </c>
      <c r="C39" s="41" t="s">
        <v>136</v>
      </c>
      <c r="D39" s="41" t="s">
        <v>137</v>
      </c>
      <c r="E39" s="31">
        <v>43234</v>
      </c>
      <c r="F39" s="32">
        <f>32349500+808738+449677+76505+200000+6115580</f>
        <v>40000000</v>
      </c>
      <c r="G39" s="33">
        <f t="shared" si="11"/>
        <v>57283200</v>
      </c>
      <c r="H39" s="34">
        <f>1591200-I39</f>
        <v>1111200</v>
      </c>
      <c r="I39" s="34">
        <f>+F39*1.2%</f>
        <v>480000</v>
      </c>
      <c r="J39" s="35">
        <v>36</v>
      </c>
      <c r="K39" s="35">
        <v>36</v>
      </c>
      <c r="L39" s="33">
        <f t="shared" si="12"/>
        <v>1591200</v>
      </c>
      <c r="M39" s="36">
        <f t="shared" si="13"/>
        <v>57283200</v>
      </c>
      <c r="N39" s="37">
        <f t="shared" si="14"/>
        <v>40000000</v>
      </c>
      <c r="O39" s="38" t="s">
        <v>61</v>
      </c>
      <c r="P39" s="39" t="s">
        <v>34</v>
      </c>
      <c r="Q39" s="34">
        <f t="shared" ref="Q39" si="15">+F39-N39</f>
        <v>0</v>
      </c>
    </row>
    <row r="40" spans="1:17" s="46" customFormat="1" x14ac:dyDescent="0.25">
      <c r="A40" s="28"/>
      <c r="B40" s="44"/>
      <c r="C40" s="49"/>
      <c r="D40" s="49"/>
      <c r="E40" s="31"/>
      <c r="F40" s="50"/>
      <c r="G40" s="51"/>
      <c r="H40" s="52"/>
      <c r="I40" s="52"/>
      <c r="J40" s="28"/>
      <c r="K40" s="28"/>
      <c r="L40" s="51"/>
      <c r="M40" s="53"/>
      <c r="N40" s="51"/>
      <c r="O40" s="54"/>
      <c r="P40" s="55"/>
      <c r="Q40" s="52"/>
    </row>
    <row r="41" spans="1:17" s="46" customFormat="1" x14ac:dyDescent="0.25">
      <c r="A41" s="28"/>
      <c r="B41" s="44"/>
      <c r="C41" s="49"/>
      <c r="D41" s="49"/>
      <c r="E41" s="31"/>
      <c r="F41" s="52"/>
      <c r="G41" s="51"/>
      <c r="H41" s="52"/>
      <c r="I41" s="52"/>
      <c r="J41" s="28"/>
      <c r="K41" s="28"/>
      <c r="L41" s="51"/>
      <c r="M41" s="53"/>
      <c r="N41" s="51"/>
      <c r="O41" s="54"/>
      <c r="P41" s="55"/>
      <c r="Q41" s="52"/>
    </row>
    <row r="42" spans="1:17" s="46" customFormat="1" x14ac:dyDescent="0.25">
      <c r="A42" s="28"/>
      <c r="B42" s="44"/>
      <c r="C42" s="49"/>
      <c r="D42" s="49"/>
      <c r="E42" s="31"/>
      <c r="F42" s="50"/>
      <c r="G42" s="51"/>
      <c r="H42" s="52"/>
      <c r="I42" s="52"/>
      <c r="J42" s="28"/>
      <c r="K42" s="28"/>
      <c r="L42" s="51"/>
      <c r="M42" s="53"/>
      <c r="N42" s="51"/>
      <c r="O42" s="54"/>
      <c r="P42" s="55"/>
      <c r="Q42" s="52"/>
    </row>
    <row r="43" spans="1:17" s="46" customFormat="1" x14ac:dyDescent="0.25">
      <c r="A43" s="28"/>
      <c r="B43" s="44"/>
      <c r="C43" s="49"/>
      <c r="D43" s="49"/>
      <c r="E43" s="31"/>
      <c r="F43" s="50"/>
      <c r="G43" s="51"/>
      <c r="H43" s="52"/>
      <c r="I43" s="52"/>
      <c r="J43" s="28"/>
      <c r="K43" s="28"/>
      <c r="L43" s="51"/>
      <c r="M43" s="53"/>
      <c r="N43" s="51"/>
      <c r="O43" s="54"/>
      <c r="P43" s="55"/>
      <c r="Q43" s="52"/>
    </row>
    <row r="44" spans="1:17" s="46" customFormat="1" x14ac:dyDescent="0.25">
      <c r="A44" s="28"/>
      <c r="B44" s="44"/>
      <c r="C44" s="49"/>
      <c r="D44" s="49"/>
      <c r="E44" s="31"/>
      <c r="F44" s="50"/>
      <c r="G44" s="51"/>
      <c r="H44" s="52"/>
      <c r="I44" s="56"/>
      <c r="J44" s="28"/>
      <c r="K44" s="28"/>
      <c r="L44" s="51"/>
      <c r="M44" s="51"/>
      <c r="N44" s="51"/>
      <c r="O44" s="57"/>
      <c r="P44" s="55"/>
      <c r="Q44" s="52"/>
    </row>
    <row r="45" spans="1:17" s="46" customFormat="1" x14ac:dyDescent="0.25">
      <c r="A45" s="28"/>
      <c r="B45" s="44"/>
      <c r="C45" s="49"/>
      <c r="D45" s="49"/>
      <c r="E45" s="31"/>
      <c r="F45" s="50"/>
      <c r="G45" s="51"/>
      <c r="H45" s="52"/>
      <c r="I45" s="52"/>
      <c r="J45" s="28"/>
      <c r="K45" s="28"/>
      <c r="L45" s="51"/>
      <c r="M45" s="53"/>
      <c r="N45" s="51"/>
      <c r="O45" s="54"/>
      <c r="P45" s="55"/>
      <c r="Q45" s="52"/>
    </row>
    <row r="46" spans="1:17" s="46" customFormat="1" x14ac:dyDescent="0.25">
      <c r="A46" s="28"/>
      <c r="B46" s="44"/>
      <c r="C46" s="49"/>
      <c r="D46" s="49"/>
      <c r="E46" s="31"/>
      <c r="F46" s="50"/>
      <c r="G46" s="51"/>
      <c r="H46" s="52"/>
      <c r="I46" s="52"/>
      <c r="J46" s="28"/>
      <c r="K46" s="28"/>
      <c r="L46" s="51"/>
      <c r="M46" s="53"/>
      <c r="N46" s="51"/>
      <c r="O46" s="54"/>
      <c r="P46" s="55"/>
      <c r="Q46" s="52"/>
    </row>
    <row r="47" spans="1:17" s="46" customFormat="1" x14ac:dyDescent="0.25">
      <c r="A47" s="28"/>
      <c r="B47" s="44"/>
      <c r="C47" s="49"/>
      <c r="D47" s="58"/>
      <c r="E47" s="31"/>
      <c r="F47" s="59"/>
      <c r="G47" s="51"/>
      <c r="H47" s="53"/>
      <c r="I47" s="59"/>
      <c r="J47" s="28"/>
      <c r="K47" s="28"/>
      <c r="L47" s="51"/>
      <c r="M47" s="53"/>
      <c r="N47" s="51"/>
      <c r="O47" s="54"/>
      <c r="P47" s="60"/>
      <c r="Q47" s="52"/>
    </row>
    <row r="49" spans="1:9" x14ac:dyDescent="0.25">
      <c r="F49" s="61" t="s">
        <v>138</v>
      </c>
      <c r="G49" s="61" t="s">
        <v>139</v>
      </c>
      <c r="H49" s="61" t="s">
        <v>140</v>
      </c>
    </row>
    <row r="50" spans="1:9" x14ac:dyDescent="0.25">
      <c r="A50" s="28">
        <v>1</v>
      </c>
      <c r="B50" s="29" t="s">
        <v>20</v>
      </c>
      <c r="C50" s="30" t="s">
        <v>21</v>
      </c>
      <c r="D50" s="30" t="s">
        <v>22</v>
      </c>
      <c r="E50" s="31">
        <v>43224</v>
      </c>
      <c r="F50" s="36">
        <v>40000000</v>
      </c>
      <c r="G50" s="36">
        <v>5000000</v>
      </c>
      <c r="H50" s="36">
        <v>5000000</v>
      </c>
      <c r="I50" s="62"/>
    </row>
    <row r="51" spans="1:9" x14ac:dyDescent="0.25">
      <c r="A51" s="28">
        <f t="shared" ref="A51:A73" si="16">+A50+1</f>
        <v>2</v>
      </c>
      <c r="B51" s="29" t="s">
        <v>25</v>
      </c>
      <c r="C51" s="30" t="s">
        <v>26</v>
      </c>
      <c r="D51" s="30" t="s">
        <v>27</v>
      </c>
      <c r="E51" s="31">
        <v>43224</v>
      </c>
      <c r="F51" s="36">
        <v>15000000</v>
      </c>
      <c r="G51" s="36">
        <v>7500000</v>
      </c>
      <c r="H51" s="36">
        <v>7500000</v>
      </c>
      <c r="I51" s="62" t="s">
        <v>141</v>
      </c>
    </row>
    <row r="52" spans="1:9" x14ac:dyDescent="0.25">
      <c r="A52" s="28">
        <f t="shared" si="16"/>
        <v>3</v>
      </c>
      <c r="B52" s="29" t="s">
        <v>30</v>
      </c>
      <c r="C52" s="41" t="s">
        <v>31</v>
      </c>
      <c r="D52" s="41" t="s">
        <v>32</v>
      </c>
      <c r="E52" s="31">
        <v>43224</v>
      </c>
      <c r="F52" s="36">
        <f>5000000</f>
        <v>5000000</v>
      </c>
      <c r="G52" s="36">
        <f>5000000</f>
        <v>5000000</v>
      </c>
      <c r="H52" s="36">
        <f>5000000</f>
        <v>5000000</v>
      </c>
      <c r="I52" s="62" t="s">
        <v>142</v>
      </c>
    </row>
    <row r="53" spans="1:9" x14ac:dyDescent="0.25">
      <c r="A53" s="28">
        <f t="shared" si="16"/>
        <v>4</v>
      </c>
      <c r="B53" s="29" t="s">
        <v>35</v>
      </c>
      <c r="C53" s="41" t="s">
        <v>36</v>
      </c>
      <c r="D53" s="41" t="s">
        <v>37</v>
      </c>
      <c r="E53" s="31">
        <v>43223</v>
      </c>
      <c r="F53" s="36">
        <v>17000000</v>
      </c>
      <c r="G53" s="36">
        <v>0</v>
      </c>
      <c r="H53" s="36">
        <v>0</v>
      </c>
      <c r="I53" s="62" t="s">
        <v>143</v>
      </c>
    </row>
    <row r="54" spans="1:9" x14ac:dyDescent="0.25">
      <c r="A54" s="28">
        <f t="shared" si="16"/>
        <v>5</v>
      </c>
      <c r="B54" s="29" t="s">
        <v>47</v>
      </c>
      <c r="C54" s="41" t="s">
        <v>48</v>
      </c>
      <c r="D54" s="41" t="s">
        <v>49</v>
      </c>
      <c r="E54" s="31">
        <v>43235</v>
      </c>
      <c r="F54" s="36">
        <v>10000000</v>
      </c>
      <c r="G54" s="36">
        <v>3500000</v>
      </c>
      <c r="H54" s="36">
        <v>2500000</v>
      </c>
      <c r="I54" s="62" t="s">
        <v>144</v>
      </c>
    </row>
    <row r="55" spans="1:9" x14ac:dyDescent="0.25">
      <c r="A55" s="28">
        <f t="shared" si="16"/>
        <v>6</v>
      </c>
      <c r="B55" s="29" t="s">
        <v>51</v>
      </c>
      <c r="C55" s="41" t="s">
        <v>52</v>
      </c>
      <c r="D55" s="41" t="s">
        <v>53</v>
      </c>
      <c r="E55" s="31">
        <v>43235</v>
      </c>
      <c r="F55" s="36">
        <v>20000000</v>
      </c>
      <c r="G55" s="36">
        <v>0</v>
      </c>
      <c r="H55" s="36">
        <v>0</v>
      </c>
      <c r="I55" s="62" t="s">
        <v>145</v>
      </c>
    </row>
    <row r="56" spans="1:9" x14ac:dyDescent="0.25">
      <c r="A56" s="28">
        <f t="shared" si="16"/>
        <v>7</v>
      </c>
      <c r="B56" s="29" t="s">
        <v>55</v>
      </c>
      <c r="C56" s="41" t="s">
        <v>56</v>
      </c>
      <c r="D56" s="41" t="s">
        <v>57</v>
      </c>
      <c r="E56" s="31">
        <v>43235</v>
      </c>
      <c r="F56" s="36">
        <v>20000000</v>
      </c>
      <c r="G56" s="36">
        <v>0</v>
      </c>
      <c r="H56" s="36">
        <v>0</v>
      </c>
      <c r="I56" s="62"/>
    </row>
    <row r="57" spans="1:9" x14ac:dyDescent="0.25">
      <c r="A57" s="28">
        <f t="shared" si="16"/>
        <v>8</v>
      </c>
      <c r="B57" s="29" t="s">
        <v>58</v>
      </c>
      <c r="C57" s="41" t="s">
        <v>59</v>
      </c>
      <c r="D57" s="41" t="s">
        <v>60</v>
      </c>
      <c r="E57" s="31">
        <v>43235</v>
      </c>
      <c r="F57" s="36">
        <v>4000000</v>
      </c>
      <c r="G57" s="36">
        <v>3000000</v>
      </c>
      <c r="H57" s="36">
        <v>3000000</v>
      </c>
      <c r="I57" s="62" t="s">
        <v>146</v>
      </c>
    </row>
    <row r="58" spans="1:9" x14ac:dyDescent="0.25">
      <c r="A58" s="28">
        <f t="shared" si="16"/>
        <v>9</v>
      </c>
      <c r="B58" s="29" t="s">
        <v>66</v>
      </c>
      <c r="C58" s="41" t="s">
        <v>67</v>
      </c>
      <c r="D58" s="41" t="s">
        <v>68</v>
      </c>
      <c r="E58" s="31">
        <v>43231</v>
      </c>
      <c r="F58" s="36">
        <v>10000000</v>
      </c>
      <c r="G58" s="36">
        <v>0</v>
      </c>
      <c r="H58" s="36">
        <v>2500000</v>
      </c>
      <c r="I58" s="62" t="s">
        <v>147</v>
      </c>
    </row>
    <row r="59" spans="1:9" x14ac:dyDescent="0.25">
      <c r="A59" s="28">
        <f t="shared" si="16"/>
        <v>10</v>
      </c>
      <c r="B59" s="29" t="s">
        <v>74</v>
      </c>
      <c r="C59" s="41" t="s">
        <v>75</v>
      </c>
      <c r="D59" s="41" t="s">
        <v>76</v>
      </c>
      <c r="E59" s="31">
        <v>43231</v>
      </c>
      <c r="F59" s="36">
        <v>10000000</v>
      </c>
      <c r="G59" s="36">
        <v>0</v>
      </c>
      <c r="H59" s="36">
        <v>0</v>
      </c>
      <c r="I59" s="62" t="s">
        <v>148</v>
      </c>
    </row>
    <row r="60" spans="1:9" x14ac:dyDescent="0.25">
      <c r="A60" s="28">
        <f t="shared" si="16"/>
        <v>11</v>
      </c>
      <c r="B60" s="29" t="s">
        <v>74</v>
      </c>
      <c r="C60" s="41" t="s">
        <v>75</v>
      </c>
      <c r="D60" s="41" t="s">
        <v>76</v>
      </c>
      <c r="E60" s="31">
        <v>43231</v>
      </c>
      <c r="F60" s="36">
        <v>10000000</v>
      </c>
      <c r="G60" s="36"/>
      <c r="H60" s="36"/>
      <c r="I60" s="62" t="s">
        <v>149</v>
      </c>
    </row>
    <row r="61" spans="1:9" x14ac:dyDescent="0.25">
      <c r="A61" s="28">
        <f t="shared" si="16"/>
        <v>12</v>
      </c>
      <c r="B61" s="29" t="s">
        <v>78</v>
      </c>
      <c r="C61" s="41" t="s">
        <v>79</v>
      </c>
      <c r="D61" s="41" t="s">
        <v>80</v>
      </c>
      <c r="E61" s="31">
        <v>43236</v>
      </c>
      <c r="F61" s="36">
        <f>33400000</f>
        <v>33400000</v>
      </c>
      <c r="G61" s="36">
        <v>0</v>
      </c>
      <c r="H61" s="36">
        <v>0</v>
      </c>
      <c r="I61" s="62" t="s">
        <v>150</v>
      </c>
    </row>
    <row r="62" spans="1:9" x14ac:dyDescent="0.25">
      <c r="A62" s="28">
        <f t="shared" si="16"/>
        <v>13</v>
      </c>
      <c r="B62" s="29" t="s">
        <v>82</v>
      </c>
      <c r="C62" s="41" t="s">
        <v>83</v>
      </c>
      <c r="D62" s="41" t="s">
        <v>84</v>
      </c>
      <c r="E62" s="31">
        <v>43236</v>
      </c>
      <c r="F62" s="36">
        <f>25000000</f>
        <v>25000000</v>
      </c>
      <c r="G62" s="36">
        <v>3000000</v>
      </c>
      <c r="H62" s="36">
        <v>3000000</v>
      </c>
      <c r="I62" s="62" t="s">
        <v>151</v>
      </c>
    </row>
    <row r="63" spans="1:9" x14ac:dyDescent="0.25">
      <c r="A63" s="28">
        <f t="shared" si="16"/>
        <v>14</v>
      </c>
      <c r="B63" s="29" t="s">
        <v>86</v>
      </c>
      <c r="C63" s="41" t="s">
        <v>87</v>
      </c>
      <c r="D63" s="41" t="s">
        <v>88</v>
      </c>
      <c r="E63" s="31">
        <v>43236</v>
      </c>
      <c r="F63" s="36">
        <f>23000000</f>
        <v>23000000</v>
      </c>
      <c r="G63" s="36">
        <v>1500000</v>
      </c>
      <c r="H63" s="36">
        <v>1500000</v>
      </c>
      <c r="I63" s="62" t="s">
        <v>152</v>
      </c>
    </row>
    <row r="64" spans="1:9" x14ac:dyDescent="0.25">
      <c r="A64" s="28">
        <f t="shared" si="16"/>
        <v>15</v>
      </c>
      <c r="B64" s="29" t="s">
        <v>89</v>
      </c>
      <c r="C64" s="41" t="s">
        <v>90</v>
      </c>
      <c r="D64" s="41" t="s">
        <v>91</v>
      </c>
      <c r="E64" s="31">
        <v>43234</v>
      </c>
      <c r="F64" s="36">
        <f>30000000</f>
        <v>30000000</v>
      </c>
      <c r="G64" s="36">
        <v>3000000</v>
      </c>
      <c r="H64" s="36">
        <v>7000000</v>
      </c>
      <c r="I64" s="62"/>
    </row>
    <row r="65" spans="1:9" x14ac:dyDescent="0.25">
      <c r="A65" s="28">
        <f t="shared" si="16"/>
        <v>16</v>
      </c>
      <c r="B65" s="29" t="s">
        <v>96</v>
      </c>
      <c r="C65" s="41" t="s">
        <v>97</v>
      </c>
      <c r="D65" s="41" t="s">
        <v>98</v>
      </c>
      <c r="E65" s="31">
        <v>43234</v>
      </c>
      <c r="F65" s="36">
        <f>10000000</f>
        <v>10000000</v>
      </c>
      <c r="G65" s="36">
        <v>2500000</v>
      </c>
      <c r="H65" s="36">
        <v>2500000</v>
      </c>
      <c r="I65" s="62" t="s">
        <v>153</v>
      </c>
    </row>
    <row r="66" spans="1:9" x14ac:dyDescent="0.25">
      <c r="A66" s="28">
        <f t="shared" si="16"/>
        <v>17</v>
      </c>
      <c r="B66" s="29" t="s">
        <v>99</v>
      </c>
      <c r="C66" s="41" t="s">
        <v>100</v>
      </c>
      <c r="D66" s="30" t="s">
        <v>101</v>
      </c>
      <c r="E66" s="42">
        <v>43234</v>
      </c>
      <c r="F66" s="36">
        <f>10000000</f>
        <v>10000000</v>
      </c>
      <c r="G66" s="36">
        <v>0</v>
      </c>
      <c r="H66" s="36">
        <v>0</v>
      </c>
      <c r="I66" s="62"/>
    </row>
    <row r="67" spans="1:9" x14ac:dyDescent="0.25">
      <c r="A67" s="28">
        <f t="shared" si="16"/>
        <v>18</v>
      </c>
      <c r="B67" s="29" t="s">
        <v>103</v>
      </c>
      <c r="C67" s="41" t="s">
        <v>104</v>
      </c>
      <c r="D67" s="41" t="s">
        <v>105</v>
      </c>
      <c r="E67" s="42">
        <v>43234</v>
      </c>
      <c r="F67" s="36">
        <f>20000000</f>
        <v>20000000</v>
      </c>
      <c r="G67" s="36">
        <v>0</v>
      </c>
      <c r="H67" s="36">
        <v>0</v>
      </c>
      <c r="I67" s="62" t="s">
        <v>154</v>
      </c>
    </row>
    <row r="68" spans="1:9" x14ac:dyDescent="0.25">
      <c r="A68" s="28">
        <f t="shared" si="16"/>
        <v>19</v>
      </c>
      <c r="B68" s="29" t="s">
        <v>111</v>
      </c>
      <c r="C68" s="41" t="s">
        <v>112</v>
      </c>
      <c r="D68" s="41" t="s">
        <v>113</v>
      </c>
      <c r="E68" s="42">
        <v>43237</v>
      </c>
      <c r="F68" s="36">
        <v>8500000</v>
      </c>
      <c r="G68" s="36">
        <v>0</v>
      </c>
      <c r="H68" s="36">
        <v>2500000</v>
      </c>
      <c r="I68" s="62"/>
    </row>
    <row r="69" spans="1:9" x14ac:dyDescent="0.25">
      <c r="A69" s="28">
        <f t="shared" si="16"/>
        <v>20</v>
      </c>
      <c r="B69" s="29" t="s">
        <v>115</v>
      </c>
      <c r="C69" s="41" t="s">
        <v>116</v>
      </c>
      <c r="D69" s="41" t="s">
        <v>117</v>
      </c>
      <c r="E69" s="42">
        <v>43237</v>
      </c>
      <c r="F69" s="36">
        <v>25000000</v>
      </c>
      <c r="G69" s="36">
        <v>2500000</v>
      </c>
      <c r="H69" s="36">
        <v>2500000</v>
      </c>
      <c r="I69" s="62" t="s">
        <v>155</v>
      </c>
    </row>
    <row r="70" spans="1:9" x14ac:dyDescent="0.25">
      <c r="A70" s="28">
        <f t="shared" si="16"/>
        <v>21</v>
      </c>
      <c r="B70" s="29" t="s">
        <v>119</v>
      </c>
      <c r="C70" s="41" t="s">
        <v>120</v>
      </c>
      <c r="D70" s="41" t="s">
        <v>121</v>
      </c>
      <c r="E70" s="42">
        <v>43238</v>
      </c>
      <c r="F70" s="36">
        <v>50000000</v>
      </c>
      <c r="G70" s="36">
        <v>5000000</v>
      </c>
      <c r="H70" s="36">
        <v>5000000</v>
      </c>
      <c r="I70" s="62"/>
    </row>
    <row r="71" spans="1:9" x14ac:dyDescent="0.25">
      <c r="A71" s="28">
        <f t="shared" si="16"/>
        <v>22</v>
      </c>
      <c r="B71" s="29" t="s">
        <v>123</v>
      </c>
      <c r="C71" s="41" t="s">
        <v>124</v>
      </c>
      <c r="D71" s="41" t="s">
        <v>125</v>
      </c>
      <c r="E71" s="42">
        <v>43238</v>
      </c>
      <c r="F71" s="36">
        <v>15000000</v>
      </c>
      <c r="G71" s="36">
        <v>0</v>
      </c>
      <c r="H71" s="36">
        <v>0</v>
      </c>
      <c r="I71" s="62"/>
    </row>
    <row r="72" spans="1:9" x14ac:dyDescent="0.25">
      <c r="A72" s="28">
        <f t="shared" si="16"/>
        <v>23</v>
      </c>
      <c r="B72" s="29" t="s">
        <v>127</v>
      </c>
      <c r="C72" s="41" t="s">
        <v>128</v>
      </c>
      <c r="D72" s="41" t="s">
        <v>129</v>
      </c>
      <c r="E72" s="42">
        <v>43228</v>
      </c>
      <c r="F72" s="36">
        <f>41742224</f>
        <v>41742224</v>
      </c>
      <c r="G72" s="36">
        <v>10000000</v>
      </c>
      <c r="H72" s="36">
        <v>10000000</v>
      </c>
      <c r="I72" s="62"/>
    </row>
    <row r="73" spans="1:9" x14ac:dyDescent="0.25">
      <c r="A73" s="28">
        <f t="shared" si="16"/>
        <v>24</v>
      </c>
      <c r="B73" s="29"/>
      <c r="C73" s="41"/>
      <c r="D73" s="41"/>
      <c r="E73" s="31"/>
      <c r="F73" s="36">
        <v>0</v>
      </c>
      <c r="G73" s="36">
        <v>0</v>
      </c>
      <c r="H73" s="36">
        <v>0</v>
      </c>
      <c r="I73" s="6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2018-05-24T04:09:54Z</dcterms:created>
  <dcterms:modified xsi:type="dcterms:W3CDTF">2018-05-24T04:11:40Z</dcterms:modified>
</cp:coreProperties>
</file>