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0595" windowHeight="8970"/>
  </bookViews>
  <sheets>
    <sheet name="Sheet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K13" i="1" l="1"/>
  <c r="J13" i="1"/>
  <c r="R11" i="1"/>
  <c r="F11" i="1"/>
  <c r="R10" i="1"/>
  <c r="F10" i="1"/>
  <c r="R9" i="1"/>
  <c r="I9" i="1"/>
  <c r="H9" i="1" s="1"/>
  <c r="L9" i="1" s="1"/>
  <c r="F9" i="1"/>
  <c r="R8" i="1"/>
  <c r="F8" i="1"/>
  <c r="I8" i="1" s="1"/>
  <c r="L8" i="1" s="1"/>
  <c r="R7" i="1"/>
  <c r="N7" i="1"/>
  <c r="Q7" i="1" s="1"/>
  <c r="S7" i="1" s="1"/>
  <c r="F7" i="1"/>
  <c r="I7" i="1" s="1"/>
  <c r="L7" i="1" s="1"/>
  <c r="R6" i="1"/>
  <c r="H6" i="1"/>
  <c r="L6" i="1" s="1"/>
  <c r="F6" i="1"/>
  <c r="I6" i="1" s="1"/>
  <c r="A6" i="1"/>
  <c r="A7" i="1" s="1"/>
  <c r="A8" i="1" s="1"/>
  <c r="A9" i="1" s="1"/>
  <c r="A10" i="1" s="1"/>
  <c r="A11" i="1" s="1"/>
  <c r="R5" i="1"/>
  <c r="I5" i="1"/>
  <c r="F5" i="1"/>
  <c r="F13" i="1" l="1"/>
  <c r="R13" i="1"/>
  <c r="N8" i="1"/>
  <c r="Q8" i="1" s="1"/>
  <c r="S8" i="1" s="1"/>
  <c r="I11" i="1"/>
  <c r="H11" i="1" s="1"/>
  <c r="L11" i="1" s="1"/>
  <c r="G11" i="1" s="1"/>
  <c r="M6" i="1"/>
  <c r="G6" i="1"/>
  <c r="M7" i="1"/>
  <c r="G7" i="1"/>
  <c r="N9" i="1"/>
  <c r="Q9" i="1" s="1"/>
  <c r="S9" i="1" s="1"/>
  <c r="M11" i="1"/>
  <c r="M8" i="1"/>
  <c r="G8" i="1"/>
  <c r="M9" i="1"/>
  <c r="G9" i="1"/>
  <c r="N6" i="1"/>
  <c r="Q6" i="1" s="1"/>
  <c r="S6" i="1" s="1"/>
  <c r="H5" i="1"/>
  <c r="I10" i="1"/>
  <c r="H10" i="1" s="1"/>
  <c r="L10" i="1" s="1"/>
  <c r="N11" i="1" l="1"/>
  <c r="Q11" i="1" s="1"/>
  <c r="S11" i="1" s="1"/>
  <c r="I13" i="1"/>
  <c r="M10" i="1"/>
  <c r="G10" i="1"/>
  <c r="H13" i="1"/>
  <c r="N5" i="1"/>
  <c r="L5" i="1"/>
  <c r="N10" i="1"/>
  <c r="Q10" i="1" s="1"/>
  <c r="S10" i="1" s="1"/>
  <c r="L13" i="1" l="1"/>
  <c r="M5" i="1"/>
  <c r="M13" i="1" s="1"/>
  <c r="G5" i="1"/>
  <c r="G13" i="1" s="1"/>
  <c r="N13" i="1"/>
  <c r="Q5" i="1"/>
  <c r="Q13" i="1" l="1"/>
  <c r="S5" i="1"/>
  <c r="S13" i="1" s="1"/>
</calcChain>
</file>

<file path=xl/sharedStrings.xml><?xml version="1.0" encoding="utf-8"?>
<sst xmlns="http://schemas.openxmlformats.org/spreadsheetml/2006/main" count="59" uniqueCount="39">
  <si>
    <t>KOPERASI KARYAWAN BCA " MITRA SEJAHTERA " SURABAYA</t>
  </si>
  <si>
    <t>DAFTAR PINJAMAN UMROH TGL 01-24 SEPTEMBER 2018 (UPLOAD)</t>
  </si>
  <si>
    <t>NO</t>
  </si>
  <si>
    <t>NAMA</t>
  </si>
  <si>
    <t>NIP</t>
  </si>
  <si>
    <t>NO FORM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</si>
  <si>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</si>
  <si>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</si>
  <si>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</si>
  <si>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</si>
  <si>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</si>
  <si>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</si>
  <si>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</si>
  <si>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</si>
  <si>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</si>
  <si>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</si>
  <si>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</si>
  <si>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</si>
  <si>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</si>
  <si>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</si>
  <si>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</si>
  <si>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DJOKO PRIYO UTOMO</t>
  </si>
  <si>
    <t>900257</t>
  </si>
  <si>
    <t>010268</t>
  </si>
  <si>
    <t>KABAG OPS BCA RUNGKUT</t>
  </si>
  <si>
    <t>BIAYA PENGURUSAN PASPOR</t>
  </si>
  <si>
    <t>BIAYA UMROH PLUS</t>
  </si>
  <si>
    <t>ERMYN SOESY W</t>
  </si>
  <si>
    <t>900265</t>
  </si>
  <si>
    <t>002095</t>
  </si>
  <si>
    <t>KEN FITRI NILUH</t>
  </si>
  <si>
    <t>913364</t>
  </si>
  <si>
    <t>002124</t>
  </si>
  <si>
    <t>STAF BO KTR KAS BCA MERR</t>
  </si>
  <si>
    <t>ANDRIYANTO</t>
  </si>
  <si>
    <t>940715</t>
  </si>
  <si>
    <t>010650</t>
  </si>
  <si>
    <t>SLK KW3 DARMO</t>
  </si>
  <si>
    <t>PENGURUSAN PASPOR UMROH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</si>
</sst>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0" fontId="3" fillId="0" borderId="0" xfId="0" applyFont="1" applyFill="1"/>
    <xf numFmtId="0" fontId="4" fillId="0" borderId="0" xfId="0" applyFont="1" applyFill="1" applyBorder="1"/>
    <xf numFmtId="39" fontId="2" fillId="0" borderId="0" xfId="1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43" fontId="6" fillId="0" borderId="1" xfId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39" fontId="5" fillId="0" borderId="1" xfId="0" applyNumberFormat="1" applyFont="1" applyFill="1" applyBorder="1" applyAlignment="1">
      <alignment horizontal="center"/>
    </xf>
    <xf numFmtId="43" fontId="5" fillId="0" borderId="2" xfId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39" fontId="5" fillId="0" borderId="3" xfId="2" applyNumberFormat="1" applyFont="1" applyFill="1" applyBorder="1" applyAlignment="1">
      <alignment horizontal="center"/>
    </xf>
    <xf numFmtId="39" fontId="5" fillId="0" borderId="1" xfId="2" applyNumberFormat="1" applyFont="1" applyFill="1" applyBorder="1" applyAlignment="1">
      <alignment horizontal="center"/>
    </xf>
    <xf numFmtId="39" fontId="5" fillId="0" borderId="2" xfId="2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43" fontId="6" fillId="0" borderId="4" xfId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39" fontId="5" fillId="0" borderId="4" xfId="0" quotePrefix="1" applyNumberFormat="1" applyFont="1" applyFill="1" applyBorder="1" applyAlignment="1">
      <alignment horizontal="center"/>
    </xf>
    <xf numFmtId="39" fontId="5" fillId="0" borderId="4" xfId="0" applyNumberFormat="1" applyFont="1" applyFill="1" applyBorder="1" applyAlignment="1">
      <alignment horizontal="center"/>
    </xf>
    <xf numFmtId="43" fontId="5" fillId="0" borderId="5" xfId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39" fontId="5" fillId="0" borderId="6" xfId="2" applyNumberFormat="1" applyFont="1" applyFill="1" applyBorder="1" applyAlignment="1">
      <alignment horizontal="center"/>
    </xf>
    <xf numFmtId="39" fontId="5" fillId="0" borderId="4" xfId="2" applyNumberFormat="1" applyFont="1" applyFill="1" applyBorder="1" applyAlignment="1">
      <alignment horizontal="center"/>
    </xf>
    <xf numFmtId="39" fontId="5" fillId="0" borderId="5" xfId="2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7" xfId="0" quotePrefix="1" applyFont="1" applyBorder="1" applyAlignment="1">
      <alignment horizontal="center"/>
    </xf>
    <xf numFmtId="164" fontId="2" fillId="0" borderId="7" xfId="1" applyNumberFormat="1" applyFont="1" applyFill="1" applyBorder="1" applyAlignment="1">
      <alignment horizontal="center"/>
    </xf>
    <xf numFmtId="165" fontId="8" fillId="0" borderId="7" xfId="2" applyNumberFormat="1" applyFont="1" applyBorder="1"/>
    <xf numFmtId="165" fontId="6" fillId="0" borderId="7" xfId="2" applyNumberFormat="1" applyFont="1" applyFill="1" applyBorder="1" applyAlignment="1">
      <alignment horizontal="center"/>
    </xf>
    <xf numFmtId="43" fontId="2" fillId="0" borderId="7" xfId="1" applyFont="1" applyFill="1" applyBorder="1"/>
    <xf numFmtId="0" fontId="9" fillId="0" borderId="7" xfId="0" applyFont="1" applyBorder="1"/>
    <xf numFmtId="43" fontId="3" fillId="0" borderId="7" xfId="0" applyNumberFormat="1" applyFont="1" applyFill="1" applyBorder="1"/>
    <xf numFmtId="43" fontId="0" fillId="0" borderId="7" xfId="0" applyNumberFormat="1" applyBorder="1"/>
    <xf numFmtId="43" fontId="0" fillId="0" borderId="7" xfId="0" quotePrefix="1" applyNumberFormat="1" applyBorder="1"/>
    <xf numFmtId="0" fontId="8" fillId="0" borderId="7" xfId="0" applyFont="1" applyFill="1" applyBorder="1" applyAlignment="1">
      <alignment horizontal="center"/>
    </xf>
    <xf numFmtId="165" fontId="8" fillId="0" borderId="7" xfId="2" applyNumberFormat="1" applyFont="1" applyBorder="1" applyAlignment="1"/>
    <xf numFmtId="43" fontId="2" fillId="2" borderId="7" xfId="1" applyFont="1" applyFill="1" applyBorder="1"/>
    <xf numFmtId="0" fontId="10" fillId="0" borderId="7" xfId="0" applyFont="1" applyFill="1" applyBorder="1" applyAlignment="1">
      <alignment horizontal="left"/>
    </xf>
    <xf numFmtId="0" fontId="10" fillId="0" borderId="7" xfId="0" quotePrefix="1" applyFont="1" applyFill="1" applyBorder="1" applyAlignment="1">
      <alignment horizontal="left"/>
    </xf>
    <xf numFmtId="39" fontId="2" fillId="0" borderId="7" xfId="2" applyNumberFormat="1" applyFont="1" applyFill="1" applyBorder="1" applyAlignment="1">
      <alignment horizontal="right"/>
    </xf>
    <xf numFmtId="0" fontId="8" fillId="0" borderId="7" xfId="0" applyFont="1" applyFill="1" applyBorder="1" applyAlignment="1">
      <alignment horizontal="left"/>
    </xf>
    <xf numFmtId="0" fontId="8" fillId="0" borderId="7" xfId="0" quotePrefix="1" applyFont="1" applyFill="1" applyBorder="1" applyAlignment="1">
      <alignment horizontal="left"/>
    </xf>
    <xf numFmtId="165" fontId="8" fillId="0" borderId="7" xfId="2" applyNumberFormat="1" applyFont="1" applyFill="1" applyBorder="1"/>
    <xf numFmtId="0" fontId="10" fillId="0" borderId="7" xfId="0" applyFont="1" applyFill="1" applyBorder="1"/>
    <xf numFmtId="0" fontId="10" fillId="0" borderId="7" xfId="0" quotePrefix="1" applyFont="1" applyFill="1" applyBorder="1" applyAlignment="1">
      <alignment horizontal="center"/>
    </xf>
    <xf numFmtId="0" fontId="8" fillId="0" borderId="7" xfId="0" applyFont="1" applyFill="1" applyBorder="1"/>
    <xf numFmtId="0" fontId="8" fillId="0" borderId="7" xfId="0" quotePrefix="1" applyFont="1" applyFill="1" applyBorder="1" applyAlignment="1">
      <alignment horizontal="center"/>
    </xf>
    <xf numFmtId="43" fontId="8" fillId="0" borderId="7" xfId="2" applyNumberFormat="1" applyFont="1" applyBorder="1"/>
    <xf numFmtId="165" fontId="8" fillId="2" borderId="7" xfId="2" applyNumberFormat="1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164" fontId="2" fillId="0" borderId="7" xfId="0" applyNumberFormat="1" applyFont="1" applyFill="1" applyBorder="1" applyAlignment="1">
      <alignment horizontal="center"/>
    </xf>
    <xf numFmtId="39" fontId="2" fillId="0" borderId="7" xfId="0" applyNumberFormat="1" applyFont="1" applyFill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43" fontId="2" fillId="0" borderId="7" xfId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7" xfId="0" applyFont="1" applyFill="1" applyBorder="1"/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39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3" fontId="2" fillId="0" borderId="0" xfId="1" applyFont="1" applyFill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OMITSE2018\PINJAMAN%202018\SEPT2018\UMROH%20SEP18\upld%20UMROH%20SEP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l"/>
      <sheetName val="umroh 1"/>
      <sheetName val="umroh 2"/>
    </sheetNames>
    <sheetDataSet>
      <sheetData sheetId="0" refreshError="1"/>
      <sheetData sheetId="1" refreshError="1"/>
      <sheetData sheetId="2" refreshError="1">
        <row r="7">
          <cell r="AA7">
            <v>808000</v>
          </cell>
        </row>
        <row r="8">
          <cell r="AA8">
            <v>124340000</v>
          </cell>
        </row>
        <row r="9">
          <cell r="AA9">
            <v>96235000</v>
          </cell>
        </row>
        <row r="10">
          <cell r="AA10">
            <v>65254400</v>
          </cell>
        </row>
        <row r="11">
          <cell r="AA11">
            <v>8977600</v>
          </cell>
        </row>
        <row r="12">
          <cell r="AA12">
            <v>8977600</v>
          </cell>
        </row>
        <row r="13">
          <cell r="AA13">
            <v>2291650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G7" sqref="G7"/>
    </sheetView>
  </sheetViews>
  <sheetFormatPr defaultRowHeight="15.75" x14ac:dyDescent="0.25"/>
  <cols>
    <col min="1" max="1" width="5.85546875" style="8" customWidth="1"/>
    <col min="2" max="2" width="24.140625" style="9" bestFit="1" customWidth="1"/>
    <col min="3" max="3" width="10.140625" style="8" bestFit="1" customWidth="1"/>
    <col min="4" max="4" width="10.140625" style="8" customWidth="1"/>
    <col min="5" max="5" width="13.85546875" style="75" bestFit="1" customWidth="1"/>
    <col min="6" max="7" width="20.140625" style="76" bestFit="1" customWidth="1"/>
    <col min="8" max="8" width="18" style="77" bestFit="1" customWidth="1"/>
    <col min="9" max="9" width="16.85546875" style="78" bestFit="1" customWidth="1"/>
    <col min="10" max="10" width="9.7109375" style="8" bestFit="1" customWidth="1"/>
    <col min="11" max="11" width="9.7109375" style="9" bestFit="1" customWidth="1"/>
    <col min="12" max="12" width="16.85546875" style="72" bestFit="1" customWidth="1"/>
    <col min="13" max="13" width="20.140625" style="72" bestFit="1" customWidth="1"/>
    <col min="14" max="14" width="20.42578125" style="72" bestFit="1" customWidth="1"/>
    <col min="15" max="15" width="23.42578125" style="73" bestFit="1" customWidth="1"/>
    <col min="16" max="16" width="28.85546875" style="74" bestFit="1" customWidth="1"/>
    <col min="17" max="17" width="16.85546875" style="12" bestFit="1" customWidth="1"/>
    <col min="18" max="18" width="16.140625" style="12" bestFit="1" customWidth="1"/>
    <col min="19" max="16384" width="9.140625" style="12"/>
  </cols>
  <sheetData>
    <row r="1" spans="1:19" x14ac:dyDescent="0.25">
      <c r="A1" s="1" t="s">
        <v>0</v>
      </c>
      <c r="B1" s="2"/>
      <c r="C1" s="3"/>
      <c r="D1" s="3"/>
      <c r="E1" s="4"/>
      <c r="F1" s="5"/>
      <c r="G1" s="5"/>
      <c r="H1" s="6"/>
      <c r="I1" s="7"/>
      <c r="L1" s="10"/>
      <c r="M1" s="10"/>
      <c r="N1" s="10"/>
      <c r="O1" s="11"/>
      <c r="P1" s="1"/>
    </row>
    <row r="2" spans="1:19" x14ac:dyDescent="0.25">
      <c r="A2" s="13" t="s">
        <v>1</v>
      </c>
      <c r="B2" s="2"/>
      <c r="C2" s="3"/>
      <c r="D2" s="3"/>
      <c r="E2" s="4"/>
      <c r="F2" s="5"/>
      <c r="G2" s="5"/>
      <c r="H2" s="6"/>
      <c r="I2" s="14"/>
      <c r="L2" s="10"/>
      <c r="M2" s="10"/>
      <c r="N2" s="10"/>
      <c r="O2" s="11"/>
      <c r="P2" s="1"/>
    </row>
    <row r="3" spans="1:19" s="24" customFormat="1" ht="12.75" x14ac:dyDescent="0.2">
      <c r="A3" s="15" t="s">
        <v>2</v>
      </c>
      <c r="B3" s="15" t="s">
        <v>3</v>
      </c>
      <c r="C3" s="15" t="s">
        <v>4</v>
      </c>
      <c r="D3" s="16" t="s">
        <v>5</v>
      </c>
      <c r="E3" s="17" t="s">
        <v>6</v>
      </c>
      <c r="F3" s="18" t="s">
        <v>7</v>
      </c>
      <c r="G3" s="18" t="s">
        <v>8</v>
      </c>
      <c r="H3" s="15" t="s">
        <v>9</v>
      </c>
      <c r="I3" s="19" t="s">
        <v>10</v>
      </c>
      <c r="J3" s="20" t="s">
        <v>11</v>
      </c>
      <c r="K3" s="15" t="s">
        <v>12</v>
      </c>
      <c r="L3" s="21" t="s">
        <v>13</v>
      </c>
      <c r="M3" s="22" t="s">
        <v>14</v>
      </c>
      <c r="N3" s="22" t="s">
        <v>15</v>
      </c>
      <c r="O3" s="23" t="s">
        <v>16</v>
      </c>
      <c r="P3" s="15" t="s">
        <v>17</v>
      </c>
    </row>
    <row r="4" spans="1:19" s="24" customFormat="1" ht="12.75" x14ac:dyDescent="0.2">
      <c r="A4" s="25"/>
      <c r="B4" s="25"/>
      <c r="C4" s="25"/>
      <c r="D4" s="26"/>
      <c r="E4" s="27" t="s">
        <v>18</v>
      </c>
      <c r="F4" s="28"/>
      <c r="G4" s="29" t="s">
        <v>7</v>
      </c>
      <c r="H4" s="25"/>
      <c r="I4" s="30"/>
      <c r="J4" s="31"/>
      <c r="K4" s="25" t="s">
        <v>19</v>
      </c>
      <c r="L4" s="32" t="s">
        <v>20</v>
      </c>
      <c r="M4" s="33" t="s">
        <v>10</v>
      </c>
      <c r="N4" s="33"/>
      <c r="O4" s="34"/>
      <c r="P4" s="35"/>
    </row>
    <row r="5" spans="1:19" customFormat="1" x14ac:dyDescent="0.25">
      <c r="A5" s="36">
        <v>1</v>
      </c>
      <c r="B5" s="37" t="s">
        <v>21</v>
      </c>
      <c r="C5" s="38" t="s">
        <v>22</v>
      </c>
      <c r="D5" s="38" t="s">
        <v>23</v>
      </c>
      <c r="E5" s="39">
        <v>43182</v>
      </c>
      <c r="F5" s="40">
        <f>1200000+12000</f>
        <v>1212000</v>
      </c>
      <c r="G5" s="40">
        <f t="shared" ref="G5:G11" si="0">+J5*L5</f>
        <v>1284720</v>
      </c>
      <c r="H5" s="40">
        <f>F5/J5</f>
        <v>101000</v>
      </c>
      <c r="I5" s="40">
        <f t="shared" ref="I5:I11" si="1">+F5*0.5%</f>
        <v>6060</v>
      </c>
      <c r="J5" s="36">
        <v>12</v>
      </c>
      <c r="K5" s="36">
        <v>8</v>
      </c>
      <c r="L5" s="41">
        <f t="shared" ref="L5:L11" si="2">+H5+I5</f>
        <v>107060</v>
      </c>
      <c r="M5" s="40">
        <f t="shared" ref="M5:M11" si="3">+K5*L5</f>
        <v>856480</v>
      </c>
      <c r="N5" s="42">
        <f>+H5*K5</f>
        <v>808000</v>
      </c>
      <c r="O5" s="43" t="s">
        <v>24</v>
      </c>
      <c r="P5" s="43" t="s">
        <v>25</v>
      </c>
      <c r="Q5" s="44">
        <f>+N5</f>
        <v>808000</v>
      </c>
      <c r="R5" s="45">
        <f>+'[1]umroh 2'!AA7</f>
        <v>808000</v>
      </c>
      <c r="S5" s="46">
        <f>+Q5-R5</f>
        <v>0</v>
      </c>
    </row>
    <row r="6" spans="1:19" customFormat="1" x14ac:dyDescent="0.25">
      <c r="A6" s="47">
        <f t="shared" ref="A6:A11" si="4">+A5+1</f>
        <v>2</v>
      </c>
      <c r="B6" s="37" t="s">
        <v>21</v>
      </c>
      <c r="C6" s="38" t="s">
        <v>22</v>
      </c>
      <c r="D6" s="38" t="s">
        <v>23</v>
      </c>
      <c r="E6" s="39">
        <v>43196</v>
      </c>
      <c r="F6" s="48">
        <f>(33000000*4)+1320000</f>
        <v>133320000</v>
      </c>
      <c r="G6" s="40">
        <f t="shared" si="0"/>
        <v>82317600</v>
      </c>
      <c r="H6" s="40">
        <f>1620000</f>
        <v>1620000</v>
      </c>
      <c r="I6" s="40">
        <f t="shared" si="1"/>
        <v>666600</v>
      </c>
      <c r="J6" s="36">
        <v>36</v>
      </c>
      <c r="K6" s="36">
        <v>32</v>
      </c>
      <c r="L6" s="41">
        <f t="shared" si="2"/>
        <v>2286600</v>
      </c>
      <c r="M6" s="40">
        <f t="shared" si="3"/>
        <v>73171200</v>
      </c>
      <c r="N6" s="49">
        <f>F6-(H6*4)-2500000</f>
        <v>124340000</v>
      </c>
      <c r="O6" s="43" t="s">
        <v>24</v>
      </c>
      <c r="P6" s="43" t="s">
        <v>26</v>
      </c>
      <c r="Q6" s="44">
        <f t="shared" ref="Q6:Q11" si="5">+N6</f>
        <v>124340000</v>
      </c>
      <c r="R6" s="45">
        <f>+'[1]umroh 2'!AA8</f>
        <v>124340000</v>
      </c>
      <c r="S6" s="46">
        <f t="shared" ref="S6:S11" si="6">+Q6-R6</f>
        <v>0</v>
      </c>
    </row>
    <row r="7" spans="1:19" x14ac:dyDescent="0.25">
      <c r="A7" s="47">
        <f t="shared" si="4"/>
        <v>3</v>
      </c>
      <c r="B7" s="50" t="s">
        <v>27</v>
      </c>
      <c r="C7" s="51" t="s">
        <v>28</v>
      </c>
      <c r="D7" s="51" t="s">
        <v>29</v>
      </c>
      <c r="E7" s="39">
        <v>43196</v>
      </c>
      <c r="F7" s="40">
        <f>(1500000*3)+(33000000*3)+735000</f>
        <v>104235000</v>
      </c>
      <c r="G7" s="40">
        <f t="shared" si="0"/>
        <v>70512300</v>
      </c>
      <c r="H7" s="40">
        <v>1437500</v>
      </c>
      <c r="I7" s="40">
        <f t="shared" si="1"/>
        <v>521175</v>
      </c>
      <c r="J7" s="36">
        <v>36</v>
      </c>
      <c r="K7" s="36">
        <v>32</v>
      </c>
      <c r="L7" s="52">
        <f t="shared" si="2"/>
        <v>1958675</v>
      </c>
      <c r="M7" s="42">
        <f t="shared" si="3"/>
        <v>62677600</v>
      </c>
      <c r="N7" s="49">
        <f>F7-(H7*4)-2250000</f>
        <v>96235000</v>
      </c>
      <c r="O7" s="43" t="s">
        <v>24</v>
      </c>
      <c r="P7" s="43" t="s">
        <v>26</v>
      </c>
      <c r="Q7" s="44">
        <f t="shared" si="5"/>
        <v>96235000</v>
      </c>
      <c r="R7" s="45">
        <f>+'[1]umroh 2'!AA9</f>
        <v>96235000</v>
      </c>
      <c r="S7" s="46">
        <f t="shared" si="6"/>
        <v>0</v>
      </c>
    </row>
    <row r="8" spans="1:19" x14ac:dyDescent="0.25">
      <c r="A8" s="47">
        <f t="shared" si="4"/>
        <v>4</v>
      </c>
      <c r="B8" s="53" t="s">
        <v>30</v>
      </c>
      <c r="C8" s="54" t="s">
        <v>31</v>
      </c>
      <c r="D8" s="54" t="s">
        <v>32</v>
      </c>
      <c r="E8" s="39">
        <v>43196</v>
      </c>
      <c r="F8" s="55">
        <f>(2500000*2)+(33000000*2)+710000</f>
        <v>71710000</v>
      </c>
      <c r="G8" s="55">
        <f t="shared" si="0"/>
        <v>48508200</v>
      </c>
      <c r="H8" s="55">
        <v>988900</v>
      </c>
      <c r="I8" s="55">
        <f t="shared" si="1"/>
        <v>358550</v>
      </c>
      <c r="J8" s="47">
        <v>36</v>
      </c>
      <c r="K8" s="36">
        <v>32</v>
      </c>
      <c r="L8" s="52">
        <f t="shared" si="2"/>
        <v>1347450</v>
      </c>
      <c r="M8" s="42">
        <f t="shared" si="3"/>
        <v>43118400</v>
      </c>
      <c r="N8" s="49">
        <f>F8-(H8*4)-2500000</f>
        <v>65254400</v>
      </c>
      <c r="O8" s="43" t="s">
        <v>33</v>
      </c>
      <c r="P8" s="43" t="s">
        <v>26</v>
      </c>
      <c r="Q8" s="44">
        <f t="shared" si="5"/>
        <v>65254400</v>
      </c>
      <c r="R8" s="45">
        <f>+'[1]umroh 2'!AA10</f>
        <v>65254400</v>
      </c>
      <c r="S8" s="46">
        <f t="shared" si="6"/>
        <v>0</v>
      </c>
    </row>
    <row r="9" spans="1:19" x14ac:dyDescent="0.25">
      <c r="A9" s="47">
        <f t="shared" si="4"/>
        <v>5</v>
      </c>
      <c r="B9" s="56" t="s">
        <v>27</v>
      </c>
      <c r="C9" s="57" t="s">
        <v>28</v>
      </c>
      <c r="D9" s="57" t="s">
        <v>29</v>
      </c>
      <c r="E9" s="39">
        <v>43202</v>
      </c>
      <c r="F9" s="40">
        <f>10000000+100000</f>
        <v>10100000</v>
      </c>
      <c r="G9" s="40">
        <f t="shared" si="0"/>
        <v>11919600</v>
      </c>
      <c r="H9" s="40">
        <f>331100-I9</f>
        <v>280600</v>
      </c>
      <c r="I9" s="40">
        <f t="shared" si="1"/>
        <v>50500</v>
      </c>
      <c r="J9" s="36">
        <v>36</v>
      </c>
      <c r="K9" s="36">
        <v>32</v>
      </c>
      <c r="L9" s="52">
        <f t="shared" si="2"/>
        <v>331100</v>
      </c>
      <c r="M9" s="42">
        <f t="shared" si="3"/>
        <v>10595200</v>
      </c>
      <c r="N9" s="49">
        <f>F9-(H9*4)</f>
        <v>8977600</v>
      </c>
      <c r="O9" s="43" t="s">
        <v>24</v>
      </c>
      <c r="P9" s="43" t="s">
        <v>26</v>
      </c>
      <c r="Q9" s="44">
        <f t="shared" si="5"/>
        <v>8977600</v>
      </c>
      <c r="R9" s="45">
        <f>+'[1]umroh 2'!AA11</f>
        <v>8977600</v>
      </c>
      <c r="S9" s="46">
        <f t="shared" si="6"/>
        <v>0</v>
      </c>
    </row>
    <row r="10" spans="1:19" x14ac:dyDescent="0.25">
      <c r="A10" s="47">
        <f t="shared" si="4"/>
        <v>6</v>
      </c>
      <c r="B10" s="58" t="s">
        <v>30</v>
      </c>
      <c r="C10" s="59" t="s">
        <v>31</v>
      </c>
      <c r="D10" s="59" t="s">
        <v>32</v>
      </c>
      <c r="E10" s="39">
        <v>43202</v>
      </c>
      <c r="F10" s="55">
        <f>10000000+100000</f>
        <v>10100000</v>
      </c>
      <c r="G10" s="55">
        <f t="shared" si="0"/>
        <v>11919600</v>
      </c>
      <c r="H10" s="55">
        <f>331100-I10</f>
        <v>280600</v>
      </c>
      <c r="I10" s="55">
        <f t="shared" si="1"/>
        <v>50500</v>
      </c>
      <c r="J10" s="47">
        <v>36</v>
      </c>
      <c r="K10" s="36">
        <v>32</v>
      </c>
      <c r="L10" s="52">
        <f t="shared" si="2"/>
        <v>331100</v>
      </c>
      <c r="M10" s="42">
        <f t="shared" si="3"/>
        <v>10595200</v>
      </c>
      <c r="N10" s="49">
        <f>F10-(H10*4)</f>
        <v>8977600</v>
      </c>
      <c r="O10" s="43" t="s">
        <v>33</v>
      </c>
      <c r="P10" s="43" t="s">
        <v>26</v>
      </c>
      <c r="Q10" s="44">
        <f t="shared" si="5"/>
        <v>8977600</v>
      </c>
      <c r="R10" s="45">
        <f>+'[1]umroh 2'!AA12</f>
        <v>8977600</v>
      </c>
      <c r="S10" s="46">
        <f t="shared" si="6"/>
        <v>0</v>
      </c>
    </row>
    <row r="11" spans="1:19" x14ac:dyDescent="0.25">
      <c r="A11" s="47">
        <f t="shared" si="4"/>
        <v>7</v>
      </c>
      <c r="B11" s="37" t="s">
        <v>34</v>
      </c>
      <c r="C11" s="38" t="s">
        <v>35</v>
      </c>
      <c r="D11" s="38" t="s">
        <v>36</v>
      </c>
      <c r="E11" s="39">
        <v>43258</v>
      </c>
      <c r="F11" s="40">
        <f>2500000</f>
        <v>2500000</v>
      </c>
      <c r="G11" s="40">
        <f t="shared" si="0"/>
        <v>2950200</v>
      </c>
      <c r="H11" s="60">
        <f>81950-I11</f>
        <v>69450</v>
      </c>
      <c r="I11" s="40">
        <f t="shared" si="1"/>
        <v>12500</v>
      </c>
      <c r="J11" s="36">
        <v>36</v>
      </c>
      <c r="K11" s="36">
        <v>33</v>
      </c>
      <c r="L11" s="41">
        <f t="shared" si="2"/>
        <v>81950</v>
      </c>
      <c r="M11" s="40">
        <f t="shared" si="3"/>
        <v>2704350</v>
      </c>
      <c r="N11" s="61">
        <f>F11-(H11*3)</f>
        <v>2291650</v>
      </c>
      <c r="O11" s="43" t="s">
        <v>37</v>
      </c>
      <c r="P11" s="43" t="s">
        <v>38</v>
      </c>
      <c r="Q11" s="44">
        <f t="shared" si="5"/>
        <v>2291650</v>
      </c>
      <c r="R11" s="45">
        <f>+'[1]umroh 2'!AA13</f>
        <v>2291650</v>
      </c>
      <c r="S11" s="46">
        <f t="shared" si="6"/>
        <v>0</v>
      </c>
    </row>
    <row r="12" spans="1:19" x14ac:dyDescent="0.25">
      <c r="A12" s="62"/>
      <c r="B12" s="63"/>
      <c r="C12" s="62"/>
      <c r="D12" s="62"/>
      <c r="E12" s="64"/>
      <c r="F12" s="65"/>
      <c r="G12" s="65"/>
      <c r="H12" s="66"/>
      <c r="I12" s="67"/>
      <c r="J12" s="62"/>
      <c r="K12" s="63"/>
      <c r="L12" s="68"/>
      <c r="M12" s="68"/>
      <c r="N12" s="68"/>
      <c r="O12" s="69"/>
      <c r="P12" s="70"/>
      <c r="Q12" s="71"/>
      <c r="R12" s="71"/>
      <c r="S12" s="71"/>
    </row>
    <row r="13" spans="1:19" x14ac:dyDescent="0.25">
      <c r="A13" s="62"/>
      <c r="B13" s="63" t="s">
        <v>8</v>
      </c>
      <c r="C13" s="62"/>
      <c r="D13" s="62"/>
      <c r="E13" s="64"/>
      <c r="F13" s="65">
        <f t="shared" ref="F13:N13" si="7">SUM(F5:F12)</f>
        <v>333177000</v>
      </c>
      <c r="G13" s="65">
        <f t="shared" si="7"/>
        <v>229412220</v>
      </c>
      <c r="H13" s="65">
        <f t="shared" si="7"/>
        <v>4778050</v>
      </c>
      <c r="I13" s="65">
        <f t="shared" si="7"/>
        <v>1665885</v>
      </c>
      <c r="J13" s="65">
        <f t="shared" si="7"/>
        <v>228</v>
      </c>
      <c r="K13" s="65">
        <f t="shared" si="7"/>
        <v>201</v>
      </c>
      <c r="L13" s="65">
        <f t="shared" si="7"/>
        <v>6443935</v>
      </c>
      <c r="M13" s="65">
        <f t="shared" si="7"/>
        <v>203718430</v>
      </c>
      <c r="N13" s="65">
        <f t="shared" si="7"/>
        <v>306884250</v>
      </c>
      <c r="O13" s="65"/>
      <c r="P13" s="70"/>
      <c r="Q13" s="65">
        <f>SUM(Q5:Q12)</f>
        <v>306884250</v>
      </c>
      <c r="R13" s="65">
        <f>SUM(R5:R12)</f>
        <v>306884250</v>
      </c>
      <c r="S13" s="65">
        <f>SUM(S5:S12)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2018-09-25T02:00:48Z</dcterms:created>
  <dcterms:modified xsi:type="dcterms:W3CDTF">2018-09-25T02:01:42Z</dcterms:modified>
</cp:coreProperties>
</file>