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20835" windowHeight="92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05" i="1" l="1"/>
  <c r="I103" i="1"/>
  <c r="H103" i="1" s="1"/>
  <c r="I102" i="1"/>
  <c r="H102" i="1"/>
  <c r="N102" i="1" s="1"/>
  <c r="I101" i="1"/>
  <c r="H101" i="1"/>
  <c r="N101" i="1" s="1"/>
  <c r="I100" i="1"/>
  <c r="H100" i="1"/>
  <c r="N100" i="1" s="1"/>
  <c r="I99" i="1"/>
  <c r="H99" i="1"/>
  <c r="N99" i="1" s="1"/>
  <c r="I98" i="1"/>
  <c r="H98" i="1"/>
  <c r="N98" i="1" s="1"/>
  <c r="I97" i="1"/>
  <c r="H97" i="1"/>
  <c r="N97" i="1" s="1"/>
  <c r="I96" i="1"/>
  <c r="H96" i="1"/>
  <c r="N96" i="1" s="1"/>
  <c r="I95" i="1"/>
  <c r="H95" i="1"/>
  <c r="N95" i="1" s="1"/>
  <c r="I94" i="1"/>
  <c r="H94" i="1"/>
  <c r="N94" i="1" s="1"/>
  <c r="I93" i="1"/>
  <c r="H93" i="1" s="1"/>
  <c r="I92" i="1"/>
  <c r="H92" i="1"/>
  <c r="N92" i="1" s="1"/>
  <c r="I91" i="1"/>
  <c r="H91" i="1" s="1"/>
  <c r="I90" i="1"/>
  <c r="H90" i="1"/>
  <c r="N90" i="1" s="1"/>
  <c r="K89" i="1"/>
  <c r="I89" i="1"/>
  <c r="H89" i="1"/>
  <c r="N89" i="1" s="1"/>
  <c r="H88" i="1"/>
  <c r="N88" i="1" s="1"/>
  <c r="I87" i="1"/>
  <c r="H87" i="1"/>
  <c r="N87" i="1" s="1"/>
  <c r="I86" i="1"/>
  <c r="H86" i="1"/>
  <c r="N86" i="1" s="1"/>
  <c r="I85" i="1"/>
  <c r="H85" i="1"/>
  <c r="N85" i="1" s="1"/>
  <c r="I84" i="1"/>
  <c r="H84" i="1"/>
  <c r="N84" i="1" s="1"/>
  <c r="I83" i="1"/>
  <c r="H83" i="1" s="1"/>
  <c r="N82" i="1"/>
  <c r="L82" i="1"/>
  <c r="M82" i="1" s="1"/>
  <c r="I81" i="1"/>
  <c r="H81" i="1"/>
  <c r="N81" i="1" s="1"/>
  <c r="I80" i="1"/>
  <c r="H80" i="1"/>
  <c r="N80" i="1" s="1"/>
  <c r="I79" i="1"/>
  <c r="H79" i="1" s="1"/>
  <c r="K78" i="1"/>
  <c r="K105" i="1" s="1"/>
  <c r="I78" i="1"/>
  <c r="H78" i="1" s="1"/>
  <c r="I77" i="1"/>
  <c r="H77" i="1"/>
  <c r="N77" i="1" s="1"/>
  <c r="I76" i="1"/>
  <c r="H76" i="1"/>
  <c r="N76" i="1" s="1"/>
  <c r="I75" i="1"/>
  <c r="H75" i="1"/>
  <c r="N75" i="1" s="1"/>
  <c r="I74" i="1"/>
  <c r="H74" i="1"/>
  <c r="I73" i="1"/>
  <c r="H73" i="1" s="1"/>
  <c r="I72" i="1"/>
  <c r="H72" i="1"/>
  <c r="N72" i="1" s="1"/>
  <c r="I71" i="1"/>
  <c r="H71" i="1"/>
  <c r="N71" i="1" s="1"/>
  <c r="I70" i="1"/>
  <c r="H70" i="1"/>
  <c r="N70" i="1" s="1"/>
  <c r="I69" i="1"/>
  <c r="H69" i="1" s="1"/>
  <c r="F68" i="1"/>
  <c r="I68" i="1" s="1"/>
  <c r="F67" i="1"/>
  <c r="I67" i="1" s="1"/>
  <c r="F66" i="1"/>
  <c r="I66" i="1" s="1"/>
  <c r="F65" i="1"/>
  <c r="I65" i="1" s="1"/>
  <c r="F64" i="1"/>
  <c r="I64" i="1" s="1"/>
  <c r="F63" i="1"/>
  <c r="I63" i="1" s="1"/>
  <c r="F62" i="1"/>
  <c r="I62" i="1" s="1"/>
  <c r="I61" i="1"/>
  <c r="F61" i="1"/>
  <c r="H61" i="1" s="1"/>
  <c r="I60" i="1"/>
  <c r="F60" i="1"/>
  <c r="H60" i="1" s="1"/>
  <c r="I59" i="1"/>
  <c r="F59" i="1"/>
  <c r="H59" i="1" s="1"/>
  <c r="I58" i="1"/>
  <c r="F58" i="1"/>
  <c r="H58" i="1" s="1"/>
  <c r="I57" i="1"/>
  <c r="F57" i="1"/>
  <c r="H57" i="1" s="1"/>
  <c r="I56" i="1"/>
  <c r="F56" i="1"/>
  <c r="H56" i="1" s="1"/>
  <c r="I55" i="1"/>
  <c r="F55" i="1"/>
  <c r="H55" i="1" s="1"/>
  <c r="I54" i="1"/>
  <c r="F54" i="1"/>
  <c r="H54" i="1" s="1"/>
  <c r="I53" i="1"/>
  <c r="F53" i="1"/>
  <c r="H53" i="1" s="1"/>
  <c r="I52" i="1"/>
  <c r="H52" i="1"/>
  <c r="N52" i="1" s="1"/>
  <c r="I51" i="1"/>
  <c r="H51" i="1"/>
  <c r="N51" i="1" s="1"/>
  <c r="I50" i="1"/>
  <c r="H50" i="1"/>
  <c r="N50" i="1" s="1"/>
  <c r="I49" i="1"/>
  <c r="H49" i="1"/>
  <c r="N49" i="1" s="1"/>
  <c r="I48" i="1"/>
  <c r="H48" i="1"/>
  <c r="N48" i="1" s="1"/>
  <c r="N47" i="1"/>
  <c r="I47" i="1"/>
  <c r="H47" i="1"/>
  <c r="L47" i="1" s="1"/>
  <c r="I46" i="1"/>
  <c r="F46" i="1"/>
  <c r="H46" i="1" s="1"/>
  <c r="F45" i="1"/>
  <c r="N45" i="1" s="1"/>
  <c r="I44" i="1"/>
  <c r="H44" i="1"/>
  <c r="N44" i="1" s="1"/>
  <c r="I43" i="1"/>
  <c r="H43" i="1" s="1"/>
  <c r="I42" i="1"/>
  <c r="H42" i="1"/>
  <c r="N42" i="1" s="1"/>
  <c r="I41" i="1"/>
  <c r="H41" i="1" s="1"/>
  <c r="I40" i="1"/>
  <c r="H40" i="1"/>
  <c r="N40" i="1" s="1"/>
  <c r="I39" i="1"/>
  <c r="H39" i="1" s="1"/>
  <c r="I38" i="1"/>
  <c r="H38" i="1"/>
  <c r="N38" i="1" s="1"/>
  <c r="I37" i="1"/>
  <c r="H37" i="1" s="1"/>
  <c r="I36" i="1"/>
  <c r="H36" i="1"/>
  <c r="N36" i="1" s="1"/>
  <c r="I35" i="1"/>
  <c r="H35" i="1" s="1"/>
  <c r="L35" i="1" s="1"/>
  <c r="F35" i="1"/>
  <c r="I34" i="1"/>
  <c r="H34" i="1" s="1"/>
  <c r="I33" i="1"/>
  <c r="H33" i="1"/>
  <c r="N33" i="1" s="1"/>
  <c r="I32" i="1"/>
  <c r="H32" i="1" s="1"/>
  <c r="I31" i="1"/>
  <c r="H31" i="1"/>
  <c r="N31" i="1" s="1"/>
  <c r="I30" i="1"/>
  <c r="H30" i="1" s="1"/>
  <c r="I29" i="1"/>
  <c r="H29" i="1"/>
  <c r="N29" i="1" s="1"/>
  <c r="I28" i="1"/>
  <c r="H28" i="1"/>
  <c r="N28" i="1" s="1"/>
  <c r="I27" i="1"/>
  <c r="H27" i="1"/>
  <c r="N27" i="1" s="1"/>
  <c r="I26" i="1"/>
  <c r="H26" i="1" s="1"/>
  <c r="I25" i="1"/>
  <c r="H25" i="1"/>
  <c r="N25" i="1" s="1"/>
  <c r="I24" i="1"/>
  <c r="H24" i="1" s="1"/>
  <c r="I23" i="1"/>
  <c r="H23" i="1"/>
  <c r="N23" i="1" s="1"/>
  <c r="I22" i="1"/>
  <c r="H22" i="1" s="1"/>
  <c r="I21" i="1"/>
  <c r="H21" i="1"/>
  <c r="N21" i="1" s="1"/>
  <c r="I20" i="1"/>
  <c r="H20" i="1" s="1"/>
  <c r="I19" i="1"/>
  <c r="H19" i="1"/>
  <c r="N19" i="1" s="1"/>
  <c r="I18" i="1"/>
  <c r="H18" i="1" s="1"/>
  <c r="I17" i="1"/>
  <c r="H17" i="1"/>
  <c r="N17" i="1" s="1"/>
  <c r="I16" i="1"/>
  <c r="H16" i="1" s="1"/>
  <c r="I15" i="1"/>
  <c r="H15" i="1"/>
  <c r="N15" i="1" s="1"/>
  <c r="I14" i="1"/>
  <c r="H14" i="1" s="1"/>
  <c r="I13" i="1"/>
  <c r="H13" i="1"/>
  <c r="N13" i="1" s="1"/>
  <c r="I12" i="1"/>
  <c r="H12" i="1" s="1"/>
  <c r="I11" i="1"/>
  <c r="H11" i="1"/>
  <c r="N11" i="1" s="1"/>
  <c r="I10" i="1"/>
  <c r="H10" i="1" s="1"/>
  <c r="N9" i="1"/>
  <c r="L9" i="1"/>
  <c r="M9" i="1" s="1"/>
  <c r="I9" i="1"/>
  <c r="G9" i="1"/>
  <c r="N8" i="1"/>
  <c r="L8" i="1"/>
  <c r="M8" i="1" s="1"/>
  <c r="I8" i="1"/>
  <c r="G8" i="1"/>
  <c r="I7" i="1"/>
  <c r="H7" i="1"/>
  <c r="N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I6" i="1"/>
  <c r="H6" i="1" s="1"/>
  <c r="A6" i="1"/>
  <c r="I5" i="1"/>
  <c r="H5" i="1"/>
  <c r="N12" i="1" l="1"/>
  <c r="L12" i="1"/>
  <c r="N16" i="1"/>
  <c r="L16" i="1"/>
  <c r="N20" i="1"/>
  <c r="L20" i="1"/>
  <c r="N24" i="1"/>
  <c r="L24" i="1"/>
  <c r="N30" i="1"/>
  <c r="L30" i="1"/>
  <c r="N34" i="1"/>
  <c r="L34" i="1"/>
  <c r="M35" i="1"/>
  <c r="G35" i="1"/>
  <c r="N39" i="1"/>
  <c r="L39" i="1"/>
  <c r="N43" i="1"/>
  <c r="L43" i="1"/>
  <c r="M47" i="1"/>
  <c r="G47" i="1"/>
  <c r="N6" i="1"/>
  <c r="L6" i="1"/>
  <c r="N10" i="1"/>
  <c r="L10" i="1"/>
  <c r="N14" i="1"/>
  <c r="L14" i="1"/>
  <c r="N18" i="1"/>
  <c r="L18" i="1"/>
  <c r="N22" i="1"/>
  <c r="L22" i="1"/>
  <c r="N26" i="1"/>
  <c r="L26" i="1"/>
  <c r="N32" i="1"/>
  <c r="L32" i="1"/>
  <c r="N37" i="1"/>
  <c r="L37" i="1"/>
  <c r="N41" i="1"/>
  <c r="L41" i="1"/>
  <c r="I105" i="1"/>
  <c r="L28" i="1"/>
  <c r="F105" i="1"/>
  <c r="N35" i="1"/>
  <c r="N69" i="1"/>
  <c r="L69" i="1"/>
  <c r="L5" i="1"/>
  <c r="N5" i="1"/>
  <c r="L7" i="1"/>
  <c r="L11" i="1"/>
  <c r="L13" i="1"/>
  <c r="L15" i="1"/>
  <c r="L17" i="1"/>
  <c r="L19" i="1"/>
  <c r="L21" i="1"/>
  <c r="L23" i="1"/>
  <c r="L25" i="1"/>
  <c r="L27" i="1"/>
  <c r="L29" i="1"/>
  <c r="L31" i="1"/>
  <c r="L33" i="1"/>
  <c r="L36" i="1"/>
  <c r="L38" i="1"/>
  <c r="L40" i="1"/>
  <c r="L42" i="1"/>
  <c r="L44" i="1"/>
  <c r="I45" i="1"/>
  <c r="L45" i="1" s="1"/>
  <c r="N46" i="1"/>
  <c r="L46" i="1"/>
  <c r="N53" i="1"/>
  <c r="L53" i="1"/>
  <c r="N54" i="1"/>
  <c r="L54" i="1"/>
  <c r="N55" i="1"/>
  <c r="L55" i="1"/>
  <c r="N56" i="1"/>
  <c r="L56" i="1"/>
  <c r="N57" i="1"/>
  <c r="L57" i="1"/>
  <c r="N58" i="1"/>
  <c r="L58" i="1"/>
  <c r="N59" i="1"/>
  <c r="L59" i="1"/>
  <c r="N60" i="1"/>
  <c r="L60" i="1"/>
  <c r="N61" i="1"/>
  <c r="L61" i="1"/>
  <c r="N73" i="1"/>
  <c r="L73" i="1"/>
  <c r="L48" i="1"/>
  <c r="L50" i="1"/>
  <c r="L52" i="1"/>
  <c r="H62" i="1"/>
  <c r="H63" i="1"/>
  <c r="H105" i="1" s="1"/>
  <c r="H64" i="1"/>
  <c r="H65" i="1"/>
  <c r="H66" i="1"/>
  <c r="H67" i="1"/>
  <c r="H68" i="1"/>
  <c r="L70" i="1"/>
  <c r="L72" i="1"/>
  <c r="N74" i="1"/>
  <c r="L74" i="1"/>
  <c r="N78" i="1"/>
  <c r="L78" i="1"/>
  <c r="G78" i="1" s="1"/>
  <c r="N79" i="1"/>
  <c r="L79" i="1"/>
  <c r="N91" i="1"/>
  <c r="L91" i="1"/>
  <c r="N103" i="1"/>
  <c r="L103" i="1"/>
  <c r="L49" i="1"/>
  <c r="L51" i="1"/>
  <c r="L71" i="1"/>
  <c r="N83" i="1"/>
  <c r="L83" i="1"/>
  <c r="N93" i="1"/>
  <c r="L93" i="1"/>
  <c r="L76" i="1"/>
  <c r="M78" i="1"/>
  <c r="L81" i="1"/>
  <c r="G82" i="1"/>
  <c r="L85" i="1"/>
  <c r="L87" i="1"/>
  <c r="L88" i="1"/>
  <c r="L89" i="1"/>
  <c r="G89" i="1" s="1"/>
  <c r="L95" i="1"/>
  <c r="L97" i="1"/>
  <c r="L99" i="1"/>
  <c r="L101" i="1"/>
  <c r="L75" i="1"/>
  <c r="L77" i="1"/>
  <c r="L80" i="1"/>
  <c r="L84" i="1"/>
  <c r="L86" i="1"/>
  <c r="L90" i="1"/>
  <c r="L92" i="1"/>
  <c r="L94" i="1"/>
  <c r="L96" i="1"/>
  <c r="L98" i="1"/>
  <c r="L100" i="1"/>
  <c r="L102" i="1"/>
  <c r="M100" i="1" l="1"/>
  <c r="G100" i="1"/>
  <c r="M92" i="1"/>
  <c r="G92" i="1"/>
  <c r="M80" i="1"/>
  <c r="G80" i="1"/>
  <c r="M99" i="1"/>
  <c r="G99" i="1"/>
  <c r="M88" i="1"/>
  <c r="G88" i="1"/>
  <c r="M81" i="1"/>
  <c r="G81" i="1"/>
  <c r="M71" i="1"/>
  <c r="G71" i="1"/>
  <c r="M70" i="1"/>
  <c r="G70" i="1"/>
  <c r="N65" i="1"/>
  <c r="L65" i="1"/>
  <c r="M52" i="1"/>
  <c r="G52" i="1"/>
  <c r="M48" i="1"/>
  <c r="G48" i="1"/>
  <c r="M44" i="1"/>
  <c r="G44" i="1"/>
  <c r="M36" i="1"/>
  <c r="G36" i="1"/>
  <c r="M31" i="1"/>
  <c r="G31" i="1"/>
  <c r="M27" i="1"/>
  <c r="G27" i="1"/>
  <c r="M23" i="1"/>
  <c r="G23" i="1"/>
  <c r="M19" i="1"/>
  <c r="G19" i="1"/>
  <c r="M15" i="1"/>
  <c r="G15" i="1"/>
  <c r="M11" i="1"/>
  <c r="G11" i="1"/>
  <c r="M102" i="1"/>
  <c r="G102" i="1"/>
  <c r="M98" i="1"/>
  <c r="G98" i="1"/>
  <c r="M94" i="1"/>
  <c r="G94" i="1"/>
  <c r="M90" i="1"/>
  <c r="G90" i="1"/>
  <c r="M84" i="1"/>
  <c r="G84" i="1"/>
  <c r="M77" i="1"/>
  <c r="G77" i="1"/>
  <c r="M101" i="1"/>
  <c r="G101" i="1"/>
  <c r="M97" i="1"/>
  <c r="G97" i="1"/>
  <c r="M87" i="1"/>
  <c r="G87" i="1"/>
  <c r="M93" i="1"/>
  <c r="G93" i="1"/>
  <c r="M89" i="1"/>
  <c r="M51" i="1"/>
  <c r="G51" i="1"/>
  <c r="M103" i="1"/>
  <c r="G103" i="1"/>
  <c r="M91" i="1"/>
  <c r="G91" i="1"/>
  <c r="M79" i="1"/>
  <c r="G79" i="1"/>
  <c r="G74" i="1"/>
  <c r="M74" i="1"/>
  <c r="M72" i="1"/>
  <c r="G72" i="1"/>
  <c r="N68" i="1"/>
  <c r="L68" i="1"/>
  <c r="N66" i="1"/>
  <c r="L66" i="1"/>
  <c r="N64" i="1"/>
  <c r="L64" i="1"/>
  <c r="N62" i="1"/>
  <c r="L62" i="1"/>
  <c r="M50" i="1"/>
  <c r="G50" i="1"/>
  <c r="M73" i="1"/>
  <c r="G73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46" i="1"/>
  <c r="G46" i="1"/>
  <c r="M45" i="1"/>
  <c r="G45" i="1"/>
  <c r="M42" i="1"/>
  <c r="G42" i="1"/>
  <c r="M38" i="1"/>
  <c r="G38" i="1"/>
  <c r="M33" i="1"/>
  <c r="G33" i="1"/>
  <c r="M29" i="1"/>
  <c r="G29" i="1"/>
  <c r="M25" i="1"/>
  <c r="G25" i="1"/>
  <c r="M21" i="1"/>
  <c r="G21" i="1"/>
  <c r="M17" i="1"/>
  <c r="G17" i="1"/>
  <c r="M13" i="1"/>
  <c r="G13" i="1"/>
  <c r="M7" i="1"/>
  <c r="G7" i="1"/>
  <c r="M5" i="1"/>
  <c r="G5" i="1"/>
  <c r="M69" i="1"/>
  <c r="G69" i="1"/>
  <c r="M28" i="1"/>
  <c r="G28" i="1"/>
  <c r="M41" i="1"/>
  <c r="G41" i="1"/>
  <c r="M37" i="1"/>
  <c r="G37" i="1"/>
  <c r="M32" i="1"/>
  <c r="G32" i="1"/>
  <c r="M26" i="1"/>
  <c r="G26" i="1"/>
  <c r="M22" i="1"/>
  <c r="G22" i="1"/>
  <c r="M18" i="1"/>
  <c r="G18" i="1"/>
  <c r="M14" i="1"/>
  <c r="G14" i="1"/>
  <c r="M10" i="1"/>
  <c r="G10" i="1"/>
  <c r="M6" i="1"/>
  <c r="G6" i="1"/>
  <c r="M43" i="1"/>
  <c r="G43" i="1"/>
  <c r="M39" i="1"/>
  <c r="G39" i="1"/>
  <c r="M34" i="1"/>
  <c r="G34" i="1"/>
  <c r="M30" i="1"/>
  <c r="G30" i="1"/>
  <c r="M24" i="1"/>
  <c r="G24" i="1"/>
  <c r="M20" i="1"/>
  <c r="G20" i="1"/>
  <c r="M16" i="1"/>
  <c r="G16" i="1"/>
  <c r="M12" i="1"/>
  <c r="G12" i="1"/>
  <c r="M96" i="1"/>
  <c r="G96" i="1"/>
  <c r="M86" i="1"/>
  <c r="G86" i="1"/>
  <c r="M75" i="1"/>
  <c r="G75" i="1"/>
  <c r="M95" i="1"/>
  <c r="G95" i="1"/>
  <c r="M85" i="1"/>
  <c r="G85" i="1"/>
  <c r="M76" i="1"/>
  <c r="G76" i="1"/>
  <c r="M83" i="1"/>
  <c r="G83" i="1"/>
  <c r="M49" i="1"/>
  <c r="G49" i="1"/>
  <c r="N67" i="1"/>
  <c r="L67" i="1"/>
  <c r="N63" i="1"/>
  <c r="L63" i="1"/>
  <c r="M40" i="1"/>
  <c r="G40" i="1"/>
  <c r="N105" i="1"/>
  <c r="M105" i="1" l="1"/>
  <c r="M62" i="1"/>
  <c r="G62" i="1"/>
  <c r="G105" i="1" s="1"/>
  <c r="M66" i="1"/>
  <c r="G66" i="1"/>
  <c r="M68" i="1"/>
  <c r="G68" i="1"/>
  <c r="M63" i="1"/>
  <c r="G63" i="1"/>
  <c r="M67" i="1"/>
  <c r="G67" i="1"/>
  <c r="L105" i="1"/>
  <c r="M65" i="1"/>
  <c r="G65" i="1"/>
  <c r="M64" i="1"/>
  <c r="G64" i="1"/>
</calcChain>
</file>

<file path=xl/sharedStrings.xml><?xml version="1.0" encoding="utf-8"?>
<sst xmlns="http://schemas.openxmlformats.org/spreadsheetml/2006/main" count="371" uniqueCount="297">
  <si>
    <t>KOPERASI KARYAWAN BCA " MITRA SEJAHTERA " SURABAYA</t>
  </si>
  <si>
    <t>DAFTAR PINJAMAN BARANG RETAIL TGL 01-24 SEPTEMBER 2018 (UPLOAD)</t>
  </si>
  <si>
    <t>NO</t>
  </si>
  <si>
    <t>NAMA</t>
  </si>
  <si>
    <t>NIP</t>
  </si>
  <si>
    <t>NO FORM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</si>
  <si>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</si>
  <si>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</si>
  <si>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</si>
  <si>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</si>
  <si>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</si>
  <si>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</si>
  <si>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</si>
  <si>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</si>
  <si>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</si>
  <si>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</si>
  <si>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</si>
  <si>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</si>
  <si>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</si>
  <si>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</si>
  <si>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</si>
  <si>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NOENIK DIAH SURYANI</t>
  </si>
  <si>
    <t>970240</t>
  </si>
  <si>
    <t>010942</t>
  </si>
  <si>
    <t>OPPO F7 SILVER</t>
  </si>
  <si>
    <t>HEPTA SANTOSO</t>
  </si>
  <si>
    <t>55802</t>
  </si>
  <si>
    <t>010969</t>
  </si>
  <si>
    <t>RIZZA RAHMAWATI</t>
  </si>
  <si>
    <t>010974</t>
  </si>
  <si>
    <t>SAMSUNG J7 PRIME</t>
  </si>
  <si>
    <t>OCTAVIANUS J W SINGAL</t>
  </si>
  <si>
    <t>963685</t>
  </si>
  <si>
    <t>011000</t>
  </si>
  <si>
    <t>OPPO F7 RED</t>
  </si>
  <si>
    <t>ASWIN MARDIANTO</t>
  </si>
  <si>
    <t>970172</t>
  </si>
  <si>
    <t>010961</t>
  </si>
  <si>
    <t>OPPO F7 &amp; F7</t>
  </si>
  <si>
    <t>BUDI ASMANTO</t>
  </si>
  <si>
    <t>921931</t>
  </si>
  <si>
    <t>010994</t>
  </si>
  <si>
    <t>YUYUN MARDHIANA</t>
  </si>
  <si>
    <t>010992</t>
  </si>
  <si>
    <t>JUPRI</t>
  </si>
  <si>
    <t>920657</t>
  </si>
  <si>
    <t>010966</t>
  </si>
  <si>
    <t>RACHMAT HIDAYAT</t>
  </si>
  <si>
    <t>973273</t>
  </si>
  <si>
    <t>010962</t>
  </si>
  <si>
    <t>OPPO F7</t>
  </si>
  <si>
    <t>HAGNI WIJARTO</t>
  </si>
  <si>
    <t>960477</t>
  </si>
  <si>
    <t>010987</t>
  </si>
  <si>
    <t>RIZKY ARYA PERDANA</t>
  </si>
  <si>
    <t>010984</t>
  </si>
  <si>
    <t>AYU FITRIANI AGUSTIN</t>
  </si>
  <si>
    <t>010970</t>
  </si>
  <si>
    <t>YENY SETIAWATI</t>
  </si>
  <si>
    <t>973143</t>
  </si>
  <si>
    <t>010955</t>
  </si>
  <si>
    <t>RETNO KUSTIYANINGSIH</t>
  </si>
  <si>
    <t>914163</t>
  </si>
  <si>
    <t>010951</t>
  </si>
  <si>
    <t>SUN AMRULLOH CHILMI</t>
  </si>
  <si>
    <t>912469</t>
  </si>
  <si>
    <t>010959</t>
  </si>
  <si>
    <t>GATOT SUMARSONO</t>
  </si>
  <si>
    <t>973142</t>
  </si>
  <si>
    <t>010960</t>
  </si>
  <si>
    <t>YANNY KUSRINI SIDARTA</t>
  </si>
  <si>
    <t>973262</t>
  </si>
  <si>
    <t>010971</t>
  </si>
  <si>
    <t>OPPO A83 GOLD</t>
  </si>
  <si>
    <t>SHENDY ANGELINA MAKATITA</t>
  </si>
  <si>
    <t>010952</t>
  </si>
  <si>
    <t>SHERLY ADE YULIANA</t>
  </si>
  <si>
    <t>010964</t>
  </si>
  <si>
    <t>WAHYU SETYORINI</t>
  </si>
  <si>
    <t>010975</t>
  </si>
  <si>
    <t>INDAH SOEGIARTINI</t>
  </si>
  <si>
    <t>912037</t>
  </si>
  <si>
    <t>010948</t>
  </si>
  <si>
    <t>SRI LESTARI</t>
  </si>
  <si>
    <t>912825</t>
  </si>
  <si>
    <t>010997</t>
  </si>
  <si>
    <t>SAHAT MARULI TUA SITOMPUL</t>
  </si>
  <si>
    <t>975105</t>
  </si>
  <si>
    <t>010985</t>
  </si>
  <si>
    <t>SURAYA SEPTIARINA UTAMI</t>
  </si>
  <si>
    <t>053839</t>
  </si>
  <si>
    <t>010950</t>
  </si>
  <si>
    <t>AGUNG SULAKSONO</t>
  </si>
  <si>
    <t>914242</t>
  </si>
  <si>
    <t>010949</t>
  </si>
  <si>
    <t>FREDDY KHORINTIUS</t>
  </si>
  <si>
    <t>006219</t>
  </si>
  <si>
    <t>010976</t>
  </si>
  <si>
    <t>FX ANSELMUS BOLI</t>
  </si>
  <si>
    <t>901798</t>
  </si>
  <si>
    <t>010965</t>
  </si>
  <si>
    <t>BAMBANG ERWANTO</t>
  </si>
  <si>
    <t>940940</t>
  </si>
  <si>
    <t>010945</t>
  </si>
  <si>
    <t>CHOIRIYA CHRISDIANI</t>
  </si>
  <si>
    <t>975298</t>
  </si>
  <si>
    <t>010973</t>
  </si>
  <si>
    <t>TOTOK ERMIYANTO</t>
  </si>
  <si>
    <t>010946</t>
  </si>
  <si>
    <t>ATING RUKIYATININGSIH</t>
  </si>
  <si>
    <t>899458</t>
  </si>
  <si>
    <t>OPPO A83 BLACK</t>
  </si>
  <si>
    <t>SLAMET RIADI</t>
  </si>
  <si>
    <t>912201</t>
  </si>
  <si>
    <t>OPPO A71 2GB</t>
  </si>
  <si>
    <t>TOTOK BUDYHARTO</t>
  </si>
  <si>
    <t>963693</t>
  </si>
  <si>
    <t>FINDRA KENTJANA TANSJAH</t>
  </si>
  <si>
    <t>903080</t>
  </si>
  <si>
    <t>OPPO F7 2</t>
  </si>
  <si>
    <t>AGUS BUDIYONO</t>
  </si>
  <si>
    <t>902874</t>
  </si>
  <si>
    <t>WASIS WAHYUDI</t>
  </si>
  <si>
    <t>920216</t>
  </si>
  <si>
    <t xml:space="preserve">OPPO A83 </t>
  </si>
  <si>
    <t>SRI UNTARI</t>
  </si>
  <si>
    <t>911201</t>
  </si>
  <si>
    <t>SRI WAHYUNI</t>
  </si>
  <si>
    <t>904932</t>
  </si>
  <si>
    <t>EFFENDI</t>
  </si>
  <si>
    <t>913431</t>
  </si>
  <si>
    <t>BAMBANG KURNIAWAN</t>
  </si>
  <si>
    <t>898803</t>
  </si>
  <si>
    <t>OPPO F7 6GB</t>
  </si>
  <si>
    <t>FIONA FREDERIKA</t>
  </si>
  <si>
    <t>960316</t>
  </si>
  <si>
    <t>KC MT BULGARI OPTIK MULIA</t>
  </si>
  <si>
    <t>SOLIKHATI</t>
  </si>
  <si>
    <t>971238</t>
  </si>
  <si>
    <t>PRIMA BOGA WOK,APEM SELONG</t>
  </si>
  <si>
    <t>EVI NOVANDARI BUANAWATI</t>
  </si>
  <si>
    <t>903064</t>
  </si>
  <si>
    <t>PRIMA BOGA CASEROL</t>
  </si>
  <si>
    <t>PRIMA BOGA BELLY POT</t>
  </si>
  <si>
    <t>PRIMA BOGA WOK</t>
  </si>
  <si>
    <t>DIJAH RUKMINI</t>
  </si>
  <si>
    <t>920413</t>
  </si>
  <si>
    <t>NOVIE TRI KHRISANTI</t>
  </si>
  <si>
    <t>975378</t>
  </si>
  <si>
    <t>MAMIK TJITRARASMI</t>
  </si>
  <si>
    <t>920032</t>
  </si>
  <si>
    <t>PRIMA BOGA RS</t>
  </si>
  <si>
    <t>ALMA</t>
  </si>
  <si>
    <t>975354</t>
  </si>
  <si>
    <t>010187</t>
  </si>
  <si>
    <t>DUPAK</t>
  </si>
  <si>
    <t>MM3 PRIMA BOGA</t>
  </si>
  <si>
    <t>FARIDA AINI</t>
  </si>
  <si>
    <t>973418</t>
  </si>
  <si>
    <t>010186</t>
  </si>
  <si>
    <t>JOMBANG</t>
  </si>
  <si>
    <t>LENY TAN</t>
  </si>
  <si>
    <t>912405</t>
  </si>
  <si>
    <t>010336</t>
  </si>
  <si>
    <t>VETERAN</t>
  </si>
  <si>
    <t>WOK PRIMA BOGA</t>
  </si>
  <si>
    <t>LAKSMI MRABAWANI</t>
  </si>
  <si>
    <t>899725</t>
  </si>
  <si>
    <t>010337</t>
  </si>
  <si>
    <t>BCA KAPASARI</t>
  </si>
  <si>
    <t>INDRI NOVITA</t>
  </si>
  <si>
    <t>975355</t>
  </si>
  <si>
    <t>001332</t>
  </si>
  <si>
    <t>KRTJY IDH</t>
  </si>
  <si>
    <t>BELLY POT PRIMA BOGA</t>
  </si>
  <si>
    <t>RATNA DEWI WIDJAJA</t>
  </si>
  <si>
    <t>910267</t>
  </si>
  <si>
    <t>010340</t>
  </si>
  <si>
    <t>RAJAWALI</t>
  </si>
  <si>
    <t>CASEROL, PRESTO PRIMA BOGA</t>
  </si>
  <si>
    <t>YOEZIE SEPTEMBER</t>
  </si>
  <si>
    <t>912038</t>
  </si>
  <si>
    <t>010341</t>
  </si>
  <si>
    <t>NGINDEN SEMOLO</t>
  </si>
  <si>
    <t>SM7 PLS PRIMA BOGA</t>
  </si>
  <si>
    <t>RINA HARTATI S</t>
  </si>
  <si>
    <t>911589</t>
  </si>
  <si>
    <t>010326</t>
  </si>
  <si>
    <t>SIDOARJO</t>
  </si>
  <si>
    <t>ENDANG RESTU</t>
  </si>
  <si>
    <t>975189</t>
  </si>
  <si>
    <t>001334</t>
  </si>
  <si>
    <t>GEDANGAN</t>
  </si>
  <si>
    <t>CASEROL PRIMA BOGA</t>
  </si>
  <si>
    <t>ISNAWATI</t>
  </si>
  <si>
    <t>975365</t>
  </si>
  <si>
    <t>010192</t>
  </si>
  <si>
    <t>PS ATUM</t>
  </si>
  <si>
    <t>ANTIN PURWANI</t>
  </si>
  <si>
    <t>900258</t>
  </si>
  <si>
    <t>010330</t>
  </si>
  <si>
    <t>MARGARETA MAHULETTE</t>
  </si>
  <si>
    <t>975329</t>
  </si>
  <si>
    <t>001866</t>
  </si>
  <si>
    <t>RO,RS,RK,MM3 PRIMA BOGA</t>
  </si>
  <si>
    <t>NI MADE</t>
  </si>
  <si>
    <t>920410</t>
  </si>
  <si>
    <t>010331</t>
  </si>
  <si>
    <t>ADM KRDT KW3 DRM</t>
  </si>
  <si>
    <t>ZIPPORA</t>
  </si>
  <si>
    <t>901689</t>
  </si>
  <si>
    <t>001862</t>
  </si>
  <si>
    <t>MIRA</t>
  </si>
  <si>
    <t>001331</t>
  </si>
  <si>
    <t>BCA KENJERAN</t>
  </si>
  <si>
    <t>MURYANTI</t>
  </si>
  <si>
    <t>897862</t>
  </si>
  <si>
    <t>001864</t>
  </si>
  <si>
    <t>BCA GRESIK</t>
  </si>
  <si>
    <t>AGUS PURWANTO</t>
  </si>
  <si>
    <t>912784</t>
  </si>
  <si>
    <t>001910</t>
  </si>
  <si>
    <t>KABAG OPS KTR K MANUKAN</t>
  </si>
  <si>
    <t>OPPO A8+ BLACK</t>
  </si>
  <si>
    <t>010851</t>
  </si>
  <si>
    <t>BCA PLASA MARINA</t>
  </si>
  <si>
    <t>ANITA DYAH SETIARINI</t>
  </si>
  <si>
    <t>975375</t>
  </si>
  <si>
    <t>010244</t>
  </si>
  <si>
    <t>BCA KARTINI GRESIK</t>
  </si>
  <si>
    <t>PRIMA BOGA RO, RS</t>
  </si>
  <si>
    <t>NINA SUPRIYANI</t>
  </si>
  <si>
    <t>920219</t>
  </si>
  <si>
    <t>010338</t>
  </si>
  <si>
    <t>BCA KERTAJAYA</t>
  </si>
  <si>
    <t>WISHNU PRAMUDYO</t>
  </si>
  <si>
    <t>950799</t>
  </si>
  <si>
    <t>HANDPHONE OPPO TYPE A37</t>
  </si>
  <si>
    <t xml:space="preserve">HANDPHONE OPPO TYPE F7 PRO  </t>
  </si>
  <si>
    <t>061006</t>
  </si>
  <si>
    <t>OPTIK HEMAT KACAMATA</t>
  </si>
  <si>
    <t>NI KETUT DEWI SARINI</t>
  </si>
  <si>
    <t>000775</t>
  </si>
  <si>
    <t>HANDPHONE OPPO F7 128 GB BLACK</t>
  </si>
  <si>
    <t>HANDPHONE OPPO F7</t>
  </si>
  <si>
    <t>ARNOLD PRIAJAYA</t>
  </si>
  <si>
    <t>970270</t>
  </si>
  <si>
    <t>HANDPHONE OPPO  F7</t>
  </si>
  <si>
    <t>FIFY SOEHENDRA</t>
  </si>
  <si>
    <t>974040</t>
  </si>
  <si>
    <t>HANDPHONE OPPO F7 PRO</t>
  </si>
  <si>
    <t>WINDARIJATI</t>
  </si>
  <si>
    <t>973205</t>
  </si>
  <si>
    <t>HANDPHONE OPPO  F7 PRO</t>
  </si>
  <si>
    <t>DJOKO PRIYO UTOMO</t>
  </si>
  <si>
    <t>900257</t>
  </si>
  <si>
    <t>SAMSUNG GALAXY A5 2017 &amp; FLIP COVER SAMSUNG ORI</t>
  </si>
  <si>
    <t>BARANG ELEKTRONIK</t>
  </si>
  <si>
    <t>ARIANTO WAHYOETOMO</t>
  </si>
  <si>
    <t>911296</t>
  </si>
  <si>
    <t>HANDPHONE OPPO F7 BLACK</t>
  </si>
  <si>
    <t>MULYONO</t>
  </si>
  <si>
    <t>901148</t>
  </si>
  <si>
    <t>GATOT SUBROTO</t>
  </si>
  <si>
    <t>932162</t>
  </si>
  <si>
    <t>LAPTOP ASUS</t>
  </si>
  <si>
    <t>ASTUTI TRI NUGRAHENI</t>
  </si>
  <si>
    <t>941204</t>
  </si>
  <si>
    <t>ENDARTO</t>
  </si>
  <si>
    <t>896621</t>
  </si>
  <si>
    <t>HANDPHONE XIAOMI NOTE 5</t>
  </si>
  <si>
    <t>SURIANTO</t>
  </si>
  <si>
    <t>913622</t>
  </si>
  <si>
    <t>JUNITA REBIKA WADJA</t>
  </si>
  <si>
    <t>970654</t>
  </si>
  <si>
    <t>PAM BUDI</t>
  </si>
  <si>
    <t>904744</t>
  </si>
  <si>
    <t>MUKAFFI</t>
  </si>
  <si>
    <t>922012</t>
  </si>
  <si>
    <t>OPPO A83</t>
  </si>
  <si>
    <t>MARDJUKI</t>
  </si>
  <si>
    <t>962069</t>
  </si>
  <si>
    <t>HP OPPO A3S ( RAM 3 GB )</t>
  </si>
  <si>
    <t>YOPPIE KOLOSIES</t>
  </si>
  <si>
    <t>962810</t>
  </si>
  <si>
    <t>HP OPPO F9</t>
  </si>
  <si>
    <t>HENY RUSDIANA</t>
  </si>
  <si>
    <t>975392</t>
  </si>
  <si>
    <t>LULUK MARIANA</t>
  </si>
  <si>
    <t>HANDPHONE OPPO F9</t>
  </si>
  <si>
    <t>EINSTEINA MARYOSANTI WATTIMENA</t>
  </si>
  <si>
    <t>MOCHAMAD ARIEF KAPRAWI</t>
  </si>
  <si>
    <t>HANDPHONE I PHONE 6S 64 GB</t>
  </si>
  <si>
    <t>SUGIYANTO</t>
  </si>
  <si>
    <t>DJOKO SOELISTIJO</t>
  </si>
  <si>
    <t>DAVID LAMONGI</t>
  </si>
  <si>
    <t>HANDPHONE OPPO F9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</si>
</sst>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(* #,##0.00_);_(* \(#,##0.00\);_(* &quot;-&quot;_);_(@_)"/>
    <numFmt numFmtId="167" formatCode="[$-409]dd\-mmm\-yy;@"/>
    <numFmt numFmtId="168" formatCode="_-* #,##0.00_-;\-* #,##0.00_-;_-* &quot;-&quot;_-;_-@_-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b/>
      <i/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sz val="8"/>
      <name val="Times New Roman"/>
      <family val="1"/>
    </font>
    <font>
      <sz val="11"/>
      <name val="Calibri"/>
      <family val="2"/>
      <charset val="1"/>
      <scheme val="minor"/>
    </font>
    <font>
      <b/>
      <sz val="12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sz val="10"/>
      <name val="Times New Roman"/>
      <family val="1"/>
    </font>
    <font>
      <sz val="8"/>
      <name val="Arial Narrow"/>
      <family val="2"/>
    </font>
    <font>
      <sz val="8"/>
      <name val="Calibri"/>
      <family val="2"/>
      <charset val="1"/>
      <scheme val="minor"/>
    </font>
    <font>
      <sz val="12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" fillId="0" borderId="0"/>
    <xf numFmtId="0" fontId="10" fillId="0" borderId="0"/>
  </cellStyleXfs>
  <cellXfs count="117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6" fillId="2" borderId="7" xfId="3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/>
    </xf>
    <xf numFmtId="49" fontId="6" fillId="0" borderId="7" xfId="0" quotePrefix="1" applyNumberFormat="1" applyFont="1" applyFill="1" applyBorder="1" applyAlignment="1">
      <alignment horizontal="center"/>
    </xf>
    <xf numFmtId="15" fontId="6" fillId="0" borderId="7" xfId="0" quotePrefix="1" applyNumberFormat="1" applyFont="1" applyFill="1" applyBorder="1" applyAlignment="1">
      <alignment horizontal="center" vertical="center"/>
    </xf>
    <xf numFmtId="15" fontId="6" fillId="0" borderId="7" xfId="0" applyNumberFormat="1" applyFont="1" applyFill="1" applyBorder="1" applyAlignment="1">
      <alignment horizontal="center" vertical="center"/>
    </xf>
    <xf numFmtId="165" fontId="6" fillId="0" borderId="7" xfId="0" applyNumberFormat="1" applyFont="1" applyFill="1" applyBorder="1" applyAlignment="1">
      <alignment horizontal="center"/>
    </xf>
    <xf numFmtId="166" fontId="3" fillId="0" borderId="7" xfId="1" applyNumberFormat="1" applyFont="1" applyFill="1" applyBorder="1" applyAlignment="1">
      <alignment horizontal="right"/>
    </xf>
    <xf numFmtId="166" fontId="3" fillId="0" borderId="7" xfId="1" applyNumberFormat="1" applyFont="1" applyFill="1" applyBorder="1"/>
    <xf numFmtId="0" fontId="6" fillId="0" borderId="7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right"/>
    </xf>
    <xf numFmtId="39" fontId="3" fillId="3" borderId="7" xfId="2" applyNumberFormat="1" applyFont="1" applyFill="1" applyBorder="1" applyAlignment="1">
      <alignment horizontal="right"/>
    </xf>
    <xf numFmtId="0" fontId="7" fillId="0" borderId="7" xfId="0" applyFont="1" applyBorder="1" applyAlignment="1">
      <alignment horizontal="left"/>
    </xf>
    <xf numFmtId="0" fontId="7" fillId="0" borderId="7" xfId="3" applyFont="1" applyFill="1" applyBorder="1" applyAlignment="1">
      <alignment horizontal="left" vertical="top"/>
    </xf>
    <xf numFmtId="0" fontId="8" fillId="0" borderId="0" xfId="0" applyFont="1"/>
    <xf numFmtId="0" fontId="6" fillId="0" borderId="7" xfId="3" applyFont="1" applyFill="1" applyBorder="1" applyAlignment="1">
      <alignment horizontal="left"/>
    </xf>
    <xf numFmtId="49" fontId="6" fillId="0" borderId="7" xfId="3" quotePrefix="1" applyNumberFormat="1" applyFont="1" applyFill="1" applyBorder="1" applyAlignment="1">
      <alignment horizontal="center"/>
    </xf>
    <xf numFmtId="165" fontId="6" fillId="0" borderId="7" xfId="3" applyNumberFormat="1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7" fillId="0" borderId="7" xfId="0" applyFont="1" applyBorder="1"/>
    <xf numFmtId="49" fontId="6" fillId="0" borderId="7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left" vertical="top"/>
    </xf>
    <xf numFmtId="0" fontId="6" fillId="0" borderId="7" xfId="3" applyFont="1" applyFill="1" applyBorder="1" applyAlignment="1">
      <alignment horizontal="center" vertical="center"/>
    </xf>
    <xf numFmtId="0" fontId="6" fillId="0" borderId="7" xfId="3" quotePrefix="1" applyFont="1" applyFill="1" applyBorder="1" applyAlignment="1">
      <alignment horizontal="center" vertical="center"/>
    </xf>
    <xf numFmtId="39" fontId="7" fillId="0" borderId="7" xfId="2" applyNumberFormat="1" applyFont="1" applyFill="1" applyBorder="1" applyAlignment="1">
      <alignment horizontal="left"/>
    </xf>
    <xf numFmtId="0" fontId="7" fillId="0" borderId="7" xfId="3" applyFont="1" applyFill="1" applyBorder="1" applyAlignment="1">
      <alignment horizontal="left"/>
    </xf>
    <xf numFmtId="42" fontId="6" fillId="0" borderId="7" xfId="0" applyNumberFormat="1" applyFont="1" applyFill="1" applyBorder="1" applyAlignment="1">
      <alignment horizontal="center" vertical="center"/>
    </xf>
    <xf numFmtId="49" fontId="6" fillId="0" borderId="7" xfId="3" applyNumberFormat="1" applyFont="1" applyFill="1" applyBorder="1" applyAlignment="1">
      <alignment horizontal="center"/>
    </xf>
    <xf numFmtId="39" fontId="3" fillId="0" borderId="7" xfId="0" applyNumberFormat="1" applyFont="1" applyFill="1" applyBorder="1" applyAlignment="1">
      <alignment horizontal="right"/>
    </xf>
    <xf numFmtId="0" fontId="6" fillId="0" borderId="7" xfId="0" quotePrefix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/>
    </xf>
    <xf numFmtId="0" fontId="6" fillId="0" borderId="7" xfId="0" quotePrefix="1" applyFont="1" applyFill="1" applyBorder="1" applyAlignment="1">
      <alignment horizontal="center"/>
    </xf>
    <xf numFmtId="0" fontId="3" fillId="0" borderId="7" xfId="0" applyFont="1" applyFill="1" applyBorder="1"/>
    <xf numFmtId="0" fontId="3" fillId="0" borderId="7" xfId="0" quotePrefix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39" fontId="3" fillId="4" borderId="7" xfId="2" applyNumberFormat="1" applyFont="1" applyFill="1" applyBorder="1" applyAlignment="1">
      <alignment horizontal="right"/>
    </xf>
    <xf numFmtId="0" fontId="7" fillId="0" borderId="7" xfId="4" applyNumberFormat="1" applyFont="1" applyFill="1" applyBorder="1" applyAlignment="1" applyProtection="1">
      <alignment horizontal="left" vertical="center"/>
    </xf>
    <xf numFmtId="0" fontId="3" fillId="0" borderId="7" xfId="0" applyFont="1" applyFill="1" applyBorder="1" applyAlignment="1">
      <alignment horizontal="left"/>
    </xf>
    <xf numFmtId="43" fontId="3" fillId="0" borderId="7" xfId="1" applyFont="1" applyFill="1" applyBorder="1" applyAlignment="1">
      <alignment horizontal="right"/>
    </xf>
    <xf numFmtId="0" fontId="7" fillId="0" borderId="7" xfId="0" applyFont="1" applyFill="1" applyBorder="1" applyAlignment="1">
      <alignment horizontal="left"/>
    </xf>
    <xf numFmtId="166" fontId="3" fillId="0" borderId="7" xfId="2" applyNumberFormat="1" applyFont="1" applyFill="1" applyBorder="1" applyAlignment="1">
      <alignment horizontal="right"/>
    </xf>
    <xf numFmtId="0" fontId="11" fillId="0" borderId="7" xfId="0" applyFont="1" applyFill="1" applyBorder="1" applyAlignment="1">
      <alignment horizontal="left"/>
    </xf>
    <xf numFmtId="0" fontId="11" fillId="0" borderId="7" xfId="2" quotePrefix="1" applyNumberFormat="1" applyFont="1" applyFill="1" applyBorder="1" applyAlignment="1">
      <alignment horizontal="center"/>
    </xf>
    <xf numFmtId="167" fontId="11" fillId="0" borderId="7" xfId="2" quotePrefix="1" applyNumberFormat="1" applyFont="1" applyFill="1" applyBorder="1" applyAlignment="1">
      <alignment horizontal="center"/>
    </xf>
    <xf numFmtId="167" fontId="11" fillId="0" borderId="7" xfId="2" applyNumberFormat="1" applyFont="1" applyFill="1" applyBorder="1" applyAlignment="1">
      <alignment horizontal="center"/>
    </xf>
    <xf numFmtId="43" fontId="11" fillId="0" borderId="7" xfId="1" applyFont="1" applyFill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2" fillId="0" borderId="7" xfId="0" applyFont="1" applyBorder="1"/>
    <xf numFmtId="0" fontId="11" fillId="0" borderId="7" xfId="0" applyFont="1" applyFill="1" applyBorder="1" applyAlignment="1">
      <alignment horizontal="center"/>
    </xf>
    <xf numFmtId="39" fontId="3" fillId="0" borderId="7" xfId="2" applyNumberFormat="1" applyFont="1" applyFill="1" applyBorder="1" applyAlignment="1">
      <alignment horizontal="left"/>
    </xf>
    <xf numFmtId="167" fontId="8" fillId="0" borderId="7" xfId="2" applyNumberFormat="1" applyFont="1" applyFill="1" applyBorder="1" applyAlignment="1">
      <alignment horizontal="center"/>
    </xf>
    <xf numFmtId="166" fontId="8" fillId="0" borderId="7" xfId="2" applyNumberFormat="1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4" fillId="0" borderId="7" xfId="0" applyFont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0" fontId="8" fillId="0" borderId="7" xfId="2" quotePrefix="1" applyNumberFormat="1" applyFont="1" applyFill="1" applyBorder="1" applyAlignment="1">
      <alignment horizontal="center"/>
    </xf>
    <xf numFmtId="168" fontId="8" fillId="0" borderId="7" xfId="2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left"/>
    </xf>
    <xf numFmtId="168" fontId="8" fillId="0" borderId="9" xfId="2" applyNumberFormat="1" applyFont="1" applyFill="1" applyBorder="1" applyAlignment="1">
      <alignment horizontal="center"/>
    </xf>
    <xf numFmtId="0" fontId="8" fillId="0" borderId="7" xfId="2" applyNumberFormat="1" applyFont="1" applyBorder="1" applyAlignment="1">
      <alignment horizontal="center"/>
    </xf>
    <xf numFmtId="167" fontId="8" fillId="0" borderId="7" xfId="2" applyNumberFormat="1" applyFont="1" applyBorder="1" applyAlignment="1">
      <alignment horizontal="center"/>
    </xf>
    <xf numFmtId="166" fontId="8" fillId="0" borderId="7" xfId="2" applyNumberFormat="1" applyFont="1" applyBorder="1" applyAlignment="1">
      <alignment horizontal="center"/>
    </xf>
    <xf numFmtId="166" fontId="3" fillId="0" borderId="8" xfId="1" applyNumberFormat="1" applyFont="1" applyFill="1" applyBorder="1" applyAlignment="1">
      <alignment horizontal="right"/>
    </xf>
    <xf numFmtId="0" fontId="8" fillId="0" borderId="7" xfId="0" applyFont="1" applyBorder="1" applyAlignment="1">
      <alignment horizontal="center"/>
    </xf>
    <xf numFmtId="39" fontId="3" fillId="0" borderId="9" xfId="2" applyNumberFormat="1" applyFont="1" applyFill="1" applyBorder="1" applyAlignment="1">
      <alignment horizontal="right"/>
    </xf>
    <xf numFmtId="0" fontId="6" fillId="2" borderId="10" xfId="3" applyFont="1" applyFill="1" applyBorder="1" applyAlignment="1">
      <alignment horizontal="center" vertical="center"/>
    </xf>
    <xf numFmtId="0" fontId="8" fillId="0" borderId="7" xfId="2" quotePrefix="1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6" fillId="0" borderId="10" xfId="3" applyFont="1" applyFill="1" applyBorder="1" applyAlignment="1">
      <alignment horizontal="center" vertical="center"/>
    </xf>
    <xf numFmtId="39" fontId="3" fillId="0" borderId="8" xfId="2" applyNumberFormat="1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2" quotePrefix="1" applyNumberFormat="1" applyFont="1" applyBorder="1" applyAlignment="1">
      <alignment horizontal="center"/>
    </xf>
    <xf numFmtId="167" fontId="0" fillId="0" borderId="7" xfId="2" applyNumberFormat="1" applyFont="1" applyBorder="1" applyAlignment="1">
      <alignment horizontal="center"/>
    </xf>
    <xf numFmtId="168" fontId="0" fillId="0" borderId="7" xfId="2" applyNumberFormat="1" applyFont="1" applyBorder="1" applyAlignment="1">
      <alignment horizontal="center"/>
    </xf>
    <xf numFmtId="0" fontId="15" fillId="2" borderId="7" xfId="3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/>
    </xf>
    <xf numFmtId="0" fontId="0" fillId="0" borderId="7" xfId="2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7" xfId="0" applyFont="1" applyBorder="1"/>
    <xf numFmtId="0" fontId="3" fillId="0" borderId="7" xfId="0" applyFont="1" applyFill="1" applyBorder="1" applyAlignment="1">
      <alignment horizontal="right"/>
    </xf>
    <xf numFmtId="43" fontId="8" fillId="0" borderId="7" xfId="1" applyFont="1" applyBorder="1"/>
  </cellXfs>
  <cellStyles count="5">
    <cellStyle name="Comma" xfId="1" builtinId="3"/>
    <cellStyle name="Comma [0]" xfId="2" builtinId="6"/>
    <cellStyle name="Normal" xfId="0" builtinId="0"/>
    <cellStyle name="Normal 2" xfId="4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G7" sqref="G7"/>
    </sheetView>
  </sheetViews>
  <sheetFormatPr defaultRowHeight="15" x14ac:dyDescent="0.25"/>
  <cols>
    <col min="1" max="1" width="9.42578125" style="45" bestFit="1" customWidth="1"/>
    <col min="2" max="2" width="35" style="45" bestFit="1" customWidth="1"/>
    <col min="3" max="3" width="9" style="45" bestFit="1" customWidth="1"/>
    <col min="4" max="4" width="13" style="45" customWidth="1"/>
    <col min="5" max="5" width="10.85546875" style="45" bestFit="1" customWidth="1"/>
    <col min="6" max="6" width="15.42578125" style="45" bestFit="1" customWidth="1"/>
    <col min="7" max="7" width="17.85546875" style="45" bestFit="1" customWidth="1"/>
    <col min="8" max="8" width="18.28515625" style="45" bestFit="1" customWidth="1"/>
    <col min="9" max="9" width="16.140625" style="45" bestFit="1" customWidth="1"/>
    <col min="10" max="10" width="9.5703125" style="45" bestFit="1" customWidth="1"/>
    <col min="11" max="11" width="8.140625" style="45" bestFit="1" customWidth="1"/>
    <col min="12" max="12" width="14.42578125" style="45" bestFit="1" customWidth="1"/>
    <col min="13" max="13" width="15.42578125" style="45" bestFit="1" customWidth="1"/>
    <col min="14" max="14" width="18.28515625" style="45" bestFit="1" customWidth="1"/>
    <col min="15" max="15" width="27.5703125" style="45" bestFit="1" customWidth="1"/>
    <col min="16" max="16" width="38" style="45" bestFit="1" customWidth="1"/>
    <col min="17" max="16384" width="9.140625" style="45"/>
  </cols>
  <sheetData>
    <row r="1" spans="1:16" s="9" customFormat="1" ht="18.75" x14ac:dyDescent="0.3">
      <c r="A1" s="1" t="s">
        <v>0</v>
      </c>
      <c r="B1" s="2"/>
      <c r="C1" s="3"/>
      <c r="D1" s="3"/>
      <c r="E1" s="4"/>
      <c r="F1" s="5"/>
      <c r="G1" s="5"/>
      <c r="H1" s="6"/>
      <c r="I1" s="7"/>
      <c r="J1" s="8"/>
      <c r="L1" s="10"/>
      <c r="M1" s="10"/>
      <c r="N1" s="10"/>
      <c r="O1" s="11"/>
      <c r="P1" s="12"/>
    </row>
    <row r="2" spans="1:16" s="9" customFormat="1" ht="19.5" x14ac:dyDescent="0.35">
      <c r="A2" s="13" t="s">
        <v>1</v>
      </c>
      <c r="B2" s="2"/>
      <c r="C2" s="3"/>
      <c r="D2" s="3"/>
      <c r="E2" s="4"/>
      <c r="F2" s="5"/>
      <c r="G2" s="5"/>
      <c r="H2" s="6"/>
      <c r="I2" s="7"/>
      <c r="J2" s="8"/>
      <c r="L2" s="10"/>
      <c r="M2" s="10"/>
      <c r="N2" s="10"/>
      <c r="O2" s="11"/>
      <c r="P2" s="12"/>
    </row>
    <row r="3" spans="1:16" s="8" customFormat="1" ht="15.75" x14ac:dyDescent="0.25">
      <c r="A3" s="14" t="s">
        <v>2</v>
      </c>
      <c r="B3" s="14" t="s">
        <v>3</v>
      </c>
      <c r="C3" s="14" t="s">
        <v>4</v>
      </c>
      <c r="D3" s="14" t="s">
        <v>5</v>
      </c>
      <c r="E3" s="15" t="s">
        <v>6</v>
      </c>
      <c r="F3" s="16" t="s">
        <v>7</v>
      </c>
      <c r="G3" s="16" t="s">
        <v>8</v>
      </c>
      <c r="H3" s="14" t="s">
        <v>9</v>
      </c>
      <c r="I3" s="17" t="s">
        <v>10</v>
      </c>
      <c r="J3" s="18" t="s">
        <v>11</v>
      </c>
      <c r="K3" s="14" t="s">
        <v>12</v>
      </c>
      <c r="L3" s="19" t="s">
        <v>13</v>
      </c>
      <c r="M3" s="20" t="s">
        <v>14</v>
      </c>
      <c r="N3" s="20" t="s">
        <v>15</v>
      </c>
      <c r="O3" s="21" t="s">
        <v>16</v>
      </c>
      <c r="P3" s="14" t="s">
        <v>17</v>
      </c>
    </row>
    <row r="4" spans="1:16" s="8" customFormat="1" ht="15.75" x14ac:dyDescent="0.25">
      <c r="A4" s="22"/>
      <c r="B4" s="22"/>
      <c r="C4" s="22"/>
      <c r="D4" s="22"/>
      <c r="E4" s="23" t="s">
        <v>18</v>
      </c>
      <c r="F4" s="24"/>
      <c r="G4" s="25" t="s">
        <v>7</v>
      </c>
      <c r="H4" s="22"/>
      <c r="I4" s="26"/>
      <c r="J4" s="27"/>
      <c r="K4" s="22" t="s">
        <v>19</v>
      </c>
      <c r="L4" s="28" t="s">
        <v>20</v>
      </c>
      <c r="M4" s="29" t="s">
        <v>10</v>
      </c>
      <c r="N4" s="29"/>
      <c r="O4" s="30"/>
      <c r="P4" s="31"/>
    </row>
    <row r="5" spans="1:16" ht="15.75" x14ac:dyDescent="0.25">
      <c r="A5" s="32">
        <v>1</v>
      </c>
      <c r="B5" s="33" t="s">
        <v>21</v>
      </c>
      <c r="C5" s="34" t="s">
        <v>22</v>
      </c>
      <c r="D5" s="35" t="s">
        <v>23</v>
      </c>
      <c r="E5" s="36">
        <v>43211</v>
      </c>
      <c r="F5" s="37">
        <v>4199000</v>
      </c>
      <c r="G5" s="38">
        <f t="shared" ref="G5:G68" si="0">+J5*L5</f>
        <v>4803720</v>
      </c>
      <c r="H5" s="39">
        <f>400310-I5</f>
        <v>349922</v>
      </c>
      <c r="I5" s="38">
        <f t="shared" ref="I5:I68" si="1">+F5*1.2%</f>
        <v>50388</v>
      </c>
      <c r="J5" s="40">
        <v>12</v>
      </c>
      <c r="K5" s="40">
        <v>8</v>
      </c>
      <c r="L5" s="41">
        <f t="shared" ref="L5:L68" si="2">+H5+I5</f>
        <v>400310</v>
      </c>
      <c r="M5" s="41">
        <f t="shared" ref="M5:M68" si="3">+K5*L5</f>
        <v>3202480</v>
      </c>
      <c r="N5" s="42">
        <f>F5-(H5*4)</f>
        <v>2799312</v>
      </c>
      <c r="O5" s="43"/>
      <c r="P5" s="44" t="s">
        <v>24</v>
      </c>
    </row>
    <row r="6" spans="1:16" ht="15.75" x14ac:dyDescent="0.25">
      <c r="A6" s="32">
        <f>+A5+1</f>
        <v>2</v>
      </c>
      <c r="B6" s="46" t="s">
        <v>25</v>
      </c>
      <c r="C6" s="47" t="s">
        <v>26</v>
      </c>
      <c r="D6" s="35" t="s">
        <v>27</v>
      </c>
      <c r="E6" s="36">
        <v>43211</v>
      </c>
      <c r="F6" s="48">
        <v>4199000</v>
      </c>
      <c r="G6" s="38">
        <f t="shared" si="0"/>
        <v>4803720</v>
      </c>
      <c r="H6" s="39">
        <f>400310-I6</f>
        <v>349922</v>
      </c>
      <c r="I6" s="38">
        <f t="shared" si="1"/>
        <v>50388</v>
      </c>
      <c r="J6" s="49">
        <v>12</v>
      </c>
      <c r="K6" s="40">
        <v>8</v>
      </c>
      <c r="L6" s="41">
        <f t="shared" si="2"/>
        <v>400310</v>
      </c>
      <c r="M6" s="41">
        <f t="shared" si="3"/>
        <v>3202480</v>
      </c>
      <c r="N6" s="42">
        <f>F6-(H6*4)</f>
        <v>2799312</v>
      </c>
      <c r="O6" s="50"/>
      <c r="P6" s="44" t="s">
        <v>24</v>
      </c>
    </row>
    <row r="7" spans="1:16" ht="15.75" x14ac:dyDescent="0.25">
      <c r="A7" s="32">
        <f t="shared" ref="A7:A68" si="4">+A6+1</f>
        <v>3</v>
      </c>
      <c r="B7" s="33" t="s">
        <v>28</v>
      </c>
      <c r="C7" s="51">
        <v>56306</v>
      </c>
      <c r="D7" s="35" t="s">
        <v>29</v>
      </c>
      <c r="E7" s="36">
        <v>43211</v>
      </c>
      <c r="F7" s="37">
        <v>2900000</v>
      </c>
      <c r="G7" s="38">
        <f t="shared" si="0"/>
        <v>3248000</v>
      </c>
      <c r="H7" s="39">
        <f>+F7/J7</f>
        <v>290000</v>
      </c>
      <c r="I7" s="38">
        <f t="shared" si="1"/>
        <v>34800</v>
      </c>
      <c r="J7" s="40">
        <v>10</v>
      </c>
      <c r="K7" s="40">
        <v>6</v>
      </c>
      <c r="L7" s="41">
        <f t="shared" si="2"/>
        <v>324800</v>
      </c>
      <c r="M7" s="41">
        <f t="shared" si="3"/>
        <v>1948800</v>
      </c>
      <c r="N7" s="41">
        <f>+H7*K7</f>
        <v>1740000</v>
      </c>
      <c r="O7" s="43"/>
      <c r="P7" s="52" t="s">
        <v>30</v>
      </c>
    </row>
    <row r="8" spans="1:16" ht="15.75" x14ac:dyDescent="0.25">
      <c r="A8" s="53">
        <f t="shared" si="4"/>
        <v>4</v>
      </c>
      <c r="B8" s="46" t="s">
        <v>31</v>
      </c>
      <c r="C8" s="47" t="s">
        <v>32</v>
      </c>
      <c r="D8" s="35" t="s">
        <v>33</v>
      </c>
      <c r="E8" s="36">
        <v>43211</v>
      </c>
      <c r="F8" s="48">
        <v>4199000</v>
      </c>
      <c r="G8" s="38">
        <f t="shared" si="0"/>
        <v>4803720</v>
      </c>
      <c r="H8" s="39">
        <v>349922</v>
      </c>
      <c r="I8" s="38">
        <f t="shared" si="1"/>
        <v>50388</v>
      </c>
      <c r="J8" s="49">
        <v>12</v>
      </c>
      <c r="K8" s="40">
        <v>8</v>
      </c>
      <c r="L8" s="41">
        <f t="shared" si="2"/>
        <v>400310</v>
      </c>
      <c r="M8" s="41">
        <f t="shared" si="3"/>
        <v>3202480</v>
      </c>
      <c r="N8" s="42">
        <f t="shared" ref="N8:N27" si="5">F8-(H8*4)</f>
        <v>2799312</v>
      </c>
      <c r="O8" s="43"/>
      <c r="P8" s="44" t="s">
        <v>34</v>
      </c>
    </row>
    <row r="9" spans="1:16" ht="15.75" x14ac:dyDescent="0.25">
      <c r="A9" s="32">
        <f t="shared" si="4"/>
        <v>5</v>
      </c>
      <c r="B9" s="46" t="s">
        <v>35</v>
      </c>
      <c r="C9" s="47" t="s">
        <v>36</v>
      </c>
      <c r="D9" s="35" t="s">
        <v>37</v>
      </c>
      <c r="E9" s="36">
        <v>43211</v>
      </c>
      <c r="F9" s="48">
        <v>8398000</v>
      </c>
      <c r="G9" s="38">
        <f t="shared" si="0"/>
        <v>9607320</v>
      </c>
      <c r="H9" s="39">
        <v>699834</v>
      </c>
      <c r="I9" s="38">
        <f t="shared" si="1"/>
        <v>100776</v>
      </c>
      <c r="J9" s="49">
        <v>12</v>
      </c>
      <c r="K9" s="40">
        <v>8</v>
      </c>
      <c r="L9" s="41">
        <f t="shared" si="2"/>
        <v>800610</v>
      </c>
      <c r="M9" s="41">
        <f t="shared" si="3"/>
        <v>6404880</v>
      </c>
      <c r="N9" s="42">
        <f t="shared" si="5"/>
        <v>5598664</v>
      </c>
      <c r="O9" s="43"/>
      <c r="P9" s="44" t="s">
        <v>38</v>
      </c>
    </row>
    <row r="10" spans="1:16" ht="15.75" x14ac:dyDescent="0.25">
      <c r="A10" s="32">
        <f>+A9+1</f>
        <v>6</v>
      </c>
      <c r="B10" s="46" t="s">
        <v>39</v>
      </c>
      <c r="C10" s="54" t="s">
        <v>40</v>
      </c>
      <c r="D10" s="35" t="s">
        <v>41</v>
      </c>
      <c r="E10" s="36">
        <v>43211</v>
      </c>
      <c r="F10" s="48">
        <v>4199000</v>
      </c>
      <c r="G10" s="38">
        <f t="shared" si="0"/>
        <v>4803720</v>
      </c>
      <c r="H10" s="39">
        <f t="shared" ref="H10:H20" si="6">400310-I10</f>
        <v>349922</v>
      </c>
      <c r="I10" s="38">
        <f t="shared" si="1"/>
        <v>50388</v>
      </c>
      <c r="J10" s="49">
        <v>12</v>
      </c>
      <c r="K10" s="40">
        <v>8</v>
      </c>
      <c r="L10" s="41">
        <f t="shared" si="2"/>
        <v>400310</v>
      </c>
      <c r="M10" s="41">
        <f t="shared" si="3"/>
        <v>3202480</v>
      </c>
      <c r="N10" s="42">
        <f t="shared" si="5"/>
        <v>2799312</v>
      </c>
      <c r="O10" s="43"/>
      <c r="P10" s="44" t="s">
        <v>24</v>
      </c>
    </row>
    <row r="11" spans="1:16" ht="15.75" x14ac:dyDescent="0.25">
      <c r="A11" s="32">
        <f t="shared" si="4"/>
        <v>7</v>
      </c>
      <c r="B11" s="46" t="s">
        <v>42</v>
      </c>
      <c r="C11" s="53">
        <v>54651</v>
      </c>
      <c r="D11" s="35" t="s">
        <v>43</v>
      </c>
      <c r="E11" s="36">
        <v>43211</v>
      </c>
      <c r="F11" s="48">
        <v>4199000</v>
      </c>
      <c r="G11" s="38">
        <f t="shared" si="0"/>
        <v>4803720</v>
      </c>
      <c r="H11" s="39">
        <f t="shared" si="6"/>
        <v>349922</v>
      </c>
      <c r="I11" s="38">
        <f t="shared" si="1"/>
        <v>50388</v>
      </c>
      <c r="J11" s="49">
        <v>12</v>
      </c>
      <c r="K11" s="40">
        <v>8</v>
      </c>
      <c r="L11" s="41">
        <f t="shared" si="2"/>
        <v>400310</v>
      </c>
      <c r="M11" s="41">
        <f t="shared" si="3"/>
        <v>3202480</v>
      </c>
      <c r="N11" s="42">
        <f t="shared" si="5"/>
        <v>2799312</v>
      </c>
      <c r="O11" s="55"/>
      <c r="P11" s="44" t="s">
        <v>34</v>
      </c>
    </row>
    <row r="12" spans="1:16" ht="15.75" x14ac:dyDescent="0.25">
      <c r="A12" s="32">
        <f t="shared" si="4"/>
        <v>8</v>
      </c>
      <c r="B12" s="46" t="s">
        <v>44</v>
      </c>
      <c r="C12" s="47" t="s">
        <v>45</v>
      </c>
      <c r="D12" s="35" t="s">
        <v>46</v>
      </c>
      <c r="E12" s="36">
        <v>43211</v>
      </c>
      <c r="F12" s="48">
        <v>4199000</v>
      </c>
      <c r="G12" s="38">
        <f t="shared" si="0"/>
        <v>4803720</v>
      </c>
      <c r="H12" s="39">
        <f t="shared" si="6"/>
        <v>349922</v>
      </c>
      <c r="I12" s="38">
        <f t="shared" si="1"/>
        <v>50388</v>
      </c>
      <c r="J12" s="49">
        <v>12</v>
      </c>
      <c r="K12" s="40">
        <v>8</v>
      </c>
      <c r="L12" s="41">
        <f t="shared" si="2"/>
        <v>400310</v>
      </c>
      <c r="M12" s="41">
        <f t="shared" si="3"/>
        <v>3202480</v>
      </c>
      <c r="N12" s="42">
        <f t="shared" si="5"/>
        <v>2799312</v>
      </c>
      <c r="O12" s="55"/>
      <c r="P12" s="44" t="s">
        <v>34</v>
      </c>
    </row>
    <row r="13" spans="1:16" ht="15.75" x14ac:dyDescent="0.25">
      <c r="A13" s="32">
        <f t="shared" si="4"/>
        <v>9</v>
      </c>
      <c r="B13" s="33" t="s">
        <v>47</v>
      </c>
      <c r="C13" s="34" t="s">
        <v>48</v>
      </c>
      <c r="D13" s="35" t="s">
        <v>49</v>
      </c>
      <c r="E13" s="36">
        <v>43211</v>
      </c>
      <c r="F13" s="37">
        <v>4199000</v>
      </c>
      <c r="G13" s="38">
        <f t="shared" si="0"/>
        <v>4803720</v>
      </c>
      <c r="H13" s="39">
        <f t="shared" si="6"/>
        <v>349922</v>
      </c>
      <c r="I13" s="38">
        <f t="shared" si="1"/>
        <v>50388</v>
      </c>
      <c r="J13" s="40">
        <v>12</v>
      </c>
      <c r="K13" s="40">
        <v>8</v>
      </c>
      <c r="L13" s="41">
        <f t="shared" si="2"/>
        <v>400310</v>
      </c>
      <c r="M13" s="41">
        <f t="shared" si="3"/>
        <v>3202480</v>
      </c>
      <c r="N13" s="42">
        <f t="shared" si="5"/>
        <v>2799312</v>
      </c>
      <c r="O13" s="55"/>
      <c r="P13" s="56" t="s">
        <v>50</v>
      </c>
    </row>
    <row r="14" spans="1:16" ht="15.75" x14ac:dyDescent="0.25">
      <c r="A14" s="32">
        <f t="shared" si="4"/>
        <v>10</v>
      </c>
      <c r="B14" s="33" t="s">
        <v>51</v>
      </c>
      <c r="C14" s="34" t="s">
        <v>52</v>
      </c>
      <c r="D14" s="35" t="s">
        <v>53</v>
      </c>
      <c r="E14" s="36">
        <v>43211</v>
      </c>
      <c r="F14" s="57">
        <v>4199000</v>
      </c>
      <c r="G14" s="38">
        <f t="shared" si="0"/>
        <v>4803720</v>
      </c>
      <c r="H14" s="39">
        <f t="shared" si="6"/>
        <v>349922</v>
      </c>
      <c r="I14" s="38">
        <f t="shared" si="1"/>
        <v>50388</v>
      </c>
      <c r="J14" s="40">
        <v>12</v>
      </c>
      <c r="K14" s="40">
        <v>8</v>
      </c>
      <c r="L14" s="41">
        <f t="shared" si="2"/>
        <v>400310</v>
      </c>
      <c r="M14" s="41">
        <f t="shared" si="3"/>
        <v>3202480</v>
      </c>
      <c r="N14" s="42">
        <f t="shared" si="5"/>
        <v>2799312</v>
      </c>
      <c r="O14" s="55"/>
      <c r="P14" s="44" t="s">
        <v>24</v>
      </c>
    </row>
    <row r="15" spans="1:16" ht="15.75" x14ac:dyDescent="0.25">
      <c r="A15" s="32">
        <f t="shared" si="4"/>
        <v>11</v>
      </c>
      <c r="B15" s="46" t="s">
        <v>54</v>
      </c>
      <c r="C15" s="58">
        <v>62263</v>
      </c>
      <c r="D15" s="35" t="s">
        <v>55</v>
      </c>
      <c r="E15" s="36">
        <v>43211</v>
      </c>
      <c r="F15" s="48">
        <v>4199000</v>
      </c>
      <c r="G15" s="38">
        <f t="shared" si="0"/>
        <v>4803720</v>
      </c>
      <c r="H15" s="39">
        <f t="shared" si="6"/>
        <v>349922</v>
      </c>
      <c r="I15" s="38">
        <f t="shared" si="1"/>
        <v>50388</v>
      </c>
      <c r="J15" s="49">
        <v>12</v>
      </c>
      <c r="K15" s="40">
        <v>8</v>
      </c>
      <c r="L15" s="41">
        <f t="shared" si="2"/>
        <v>400310</v>
      </c>
      <c r="M15" s="41">
        <f t="shared" si="3"/>
        <v>3202480</v>
      </c>
      <c r="N15" s="42">
        <f t="shared" si="5"/>
        <v>2799312</v>
      </c>
      <c r="O15" s="55"/>
      <c r="P15" s="44" t="s">
        <v>24</v>
      </c>
    </row>
    <row r="16" spans="1:16" ht="15.75" x14ac:dyDescent="0.25">
      <c r="A16" s="32">
        <f t="shared" si="4"/>
        <v>12</v>
      </c>
      <c r="B16" s="33" t="s">
        <v>56</v>
      </c>
      <c r="C16" s="51">
        <v>61006</v>
      </c>
      <c r="D16" s="35" t="s">
        <v>57</v>
      </c>
      <c r="E16" s="36">
        <v>43211</v>
      </c>
      <c r="F16" s="37">
        <v>4199000</v>
      </c>
      <c r="G16" s="38">
        <f t="shared" si="0"/>
        <v>4803720</v>
      </c>
      <c r="H16" s="39">
        <f t="shared" si="6"/>
        <v>349922</v>
      </c>
      <c r="I16" s="38">
        <f t="shared" si="1"/>
        <v>50388</v>
      </c>
      <c r="J16" s="40">
        <v>12</v>
      </c>
      <c r="K16" s="40">
        <v>8</v>
      </c>
      <c r="L16" s="41">
        <f t="shared" si="2"/>
        <v>400310</v>
      </c>
      <c r="M16" s="41">
        <f t="shared" si="3"/>
        <v>3202480</v>
      </c>
      <c r="N16" s="42">
        <f t="shared" si="5"/>
        <v>2799312</v>
      </c>
      <c r="O16" s="55"/>
      <c r="P16" s="44" t="s">
        <v>24</v>
      </c>
    </row>
    <row r="17" spans="1:16" ht="15.75" x14ac:dyDescent="0.25">
      <c r="A17" s="32">
        <f t="shared" si="4"/>
        <v>13</v>
      </c>
      <c r="B17" s="46" t="s">
        <v>58</v>
      </c>
      <c r="C17" s="47" t="s">
        <v>59</v>
      </c>
      <c r="D17" s="35" t="s">
        <v>60</v>
      </c>
      <c r="E17" s="36">
        <v>43211</v>
      </c>
      <c r="F17" s="48">
        <v>4199000</v>
      </c>
      <c r="G17" s="38">
        <f t="shared" si="0"/>
        <v>4803720</v>
      </c>
      <c r="H17" s="39">
        <f t="shared" si="6"/>
        <v>349922</v>
      </c>
      <c r="I17" s="38">
        <f t="shared" si="1"/>
        <v>50388</v>
      </c>
      <c r="J17" s="49">
        <v>12</v>
      </c>
      <c r="K17" s="40">
        <v>8</v>
      </c>
      <c r="L17" s="41">
        <f t="shared" si="2"/>
        <v>400310</v>
      </c>
      <c r="M17" s="41">
        <f t="shared" si="3"/>
        <v>3202480</v>
      </c>
      <c r="N17" s="42">
        <f t="shared" si="5"/>
        <v>2799312</v>
      </c>
      <c r="O17" s="55"/>
      <c r="P17" s="44" t="s">
        <v>24</v>
      </c>
    </row>
    <row r="18" spans="1:16" ht="15.75" x14ac:dyDescent="0.25">
      <c r="A18" s="32">
        <f t="shared" si="4"/>
        <v>14</v>
      </c>
      <c r="B18" s="46" t="s">
        <v>61</v>
      </c>
      <c r="C18" s="47" t="s">
        <v>62</v>
      </c>
      <c r="D18" s="35" t="s">
        <v>63</v>
      </c>
      <c r="E18" s="36">
        <v>43211</v>
      </c>
      <c r="F18" s="48">
        <v>4199000</v>
      </c>
      <c r="G18" s="38">
        <f t="shared" si="0"/>
        <v>4803720</v>
      </c>
      <c r="H18" s="39">
        <f t="shared" si="6"/>
        <v>349922</v>
      </c>
      <c r="I18" s="38">
        <f t="shared" si="1"/>
        <v>50388</v>
      </c>
      <c r="J18" s="49">
        <v>12</v>
      </c>
      <c r="K18" s="40">
        <v>8</v>
      </c>
      <c r="L18" s="41">
        <f t="shared" si="2"/>
        <v>400310</v>
      </c>
      <c r="M18" s="41">
        <f t="shared" si="3"/>
        <v>3202480</v>
      </c>
      <c r="N18" s="42">
        <f t="shared" si="5"/>
        <v>2799312</v>
      </c>
      <c r="O18" s="55"/>
      <c r="P18" s="44" t="s">
        <v>24</v>
      </c>
    </row>
    <row r="19" spans="1:16" ht="15.75" x14ac:dyDescent="0.25">
      <c r="A19" s="32">
        <f t="shared" si="4"/>
        <v>15</v>
      </c>
      <c r="B19" s="46" t="s">
        <v>64</v>
      </c>
      <c r="C19" s="54" t="s">
        <v>65</v>
      </c>
      <c r="D19" s="35" t="s">
        <v>66</v>
      </c>
      <c r="E19" s="36">
        <v>43211</v>
      </c>
      <c r="F19" s="48">
        <v>4199000</v>
      </c>
      <c r="G19" s="38">
        <f t="shared" si="0"/>
        <v>4803720</v>
      </c>
      <c r="H19" s="39">
        <f t="shared" si="6"/>
        <v>349922</v>
      </c>
      <c r="I19" s="38">
        <f t="shared" si="1"/>
        <v>50388</v>
      </c>
      <c r="J19" s="49">
        <v>12</v>
      </c>
      <c r="K19" s="40">
        <v>8</v>
      </c>
      <c r="L19" s="41">
        <f t="shared" si="2"/>
        <v>400310</v>
      </c>
      <c r="M19" s="41">
        <f t="shared" si="3"/>
        <v>3202480</v>
      </c>
      <c r="N19" s="42">
        <f t="shared" si="5"/>
        <v>2799312</v>
      </c>
      <c r="O19" s="55"/>
      <c r="P19" s="44" t="s">
        <v>24</v>
      </c>
    </row>
    <row r="20" spans="1:16" ht="15.75" x14ac:dyDescent="0.25">
      <c r="A20" s="32">
        <f t="shared" si="4"/>
        <v>16</v>
      </c>
      <c r="B20" s="46" t="s">
        <v>67</v>
      </c>
      <c r="C20" s="54" t="s">
        <v>68</v>
      </c>
      <c r="D20" s="35" t="s">
        <v>69</v>
      </c>
      <c r="E20" s="36">
        <v>43211</v>
      </c>
      <c r="F20" s="48">
        <v>4199000</v>
      </c>
      <c r="G20" s="38">
        <f t="shared" si="0"/>
        <v>4803720</v>
      </c>
      <c r="H20" s="39">
        <f t="shared" si="6"/>
        <v>349922</v>
      </c>
      <c r="I20" s="38">
        <f t="shared" si="1"/>
        <v>50388</v>
      </c>
      <c r="J20" s="49">
        <v>12</v>
      </c>
      <c r="K20" s="40">
        <v>8</v>
      </c>
      <c r="L20" s="41">
        <f t="shared" si="2"/>
        <v>400310</v>
      </c>
      <c r="M20" s="41">
        <f t="shared" si="3"/>
        <v>3202480</v>
      </c>
      <c r="N20" s="42">
        <f t="shared" si="5"/>
        <v>2799312</v>
      </c>
      <c r="O20" s="55"/>
      <c r="P20" s="56" t="s">
        <v>50</v>
      </c>
    </row>
    <row r="21" spans="1:16" ht="15.75" x14ac:dyDescent="0.25">
      <c r="A21" s="32">
        <f t="shared" si="4"/>
        <v>17</v>
      </c>
      <c r="B21" s="46" t="s">
        <v>70</v>
      </c>
      <c r="C21" s="47" t="s">
        <v>71</v>
      </c>
      <c r="D21" s="35" t="s">
        <v>72</v>
      </c>
      <c r="E21" s="36">
        <v>43211</v>
      </c>
      <c r="F21" s="48">
        <v>2999000</v>
      </c>
      <c r="G21" s="38">
        <f t="shared" si="0"/>
        <v>3214980</v>
      </c>
      <c r="H21" s="39">
        <f>535830-I21</f>
        <v>499842</v>
      </c>
      <c r="I21" s="38">
        <f t="shared" si="1"/>
        <v>35988</v>
      </c>
      <c r="J21" s="49">
        <v>6</v>
      </c>
      <c r="K21" s="40">
        <v>2</v>
      </c>
      <c r="L21" s="41">
        <f t="shared" si="2"/>
        <v>535830</v>
      </c>
      <c r="M21" s="41">
        <f t="shared" si="3"/>
        <v>1071660</v>
      </c>
      <c r="N21" s="42">
        <f t="shared" si="5"/>
        <v>999632</v>
      </c>
      <c r="O21" s="55"/>
      <c r="P21" s="44" t="s">
        <v>73</v>
      </c>
    </row>
    <row r="22" spans="1:16" ht="15.75" x14ac:dyDescent="0.25">
      <c r="A22" s="32">
        <f t="shared" si="4"/>
        <v>18</v>
      </c>
      <c r="B22" s="46" t="s">
        <v>74</v>
      </c>
      <c r="C22" s="58">
        <v>55892</v>
      </c>
      <c r="D22" s="35" t="s">
        <v>75</v>
      </c>
      <c r="E22" s="36">
        <v>43211</v>
      </c>
      <c r="F22" s="48">
        <v>4199000</v>
      </c>
      <c r="G22" s="38">
        <f t="shared" si="0"/>
        <v>4803720</v>
      </c>
      <c r="H22" s="39">
        <f t="shared" ref="H22:H29" si="7">400310-I22</f>
        <v>349922</v>
      </c>
      <c r="I22" s="38">
        <f t="shared" si="1"/>
        <v>50388</v>
      </c>
      <c r="J22" s="53">
        <v>12</v>
      </c>
      <c r="K22" s="40">
        <v>8</v>
      </c>
      <c r="L22" s="41">
        <f t="shared" si="2"/>
        <v>400310</v>
      </c>
      <c r="M22" s="41">
        <f t="shared" si="3"/>
        <v>3202480</v>
      </c>
      <c r="N22" s="42">
        <f t="shared" si="5"/>
        <v>2799312</v>
      </c>
      <c r="O22" s="55"/>
      <c r="P22" s="56" t="s">
        <v>50</v>
      </c>
    </row>
    <row r="23" spans="1:16" ht="15.75" x14ac:dyDescent="0.25">
      <c r="A23" s="32">
        <f t="shared" si="4"/>
        <v>19</v>
      </c>
      <c r="B23" s="46" t="s">
        <v>76</v>
      </c>
      <c r="C23" s="58">
        <v>57157</v>
      </c>
      <c r="D23" s="35" t="s">
        <v>77</v>
      </c>
      <c r="E23" s="36">
        <v>43211</v>
      </c>
      <c r="F23" s="48">
        <v>4199000</v>
      </c>
      <c r="G23" s="59">
        <f t="shared" si="0"/>
        <v>4803720</v>
      </c>
      <c r="H23" s="39">
        <f t="shared" si="7"/>
        <v>349922</v>
      </c>
      <c r="I23" s="38">
        <f t="shared" si="1"/>
        <v>50388</v>
      </c>
      <c r="J23" s="49">
        <v>12</v>
      </c>
      <c r="K23" s="40">
        <v>8</v>
      </c>
      <c r="L23" s="41">
        <f t="shared" si="2"/>
        <v>400310</v>
      </c>
      <c r="M23" s="41">
        <f t="shared" si="3"/>
        <v>3202480</v>
      </c>
      <c r="N23" s="42">
        <f t="shared" si="5"/>
        <v>2799312</v>
      </c>
      <c r="O23" s="55"/>
      <c r="P23" s="56" t="s">
        <v>50</v>
      </c>
    </row>
    <row r="24" spans="1:16" ht="15.75" x14ac:dyDescent="0.25">
      <c r="A24" s="32">
        <f t="shared" si="4"/>
        <v>20</v>
      </c>
      <c r="B24" s="46" t="s">
        <v>78</v>
      </c>
      <c r="C24" s="58">
        <v>57159</v>
      </c>
      <c r="D24" s="35" t="s">
        <v>79</v>
      </c>
      <c r="E24" s="36">
        <v>43211</v>
      </c>
      <c r="F24" s="48">
        <v>4199000</v>
      </c>
      <c r="G24" s="59">
        <f t="shared" si="0"/>
        <v>4803720</v>
      </c>
      <c r="H24" s="39">
        <f t="shared" si="7"/>
        <v>349922</v>
      </c>
      <c r="I24" s="38">
        <f t="shared" si="1"/>
        <v>50388</v>
      </c>
      <c r="J24" s="49">
        <v>12</v>
      </c>
      <c r="K24" s="40">
        <v>8</v>
      </c>
      <c r="L24" s="41">
        <f t="shared" si="2"/>
        <v>400310</v>
      </c>
      <c r="M24" s="41">
        <f t="shared" si="3"/>
        <v>3202480</v>
      </c>
      <c r="N24" s="42">
        <f t="shared" si="5"/>
        <v>2799312</v>
      </c>
      <c r="O24" s="55"/>
      <c r="P24" s="56" t="s">
        <v>50</v>
      </c>
    </row>
    <row r="25" spans="1:16" ht="15.75" x14ac:dyDescent="0.25">
      <c r="A25" s="32">
        <f t="shared" si="4"/>
        <v>21</v>
      </c>
      <c r="B25" s="33" t="s">
        <v>80</v>
      </c>
      <c r="C25" s="34" t="s">
        <v>81</v>
      </c>
      <c r="D25" s="35" t="s">
        <v>82</v>
      </c>
      <c r="E25" s="36">
        <v>43211</v>
      </c>
      <c r="F25" s="37">
        <v>4199000</v>
      </c>
      <c r="G25" s="59">
        <f t="shared" si="0"/>
        <v>4803720</v>
      </c>
      <c r="H25" s="39">
        <f t="shared" si="7"/>
        <v>349922</v>
      </c>
      <c r="I25" s="38">
        <f t="shared" si="1"/>
        <v>50388</v>
      </c>
      <c r="J25" s="40">
        <v>12</v>
      </c>
      <c r="K25" s="40">
        <v>8</v>
      </c>
      <c r="L25" s="41">
        <f t="shared" si="2"/>
        <v>400310</v>
      </c>
      <c r="M25" s="41">
        <f t="shared" si="3"/>
        <v>3202480</v>
      </c>
      <c r="N25" s="42">
        <f t="shared" si="5"/>
        <v>2799312</v>
      </c>
      <c r="O25" s="55"/>
      <c r="P25" s="56" t="s">
        <v>50</v>
      </c>
    </row>
    <row r="26" spans="1:16" ht="15.75" x14ac:dyDescent="0.25">
      <c r="A26" s="32">
        <f t="shared" si="4"/>
        <v>22</v>
      </c>
      <c r="B26" s="33" t="s">
        <v>83</v>
      </c>
      <c r="C26" s="60" t="s">
        <v>84</v>
      </c>
      <c r="D26" s="35" t="s">
        <v>85</v>
      </c>
      <c r="E26" s="36">
        <v>43211</v>
      </c>
      <c r="F26" s="37">
        <v>4199000</v>
      </c>
      <c r="G26" s="59">
        <f t="shared" si="0"/>
        <v>4803720</v>
      </c>
      <c r="H26" s="39">
        <f t="shared" si="7"/>
        <v>349922</v>
      </c>
      <c r="I26" s="38">
        <f t="shared" si="1"/>
        <v>50388</v>
      </c>
      <c r="J26" s="61">
        <v>12</v>
      </c>
      <c r="K26" s="40">
        <v>8</v>
      </c>
      <c r="L26" s="41">
        <f t="shared" si="2"/>
        <v>400310</v>
      </c>
      <c r="M26" s="41">
        <f t="shared" si="3"/>
        <v>3202480</v>
      </c>
      <c r="N26" s="42">
        <f t="shared" si="5"/>
        <v>2799312</v>
      </c>
      <c r="O26" s="55"/>
      <c r="P26" s="56" t="s">
        <v>50</v>
      </c>
    </row>
    <row r="27" spans="1:16" ht="15.75" x14ac:dyDescent="0.25">
      <c r="A27" s="32">
        <f t="shared" si="4"/>
        <v>23</v>
      </c>
      <c r="B27" s="33" t="s">
        <v>86</v>
      </c>
      <c r="C27" s="34" t="s">
        <v>87</v>
      </c>
      <c r="D27" s="35" t="s">
        <v>88</v>
      </c>
      <c r="E27" s="36">
        <v>43211</v>
      </c>
      <c r="F27" s="37">
        <v>4199000</v>
      </c>
      <c r="G27" s="59">
        <f t="shared" si="0"/>
        <v>4803720</v>
      </c>
      <c r="H27" s="39">
        <f t="shared" si="7"/>
        <v>349922</v>
      </c>
      <c r="I27" s="38">
        <f t="shared" si="1"/>
        <v>50388</v>
      </c>
      <c r="J27" s="40">
        <v>12</v>
      </c>
      <c r="K27" s="40">
        <v>8</v>
      </c>
      <c r="L27" s="41">
        <f t="shared" si="2"/>
        <v>400310</v>
      </c>
      <c r="M27" s="41">
        <f t="shared" si="3"/>
        <v>3202480</v>
      </c>
      <c r="N27" s="42">
        <f t="shared" si="5"/>
        <v>2799312</v>
      </c>
      <c r="O27" s="55"/>
      <c r="P27" s="56" t="s">
        <v>50</v>
      </c>
    </row>
    <row r="28" spans="1:16" ht="15.75" x14ac:dyDescent="0.25">
      <c r="A28" s="32">
        <f t="shared" si="4"/>
        <v>24</v>
      </c>
      <c r="B28" s="62" t="s">
        <v>89</v>
      </c>
      <c r="C28" s="61" t="s">
        <v>90</v>
      </c>
      <c r="D28" s="35" t="s">
        <v>91</v>
      </c>
      <c r="E28" s="36">
        <v>43211</v>
      </c>
      <c r="F28" s="37">
        <v>4199000</v>
      </c>
      <c r="G28" s="59">
        <f t="shared" si="0"/>
        <v>4702880</v>
      </c>
      <c r="H28" s="39">
        <f>+F28/J28</f>
        <v>419900</v>
      </c>
      <c r="I28" s="38">
        <f t="shared" si="1"/>
        <v>50388</v>
      </c>
      <c r="J28" s="40">
        <v>10</v>
      </c>
      <c r="K28" s="40">
        <v>6</v>
      </c>
      <c r="L28" s="41">
        <f t="shared" si="2"/>
        <v>470288</v>
      </c>
      <c r="M28" s="41">
        <f t="shared" si="3"/>
        <v>2821728</v>
      </c>
      <c r="N28" s="41">
        <f>+H28*K28</f>
        <v>2519400</v>
      </c>
      <c r="O28" s="55"/>
      <c r="P28" s="52" t="s">
        <v>34</v>
      </c>
    </row>
    <row r="29" spans="1:16" ht="15.75" x14ac:dyDescent="0.25">
      <c r="A29" s="53">
        <f t="shared" si="4"/>
        <v>25</v>
      </c>
      <c r="B29" s="46" t="s">
        <v>92</v>
      </c>
      <c r="C29" s="47" t="s">
        <v>93</v>
      </c>
      <c r="D29" s="35" t="s">
        <v>94</v>
      </c>
      <c r="E29" s="36">
        <v>43211</v>
      </c>
      <c r="F29" s="48">
        <v>4199000</v>
      </c>
      <c r="G29" s="59">
        <f t="shared" si="0"/>
        <v>4803720</v>
      </c>
      <c r="H29" s="39">
        <f t="shared" si="7"/>
        <v>349922</v>
      </c>
      <c r="I29" s="38">
        <f t="shared" si="1"/>
        <v>50388</v>
      </c>
      <c r="J29" s="49">
        <v>12</v>
      </c>
      <c r="K29" s="40">
        <v>8</v>
      </c>
      <c r="L29" s="41">
        <f t="shared" si="2"/>
        <v>400310</v>
      </c>
      <c r="M29" s="41">
        <f t="shared" si="3"/>
        <v>3202480</v>
      </c>
      <c r="N29" s="42">
        <f t="shared" ref="N29:N37" si="8">F29-(H29*4)</f>
        <v>2799312</v>
      </c>
      <c r="O29" s="55"/>
      <c r="P29" s="56" t="s">
        <v>50</v>
      </c>
    </row>
    <row r="30" spans="1:16" ht="15.75" x14ac:dyDescent="0.25">
      <c r="A30" s="53">
        <f t="shared" si="4"/>
        <v>26</v>
      </c>
      <c r="B30" s="46" t="s">
        <v>95</v>
      </c>
      <c r="C30" s="47" t="s">
        <v>96</v>
      </c>
      <c r="D30" s="35" t="s">
        <v>97</v>
      </c>
      <c r="E30" s="36">
        <v>43211</v>
      </c>
      <c r="F30" s="48">
        <v>4199000</v>
      </c>
      <c r="G30" s="59">
        <f t="shared" si="0"/>
        <v>4803720</v>
      </c>
      <c r="H30" s="39">
        <f>400310-I30</f>
        <v>349922</v>
      </c>
      <c r="I30" s="38">
        <f t="shared" si="1"/>
        <v>50388</v>
      </c>
      <c r="J30" s="49">
        <v>12</v>
      </c>
      <c r="K30" s="40">
        <v>8</v>
      </c>
      <c r="L30" s="41">
        <f t="shared" si="2"/>
        <v>400310</v>
      </c>
      <c r="M30" s="41">
        <f t="shared" si="3"/>
        <v>3202480</v>
      </c>
      <c r="N30" s="42">
        <f t="shared" si="8"/>
        <v>2799312</v>
      </c>
      <c r="O30" s="55"/>
      <c r="P30" s="56" t="s">
        <v>50</v>
      </c>
    </row>
    <row r="31" spans="1:16" ht="15.75" x14ac:dyDescent="0.25">
      <c r="A31" s="32">
        <f t="shared" si="4"/>
        <v>27</v>
      </c>
      <c r="B31" s="46" t="s">
        <v>98</v>
      </c>
      <c r="C31" s="47" t="s">
        <v>99</v>
      </c>
      <c r="D31" s="35" t="s">
        <v>100</v>
      </c>
      <c r="E31" s="36">
        <v>43211</v>
      </c>
      <c r="F31" s="48">
        <v>4199000</v>
      </c>
      <c r="G31" s="59">
        <f t="shared" si="0"/>
        <v>4803720</v>
      </c>
      <c r="H31" s="39">
        <f>400310-I31</f>
        <v>349922</v>
      </c>
      <c r="I31" s="38">
        <f t="shared" si="1"/>
        <v>50388</v>
      </c>
      <c r="J31" s="49">
        <v>12</v>
      </c>
      <c r="K31" s="40">
        <v>8</v>
      </c>
      <c r="L31" s="41">
        <f t="shared" si="2"/>
        <v>400310</v>
      </c>
      <c r="M31" s="41">
        <f t="shared" si="3"/>
        <v>3202480</v>
      </c>
      <c r="N31" s="42">
        <f t="shared" si="8"/>
        <v>2799312</v>
      </c>
      <c r="O31" s="55"/>
      <c r="P31" s="56" t="s">
        <v>50</v>
      </c>
    </row>
    <row r="32" spans="1:16" ht="15.75" x14ac:dyDescent="0.25">
      <c r="A32" s="53">
        <f t="shared" si="4"/>
        <v>28</v>
      </c>
      <c r="B32" s="33" t="s">
        <v>101</v>
      </c>
      <c r="C32" s="63" t="s">
        <v>102</v>
      </c>
      <c r="D32" s="35" t="s">
        <v>103</v>
      </c>
      <c r="E32" s="36">
        <v>43211</v>
      </c>
      <c r="F32" s="37">
        <v>4199000</v>
      </c>
      <c r="G32" s="59">
        <f t="shared" si="0"/>
        <v>4803720</v>
      </c>
      <c r="H32" s="39">
        <f>400310-I32</f>
        <v>349922</v>
      </c>
      <c r="I32" s="38">
        <f t="shared" si="1"/>
        <v>50388</v>
      </c>
      <c r="J32" s="40">
        <v>12</v>
      </c>
      <c r="K32" s="40">
        <v>8</v>
      </c>
      <c r="L32" s="41">
        <f t="shared" si="2"/>
        <v>400310</v>
      </c>
      <c r="M32" s="41">
        <f t="shared" si="3"/>
        <v>3202480</v>
      </c>
      <c r="N32" s="42">
        <f t="shared" si="8"/>
        <v>2799312</v>
      </c>
      <c r="O32" s="55"/>
      <c r="P32" s="56" t="s">
        <v>50</v>
      </c>
    </row>
    <row r="33" spans="1:16" ht="15.75" x14ac:dyDescent="0.25">
      <c r="A33" s="32">
        <f t="shared" si="4"/>
        <v>29</v>
      </c>
      <c r="B33" s="33" t="s">
        <v>104</v>
      </c>
      <c r="C33" s="63" t="s">
        <v>105</v>
      </c>
      <c r="D33" s="35" t="s">
        <v>106</v>
      </c>
      <c r="E33" s="36">
        <v>43211</v>
      </c>
      <c r="F33" s="37">
        <v>4199000</v>
      </c>
      <c r="G33" s="59">
        <f t="shared" si="0"/>
        <v>4803720</v>
      </c>
      <c r="H33" s="39">
        <f>400310-I33</f>
        <v>349922</v>
      </c>
      <c r="I33" s="38">
        <f t="shared" si="1"/>
        <v>50388</v>
      </c>
      <c r="J33" s="40">
        <v>12</v>
      </c>
      <c r="K33" s="40">
        <v>8</v>
      </c>
      <c r="L33" s="41">
        <f t="shared" si="2"/>
        <v>400310</v>
      </c>
      <c r="M33" s="41">
        <f t="shared" si="3"/>
        <v>3202480</v>
      </c>
      <c r="N33" s="42">
        <f t="shared" si="8"/>
        <v>2799312</v>
      </c>
      <c r="O33" s="55"/>
      <c r="P33" s="56" t="s">
        <v>50</v>
      </c>
    </row>
    <row r="34" spans="1:16" ht="15.75" x14ac:dyDescent="0.25">
      <c r="A34" s="32">
        <f t="shared" si="4"/>
        <v>30</v>
      </c>
      <c r="B34" s="33" t="s">
        <v>107</v>
      </c>
      <c r="C34" s="51">
        <v>930366</v>
      </c>
      <c r="D34" s="35" t="s">
        <v>108</v>
      </c>
      <c r="E34" s="36">
        <v>43211</v>
      </c>
      <c r="F34" s="37">
        <v>4199000</v>
      </c>
      <c r="G34" s="59">
        <f t="shared" si="0"/>
        <v>4803720</v>
      </c>
      <c r="H34" s="39">
        <f>400310-I34</f>
        <v>349922</v>
      </c>
      <c r="I34" s="38">
        <f t="shared" si="1"/>
        <v>50388</v>
      </c>
      <c r="J34" s="40">
        <v>12</v>
      </c>
      <c r="K34" s="40">
        <v>8</v>
      </c>
      <c r="L34" s="41">
        <f t="shared" si="2"/>
        <v>400310</v>
      </c>
      <c r="M34" s="41">
        <f t="shared" si="3"/>
        <v>3202480</v>
      </c>
      <c r="N34" s="42">
        <f t="shared" si="8"/>
        <v>2799312</v>
      </c>
      <c r="O34" s="55"/>
      <c r="P34" s="56" t="s">
        <v>50</v>
      </c>
    </row>
    <row r="35" spans="1:16" ht="15.75" x14ac:dyDescent="0.25">
      <c r="A35" s="32">
        <f t="shared" si="4"/>
        <v>31</v>
      </c>
      <c r="B35" s="64" t="s">
        <v>109</v>
      </c>
      <c r="C35" s="65" t="s">
        <v>110</v>
      </c>
      <c r="D35" s="65"/>
      <c r="E35" s="36">
        <v>43211</v>
      </c>
      <c r="F35" s="66">
        <f>2999000</f>
        <v>2999000</v>
      </c>
      <c r="G35" s="38">
        <f t="shared" si="0"/>
        <v>3430920</v>
      </c>
      <c r="H35" s="39">
        <f>285910-I35</f>
        <v>249922</v>
      </c>
      <c r="I35" s="38">
        <f t="shared" si="1"/>
        <v>35988</v>
      </c>
      <c r="J35" s="67">
        <v>12</v>
      </c>
      <c r="K35" s="40">
        <v>8</v>
      </c>
      <c r="L35" s="41">
        <f t="shared" si="2"/>
        <v>285910</v>
      </c>
      <c r="M35" s="41">
        <f t="shared" si="3"/>
        <v>2287280</v>
      </c>
      <c r="N35" s="68">
        <f t="shared" si="8"/>
        <v>1999312</v>
      </c>
      <c r="O35" s="43"/>
      <c r="P35" s="69" t="s">
        <v>111</v>
      </c>
    </row>
    <row r="36" spans="1:16" ht="15.75" x14ac:dyDescent="0.25">
      <c r="A36" s="32">
        <f t="shared" si="4"/>
        <v>32</v>
      </c>
      <c r="B36" s="70" t="s">
        <v>112</v>
      </c>
      <c r="C36" s="65" t="s">
        <v>113</v>
      </c>
      <c r="D36" s="65"/>
      <c r="E36" s="36">
        <v>43211</v>
      </c>
      <c r="F36" s="66">
        <v>1999000</v>
      </c>
      <c r="G36" s="38">
        <f t="shared" si="0"/>
        <v>2287200</v>
      </c>
      <c r="H36" s="39">
        <f>190600-I36</f>
        <v>166612</v>
      </c>
      <c r="I36" s="38">
        <f t="shared" si="1"/>
        <v>23988</v>
      </c>
      <c r="J36" s="67">
        <v>12</v>
      </c>
      <c r="K36" s="40">
        <v>8</v>
      </c>
      <c r="L36" s="41">
        <f t="shared" si="2"/>
        <v>190600</v>
      </c>
      <c r="M36" s="41">
        <f t="shared" si="3"/>
        <v>1524800</v>
      </c>
      <c r="N36" s="68">
        <f t="shared" si="8"/>
        <v>1332552</v>
      </c>
      <c r="O36" s="43"/>
      <c r="P36" s="69" t="s">
        <v>114</v>
      </c>
    </row>
    <row r="37" spans="1:16" ht="15.75" x14ac:dyDescent="0.25">
      <c r="A37" s="32">
        <f t="shared" si="4"/>
        <v>33</v>
      </c>
      <c r="B37" s="70" t="s">
        <v>115</v>
      </c>
      <c r="C37" s="65" t="s">
        <v>116</v>
      </c>
      <c r="D37" s="65"/>
      <c r="E37" s="36">
        <v>43211</v>
      </c>
      <c r="F37" s="66">
        <v>2999000</v>
      </c>
      <c r="G37" s="38">
        <f t="shared" si="0"/>
        <v>3430920</v>
      </c>
      <c r="H37" s="39">
        <f>285910-I37</f>
        <v>249922</v>
      </c>
      <c r="I37" s="38">
        <f t="shared" si="1"/>
        <v>35988</v>
      </c>
      <c r="J37" s="67">
        <v>12</v>
      </c>
      <c r="K37" s="40">
        <v>8</v>
      </c>
      <c r="L37" s="41">
        <f t="shared" si="2"/>
        <v>285910</v>
      </c>
      <c r="M37" s="41">
        <f t="shared" si="3"/>
        <v>2287280</v>
      </c>
      <c r="N37" s="68">
        <f t="shared" si="8"/>
        <v>1999312</v>
      </c>
      <c r="O37" s="43"/>
      <c r="P37" s="69" t="s">
        <v>111</v>
      </c>
    </row>
    <row r="38" spans="1:16" ht="15.75" x14ac:dyDescent="0.25">
      <c r="A38" s="32">
        <f t="shared" si="4"/>
        <v>34</v>
      </c>
      <c r="B38" s="70" t="s">
        <v>117</v>
      </c>
      <c r="C38" s="65" t="s">
        <v>118</v>
      </c>
      <c r="D38" s="65"/>
      <c r="E38" s="36">
        <v>43211</v>
      </c>
      <c r="F38" s="66">
        <v>8398000</v>
      </c>
      <c r="G38" s="38">
        <f t="shared" si="0"/>
        <v>9405760</v>
      </c>
      <c r="H38" s="39">
        <f>+F38/J38</f>
        <v>839800</v>
      </c>
      <c r="I38" s="38">
        <f t="shared" si="1"/>
        <v>100776</v>
      </c>
      <c r="J38" s="67">
        <v>10</v>
      </c>
      <c r="K38" s="40">
        <v>6</v>
      </c>
      <c r="L38" s="41">
        <f t="shared" si="2"/>
        <v>940576</v>
      </c>
      <c r="M38" s="41">
        <f t="shared" si="3"/>
        <v>5643456</v>
      </c>
      <c r="N38" s="41">
        <f>+H38*K38</f>
        <v>5038800</v>
      </c>
      <c r="O38" s="43"/>
      <c r="P38" s="69" t="s">
        <v>119</v>
      </c>
    </row>
    <row r="39" spans="1:16" ht="15.75" x14ac:dyDescent="0.25">
      <c r="A39" s="32">
        <f t="shared" si="4"/>
        <v>35</v>
      </c>
      <c r="B39" s="70" t="s">
        <v>120</v>
      </c>
      <c r="C39" s="65" t="s">
        <v>121</v>
      </c>
      <c r="D39" s="65"/>
      <c r="E39" s="36">
        <v>43211</v>
      </c>
      <c r="F39" s="66">
        <v>4199000</v>
      </c>
      <c r="G39" s="38">
        <f t="shared" si="0"/>
        <v>4803720</v>
      </c>
      <c r="H39" s="39">
        <f>400310-I39</f>
        <v>349922</v>
      </c>
      <c r="I39" s="38">
        <f t="shared" si="1"/>
        <v>50388</v>
      </c>
      <c r="J39" s="67">
        <v>12</v>
      </c>
      <c r="K39" s="40">
        <v>8</v>
      </c>
      <c r="L39" s="41">
        <f t="shared" si="2"/>
        <v>400310</v>
      </c>
      <c r="M39" s="41">
        <f t="shared" si="3"/>
        <v>3202480</v>
      </c>
      <c r="N39" s="68">
        <f>F39-(H39*4)</f>
        <v>2799312</v>
      </c>
      <c r="O39" s="43"/>
      <c r="P39" s="69" t="s">
        <v>50</v>
      </c>
    </row>
    <row r="40" spans="1:16" ht="15.75" x14ac:dyDescent="0.25">
      <c r="A40" s="32">
        <f t="shared" si="4"/>
        <v>36</v>
      </c>
      <c r="B40" s="70" t="s">
        <v>122</v>
      </c>
      <c r="C40" s="65" t="s">
        <v>123</v>
      </c>
      <c r="D40" s="65"/>
      <c r="E40" s="36">
        <v>43211</v>
      </c>
      <c r="F40" s="66">
        <v>2999000</v>
      </c>
      <c r="G40" s="38">
        <f t="shared" si="0"/>
        <v>3430920</v>
      </c>
      <c r="H40" s="39">
        <f>285910-I40</f>
        <v>249922</v>
      </c>
      <c r="I40" s="38">
        <f t="shared" si="1"/>
        <v>35988</v>
      </c>
      <c r="J40" s="67">
        <v>12</v>
      </c>
      <c r="K40" s="40">
        <v>8</v>
      </c>
      <c r="L40" s="41">
        <f t="shared" si="2"/>
        <v>285910</v>
      </c>
      <c r="M40" s="41">
        <f t="shared" si="3"/>
        <v>2287280</v>
      </c>
      <c r="N40" s="68">
        <f>F40-(H40*4)</f>
        <v>1999312</v>
      </c>
      <c r="O40" s="43"/>
      <c r="P40" s="69" t="s">
        <v>124</v>
      </c>
    </row>
    <row r="41" spans="1:16" ht="15.75" x14ac:dyDescent="0.25">
      <c r="A41" s="32">
        <f t="shared" si="4"/>
        <v>37</v>
      </c>
      <c r="B41" s="70" t="s">
        <v>125</v>
      </c>
      <c r="C41" s="65" t="s">
        <v>126</v>
      </c>
      <c r="D41" s="65"/>
      <c r="E41" s="36">
        <v>43211</v>
      </c>
      <c r="F41" s="59">
        <v>4199000</v>
      </c>
      <c r="G41" s="38">
        <f t="shared" si="0"/>
        <v>4803720</v>
      </c>
      <c r="H41" s="39">
        <f>400310-I41</f>
        <v>349922</v>
      </c>
      <c r="I41" s="71">
        <f t="shared" si="1"/>
        <v>50388</v>
      </c>
      <c r="J41" s="67">
        <v>12</v>
      </c>
      <c r="K41" s="40">
        <v>8</v>
      </c>
      <c r="L41" s="41">
        <f t="shared" si="2"/>
        <v>400310</v>
      </c>
      <c r="M41" s="41">
        <f t="shared" si="3"/>
        <v>3202480</v>
      </c>
      <c r="N41" s="68">
        <f>F41-(H41*4)</f>
        <v>2799312</v>
      </c>
      <c r="O41" s="55"/>
      <c r="P41" s="72" t="s">
        <v>50</v>
      </c>
    </row>
    <row r="42" spans="1:16" ht="15.75" x14ac:dyDescent="0.25">
      <c r="A42" s="32">
        <f t="shared" si="4"/>
        <v>38</v>
      </c>
      <c r="B42" s="70" t="s">
        <v>127</v>
      </c>
      <c r="C42" s="65" t="s">
        <v>128</v>
      </c>
      <c r="D42" s="65"/>
      <c r="E42" s="36">
        <v>43211</v>
      </c>
      <c r="F42" s="59">
        <v>4199000</v>
      </c>
      <c r="G42" s="38">
        <f t="shared" si="0"/>
        <v>4803720</v>
      </c>
      <c r="H42" s="39">
        <f>400310-I42</f>
        <v>349922</v>
      </c>
      <c r="I42" s="71">
        <f t="shared" si="1"/>
        <v>50388</v>
      </c>
      <c r="J42" s="67">
        <v>12</v>
      </c>
      <c r="K42" s="40">
        <v>8</v>
      </c>
      <c r="L42" s="41">
        <f t="shared" si="2"/>
        <v>400310</v>
      </c>
      <c r="M42" s="41">
        <f t="shared" si="3"/>
        <v>3202480</v>
      </c>
      <c r="N42" s="68">
        <f>F42-(H42*4)</f>
        <v>2799312</v>
      </c>
      <c r="O42" s="55"/>
      <c r="P42" s="72" t="s">
        <v>50</v>
      </c>
    </row>
    <row r="43" spans="1:16" ht="15.75" x14ac:dyDescent="0.25">
      <c r="A43" s="32">
        <f t="shared" si="4"/>
        <v>39</v>
      </c>
      <c r="B43" s="70" t="s">
        <v>129</v>
      </c>
      <c r="C43" s="65" t="s">
        <v>130</v>
      </c>
      <c r="D43" s="65"/>
      <c r="E43" s="36">
        <v>43211</v>
      </c>
      <c r="F43" s="59">
        <v>4199000</v>
      </c>
      <c r="G43" s="38">
        <f t="shared" si="0"/>
        <v>4803720</v>
      </c>
      <c r="H43" s="39">
        <f>400310-I43</f>
        <v>349922</v>
      </c>
      <c r="I43" s="71">
        <f t="shared" si="1"/>
        <v>50388</v>
      </c>
      <c r="J43" s="67">
        <v>12</v>
      </c>
      <c r="K43" s="40">
        <v>9</v>
      </c>
      <c r="L43" s="41">
        <f t="shared" si="2"/>
        <v>400310</v>
      </c>
      <c r="M43" s="41">
        <f t="shared" si="3"/>
        <v>3602790</v>
      </c>
      <c r="N43" s="68">
        <f>F43-(H43*3)</f>
        <v>3149234</v>
      </c>
      <c r="O43" s="55"/>
      <c r="P43" s="72" t="s">
        <v>50</v>
      </c>
    </row>
    <row r="44" spans="1:16" ht="15.75" x14ac:dyDescent="0.25">
      <c r="A44" s="32">
        <f t="shared" si="4"/>
        <v>40</v>
      </c>
      <c r="B44" s="70" t="s">
        <v>131</v>
      </c>
      <c r="C44" s="65" t="s">
        <v>132</v>
      </c>
      <c r="D44" s="65"/>
      <c r="E44" s="36">
        <v>43211</v>
      </c>
      <c r="F44" s="59">
        <v>5499000</v>
      </c>
      <c r="G44" s="38">
        <f t="shared" si="0"/>
        <v>6290856</v>
      </c>
      <c r="H44" s="39">
        <f>+F44/J44</f>
        <v>458250</v>
      </c>
      <c r="I44" s="71">
        <f t="shared" si="1"/>
        <v>65988</v>
      </c>
      <c r="J44" s="67">
        <v>12</v>
      </c>
      <c r="K44" s="40">
        <v>8</v>
      </c>
      <c r="L44" s="41">
        <f t="shared" si="2"/>
        <v>524238</v>
      </c>
      <c r="M44" s="41">
        <f t="shared" si="3"/>
        <v>4193904</v>
      </c>
      <c r="N44" s="41">
        <f>+H44*K44</f>
        <v>3666000</v>
      </c>
      <c r="O44" s="55"/>
      <c r="P44" s="72" t="s">
        <v>133</v>
      </c>
    </row>
    <row r="45" spans="1:16" ht="15.75" x14ac:dyDescent="0.25">
      <c r="A45" s="32">
        <f t="shared" si="4"/>
        <v>41</v>
      </c>
      <c r="B45" s="70" t="s">
        <v>134</v>
      </c>
      <c r="C45" s="65" t="s">
        <v>135</v>
      </c>
      <c r="D45" s="65"/>
      <c r="E45" s="36">
        <v>43211</v>
      </c>
      <c r="F45" s="59">
        <f>1250000</f>
        <v>1250000</v>
      </c>
      <c r="G45" s="59">
        <f t="shared" si="0"/>
        <v>1430400</v>
      </c>
      <c r="H45" s="73">
        <v>104200</v>
      </c>
      <c r="I45" s="71">
        <f t="shared" si="1"/>
        <v>15000</v>
      </c>
      <c r="J45" s="67">
        <v>12</v>
      </c>
      <c r="K45" s="40">
        <v>8</v>
      </c>
      <c r="L45" s="41">
        <f t="shared" si="2"/>
        <v>119200</v>
      </c>
      <c r="M45" s="41">
        <f t="shared" si="3"/>
        <v>953600</v>
      </c>
      <c r="N45" s="68">
        <f>F45-(H45*4)</f>
        <v>833200</v>
      </c>
      <c r="O45" s="55"/>
      <c r="P45" s="72" t="s">
        <v>136</v>
      </c>
    </row>
    <row r="46" spans="1:16" ht="15.75" x14ac:dyDescent="0.25">
      <c r="A46" s="32">
        <f t="shared" si="4"/>
        <v>42</v>
      </c>
      <c r="B46" s="70" t="s">
        <v>137</v>
      </c>
      <c r="C46" s="65" t="s">
        <v>138</v>
      </c>
      <c r="D46" s="65"/>
      <c r="E46" s="36">
        <v>43211</v>
      </c>
      <c r="F46" s="59">
        <f>770000</f>
        <v>770000</v>
      </c>
      <c r="G46" s="38">
        <f t="shared" si="0"/>
        <v>862400</v>
      </c>
      <c r="H46" s="39">
        <f t="shared" ref="H46:H68" si="9">+F46/J46</f>
        <v>77000</v>
      </c>
      <c r="I46" s="38">
        <f t="shared" si="1"/>
        <v>9240</v>
      </c>
      <c r="J46" s="67">
        <v>10</v>
      </c>
      <c r="K46" s="40">
        <v>6</v>
      </c>
      <c r="L46" s="41">
        <f t="shared" si="2"/>
        <v>86240</v>
      </c>
      <c r="M46" s="41">
        <f t="shared" si="3"/>
        <v>517440</v>
      </c>
      <c r="N46" s="41">
        <f t="shared" ref="N46:N68" si="10">+H46*K46</f>
        <v>462000</v>
      </c>
      <c r="O46" s="55"/>
      <c r="P46" s="72" t="s">
        <v>139</v>
      </c>
    </row>
    <row r="47" spans="1:16" ht="15.75" x14ac:dyDescent="0.25">
      <c r="A47" s="32">
        <f t="shared" si="4"/>
        <v>43</v>
      </c>
      <c r="B47" s="70" t="s">
        <v>140</v>
      </c>
      <c r="C47" s="65" t="s">
        <v>141</v>
      </c>
      <c r="D47" s="65"/>
      <c r="E47" s="36">
        <v>43211</v>
      </c>
      <c r="F47" s="59">
        <v>440000</v>
      </c>
      <c r="G47" s="38">
        <f t="shared" si="0"/>
        <v>492800</v>
      </c>
      <c r="H47" s="39">
        <f t="shared" si="9"/>
        <v>44000</v>
      </c>
      <c r="I47" s="38">
        <f t="shared" si="1"/>
        <v>5280</v>
      </c>
      <c r="J47" s="67">
        <v>10</v>
      </c>
      <c r="K47" s="40">
        <v>6</v>
      </c>
      <c r="L47" s="41">
        <f t="shared" si="2"/>
        <v>49280</v>
      </c>
      <c r="M47" s="41">
        <f t="shared" si="3"/>
        <v>295680</v>
      </c>
      <c r="N47" s="41">
        <f t="shared" si="10"/>
        <v>264000</v>
      </c>
      <c r="O47" s="55"/>
      <c r="P47" s="72" t="s">
        <v>142</v>
      </c>
    </row>
    <row r="48" spans="1:16" ht="15.75" x14ac:dyDescent="0.25">
      <c r="A48" s="32">
        <f t="shared" si="4"/>
        <v>44</v>
      </c>
      <c r="B48" s="70" t="s">
        <v>140</v>
      </c>
      <c r="C48" s="65" t="s">
        <v>141</v>
      </c>
      <c r="D48" s="65"/>
      <c r="E48" s="36">
        <v>43211</v>
      </c>
      <c r="F48" s="59">
        <v>1595000</v>
      </c>
      <c r="G48" s="38">
        <f t="shared" si="0"/>
        <v>1786400</v>
      </c>
      <c r="H48" s="39">
        <f t="shared" si="9"/>
        <v>159500</v>
      </c>
      <c r="I48" s="38">
        <f t="shared" si="1"/>
        <v>19140</v>
      </c>
      <c r="J48" s="67">
        <v>10</v>
      </c>
      <c r="K48" s="40">
        <v>6</v>
      </c>
      <c r="L48" s="41">
        <f t="shared" si="2"/>
        <v>178640</v>
      </c>
      <c r="M48" s="41">
        <f t="shared" si="3"/>
        <v>1071840</v>
      </c>
      <c r="N48" s="41">
        <f t="shared" si="10"/>
        <v>957000</v>
      </c>
      <c r="O48" s="55"/>
      <c r="P48" s="72" t="s">
        <v>143</v>
      </c>
    </row>
    <row r="49" spans="1:16" ht="15.75" x14ac:dyDescent="0.25">
      <c r="A49" s="32">
        <f t="shared" si="4"/>
        <v>45</v>
      </c>
      <c r="B49" s="70" t="s">
        <v>109</v>
      </c>
      <c r="C49" s="65" t="s">
        <v>110</v>
      </c>
      <c r="D49" s="65"/>
      <c r="E49" s="36">
        <v>43211</v>
      </c>
      <c r="F49" s="59">
        <v>385000</v>
      </c>
      <c r="G49" s="38">
        <f t="shared" si="0"/>
        <v>431200</v>
      </c>
      <c r="H49" s="39">
        <f t="shared" si="9"/>
        <v>38500</v>
      </c>
      <c r="I49" s="38">
        <f t="shared" si="1"/>
        <v>4620</v>
      </c>
      <c r="J49" s="67">
        <v>10</v>
      </c>
      <c r="K49" s="40">
        <v>6</v>
      </c>
      <c r="L49" s="41">
        <f t="shared" si="2"/>
        <v>43120</v>
      </c>
      <c r="M49" s="41">
        <f t="shared" si="3"/>
        <v>258720</v>
      </c>
      <c r="N49" s="41">
        <f t="shared" si="10"/>
        <v>231000</v>
      </c>
      <c r="O49" s="55"/>
      <c r="P49" s="72" t="s">
        <v>144</v>
      </c>
    </row>
    <row r="50" spans="1:16" ht="15.75" x14ac:dyDescent="0.25">
      <c r="A50" s="32">
        <f t="shared" si="4"/>
        <v>46</v>
      </c>
      <c r="B50" s="70" t="s">
        <v>145</v>
      </c>
      <c r="C50" s="65" t="s">
        <v>146</v>
      </c>
      <c r="D50" s="65"/>
      <c r="E50" s="36">
        <v>43211</v>
      </c>
      <c r="F50" s="59">
        <v>1595000</v>
      </c>
      <c r="G50" s="38">
        <f t="shared" si="0"/>
        <v>1786400</v>
      </c>
      <c r="H50" s="39">
        <f t="shared" si="9"/>
        <v>159500</v>
      </c>
      <c r="I50" s="38">
        <f t="shared" si="1"/>
        <v>19140</v>
      </c>
      <c r="J50" s="67">
        <v>10</v>
      </c>
      <c r="K50" s="40">
        <v>6</v>
      </c>
      <c r="L50" s="41">
        <f t="shared" si="2"/>
        <v>178640</v>
      </c>
      <c r="M50" s="41">
        <f t="shared" si="3"/>
        <v>1071840</v>
      </c>
      <c r="N50" s="41">
        <f t="shared" si="10"/>
        <v>957000</v>
      </c>
      <c r="O50" s="55"/>
      <c r="P50" s="72" t="s">
        <v>143</v>
      </c>
    </row>
    <row r="51" spans="1:16" ht="15.75" x14ac:dyDescent="0.25">
      <c r="A51" s="32">
        <f t="shared" si="4"/>
        <v>47</v>
      </c>
      <c r="B51" s="70" t="s">
        <v>147</v>
      </c>
      <c r="C51" s="65" t="s">
        <v>148</v>
      </c>
      <c r="D51" s="65"/>
      <c r="E51" s="36">
        <v>43211</v>
      </c>
      <c r="F51" s="59">
        <v>1595000</v>
      </c>
      <c r="G51" s="38">
        <f t="shared" si="0"/>
        <v>1786400</v>
      </c>
      <c r="H51" s="39">
        <f t="shared" si="9"/>
        <v>159500</v>
      </c>
      <c r="I51" s="38">
        <f t="shared" si="1"/>
        <v>19140</v>
      </c>
      <c r="J51" s="67">
        <v>10</v>
      </c>
      <c r="K51" s="40">
        <v>6</v>
      </c>
      <c r="L51" s="41">
        <f t="shared" si="2"/>
        <v>178640</v>
      </c>
      <c r="M51" s="41">
        <f t="shared" si="3"/>
        <v>1071840</v>
      </c>
      <c r="N51" s="41">
        <f t="shared" si="10"/>
        <v>957000</v>
      </c>
      <c r="O51" s="55"/>
      <c r="P51" s="72" t="s">
        <v>143</v>
      </c>
    </row>
    <row r="52" spans="1:16" ht="15.75" x14ac:dyDescent="0.25">
      <c r="A52" s="32">
        <f t="shared" si="4"/>
        <v>48</v>
      </c>
      <c r="B52" s="70" t="s">
        <v>149</v>
      </c>
      <c r="C52" s="65" t="s">
        <v>150</v>
      </c>
      <c r="D52" s="65"/>
      <c r="E52" s="36">
        <v>43211</v>
      </c>
      <c r="F52" s="59">
        <v>825000</v>
      </c>
      <c r="G52" s="38">
        <f t="shared" si="0"/>
        <v>924000</v>
      </c>
      <c r="H52" s="39">
        <f t="shared" si="9"/>
        <v>82500</v>
      </c>
      <c r="I52" s="38">
        <f t="shared" si="1"/>
        <v>9900</v>
      </c>
      <c r="J52" s="67">
        <v>10</v>
      </c>
      <c r="K52" s="40">
        <v>6</v>
      </c>
      <c r="L52" s="41">
        <f t="shared" si="2"/>
        <v>92400</v>
      </c>
      <c r="M52" s="41">
        <f t="shared" si="3"/>
        <v>554400</v>
      </c>
      <c r="N52" s="41">
        <f t="shared" si="10"/>
        <v>495000</v>
      </c>
      <c r="O52" s="55"/>
      <c r="P52" s="72" t="s">
        <v>151</v>
      </c>
    </row>
    <row r="53" spans="1:16" ht="15.75" x14ac:dyDescent="0.25">
      <c r="A53" s="32">
        <f t="shared" si="4"/>
        <v>49</v>
      </c>
      <c r="B53" s="70" t="s">
        <v>152</v>
      </c>
      <c r="C53" s="65" t="s">
        <v>153</v>
      </c>
      <c r="D53" s="65" t="s">
        <v>154</v>
      </c>
      <c r="E53" s="36">
        <v>43211</v>
      </c>
      <c r="F53" s="59">
        <f>1100000</f>
        <v>1100000</v>
      </c>
      <c r="G53" s="59">
        <f t="shared" si="0"/>
        <v>1232000</v>
      </c>
      <c r="H53" s="39">
        <f t="shared" si="9"/>
        <v>110000</v>
      </c>
      <c r="I53" s="71">
        <f t="shared" si="1"/>
        <v>13200</v>
      </c>
      <c r="J53" s="67">
        <v>10</v>
      </c>
      <c r="K53" s="40">
        <v>6</v>
      </c>
      <c r="L53" s="41">
        <f t="shared" si="2"/>
        <v>123200</v>
      </c>
      <c r="M53" s="41">
        <f t="shared" si="3"/>
        <v>739200</v>
      </c>
      <c r="N53" s="41">
        <f t="shared" si="10"/>
        <v>660000</v>
      </c>
      <c r="O53" s="55" t="s">
        <v>155</v>
      </c>
      <c r="P53" s="72" t="s">
        <v>156</v>
      </c>
    </row>
    <row r="54" spans="1:16" ht="15.75" x14ac:dyDescent="0.25">
      <c r="A54" s="32">
        <f t="shared" si="4"/>
        <v>50</v>
      </c>
      <c r="B54" s="70" t="s">
        <v>157</v>
      </c>
      <c r="C54" s="65" t="s">
        <v>158</v>
      </c>
      <c r="D54" s="65" t="s">
        <v>159</v>
      </c>
      <c r="E54" s="36">
        <v>43211</v>
      </c>
      <c r="F54" s="59">
        <f>1100000</f>
        <v>1100000</v>
      </c>
      <c r="G54" s="59">
        <f t="shared" si="0"/>
        <v>1232000</v>
      </c>
      <c r="H54" s="39">
        <f t="shared" si="9"/>
        <v>110000</v>
      </c>
      <c r="I54" s="71">
        <f t="shared" si="1"/>
        <v>13200</v>
      </c>
      <c r="J54" s="67">
        <v>10</v>
      </c>
      <c r="K54" s="40">
        <v>6</v>
      </c>
      <c r="L54" s="41">
        <f t="shared" si="2"/>
        <v>123200</v>
      </c>
      <c r="M54" s="41">
        <f t="shared" si="3"/>
        <v>739200</v>
      </c>
      <c r="N54" s="41">
        <f t="shared" si="10"/>
        <v>660000</v>
      </c>
      <c r="O54" s="55" t="s">
        <v>160</v>
      </c>
      <c r="P54" s="72" t="s">
        <v>156</v>
      </c>
    </row>
    <row r="55" spans="1:16" ht="15.75" x14ac:dyDescent="0.25">
      <c r="A55" s="32">
        <f t="shared" si="4"/>
        <v>51</v>
      </c>
      <c r="B55" s="70" t="s">
        <v>161</v>
      </c>
      <c r="C55" s="65" t="s">
        <v>162</v>
      </c>
      <c r="D55" s="65" t="s">
        <v>163</v>
      </c>
      <c r="E55" s="36">
        <v>43211</v>
      </c>
      <c r="F55" s="59">
        <f>385000</f>
        <v>385000</v>
      </c>
      <c r="G55" s="59">
        <f t="shared" si="0"/>
        <v>431200</v>
      </c>
      <c r="H55" s="39">
        <f t="shared" si="9"/>
        <v>38500</v>
      </c>
      <c r="I55" s="71">
        <f t="shared" si="1"/>
        <v>4620</v>
      </c>
      <c r="J55" s="67">
        <v>10</v>
      </c>
      <c r="K55" s="40">
        <v>6</v>
      </c>
      <c r="L55" s="41">
        <f t="shared" si="2"/>
        <v>43120</v>
      </c>
      <c r="M55" s="41">
        <f t="shared" si="3"/>
        <v>258720</v>
      </c>
      <c r="N55" s="41">
        <f t="shared" si="10"/>
        <v>231000</v>
      </c>
      <c r="O55" s="55" t="s">
        <v>164</v>
      </c>
      <c r="P55" s="72" t="s">
        <v>165</v>
      </c>
    </row>
    <row r="56" spans="1:16" ht="15.75" x14ac:dyDescent="0.25">
      <c r="A56" s="32">
        <f t="shared" si="4"/>
        <v>52</v>
      </c>
      <c r="B56" s="70" t="s">
        <v>166</v>
      </c>
      <c r="C56" s="65" t="s">
        <v>167</v>
      </c>
      <c r="D56" s="65" t="s">
        <v>168</v>
      </c>
      <c r="E56" s="36">
        <v>43211</v>
      </c>
      <c r="F56" s="59">
        <f>1100000</f>
        <v>1100000</v>
      </c>
      <c r="G56" s="59">
        <f t="shared" si="0"/>
        <v>1232000</v>
      </c>
      <c r="H56" s="39">
        <f t="shared" si="9"/>
        <v>110000</v>
      </c>
      <c r="I56" s="71">
        <f t="shared" si="1"/>
        <v>13200</v>
      </c>
      <c r="J56" s="67">
        <v>10</v>
      </c>
      <c r="K56" s="40">
        <v>6</v>
      </c>
      <c r="L56" s="41">
        <f t="shared" si="2"/>
        <v>123200</v>
      </c>
      <c r="M56" s="41">
        <f t="shared" si="3"/>
        <v>739200</v>
      </c>
      <c r="N56" s="41">
        <f t="shared" si="10"/>
        <v>660000</v>
      </c>
      <c r="O56" s="55" t="s">
        <v>169</v>
      </c>
      <c r="P56" s="72" t="s">
        <v>156</v>
      </c>
    </row>
    <row r="57" spans="1:16" ht="15.75" x14ac:dyDescent="0.25">
      <c r="A57" s="32">
        <f t="shared" si="4"/>
        <v>53</v>
      </c>
      <c r="B57" s="70" t="s">
        <v>170</v>
      </c>
      <c r="C57" s="65" t="s">
        <v>171</v>
      </c>
      <c r="D57" s="65" t="s">
        <v>172</v>
      </c>
      <c r="E57" s="36">
        <v>43211</v>
      </c>
      <c r="F57" s="59">
        <f>1595000</f>
        <v>1595000</v>
      </c>
      <c r="G57" s="59">
        <f t="shared" si="0"/>
        <v>1786400</v>
      </c>
      <c r="H57" s="39">
        <f t="shared" si="9"/>
        <v>159500</v>
      </c>
      <c r="I57" s="71">
        <f t="shared" si="1"/>
        <v>19140</v>
      </c>
      <c r="J57" s="67">
        <v>10</v>
      </c>
      <c r="K57" s="40">
        <v>6</v>
      </c>
      <c r="L57" s="41">
        <f t="shared" si="2"/>
        <v>178640</v>
      </c>
      <c r="M57" s="41">
        <f t="shared" si="3"/>
        <v>1071840</v>
      </c>
      <c r="N57" s="41">
        <f t="shared" si="10"/>
        <v>957000</v>
      </c>
      <c r="O57" s="55" t="s">
        <v>173</v>
      </c>
      <c r="P57" s="72" t="s">
        <v>174</v>
      </c>
    </row>
    <row r="58" spans="1:16" ht="15.75" x14ac:dyDescent="0.25">
      <c r="A58" s="32">
        <f t="shared" si="4"/>
        <v>54</v>
      </c>
      <c r="B58" s="70" t="s">
        <v>175</v>
      </c>
      <c r="C58" s="65" t="s">
        <v>176</v>
      </c>
      <c r="D58" s="65" t="s">
        <v>177</v>
      </c>
      <c r="E58" s="36">
        <v>43211</v>
      </c>
      <c r="F58" s="59">
        <f>2035000</f>
        <v>2035000</v>
      </c>
      <c r="G58" s="59">
        <f t="shared" si="0"/>
        <v>2279200</v>
      </c>
      <c r="H58" s="39">
        <f t="shared" si="9"/>
        <v>203500</v>
      </c>
      <c r="I58" s="71">
        <f t="shared" si="1"/>
        <v>24420</v>
      </c>
      <c r="J58" s="67">
        <v>10</v>
      </c>
      <c r="K58" s="40">
        <v>6</v>
      </c>
      <c r="L58" s="41">
        <f t="shared" si="2"/>
        <v>227920</v>
      </c>
      <c r="M58" s="41">
        <f t="shared" si="3"/>
        <v>1367520</v>
      </c>
      <c r="N58" s="41">
        <f t="shared" si="10"/>
        <v>1221000</v>
      </c>
      <c r="O58" s="55" t="s">
        <v>178</v>
      </c>
      <c r="P58" s="72" t="s">
        <v>179</v>
      </c>
    </row>
    <row r="59" spans="1:16" ht="15.75" x14ac:dyDescent="0.25">
      <c r="A59" s="32">
        <f t="shared" si="4"/>
        <v>55</v>
      </c>
      <c r="B59" s="70" t="s">
        <v>180</v>
      </c>
      <c r="C59" s="65" t="s">
        <v>181</v>
      </c>
      <c r="D59" s="65" t="s">
        <v>182</v>
      </c>
      <c r="E59" s="36">
        <v>43211</v>
      </c>
      <c r="F59" s="59">
        <f>385000</f>
        <v>385000</v>
      </c>
      <c r="G59" s="59">
        <f t="shared" si="0"/>
        <v>431200</v>
      </c>
      <c r="H59" s="39">
        <f t="shared" si="9"/>
        <v>38500</v>
      </c>
      <c r="I59" s="71">
        <f t="shared" si="1"/>
        <v>4620</v>
      </c>
      <c r="J59" s="67">
        <v>10</v>
      </c>
      <c r="K59" s="40">
        <v>6</v>
      </c>
      <c r="L59" s="41">
        <f t="shared" si="2"/>
        <v>43120</v>
      </c>
      <c r="M59" s="41">
        <f t="shared" si="3"/>
        <v>258720</v>
      </c>
      <c r="N59" s="41">
        <f t="shared" si="10"/>
        <v>231000</v>
      </c>
      <c r="O59" s="55" t="s">
        <v>183</v>
      </c>
      <c r="P59" s="72" t="s">
        <v>184</v>
      </c>
    </row>
    <row r="60" spans="1:16" ht="15.75" x14ac:dyDescent="0.25">
      <c r="A60" s="32">
        <f t="shared" si="4"/>
        <v>56</v>
      </c>
      <c r="B60" s="70" t="s">
        <v>185</v>
      </c>
      <c r="C60" s="65" t="s">
        <v>186</v>
      </c>
      <c r="D60" s="65" t="s">
        <v>187</v>
      </c>
      <c r="E60" s="36">
        <v>43211</v>
      </c>
      <c r="F60" s="59">
        <f>385000</f>
        <v>385000</v>
      </c>
      <c r="G60" s="59">
        <f t="shared" si="0"/>
        <v>431200</v>
      </c>
      <c r="H60" s="39">
        <f t="shared" si="9"/>
        <v>38500</v>
      </c>
      <c r="I60" s="71">
        <f t="shared" si="1"/>
        <v>4620</v>
      </c>
      <c r="J60" s="67">
        <v>10</v>
      </c>
      <c r="K60" s="40">
        <v>6</v>
      </c>
      <c r="L60" s="41">
        <f t="shared" si="2"/>
        <v>43120</v>
      </c>
      <c r="M60" s="41">
        <f t="shared" si="3"/>
        <v>258720</v>
      </c>
      <c r="N60" s="41">
        <f t="shared" si="10"/>
        <v>231000</v>
      </c>
      <c r="O60" s="55" t="s">
        <v>188</v>
      </c>
      <c r="P60" s="72" t="s">
        <v>165</v>
      </c>
    </row>
    <row r="61" spans="1:16" ht="15.75" x14ac:dyDescent="0.25">
      <c r="A61" s="32">
        <f t="shared" si="4"/>
        <v>57</v>
      </c>
      <c r="B61" s="70" t="s">
        <v>189</v>
      </c>
      <c r="C61" s="65" t="s">
        <v>190</v>
      </c>
      <c r="D61" s="65" t="s">
        <v>191</v>
      </c>
      <c r="E61" s="36">
        <v>43211</v>
      </c>
      <c r="F61" s="59">
        <f>440000</f>
        <v>440000</v>
      </c>
      <c r="G61" s="59">
        <f t="shared" si="0"/>
        <v>492800</v>
      </c>
      <c r="H61" s="39">
        <f t="shared" si="9"/>
        <v>44000</v>
      </c>
      <c r="I61" s="71">
        <f t="shared" si="1"/>
        <v>5280</v>
      </c>
      <c r="J61" s="67">
        <v>10</v>
      </c>
      <c r="K61" s="40">
        <v>6</v>
      </c>
      <c r="L61" s="41">
        <f t="shared" si="2"/>
        <v>49280</v>
      </c>
      <c r="M61" s="41">
        <f t="shared" si="3"/>
        <v>295680</v>
      </c>
      <c r="N61" s="41">
        <f t="shared" si="10"/>
        <v>264000</v>
      </c>
      <c r="O61" s="55" t="s">
        <v>192</v>
      </c>
      <c r="P61" s="55" t="s">
        <v>193</v>
      </c>
    </row>
    <row r="62" spans="1:16" ht="15.75" x14ac:dyDescent="0.25">
      <c r="A62" s="32">
        <f t="shared" si="4"/>
        <v>58</v>
      </c>
      <c r="B62" s="70" t="s">
        <v>194</v>
      </c>
      <c r="C62" s="65" t="s">
        <v>195</v>
      </c>
      <c r="D62" s="65" t="s">
        <v>196</v>
      </c>
      <c r="E62" s="36">
        <v>43211</v>
      </c>
      <c r="F62" s="59">
        <f>440000</f>
        <v>440000</v>
      </c>
      <c r="G62" s="59">
        <f t="shared" si="0"/>
        <v>492800</v>
      </c>
      <c r="H62" s="39">
        <f t="shared" si="9"/>
        <v>44000</v>
      </c>
      <c r="I62" s="71">
        <f t="shared" si="1"/>
        <v>5280</v>
      </c>
      <c r="J62" s="67">
        <v>10</v>
      </c>
      <c r="K62" s="40">
        <v>6</v>
      </c>
      <c r="L62" s="41">
        <f t="shared" si="2"/>
        <v>49280</v>
      </c>
      <c r="M62" s="41">
        <f t="shared" si="3"/>
        <v>295680</v>
      </c>
      <c r="N62" s="41">
        <f t="shared" si="10"/>
        <v>264000</v>
      </c>
      <c r="O62" s="55" t="s">
        <v>197</v>
      </c>
      <c r="P62" s="55" t="s">
        <v>193</v>
      </c>
    </row>
    <row r="63" spans="1:16" ht="15.75" x14ac:dyDescent="0.25">
      <c r="A63" s="32">
        <f t="shared" si="4"/>
        <v>59</v>
      </c>
      <c r="B63" s="70" t="s">
        <v>198</v>
      </c>
      <c r="C63" s="65" t="s">
        <v>199</v>
      </c>
      <c r="D63" s="65" t="s">
        <v>200</v>
      </c>
      <c r="E63" s="36">
        <v>43211</v>
      </c>
      <c r="F63" s="59">
        <f>1100000</f>
        <v>1100000</v>
      </c>
      <c r="G63" s="59">
        <f t="shared" si="0"/>
        <v>1232000</v>
      </c>
      <c r="H63" s="39">
        <f t="shared" si="9"/>
        <v>110000</v>
      </c>
      <c r="I63" s="71">
        <f t="shared" si="1"/>
        <v>13200</v>
      </c>
      <c r="J63" s="67">
        <v>10</v>
      </c>
      <c r="K63" s="40">
        <v>6</v>
      </c>
      <c r="L63" s="41">
        <f t="shared" si="2"/>
        <v>123200</v>
      </c>
      <c r="M63" s="41">
        <f t="shared" si="3"/>
        <v>739200</v>
      </c>
      <c r="N63" s="41">
        <f t="shared" si="10"/>
        <v>660000</v>
      </c>
      <c r="O63" s="55" t="s">
        <v>188</v>
      </c>
      <c r="P63" s="72" t="s">
        <v>156</v>
      </c>
    </row>
    <row r="64" spans="1:16" ht="15.75" x14ac:dyDescent="0.25">
      <c r="A64" s="32">
        <f t="shared" si="4"/>
        <v>60</v>
      </c>
      <c r="B64" s="70" t="s">
        <v>201</v>
      </c>
      <c r="C64" s="65" t="s">
        <v>202</v>
      </c>
      <c r="D64" s="65" t="s">
        <v>203</v>
      </c>
      <c r="E64" s="36">
        <v>43211</v>
      </c>
      <c r="F64" s="59">
        <f>3575000</f>
        <v>3575000</v>
      </c>
      <c r="G64" s="59">
        <f t="shared" si="0"/>
        <v>4004000</v>
      </c>
      <c r="H64" s="39">
        <f t="shared" si="9"/>
        <v>357500</v>
      </c>
      <c r="I64" s="71">
        <f t="shared" si="1"/>
        <v>42900</v>
      </c>
      <c r="J64" s="67">
        <v>10</v>
      </c>
      <c r="K64" s="40">
        <v>6</v>
      </c>
      <c r="L64" s="41">
        <f t="shared" si="2"/>
        <v>400400</v>
      </c>
      <c r="M64" s="41">
        <f t="shared" si="3"/>
        <v>2402400</v>
      </c>
      <c r="N64" s="41">
        <f t="shared" si="10"/>
        <v>2145000</v>
      </c>
      <c r="O64" s="55"/>
      <c r="P64" s="72" t="s">
        <v>204</v>
      </c>
    </row>
    <row r="65" spans="1:16" ht="15.75" x14ac:dyDescent="0.25">
      <c r="A65" s="32">
        <f t="shared" si="4"/>
        <v>61</v>
      </c>
      <c r="B65" s="70" t="s">
        <v>205</v>
      </c>
      <c r="C65" s="65" t="s">
        <v>206</v>
      </c>
      <c r="D65" s="65" t="s">
        <v>207</v>
      </c>
      <c r="E65" s="36">
        <v>43211</v>
      </c>
      <c r="F65" s="59">
        <f>1595000</f>
        <v>1595000</v>
      </c>
      <c r="G65" s="59">
        <f t="shared" si="0"/>
        <v>1786400</v>
      </c>
      <c r="H65" s="39">
        <f t="shared" si="9"/>
        <v>159500</v>
      </c>
      <c r="I65" s="71">
        <f t="shared" si="1"/>
        <v>19140</v>
      </c>
      <c r="J65" s="67">
        <v>10</v>
      </c>
      <c r="K65" s="40">
        <v>6</v>
      </c>
      <c r="L65" s="41">
        <f t="shared" si="2"/>
        <v>178640</v>
      </c>
      <c r="M65" s="41">
        <f t="shared" si="3"/>
        <v>1071840</v>
      </c>
      <c r="N65" s="41">
        <f t="shared" si="10"/>
        <v>957000</v>
      </c>
      <c r="O65" s="55" t="s">
        <v>208</v>
      </c>
      <c r="P65" s="72" t="s">
        <v>174</v>
      </c>
    </row>
    <row r="66" spans="1:16" ht="15.75" x14ac:dyDescent="0.25">
      <c r="A66" s="32">
        <f t="shared" si="4"/>
        <v>62</v>
      </c>
      <c r="B66" s="70" t="s">
        <v>209</v>
      </c>
      <c r="C66" s="65" t="s">
        <v>210</v>
      </c>
      <c r="D66" s="65" t="s">
        <v>211</v>
      </c>
      <c r="E66" s="36">
        <v>43211</v>
      </c>
      <c r="F66" s="59">
        <f>1595000</f>
        <v>1595000</v>
      </c>
      <c r="G66" s="59">
        <f t="shared" si="0"/>
        <v>1786400</v>
      </c>
      <c r="H66" s="39">
        <f t="shared" si="9"/>
        <v>159500</v>
      </c>
      <c r="I66" s="71">
        <f t="shared" si="1"/>
        <v>19140</v>
      </c>
      <c r="J66" s="67">
        <v>10</v>
      </c>
      <c r="K66" s="40">
        <v>6</v>
      </c>
      <c r="L66" s="41">
        <f t="shared" si="2"/>
        <v>178640</v>
      </c>
      <c r="M66" s="41">
        <f t="shared" si="3"/>
        <v>1071840</v>
      </c>
      <c r="N66" s="41">
        <f t="shared" si="10"/>
        <v>957000</v>
      </c>
      <c r="O66" s="55"/>
      <c r="P66" s="72" t="s">
        <v>174</v>
      </c>
    </row>
    <row r="67" spans="1:16" ht="15.75" x14ac:dyDescent="0.25">
      <c r="A67" s="32">
        <f t="shared" si="4"/>
        <v>63</v>
      </c>
      <c r="B67" s="70" t="s">
        <v>212</v>
      </c>
      <c r="C67" s="65">
        <v>921709</v>
      </c>
      <c r="D67" s="65" t="s">
        <v>213</v>
      </c>
      <c r="E67" s="36">
        <v>43211</v>
      </c>
      <c r="F67" s="59">
        <f>385000</f>
        <v>385000</v>
      </c>
      <c r="G67" s="59">
        <f t="shared" si="0"/>
        <v>431200</v>
      </c>
      <c r="H67" s="39">
        <f t="shared" si="9"/>
        <v>38500</v>
      </c>
      <c r="I67" s="71">
        <f t="shared" si="1"/>
        <v>4620</v>
      </c>
      <c r="J67" s="67">
        <v>10</v>
      </c>
      <c r="K67" s="40">
        <v>6</v>
      </c>
      <c r="L67" s="41">
        <f t="shared" si="2"/>
        <v>43120</v>
      </c>
      <c r="M67" s="41">
        <f t="shared" si="3"/>
        <v>258720</v>
      </c>
      <c r="N67" s="41">
        <f t="shared" si="10"/>
        <v>231000</v>
      </c>
      <c r="O67" s="55" t="s">
        <v>214</v>
      </c>
      <c r="P67" s="72" t="s">
        <v>165</v>
      </c>
    </row>
    <row r="68" spans="1:16" ht="15.75" x14ac:dyDescent="0.25">
      <c r="A68" s="32">
        <f t="shared" si="4"/>
        <v>64</v>
      </c>
      <c r="B68" s="70" t="s">
        <v>215</v>
      </c>
      <c r="C68" s="65" t="s">
        <v>216</v>
      </c>
      <c r="D68" s="65" t="s">
        <v>217</v>
      </c>
      <c r="E68" s="36">
        <v>43211</v>
      </c>
      <c r="F68" s="59">
        <f>1595000</f>
        <v>1595000</v>
      </c>
      <c r="G68" s="59">
        <f t="shared" si="0"/>
        <v>1786400</v>
      </c>
      <c r="H68" s="39">
        <f t="shared" si="9"/>
        <v>159500</v>
      </c>
      <c r="I68" s="71">
        <f t="shared" si="1"/>
        <v>19140</v>
      </c>
      <c r="J68" s="67">
        <v>10</v>
      </c>
      <c r="K68" s="40">
        <v>6</v>
      </c>
      <c r="L68" s="41">
        <f t="shared" si="2"/>
        <v>178640</v>
      </c>
      <c r="M68" s="41">
        <f t="shared" si="3"/>
        <v>1071840</v>
      </c>
      <c r="N68" s="41">
        <f t="shared" si="10"/>
        <v>957000</v>
      </c>
      <c r="O68" s="55" t="s">
        <v>218</v>
      </c>
      <c r="P68" s="72" t="s">
        <v>174</v>
      </c>
    </row>
    <row r="69" spans="1:16" ht="16.5" x14ac:dyDescent="0.3">
      <c r="A69" s="32">
        <f>+A68+1</f>
        <v>65</v>
      </c>
      <c r="B69" s="74" t="s">
        <v>219</v>
      </c>
      <c r="C69" s="75" t="s">
        <v>220</v>
      </c>
      <c r="D69" s="76" t="s">
        <v>221</v>
      </c>
      <c r="E69" s="77">
        <v>43223</v>
      </c>
      <c r="F69" s="78">
        <v>7400000</v>
      </c>
      <c r="G69" s="38">
        <f t="shared" ref="G69:G92" si="11">+J69*L69</f>
        <v>8466000</v>
      </c>
      <c r="H69" s="39">
        <f>705500-I69</f>
        <v>616700</v>
      </c>
      <c r="I69" s="38">
        <f t="shared" ref="I69:I80" si="12">+F69*1.2%</f>
        <v>88800</v>
      </c>
      <c r="J69" s="67">
        <v>12</v>
      </c>
      <c r="K69" s="40">
        <v>8</v>
      </c>
      <c r="L69" s="41">
        <f t="shared" ref="L69:L95" si="13">+H69+I69</f>
        <v>705500</v>
      </c>
      <c r="M69" s="41">
        <f t="shared" ref="M69:M95" si="14">+K69*L69</f>
        <v>5644000</v>
      </c>
      <c r="N69" s="68">
        <f>F69-(H69*4)</f>
        <v>4933200</v>
      </c>
      <c r="O69" s="79" t="s">
        <v>222</v>
      </c>
      <c r="P69" s="80" t="s">
        <v>223</v>
      </c>
    </row>
    <row r="70" spans="1:16" ht="16.5" x14ac:dyDescent="0.3">
      <c r="A70" s="32">
        <f>+A69+1</f>
        <v>66</v>
      </c>
      <c r="B70" s="74" t="s">
        <v>98</v>
      </c>
      <c r="C70" s="75" t="s">
        <v>99</v>
      </c>
      <c r="D70" s="76" t="s">
        <v>224</v>
      </c>
      <c r="E70" s="77">
        <v>43223</v>
      </c>
      <c r="F70" s="78">
        <v>8398000</v>
      </c>
      <c r="G70" s="38">
        <f t="shared" si="11"/>
        <v>9608400</v>
      </c>
      <c r="H70" s="39">
        <f>800700-I70</f>
        <v>699924</v>
      </c>
      <c r="I70" s="38">
        <f t="shared" si="12"/>
        <v>100776</v>
      </c>
      <c r="J70" s="67">
        <v>12</v>
      </c>
      <c r="K70" s="40">
        <v>8</v>
      </c>
      <c r="L70" s="41">
        <f t="shared" si="13"/>
        <v>800700</v>
      </c>
      <c r="M70" s="41">
        <f t="shared" si="14"/>
        <v>6405600</v>
      </c>
      <c r="N70" s="68">
        <f>F70-(H70*4)</f>
        <v>5598304</v>
      </c>
      <c r="O70" s="81" t="s">
        <v>225</v>
      </c>
      <c r="P70" s="80" t="s">
        <v>38</v>
      </c>
    </row>
    <row r="71" spans="1:16" ht="16.5" x14ac:dyDescent="0.3">
      <c r="A71" s="32">
        <f>+A70+1</f>
        <v>67</v>
      </c>
      <c r="B71" s="74" t="s">
        <v>226</v>
      </c>
      <c r="C71" s="75" t="s">
        <v>227</v>
      </c>
      <c r="D71" s="76" t="s">
        <v>228</v>
      </c>
      <c r="E71" s="77">
        <v>43224</v>
      </c>
      <c r="F71" s="78">
        <v>1650000</v>
      </c>
      <c r="G71" s="38">
        <f t="shared" si="11"/>
        <v>1848000</v>
      </c>
      <c r="H71" s="39">
        <f>+F71/J71</f>
        <v>165000</v>
      </c>
      <c r="I71" s="38">
        <f t="shared" si="12"/>
        <v>19800</v>
      </c>
      <c r="J71" s="82">
        <v>10</v>
      </c>
      <c r="K71" s="40">
        <v>6</v>
      </c>
      <c r="L71" s="41">
        <f t="shared" si="13"/>
        <v>184800</v>
      </c>
      <c r="M71" s="41">
        <f t="shared" si="14"/>
        <v>1108800</v>
      </c>
      <c r="N71" s="41">
        <f>+H71*K71</f>
        <v>990000</v>
      </c>
      <c r="O71" s="79" t="s">
        <v>229</v>
      </c>
      <c r="P71" s="80" t="s">
        <v>230</v>
      </c>
    </row>
    <row r="72" spans="1:16" ht="16.5" x14ac:dyDescent="0.3">
      <c r="A72" s="32">
        <f t="shared" ref="A72:A75" si="15">+A71+1</f>
        <v>68</v>
      </c>
      <c r="B72" s="74" t="s">
        <v>231</v>
      </c>
      <c r="C72" s="75" t="s">
        <v>232</v>
      </c>
      <c r="D72" s="76" t="s">
        <v>233</v>
      </c>
      <c r="E72" s="77">
        <v>43224</v>
      </c>
      <c r="F72" s="78">
        <v>825000</v>
      </c>
      <c r="G72" s="38">
        <f t="shared" si="11"/>
        <v>924000</v>
      </c>
      <c r="H72" s="39">
        <f>+F72/J72</f>
        <v>82500</v>
      </c>
      <c r="I72" s="38">
        <f t="shared" si="12"/>
        <v>9900</v>
      </c>
      <c r="J72" s="82">
        <v>10</v>
      </c>
      <c r="K72" s="40">
        <v>6</v>
      </c>
      <c r="L72" s="41">
        <f t="shared" si="13"/>
        <v>92400</v>
      </c>
      <c r="M72" s="41">
        <f t="shared" si="14"/>
        <v>554400</v>
      </c>
      <c r="N72" s="41">
        <f>+H72*K72</f>
        <v>495000</v>
      </c>
      <c r="O72" s="79" t="s">
        <v>234</v>
      </c>
      <c r="P72" s="80" t="s">
        <v>151</v>
      </c>
    </row>
    <row r="73" spans="1:16" ht="16.5" x14ac:dyDescent="0.3">
      <c r="A73" s="32">
        <f t="shared" si="15"/>
        <v>69</v>
      </c>
      <c r="B73" s="74" t="s">
        <v>235</v>
      </c>
      <c r="C73" s="75" t="s">
        <v>236</v>
      </c>
      <c r="D73" s="77"/>
      <c r="E73" s="77">
        <v>43231</v>
      </c>
      <c r="F73" s="78">
        <v>1799000</v>
      </c>
      <c r="G73" s="38">
        <f t="shared" si="11"/>
        <v>2059200</v>
      </c>
      <c r="H73" s="39">
        <f>171600-I73</f>
        <v>150012</v>
      </c>
      <c r="I73" s="38">
        <f t="shared" si="12"/>
        <v>21588</v>
      </c>
      <c r="J73" s="82">
        <v>12</v>
      </c>
      <c r="K73" s="40">
        <v>8</v>
      </c>
      <c r="L73" s="41">
        <f t="shared" si="13"/>
        <v>171600</v>
      </c>
      <c r="M73" s="41">
        <f t="shared" si="14"/>
        <v>1372800</v>
      </c>
      <c r="N73" s="68">
        <f>F73-(H73*4)</f>
        <v>1198952</v>
      </c>
      <c r="O73" s="83"/>
      <c r="P73" s="80" t="s">
        <v>237</v>
      </c>
    </row>
    <row r="74" spans="1:16" ht="16.5" x14ac:dyDescent="0.3">
      <c r="A74" s="32">
        <f t="shared" si="15"/>
        <v>70</v>
      </c>
      <c r="B74" s="74" t="s">
        <v>98</v>
      </c>
      <c r="C74" s="75" t="s">
        <v>99</v>
      </c>
      <c r="D74" s="77"/>
      <c r="E74" s="77">
        <v>43234</v>
      </c>
      <c r="F74" s="78">
        <v>5499000</v>
      </c>
      <c r="G74" s="38">
        <f t="shared" si="11"/>
        <v>6290856</v>
      </c>
      <c r="H74" s="39">
        <f>+F74/J74</f>
        <v>458250</v>
      </c>
      <c r="I74" s="38">
        <f t="shared" si="12"/>
        <v>65988</v>
      </c>
      <c r="J74" s="82">
        <v>12</v>
      </c>
      <c r="K74" s="40">
        <v>8</v>
      </c>
      <c r="L74" s="41">
        <f t="shared" si="13"/>
        <v>524238</v>
      </c>
      <c r="M74" s="41">
        <f t="shared" si="14"/>
        <v>4193904</v>
      </c>
      <c r="N74" s="41">
        <f>+H74*K74</f>
        <v>3666000</v>
      </c>
      <c r="O74" s="83"/>
      <c r="P74" s="80" t="s">
        <v>238</v>
      </c>
    </row>
    <row r="75" spans="1:16" ht="16.5" x14ac:dyDescent="0.3">
      <c r="A75" s="32">
        <f t="shared" si="15"/>
        <v>71</v>
      </c>
      <c r="B75" s="74" t="s">
        <v>56</v>
      </c>
      <c r="C75" s="75" t="s">
        <v>239</v>
      </c>
      <c r="D75" s="76"/>
      <c r="E75" s="84">
        <v>43248</v>
      </c>
      <c r="F75" s="85">
        <v>1200000</v>
      </c>
      <c r="G75" s="38">
        <f t="shared" si="11"/>
        <v>1344000</v>
      </c>
      <c r="H75" s="39">
        <f>+F75/J75</f>
        <v>120000</v>
      </c>
      <c r="I75" s="38">
        <f t="shared" si="12"/>
        <v>14400</v>
      </c>
      <c r="J75" s="86">
        <v>10</v>
      </c>
      <c r="K75" s="40">
        <v>7</v>
      </c>
      <c r="L75" s="41">
        <f t="shared" si="13"/>
        <v>134400</v>
      </c>
      <c r="M75" s="41">
        <f t="shared" si="14"/>
        <v>940800</v>
      </c>
      <c r="N75" s="68">
        <f>F75-(H75*3)</f>
        <v>840000</v>
      </c>
      <c r="O75" s="79"/>
      <c r="P75" s="87" t="s">
        <v>240</v>
      </c>
    </row>
    <row r="76" spans="1:16" ht="16.5" x14ac:dyDescent="0.3">
      <c r="A76" s="32">
        <f>+A75+1</f>
        <v>72</v>
      </c>
      <c r="B76" s="74" t="s">
        <v>241</v>
      </c>
      <c r="C76" s="75" t="s">
        <v>242</v>
      </c>
      <c r="D76" s="76"/>
      <c r="E76" s="84">
        <v>43248</v>
      </c>
      <c r="F76" s="85">
        <v>5499000</v>
      </c>
      <c r="G76" s="38">
        <f t="shared" si="11"/>
        <v>6290856</v>
      </c>
      <c r="H76" s="39">
        <f>+F76/J76</f>
        <v>458250</v>
      </c>
      <c r="I76" s="38">
        <f t="shared" si="12"/>
        <v>65988</v>
      </c>
      <c r="J76" s="86">
        <v>12</v>
      </c>
      <c r="K76" s="40">
        <v>9</v>
      </c>
      <c r="L76" s="41">
        <f t="shared" si="13"/>
        <v>524238</v>
      </c>
      <c r="M76" s="41">
        <f t="shared" si="14"/>
        <v>4718142</v>
      </c>
      <c r="N76" s="41">
        <f>+H76*K76</f>
        <v>4124250</v>
      </c>
      <c r="O76" s="79"/>
      <c r="P76" s="87" t="s">
        <v>243</v>
      </c>
    </row>
    <row r="77" spans="1:16" ht="16.5" x14ac:dyDescent="0.3">
      <c r="A77" s="32">
        <f>+A76+1</f>
        <v>73</v>
      </c>
      <c r="B77" s="74" t="s">
        <v>98</v>
      </c>
      <c r="C77" s="75" t="s">
        <v>99</v>
      </c>
      <c r="D77" s="76"/>
      <c r="E77" s="84">
        <v>43245</v>
      </c>
      <c r="F77" s="85">
        <v>4199000</v>
      </c>
      <c r="G77" s="38">
        <f t="shared" si="11"/>
        <v>4803720</v>
      </c>
      <c r="H77" s="39">
        <f>400310-I77</f>
        <v>349922</v>
      </c>
      <c r="I77" s="38">
        <f t="shared" si="12"/>
        <v>50388</v>
      </c>
      <c r="J77" s="86">
        <v>12</v>
      </c>
      <c r="K77" s="40">
        <v>9</v>
      </c>
      <c r="L77" s="41">
        <f t="shared" si="13"/>
        <v>400310</v>
      </c>
      <c r="M77" s="41">
        <f t="shared" si="14"/>
        <v>3602790</v>
      </c>
      <c r="N77" s="68">
        <f>F77-(H77*3)</f>
        <v>3149234</v>
      </c>
      <c r="O77" s="81"/>
      <c r="P77" s="87" t="s">
        <v>244</v>
      </c>
    </row>
    <row r="78" spans="1:16" ht="15.75" x14ac:dyDescent="0.25">
      <c r="A78" s="32">
        <f>+A77+1</f>
        <v>74</v>
      </c>
      <c r="B78" s="88" t="s">
        <v>245</v>
      </c>
      <c r="C78" s="89" t="s">
        <v>246</v>
      </c>
      <c r="D78" s="84"/>
      <c r="E78" s="84">
        <v>43257</v>
      </c>
      <c r="F78" s="90">
        <v>4199000</v>
      </c>
      <c r="G78" s="38">
        <f t="shared" si="11"/>
        <v>4803720</v>
      </c>
      <c r="H78" s="39">
        <f>400310-I78</f>
        <v>349922</v>
      </c>
      <c r="I78" s="38">
        <f t="shared" si="12"/>
        <v>50388</v>
      </c>
      <c r="J78" s="86">
        <v>12</v>
      </c>
      <c r="K78" s="40">
        <f>9</f>
        <v>9</v>
      </c>
      <c r="L78" s="41">
        <f t="shared" si="13"/>
        <v>400310</v>
      </c>
      <c r="M78" s="41">
        <f t="shared" si="14"/>
        <v>3602790</v>
      </c>
      <c r="N78" s="68">
        <f>F78-(H78*3)</f>
        <v>3149234</v>
      </c>
      <c r="O78" s="79"/>
      <c r="P78" s="87" t="s">
        <v>247</v>
      </c>
    </row>
    <row r="79" spans="1:16" ht="15.75" x14ac:dyDescent="0.25">
      <c r="A79" s="32">
        <f t="shared" ref="A79:A83" si="16">+A78+1</f>
        <v>75</v>
      </c>
      <c r="B79" s="88" t="s">
        <v>180</v>
      </c>
      <c r="C79" s="89" t="s">
        <v>181</v>
      </c>
      <c r="D79" s="84"/>
      <c r="E79" s="84">
        <v>43257</v>
      </c>
      <c r="F79" s="90">
        <v>4199000</v>
      </c>
      <c r="G79" s="38">
        <f t="shared" si="11"/>
        <v>4803720</v>
      </c>
      <c r="H79" s="39">
        <f>400310-I79</f>
        <v>349922</v>
      </c>
      <c r="I79" s="38">
        <f t="shared" si="12"/>
        <v>50388</v>
      </c>
      <c r="J79" s="86">
        <v>12</v>
      </c>
      <c r="K79" s="40">
        <v>9</v>
      </c>
      <c r="L79" s="41">
        <f t="shared" si="13"/>
        <v>400310</v>
      </c>
      <c r="M79" s="41">
        <f t="shared" si="14"/>
        <v>3602790</v>
      </c>
      <c r="N79" s="68">
        <f>F79-(H79*3)</f>
        <v>3149234</v>
      </c>
      <c r="O79" s="79"/>
      <c r="P79" s="87" t="s">
        <v>244</v>
      </c>
    </row>
    <row r="80" spans="1:16" ht="15.75" x14ac:dyDescent="0.25">
      <c r="A80" s="32">
        <f t="shared" si="16"/>
        <v>76</v>
      </c>
      <c r="B80" s="88" t="s">
        <v>248</v>
      </c>
      <c r="C80" s="89" t="s">
        <v>249</v>
      </c>
      <c r="D80" s="84"/>
      <c r="E80" s="84">
        <v>43257</v>
      </c>
      <c r="F80" s="90">
        <v>5499000</v>
      </c>
      <c r="G80" s="38">
        <f t="shared" si="11"/>
        <v>6158880</v>
      </c>
      <c r="H80" s="39">
        <f>+F80/J80</f>
        <v>549900</v>
      </c>
      <c r="I80" s="38">
        <f t="shared" si="12"/>
        <v>65988</v>
      </c>
      <c r="J80" s="86">
        <v>10</v>
      </c>
      <c r="K80" s="40">
        <v>7</v>
      </c>
      <c r="L80" s="41">
        <f t="shared" si="13"/>
        <v>615888</v>
      </c>
      <c r="M80" s="41">
        <f t="shared" si="14"/>
        <v>4311216</v>
      </c>
      <c r="N80" s="68">
        <f>F80-(H80*3)</f>
        <v>3849300</v>
      </c>
      <c r="O80" s="81"/>
      <c r="P80" s="87" t="s">
        <v>250</v>
      </c>
    </row>
    <row r="81" spans="1:16" ht="15.75" x14ac:dyDescent="0.25">
      <c r="A81" s="32">
        <f t="shared" si="16"/>
        <v>77</v>
      </c>
      <c r="B81" s="88" t="s">
        <v>251</v>
      </c>
      <c r="C81" s="89" t="s">
        <v>252</v>
      </c>
      <c r="D81" s="84"/>
      <c r="E81" s="84">
        <v>43273</v>
      </c>
      <c r="F81" s="90">
        <v>5499000</v>
      </c>
      <c r="G81" s="38">
        <f t="shared" si="11"/>
        <v>6290856</v>
      </c>
      <c r="H81" s="39">
        <f>+F81/J81</f>
        <v>458250</v>
      </c>
      <c r="I81" s="38">
        <f>+F81*1.2%</f>
        <v>65988</v>
      </c>
      <c r="J81" s="86">
        <v>12</v>
      </c>
      <c r="K81" s="40">
        <v>10</v>
      </c>
      <c r="L81" s="41">
        <f t="shared" si="13"/>
        <v>524238</v>
      </c>
      <c r="M81" s="41">
        <f t="shared" si="14"/>
        <v>5242380</v>
      </c>
      <c r="N81" s="41">
        <f>+H81*K81</f>
        <v>4582500</v>
      </c>
      <c r="O81" s="91"/>
      <c r="P81" s="87" t="s">
        <v>253</v>
      </c>
    </row>
    <row r="82" spans="1:16" ht="15.75" x14ac:dyDescent="0.25">
      <c r="A82" s="32">
        <f t="shared" si="16"/>
        <v>78</v>
      </c>
      <c r="B82" s="88" t="s">
        <v>254</v>
      </c>
      <c r="C82" s="89" t="s">
        <v>255</v>
      </c>
      <c r="D82" s="84"/>
      <c r="E82" s="84">
        <v>43286</v>
      </c>
      <c r="F82" s="92">
        <v>4650000</v>
      </c>
      <c r="G82" s="38">
        <f t="shared" si="11"/>
        <v>4651200</v>
      </c>
      <c r="H82" s="39">
        <v>129200</v>
      </c>
      <c r="I82" s="38">
        <v>0</v>
      </c>
      <c r="J82" s="86">
        <v>36</v>
      </c>
      <c r="K82" s="40">
        <v>34</v>
      </c>
      <c r="L82" s="41">
        <f t="shared" si="13"/>
        <v>129200</v>
      </c>
      <c r="M82" s="41">
        <f t="shared" si="14"/>
        <v>4392800</v>
      </c>
      <c r="N82" s="68">
        <f>F82-(H82*2)</f>
        <v>4391600</v>
      </c>
      <c r="O82" s="91"/>
      <c r="P82" s="87" t="s">
        <v>256</v>
      </c>
    </row>
    <row r="83" spans="1:16" ht="15.75" x14ac:dyDescent="0.25">
      <c r="A83" s="32">
        <f t="shared" si="16"/>
        <v>79</v>
      </c>
      <c r="B83" s="88" t="s">
        <v>89</v>
      </c>
      <c r="C83" s="93">
        <v>53839</v>
      </c>
      <c r="D83" s="94"/>
      <c r="E83" s="94">
        <v>43301</v>
      </c>
      <c r="F83" s="95">
        <v>490000</v>
      </c>
      <c r="G83" s="38">
        <f t="shared" si="11"/>
        <v>525600</v>
      </c>
      <c r="H83" s="39">
        <f>87600-I83</f>
        <v>81720</v>
      </c>
      <c r="I83" s="96">
        <f>+F83*1.2%</f>
        <v>5880</v>
      </c>
      <c r="J83" s="97">
        <v>6</v>
      </c>
      <c r="K83" s="40">
        <v>5</v>
      </c>
      <c r="L83" s="98">
        <f t="shared" si="13"/>
        <v>87600</v>
      </c>
      <c r="M83" s="41">
        <f t="shared" si="14"/>
        <v>438000</v>
      </c>
      <c r="N83" s="68">
        <f>F83-(H83*1)</f>
        <v>408280</v>
      </c>
      <c r="O83" s="91"/>
      <c r="P83" s="87" t="s">
        <v>257</v>
      </c>
    </row>
    <row r="84" spans="1:16" ht="15.75" x14ac:dyDescent="0.25">
      <c r="A84" s="99">
        <f>+A83+1</f>
        <v>80</v>
      </c>
      <c r="B84" s="88" t="s">
        <v>258</v>
      </c>
      <c r="C84" s="100" t="s">
        <v>259</v>
      </c>
      <c r="D84" s="94"/>
      <c r="E84" s="94">
        <v>43301</v>
      </c>
      <c r="F84" s="95">
        <v>3999000</v>
      </c>
      <c r="G84" s="38">
        <f t="shared" si="11"/>
        <v>4574856</v>
      </c>
      <c r="H84" s="39">
        <f t="shared" ref="H84:H90" si="17">+F84/J84</f>
        <v>333250</v>
      </c>
      <c r="I84" s="96">
        <f t="shared" ref="I84:I92" si="18">+F84*1.2%</f>
        <v>47988</v>
      </c>
      <c r="J84" s="101">
        <v>12</v>
      </c>
      <c r="K84" s="40">
        <v>11</v>
      </c>
      <c r="L84" s="98">
        <f t="shared" si="13"/>
        <v>381238</v>
      </c>
      <c r="M84" s="41">
        <f t="shared" si="14"/>
        <v>4193618</v>
      </c>
      <c r="N84" s="41">
        <f>+H84*K84</f>
        <v>3665750</v>
      </c>
      <c r="O84" s="79"/>
      <c r="P84" s="102" t="s">
        <v>260</v>
      </c>
    </row>
    <row r="85" spans="1:16" ht="15.75" x14ac:dyDescent="0.25">
      <c r="A85" s="99">
        <f>+A84+1</f>
        <v>81</v>
      </c>
      <c r="B85" s="88" t="s">
        <v>261</v>
      </c>
      <c r="C85" s="100" t="s">
        <v>262</v>
      </c>
      <c r="D85" s="94"/>
      <c r="E85" s="94">
        <v>43301</v>
      </c>
      <c r="F85" s="95">
        <v>3999000</v>
      </c>
      <c r="G85" s="38">
        <f t="shared" si="11"/>
        <v>4574856</v>
      </c>
      <c r="H85" s="39">
        <f t="shared" si="17"/>
        <v>333250</v>
      </c>
      <c r="I85" s="96">
        <f t="shared" si="18"/>
        <v>47988</v>
      </c>
      <c r="J85" s="97">
        <v>12</v>
      </c>
      <c r="K85" s="40">
        <v>11</v>
      </c>
      <c r="L85" s="98">
        <f t="shared" si="13"/>
        <v>381238</v>
      </c>
      <c r="M85" s="41">
        <f t="shared" si="14"/>
        <v>4193618</v>
      </c>
      <c r="N85" s="41">
        <f>+H85*K85</f>
        <v>3665750</v>
      </c>
      <c r="O85" s="81"/>
      <c r="P85" s="87" t="s">
        <v>260</v>
      </c>
    </row>
    <row r="86" spans="1:16" ht="15.75" x14ac:dyDescent="0.25">
      <c r="A86" s="99">
        <f t="shared" ref="A86:A93" si="19">+A85+1</f>
        <v>82</v>
      </c>
      <c r="B86" s="88" t="s">
        <v>263</v>
      </c>
      <c r="C86" s="100" t="s">
        <v>264</v>
      </c>
      <c r="D86" s="94"/>
      <c r="E86" s="94">
        <v>43311</v>
      </c>
      <c r="F86" s="95">
        <v>8000000</v>
      </c>
      <c r="G86" s="38">
        <f t="shared" si="11"/>
        <v>11458800</v>
      </c>
      <c r="H86" s="39">
        <f>318300-I86</f>
        <v>222300</v>
      </c>
      <c r="I86" s="96">
        <f t="shared" si="18"/>
        <v>96000</v>
      </c>
      <c r="J86" s="67">
        <v>36</v>
      </c>
      <c r="K86" s="40">
        <v>35</v>
      </c>
      <c r="L86" s="98">
        <f t="shared" si="13"/>
        <v>318300</v>
      </c>
      <c r="M86" s="41">
        <f t="shared" si="14"/>
        <v>11140500</v>
      </c>
      <c r="N86" s="68">
        <f>F86-(H86*1)</f>
        <v>7777700</v>
      </c>
      <c r="O86" s="83"/>
      <c r="P86" s="72" t="s">
        <v>265</v>
      </c>
    </row>
    <row r="87" spans="1:16" ht="15.75" x14ac:dyDescent="0.25">
      <c r="A87" s="99">
        <f t="shared" si="19"/>
        <v>83</v>
      </c>
      <c r="B87" s="103" t="s">
        <v>266</v>
      </c>
      <c r="C87" s="100" t="s">
        <v>267</v>
      </c>
      <c r="D87" s="94"/>
      <c r="E87" s="94">
        <v>43311</v>
      </c>
      <c r="F87" s="95">
        <v>3999000</v>
      </c>
      <c r="G87" s="38">
        <f t="shared" si="11"/>
        <v>4574856</v>
      </c>
      <c r="H87" s="39">
        <f t="shared" si="17"/>
        <v>333250</v>
      </c>
      <c r="I87" s="96">
        <f t="shared" si="18"/>
        <v>47988</v>
      </c>
      <c r="J87" s="67">
        <v>12</v>
      </c>
      <c r="K87" s="40">
        <v>11</v>
      </c>
      <c r="L87" s="98">
        <f t="shared" si="13"/>
        <v>381238</v>
      </c>
      <c r="M87" s="41">
        <f t="shared" si="14"/>
        <v>4193618</v>
      </c>
      <c r="N87" s="41">
        <f>+H87*K87</f>
        <v>3665750</v>
      </c>
      <c r="O87" s="83"/>
      <c r="P87" s="72" t="s">
        <v>244</v>
      </c>
    </row>
    <row r="88" spans="1:16" ht="15.75" x14ac:dyDescent="0.25">
      <c r="A88" s="99">
        <f t="shared" si="19"/>
        <v>84</v>
      </c>
      <c r="B88" s="103" t="s">
        <v>268</v>
      </c>
      <c r="C88" s="100" t="s">
        <v>269</v>
      </c>
      <c r="D88" s="94"/>
      <c r="E88" s="94">
        <v>43311</v>
      </c>
      <c r="F88" s="95">
        <v>3500000</v>
      </c>
      <c r="G88" s="38">
        <f t="shared" si="11"/>
        <v>3500400</v>
      </c>
      <c r="H88" s="39">
        <f>291700</f>
        <v>291700</v>
      </c>
      <c r="I88" s="96">
        <v>0</v>
      </c>
      <c r="J88" s="67">
        <v>12</v>
      </c>
      <c r="K88" s="40">
        <v>11</v>
      </c>
      <c r="L88" s="98">
        <f t="shared" si="13"/>
        <v>291700</v>
      </c>
      <c r="M88" s="41">
        <f t="shared" si="14"/>
        <v>3208700</v>
      </c>
      <c r="N88" s="68">
        <f>F88-(H88*1)</f>
        <v>3208300</v>
      </c>
      <c r="O88" s="83"/>
      <c r="P88" s="72" t="s">
        <v>270</v>
      </c>
    </row>
    <row r="89" spans="1:16" ht="15.75" x14ac:dyDescent="0.25">
      <c r="A89" s="104">
        <f t="shared" si="19"/>
        <v>85</v>
      </c>
      <c r="B89" s="88" t="s">
        <v>271</v>
      </c>
      <c r="C89" s="89" t="s">
        <v>272</v>
      </c>
      <c r="D89" s="84"/>
      <c r="E89" s="84">
        <v>43311</v>
      </c>
      <c r="F89" s="85">
        <v>3999000</v>
      </c>
      <c r="G89" s="38">
        <f t="shared" si="11"/>
        <v>5727600</v>
      </c>
      <c r="H89" s="39">
        <f>159100-I89</f>
        <v>111112</v>
      </c>
      <c r="I89" s="96">
        <f t="shared" si="18"/>
        <v>47988</v>
      </c>
      <c r="J89" s="67">
        <v>36</v>
      </c>
      <c r="K89" s="40">
        <f>35</f>
        <v>35</v>
      </c>
      <c r="L89" s="98">
        <f t="shared" si="13"/>
        <v>159100</v>
      </c>
      <c r="M89" s="41">
        <f t="shared" si="14"/>
        <v>5568500</v>
      </c>
      <c r="N89" s="68">
        <f>F89-(H89*1)</f>
        <v>3887888</v>
      </c>
      <c r="O89" s="83"/>
      <c r="P89" s="72" t="s">
        <v>244</v>
      </c>
    </row>
    <row r="90" spans="1:16" ht="15.75" x14ac:dyDescent="0.25">
      <c r="A90" s="99">
        <f t="shared" si="19"/>
        <v>86</v>
      </c>
      <c r="B90" s="103" t="s">
        <v>273</v>
      </c>
      <c r="C90" s="100" t="s">
        <v>274</v>
      </c>
      <c r="D90" s="94"/>
      <c r="E90" s="94">
        <v>43311</v>
      </c>
      <c r="F90" s="95">
        <v>3999000</v>
      </c>
      <c r="G90" s="38">
        <f t="shared" si="11"/>
        <v>4574856</v>
      </c>
      <c r="H90" s="39">
        <f t="shared" si="17"/>
        <v>333250</v>
      </c>
      <c r="I90" s="96">
        <f t="shared" si="18"/>
        <v>47988</v>
      </c>
      <c r="J90" s="67">
        <v>12</v>
      </c>
      <c r="K90" s="40">
        <v>11</v>
      </c>
      <c r="L90" s="98">
        <f t="shared" si="13"/>
        <v>381238</v>
      </c>
      <c r="M90" s="41">
        <f t="shared" si="14"/>
        <v>4193618</v>
      </c>
      <c r="N90" s="41">
        <f>+H90*K90</f>
        <v>3665750</v>
      </c>
      <c r="O90" s="83"/>
      <c r="P90" s="72" t="s">
        <v>244</v>
      </c>
    </row>
    <row r="91" spans="1:16" ht="15.75" x14ac:dyDescent="0.25">
      <c r="A91" s="99">
        <f t="shared" si="19"/>
        <v>87</v>
      </c>
      <c r="B91" s="103" t="s">
        <v>275</v>
      </c>
      <c r="C91" s="100" t="s">
        <v>276</v>
      </c>
      <c r="D91" s="94"/>
      <c r="E91" s="94">
        <v>43322</v>
      </c>
      <c r="F91" s="95">
        <v>3999000</v>
      </c>
      <c r="G91" s="38">
        <f t="shared" si="11"/>
        <v>4287000</v>
      </c>
      <c r="H91" s="39">
        <f>714500-I91</f>
        <v>666512</v>
      </c>
      <c r="I91" s="96">
        <f t="shared" si="18"/>
        <v>47988</v>
      </c>
      <c r="J91" s="67">
        <v>6</v>
      </c>
      <c r="K91" s="40">
        <v>5</v>
      </c>
      <c r="L91" s="98">
        <f t="shared" si="13"/>
        <v>714500</v>
      </c>
      <c r="M91" s="41">
        <f t="shared" si="14"/>
        <v>3572500</v>
      </c>
      <c r="N91" s="68">
        <f>F91-(H91*1)</f>
        <v>3332488</v>
      </c>
      <c r="O91" s="105"/>
      <c r="P91" s="72" t="s">
        <v>50</v>
      </c>
    </row>
    <row r="92" spans="1:16" ht="15.75" x14ac:dyDescent="0.25">
      <c r="A92" s="99">
        <f t="shared" si="19"/>
        <v>88</v>
      </c>
      <c r="B92" s="103" t="s">
        <v>277</v>
      </c>
      <c r="C92" s="100" t="s">
        <v>278</v>
      </c>
      <c r="D92" s="94"/>
      <c r="E92" s="94">
        <v>43325</v>
      </c>
      <c r="F92" s="95">
        <v>1999000</v>
      </c>
      <c r="G92" s="38">
        <f t="shared" si="11"/>
        <v>2239000</v>
      </c>
      <c r="H92" s="39">
        <f>223900-I92</f>
        <v>199912</v>
      </c>
      <c r="I92" s="96">
        <f t="shared" si="18"/>
        <v>23988</v>
      </c>
      <c r="J92" s="67">
        <v>10</v>
      </c>
      <c r="K92" s="40">
        <v>9</v>
      </c>
      <c r="L92" s="98">
        <f t="shared" si="13"/>
        <v>223900</v>
      </c>
      <c r="M92" s="41">
        <f t="shared" si="14"/>
        <v>2015100</v>
      </c>
      <c r="N92" s="68">
        <f>F92-(H92*1)</f>
        <v>1799088</v>
      </c>
      <c r="O92" s="105"/>
      <c r="P92" s="72" t="s">
        <v>279</v>
      </c>
    </row>
    <row r="93" spans="1:16" ht="15.75" x14ac:dyDescent="0.25">
      <c r="A93" s="99">
        <f t="shared" si="19"/>
        <v>89</v>
      </c>
      <c r="B93" s="106" t="s">
        <v>280</v>
      </c>
      <c r="C93" s="107" t="s">
        <v>281</v>
      </c>
      <c r="D93" s="108"/>
      <c r="E93" s="108">
        <v>43339</v>
      </c>
      <c r="F93" s="109">
        <v>2699000</v>
      </c>
      <c r="G93" s="38">
        <f>+J93*L93</f>
        <v>3088800</v>
      </c>
      <c r="H93" s="39">
        <f>257400-I93</f>
        <v>225012</v>
      </c>
      <c r="I93" s="96">
        <f>+F93*1.2%</f>
        <v>32388</v>
      </c>
      <c r="J93" s="97">
        <v>12</v>
      </c>
      <c r="K93" s="97">
        <v>12</v>
      </c>
      <c r="L93" s="98">
        <f t="shared" si="13"/>
        <v>257400</v>
      </c>
      <c r="M93" s="41">
        <f t="shared" si="14"/>
        <v>3088800</v>
      </c>
      <c r="N93" s="68">
        <f>F93-(H93*0)</f>
        <v>2699000</v>
      </c>
      <c r="O93" s="91"/>
      <c r="P93" s="87" t="s">
        <v>282</v>
      </c>
    </row>
    <row r="94" spans="1:16" ht="15.75" x14ac:dyDescent="0.25">
      <c r="A94" s="110">
        <f>+A93+1</f>
        <v>90</v>
      </c>
      <c r="B94" s="106" t="s">
        <v>283</v>
      </c>
      <c r="C94" s="107" t="s">
        <v>284</v>
      </c>
      <c r="D94" s="108"/>
      <c r="E94" s="108">
        <v>43341</v>
      </c>
      <c r="F94" s="109">
        <v>4299000</v>
      </c>
      <c r="G94" s="38">
        <f t="shared" ref="G94:G95" si="20">+J94*L94</f>
        <v>5537112</v>
      </c>
      <c r="H94" s="39">
        <f t="shared" ref="H94:H95" si="21">+F94/J94</f>
        <v>179125</v>
      </c>
      <c r="I94" s="96">
        <f t="shared" ref="I94:I95" si="22">+F94*1.2%</f>
        <v>51588</v>
      </c>
      <c r="J94" s="101">
        <v>24</v>
      </c>
      <c r="K94" s="101">
        <v>24</v>
      </c>
      <c r="L94" s="98">
        <f t="shared" si="13"/>
        <v>230713</v>
      </c>
      <c r="M94" s="41">
        <f t="shared" si="14"/>
        <v>5537112</v>
      </c>
      <c r="N94" s="41">
        <f>+H94*K94</f>
        <v>4299000</v>
      </c>
      <c r="O94" s="79"/>
      <c r="P94" s="102" t="s">
        <v>285</v>
      </c>
    </row>
    <row r="95" spans="1:16" ht="15.75" x14ac:dyDescent="0.25">
      <c r="A95" s="110">
        <f>+A94+1</f>
        <v>91</v>
      </c>
      <c r="B95" s="111" t="s">
        <v>286</v>
      </c>
      <c r="C95" s="107" t="s">
        <v>287</v>
      </c>
      <c r="D95" s="108"/>
      <c r="E95" s="108">
        <v>43341</v>
      </c>
      <c r="F95" s="109">
        <v>4299000</v>
      </c>
      <c r="G95" s="38">
        <f t="shared" si="20"/>
        <v>5537112</v>
      </c>
      <c r="H95" s="39">
        <f t="shared" si="21"/>
        <v>179125</v>
      </c>
      <c r="I95" s="96">
        <f t="shared" si="22"/>
        <v>51588</v>
      </c>
      <c r="J95" s="97">
        <v>24</v>
      </c>
      <c r="K95" s="97">
        <v>24</v>
      </c>
      <c r="L95" s="98">
        <f t="shared" si="13"/>
        <v>230713</v>
      </c>
      <c r="M95" s="41">
        <f t="shared" si="14"/>
        <v>5537112</v>
      </c>
      <c r="N95" s="41">
        <f>+H95*K95</f>
        <v>4299000</v>
      </c>
      <c r="O95" s="81"/>
      <c r="P95" s="102" t="s">
        <v>285</v>
      </c>
    </row>
    <row r="96" spans="1:16" ht="15.75" x14ac:dyDescent="0.25">
      <c r="A96" s="110">
        <f>+A95+1</f>
        <v>92</v>
      </c>
      <c r="B96" s="106" t="s">
        <v>288</v>
      </c>
      <c r="C96" s="112">
        <v>19914065</v>
      </c>
      <c r="D96" s="108"/>
      <c r="E96" s="108">
        <v>43350</v>
      </c>
      <c r="F96" s="109">
        <v>4299000</v>
      </c>
      <c r="G96" s="38">
        <f>+J96*L96</f>
        <v>4918056</v>
      </c>
      <c r="H96" s="39">
        <f>+F96/J96</f>
        <v>358250</v>
      </c>
      <c r="I96" s="96">
        <f>+F96*1.2%</f>
        <v>51588</v>
      </c>
      <c r="J96" s="113">
        <v>12</v>
      </c>
      <c r="K96" s="113">
        <v>12</v>
      </c>
      <c r="L96" s="98">
        <f>+H96+I96</f>
        <v>409838</v>
      </c>
      <c r="M96" s="41">
        <f>+K96*L96</f>
        <v>4918056</v>
      </c>
      <c r="N96" s="41">
        <f>+H96*K96</f>
        <v>4299000</v>
      </c>
      <c r="O96" s="91"/>
      <c r="P96" s="87" t="s">
        <v>289</v>
      </c>
    </row>
    <row r="97" spans="1:16" ht="15.75" x14ac:dyDescent="0.25">
      <c r="A97" s="110">
        <f>+A96+1</f>
        <v>93</v>
      </c>
      <c r="B97" s="106" t="s">
        <v>117</v>
      </c>
      <c r="C97" s="112">
        <v>19903080</v>
      </c>
      <c r="D97" s="108"/>
      <c r="E97" s="108">
        <v>43350</v>
      </c>
      <c r="F97" s="109">
        <v>4299000</v>
      </c>
      <c r="G97" s="38">
        <f t="shared" ref="G97:G103" si="23">+J97*L97</f>
        <v>4814880</v>
      </c>
      <c r="H97" s="39">
        <f t="shared" ref="H97:H102" si="24">+F97/J97</f>
        <v>429900</v>
      </c>
      <c r="I97" s="96">
        <f t="shared" ref="I97:I103" si="25">+F97*1.2%</f>
        <v>51588</v>
      </c>
      <c r="J97" s="113">
        <v>10</v>
      </c>
      <c r="K97" s="113">
        <v>10</v>
      </c>
      <c r="L97" s="98">
        <f t="shared" ref="L97:L103" si="26">+H97+I97</f>
        <v>481488</v>
      </c>
      <c r="M97" s="41">
        <f t="shared" ref="M97:M103" si="27">+K97*L97</f>
        <v>4814880</v>
      </c>
      <c r="N97" s="41">
        <f>+H97*K97</f>
        <v>4299000</v>
      </c>
      <c r="O97" s="79"/>
      <c r="P97" s="102" t="s">
        <v>289</v>
      </c>
    </row>
    <row r="98" spans="1:16" ht="15.75" x14ac:dyDescent="0.25">
      <c r="A98" s="110">
        <f t="shared" ref="A98:A103" si="28">+A97+1</f>
        <v>94</v>
      </c>
      <c r="B98" s="111" t="s">
        <v>283</v>
      </c>
      <c r="C98" s="112">
        <v>19962810</v>
      </c>
      <c r="D98" s="108"/>
      <c r="E98" s="108">
        <v>43350</v>
      </c>
      <c r="F98" s="109">
        <v>4299000</v>
      </c>
      <c r="G98" s="38">
        <f t="shared" si="23"/>
        <v>5537112</v>
      </c>
      <c r="H98" s="39">
        <f t="shared" si="24"/>
        <v>179125</v>
      </c>
      <c r="I98" s="96">
        <f t="shared" si="25"/>
        <v>51588</v>
      </c>
      <c r="J98" s="113">
        <v>24</v>
      </c>
      <c r="K98" s="113">
        <v>24</v>
      </c>
      <c r="L98" s="98">
        <f t="shared" si="26"/>
        <v>230713</v>
      </c>
      <c r="M98" s="41">
        <f t="shared" si="27"/>
        <v>5537112</v>
      </c>
      <c r="N98" s="41">
        <f t="shared" ref="N98:N102" si="29">+H98*K98</f>
        <v>4299000</v>
      </c>
      <c r="O98" s="81"/>
      <c r="P98" s="102" t="s">
        <v>289</v>
      </c>
    </row>
    <row r="99" spans="1:16" ht="15.75" x14ac:dyDescent="0.25">
      <c r="A99" s="110">
        <f t="shared" si="28"/>
        <v>95</v>
      </c>
      <c r="B99" s="106" t="s">
        <v>290</v>
      </c>
      <c r="C99" s="112">
        <v>19912056</v>
      </c>
      <c r="D99" s="108"/>
      <c r="E99" s="108">
        <v>43350</v>
      </c>
      <c r="F99" s="109">
        <v>4299000</v>
      </c>
      <c r="G99" s="38">
        <f t="shared" si="23"/>
        <v>5537112</v>
      </c>
      <c r="H99" s="39">
        <f t="shared" si="24"/>
        <v>179125</v>
      </c>
      <c r="I99" s="96">
        <f t="shared" si="25"/>
        <v>51588</v>
      </c>
      <c r="J99" s="113">
        <v>24</v>
      </c>
      <c r="K99" s="113">
        <v>24</v>
      </c>
      <c r="L99" s="98">
        <f t="shared" si="26"/>
        <v>230713</v>
      </c>
      <c r="M99" s="41">
        <f t="shared" si="27"/>
        <v>5537112</v>
      </c>
      <c r="N99" s="41">
        <f t="shared" si="29"/>
        <v>4299000</v>
      </c>
      <c r="O99" s="83"/>
      <c r="P99" s="72" t="s">
        <v>289</v>
      </c>
    </row>
    <row r="100" spans="1:16" ht="15.75" x14ac:dyDescent="0.25">
      <c r="A100" s="110">
        <f t="shared" si="28"/>
        <v>96</v>
      </c>
      <c r="B100" s="106" t="s">
        <v>291</v>
      </c>
      <c r="C100" s="112">
        <v>19901149</v>
      </c>
      <c r="D100" s="108"/>
      <c r="E100" s="108">
        <v>43350</v>
      </c>
      <c r="F100" s="109">
        <v>4500000</v>
      </c>
      <c r="G100" s="38">
        <f t="shared" si="23"/>
        <v>4986000</v>
      </c>
      <c r="H100" s="39">
        <f t="shared" si="24"/>
        <v>500000</v>
      </c>
      <c r="I100" s="96">
        <f t="shared" si="25"/>
        <v>54000</v>
      </c>
      <c r="J100" s="113">
        <v>9</v>
      </c>
      <c r="K100" s="113">
        <v>9</v>
      </c>
      <c r="L100" s="98">
        <f t="shared" si="26"/>
        <v>554000</v>
      </c>
      <c r="M100" s="41">
        <f t="shared" si="27"/>
        <v>4986000</v>
      </c>
      <c r="N100" s="41">
        <f t="shared" si="29"/>
        <v>4500000</v>
      </c>
      <c r="O100" s="83"/>
      <c r="P100" s="72" t="s">
        <v>292</v>
      </c>
    </row>
    <row r="101" spans="1:16" ht="15.75" x14ac:dyDescent="0.25">
      <c r="A101" s="110">
        <f t="shared" si="28"/>
        <v>97</v>
      </c>
      <c r="B101" s="111" t="s">
        <v>293</v>
      </c>
      <c r="C101" s="112">
        <v>19912787</v>
      </c>
      <c r="D101" s="108"/>
      <c r="E101" s="108">
        <v>43355</v>
      </c>
      <c r="F101" s="109">
        <v>4299000</v>
      </c>
      <c r="G101" s="38">
        <f t="shared" si="23"/>
        <v>5537112</v>
      </c>
      <c r="H101" s="39">
        <f t="shared" si="24"/>
        <v>179125</v>
      </c>
      <c r="I101" s="96">
        <f t="shared" si="25"/>
        <v>51588</v>
      </c>
      <c r="J101" s="113">
        <v>24</v>
      </c>
      <c r="K101" s="113">
        <v>24</v>
      </c>
      <c r="L101" s="98">
        <f t="shared" si="26"/>
        <v>230713</v>
      </c>
      <c r="M101" s="41">
        <f t="shared" si="27"/>
        <v>5537112</v>
      </c>
      <c r="N101" s="41">
        <f t="shared" si="29"/>
        <v>4299000</v>
      </c>
      <c r="O101" s="83"/>
      <c r="P101" s="72" t="s">
        <v>289</v>
      </c>
    </row>
    <row r="102" spans="1:16" ht="15.75" x14ac:dyDescent="0.25">
      <c r="A102" s="110">
        <f t="shared" si="28"/>
        <v>98</v>
      </c>
      <c r="B102" s="106" t="s">
        <v>294</v>
      </c>
      <c r="C102" s="112">
        <v>19980115</v>
      </c>
      <c r="D102" s="108"/>
      <c r="E102" s="108">
        <v>43360</v>
      </c>
      <c r="F102" s="109">
        <v>4299000</v>
      </c>
      <c r="G102" s="38">
        <f t="shared" si="23"/>
        <v>4918056</v>
      </c>
      <c r="H102" s="39">
        <f t="shared" si="24"/>
        <v>358250</v>
      </c>
      <c r="I102" s="96">
        <f t="shared" si="25"/>
        <v>51588</v>
      </c>
      <c r="J102" s="113">
        <v>12</v>
      </c>
      <c r="K102" s="113">
        <v>12</v>
      </c>
      <c r="L102" s="98">
        <f t="shared" si="26"/>
        <v>409838</v>
      </c>
      <c r="M102" s="41">
        <f t="shared" si="27"/>
        <v>4918056</v>
      </c>
      <c r="N102" s="41">
        <f t="shared" si="29"/>
        <v>4299000</v>
      </c>
      <c r="O102" s="83"/>
      <c r="P102" s="72" t="s">
        <v>289</v>
      </c>
    </row>
    <row r="103" spans="1:16" ht="15.75" x14ac:dyDescent="0.25">
      <c r="A103" s="110">
        <f t="shared" si="28"/>
        <v>99</v>
      </c>
      <c r="B103" s="106" t="s">
        <v>295</v>
      </c>
      <c r="C103" s="112">
        <v>975130</v>
      </c>
      <c r="D103" s="108"/>
      <c r="E103" s="108">
        <v>43360</v>
      </c>
      <c r="F103" s="109">
        <v>4999000</v>
      </c>
      <c r="G103" s="38">
        <f t="shared" si="23"/>
        <v>5719200</v>
      </c>
      <c r="H103" s="39">
        <f>476600-I103</f>
        <v>416612</v>
      </c>
      <c r="I103" s="96">
        <f t="shared" si="25"/>
        <v>59988</v>
      </c>
      <c r="J103" s="113">
        <v>12</v>
      </c>
      <c r="K103" s="113">
        <v>12</v>
      </c>
      <c r="L103" s="98">
        <f t="shared" si="26"/>
        <v>476600</v>
      </c>
      <c r="M103" s="41">
        <f t="shared" si="27"/>
        <v>5719200</v>
      </c>
      <c r="N103" s="68">
        <f>F103-(H103*0)</f>
        <v>4999000</v>
      </c>
      <c r="O103" s="83"/>
      <c r="P103" s="72" t="s">
        <v>296</v>
      </c>
    </row>
    <row r="104" spans="1:16" ht="15.75" x14ac:dyDescent="0.25">
      <c r="A104" s="114"/>
      <c r="B104" s="114"/>
      <c r="C104" s="114"/>
      <c r="D104" s="114"/>
      <c r="E104" s="114"/>
      <c r="F104" s="114"/>
      <c r="G104" s="59"/>
      <c r="H104" s="59"/>
      <c r="I104" s="115"/>
      <c r="J104" s="71"/>
      <c r="K104" s="67"/>
      <c r="L104" s="64"/>
      <c r="M104" s="41"/>
      <c r="N104" s="41"/>
      <c r="O104" s="41"/>
      <c r="P104" s="83"/>
    </row>
    <row r="105" spans="1:16" ht="15.75" x14ac:dyDescent="0.25">
      <c r="A105" s="114"/>
      <c r="B105" s="70" t="s">
        <v>8</v>
      </c>
      <c r="C105" s="114"/>
      <c r="D105" s="114"/>
      <c r="E105" s="114"/>
      <c r="F105" s="116">
        <f>SUM(F5:F104)</f>
        <v>341712000</v>
      </c>
      <c r="G105" s="116">
        <f t="shared" ref="G105:N105" si="30">SUM(G5:G104)</f>
        <v>394240340</v>
      </c>
      <c r="H105" s="116">
        <f t="shared" si="30"/>
        <v>28355021</v>
      </c>
      <c r="I105" s="116">
        <f t="shared" si="30"/>
        <v>4002744</v>
      </c>
      <c r="J105" s="116">
        <f t="shared" si="30"/>
        <v>1235</v>
      </c>
      <c r="K105" s="116">
        <f t="shared" si="30"/>
        <v>924</v>
      </c>
      <c r="L105" s="116">
        <f t="shared" si="30"/>
        <v>32357765</v>
      </c>
      <c r="M105" s="116">
        <f t="shared" si="30"/>
        <v>293922994</v>
      </c>
      <c r="N105" s="116">
        <f t="shared" si="30"/>
        <v>253448018</v>
      </c>
      <c r="O105" s="59"/>
      <c r="P105" s="8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2018-09-25T02:08:19Z</dcterms:created>
  <dcterms:modified xsi:type="dcterms:W3CDTF">2018-09-25T02:09:03Z</dcterms:modified>
</cp:coreProperties>
</file>