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640" windowHeight="10050"/>
  </bookViews>
  <sheets>
    <sheet name="dbt bkn agta" sheetId="1" r:id="rId1"/>
    <sheet name="PEL PIJ" sheetId="2" r:id="rId2"/>
    <sheet name="BUMIDA" sheetId="3" r:id="rId3"/>
    <sheet name="ANGS UMROH" sheetId="4" r:id="rId4"/>
    <sheet name="PJ BKN AGT RETAIL" sheetId="5" r:id="rId5"/>
    <sheet name="SUP DOKTR" sheetId="6" r:id="rId6"/>
    <sheet name="BY NOT" sheetId="7" r:id="rId7"/>
    <sheet name="RELIANCE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7">RELIANCE!$A$1:$P$18</definedName>
  </definedNames>
  <calcPr calcId="144525"/>
</workbook>
</file>

<file path=xl/calcChain.xml><?xml version="1.0" encoding="utf-8"?>
<calcChain xmlns="http://schemas.openxmlformats.org/spreadsheetml/2006/main">
  <c r="K17" i="7"/>
  <c r="J17"/>
  <c r="L15"/>
  <c r="M15" s="1"/>
  <c r="N13"/>
  <c r="L11"/>
  <c r="M11" s="1"/>
  <c r="H15"/>
  <c r="N15" s="1"/>
  <c r="H14"/>
  <c r="N14" s="1"/>
  <c r="H13"/>
  <c r="L13" s="1"/>
  <c r="H12"/>
  <c r="L12" s="1"/>
  <c r="H11"/>
  <c r="N11" s="1"/>
  <c r="H10"/>
  <c r="N10" s="1"/>
  <c r="H8"/>
  <c r="N8" s="1"/>
  <c r="F10"/>
  <c r="F9"/>
  <c r="H9" s="1"/>
  <c r="F8"/>
  <c r="J12" i="5"/>
  <c r="I12"/>
  <c r="E12"/>
  <c r="G10"/>
  <c r="M10" s="1"/>
  <c r="G9"/>
  <c r="K9" s="1"/>
  <c r="F9" s="1"/>
  <c r="G8"/>
  <c r="M8" s="1"/>
  <c r="G7"/>
  <c r="K7" s="1"/>
  <c r="G6"/>
  <c r="G12" s="1"/>
  <c r="A6"/>
  <c r="A7" s="1"/>
  <c r="A8" s="1"/>
  <c r="A9" s="1"/>
  <c r="A10" s="1"/>
  <c r="M5"/>
  <c r="H5"/>
  <c r="H12" s="1"/>
  <c r="M12" i="7" l="1"/>
  <c r="G12"/>
  <c r="L9"/>
  <c r="N9"/>
  <c r="M13"/>
  <c r="G13"/>
  <c r="L8"/>
  <c r="N12"/>
  <c r="G11"/>
  <c r="G15"/>
  <c r="L10"/>
  <c r="L14"/>
  <c r="L7" i="5"/>
  <c r="F7"/>
  <c r="M7"/>
  <c r="M9"/>
  <c r="K5"/>
  <c r="F5" s="1"/>
  <c r="L5"/>
  <c r="K6"/>
  <c r="M6"/>
  <c r="K8"/>
  <c r="L9"/>
  <c r="K10"/>
  <c r="A18" i="4"/>
  <c r="A19" s="1"/>
  <c r="A20" s="1"/>
  <c r="J13"/>
  <c r="R11"/>
  <c r="F11"/>
  <c r="I11" s="1"/>
  <c r="H11" s="1"/>
  <c r="L11" s="1"/>
  <c r="R10"/>
  <c r="K10"/>
  <c r="F10"/>
  <c r="R9"/>
  <c r="F9"/>
  <c r="I9" s="1"/>
  <c r="H9" s="1"/>
  <c r="R8"/>
  <c r="K8"/>
  <c r="F8"/>
  <c r="N8" s="1"/>
  <c r="Q8" s="1"/>
  <c r="S8" s="1"/>
  <c r="R7"/>
  <c r="F7"/>
  <c r="N7" s="1"/>
  <c r="Q7" s="1"/>
  <c r="S7" s="1"/>
  <c r="R6"/>
  <c r="H6"/>
  <c r="F6"/>
  <c r="I6" s="1"/>
  <c r="A6"/>
  <c r="A7" s="1"/>
  <c r="A8" s="1"/>
  <c r="A9" s="1"/>
  <c r="A10" s="1"/>
  <c r="A11" s="1"/>
  <c r="R5"/>
  <c r="F5"/>
  <c r="I5" s="1"/>
  <c r="G10" i="7" l="1"/>
  <c r="M10"/>
  <c r="M8"/>
  <c r="G8"/>
  <c r="M9"/>
  <c r="G9"/>
  <c r="M14"/>
  <c r="G14"/>
  <c r="M12" i="5"/>
  <c r="L10"/>
  <c r="F10"/>
  <c r="F8"/>
  <c r="L8"/>
  <c r="F6"/>
  <c r="L6"/>
  <c r="L12" s="1"/>
  <c r="K12"/>
  <c r="H5" i="4"/>
  <c r="L5" s="1"/>
  <c r="L6"/>
  <c r="I8"/>
  <c r="L8" s="1"/>
  <c r="K13"/>
  <c r="R13"/>
  <c r="L9"/>
  <c r="N9"/>
  <c r="Q9" s="1"/>
  <c r="S9" s="1"/>
  <c r="M5"/>
  <c r="G5"/>
  <c r="M6"/>
  <c r="G6"/>
  <c r="M11"/>
  <c r="G11"/>
  <c r="M8"/>
  <c r="G8"/>
  <c r="N5"/>
  <c r="I10"/>
  <c r="H10" s="1"/>
  <c r="L10" s="1"/>
  <c r="G10" s="1"/>
  <c r="I7"/>
  <c r="L7" s="1"/>
  <c r="M10"/>
  <c r="N11"/>
  <c r="Q11" s="1"/>
  <c r="S11" s="1"/>
  <c r="F13"/>
  <c r="N6"/>
  <c r="Q6" s="1"/>
  <c r="S6" s="1"/>
  <c r="F12" i="5" l="1"/>
  <c r="H13" i="4"/>
  <c r="N10"/>
  <c r="Q10" s="1"/>
  <c r="S10" s="1"/>
  <c r="G7"/>
  <c r="M7"/>
  <c r="Q5"/>
  <c r="N13"/>
  <c r="L13"/>
  <c r="M9"/>
  <c r="G9"/>
  <c r="I13"/>
  <c r="M13"/>
  <c r="G13" l="1"/>
  <c r="Q13"/>
  <c r="S5"/>
  <c r="S13" s="1"/>
  <c r="I7" i="6" l="1"/>
  <c r="E7"/>
  <c r="Q5"/>
  <c r="J5"/>
  <c r="J7" s="1"/>
  <c r="H5"/>
  <c r="H7" s="1"/>
  <c r="A5"/>
  <c r="G5" l="1"/>
  <c r="K5" l="1"/>
  <c r="M5"/>
  <c r="G7"/>
  <c r="F5" l="1"/>
  <c r="F7" s="1"/>
  <c r="L5"/>
  <c r="L7" s="1"/>
  <c r="K7"/>
  <c r="P5"/>
  <c r="R5" s="1"/>
  <c r="M7"/>
  <c r="J18" i="8" l="1"/>
  <c r="I18"/>
  <c r="H16"/>
  <c r="L16" s="1"/>
  <c r="F16"/>
  <c r="L15"/>
  <c r="M15" s="1"/>
  <c r="F15"/>
  <c r="N15" s="1"/>
  <c r="F14"/>
  <c r="H14" s="1"/>
  <c r="K13"/>
  <c r="K18" s="1"/>
  <c r="F13"/>
  <c r="H13" s="1"/>
  <c r="L13" s="1"/>
  <c r="G13" s="1"/>
  <c r="F12"/>
  <c r="H12" s="1"/>
  <c r="F11"/>
  <c r="H11" s="1"/>
  <c r="F10"/>
  <c r="H10" s="1"/>
  <c r="L9"/>
  <c r="M9" s="1"/>
  <c r="F9"/>
  <c r="N9" s="1"/>
  <c r="H8"/>
  <c r="L8" s="1"/>
  <c r="F8"/>
  <c r="F7"/>
  <c r="H7" s="1"/>
  <c r="L7" s="1"/>
  <c r="F6"/>
  <c r="F5"/>
  <c r="H5" s="1"/>
  <c r="L5" s="1"/>
  <c r="A5"/>
  <c r="A6" s="1"/>
  <c r="A7" s="1"/>
  <c r="A8" s="1"/>
  <c r="A9" s="1"/>
  <c r="A10" s="1"/>
  <c r="A11" s="1"/>
  <c r="A12" s="1"/>
  <c r="A13" s="1"/>
  <c r="A14" s="1"/>
  <c r="A15" s="1"/>
  <c r="A16" s="1"/>
  <c r="N16" l="1"/>
  <c r="G8"/>
  <c r="M8"/>
  <c r="M16"/>
  <c r="G16"/>
  <c r="N11"/>
  <c r="L11"/>
  <c r="M11" s="1"/>
  <c r="N8"/>
  <c r="F18"/>
  <c r="M7"/>
  <c r="G7"/>
  <c r="M5"/>
  <c r="G5"/>
  <c r="L10"/>
  <c r="N10"/>
  <c r="N14"/>
  <c r="L14"/>
  <c r="N12"/>
  <c r="L12"/>
  <c r="G9"/>
  <c r="G15"/>
  <c r="H6"/>
  <c r="G11"/>
  <c r="M13"/>
  <c r="N5"/>
  <c r="N7"/>
  <c r="N13"/>
  <c r="N6" l="1"/>
  <c r="L6"/>
  <c r="M10"/>
  <c r="G10"/>
  <c r="M12"/>
  <c r="G12"/>
  <c r="G14"/>
  <c r="M14"/>
  <c r="H18"/>
  <c r="G6" l="1"/>
  <c r="G18" s="1"/>
  <c r="M6"/>
  <c r="M18" s="1"/>
  <c r="L18"/>
  <c r="N18"/>
  <c r="J9" i="3" l="1"/>
  <c r="I9"/>
  <c r="H9"/>
  <c r="F9"/>
  <c r="R6"/>
  <c r="R9" s="1"/>
  <c r="N6"/>
  <c r="N9" s="1"/>
  <c r="L6"/>
  <c r="G6" s="1"/>
  <c r="G9" s="1"/>
  <c r="K6"/>
  <c r="M6" s="1"/>
  <c r="M9" s="1"/>
  <c r="Q6" l="1"/>
  <c r="S6" s="1"/>
  <c r="S9" s="1"/>
  <c r="L9"/>
  <c r="K9"/>
  <c r="Q9"/>
  <c r="F7" i="7" l="1"/>
  <c r="I7" s="1"/>
  <c r="L7" s="1"/>
  <c r="F6"/>
  <c r="H6" s="1"/>
  <c r="A6"/>
  <c r="A7" s="1"/>
  <c r="A8" s="1"/>
  <c r="A9" s="1"/>
  <c r="A10" s="1"/>
  <c r="A11" s="1"/>
  <c r="A12" s="1"/>
  <c r="A13" s="1"/>
  <c r="A14" s="1"/>
  <c r="A15" s="1"/>
  <c r="F5"/>
  <c r="I5" l="1"/>
  <c r="I17" s="1"/>
  <c r="F17"/>
  <c r="H5"/>
  <c r="H17" s="1"/>
  <c r="I6"/>
  <c r="N6"/>
  <c r="L6"/>
  <c r="M7"/>
  <c r="G7"/>
  <c r="N5"/>
  <c r="N7"/>
  <c r="N17" l="1"/>
  <c r="L5"/>
  <c r="L17" s="1"/>
  <c r="M5"/>
  <c r="G5"/>
  <c r="M6"/>
  <c r="G6"/>
  <c r="M17" l="1"/>
  <c r="G17"/>
  <c r="K7" i="2"/>
  <c r="J7"/>
  <c r="I7"/>
  <c r="F7"/>
  <c r="R5"/>
  <c r="R7" s="1"/>
  <c r="L5"/>
  <c r="G5" s="1"/>
  <c r="G7" s="1"/>
  <c r="H5"/>
  <c r="N5" s="1"/>
  <c r="H7" l="1"/>
  <c r="M5"/>
  <c r="M7" s="1"/>
  <c r="N7"/>
  <c r="Q5"/>
  <c r="L7"/>
  <c r="S5" l="1"/>
  <c r="S7" s="1"/>
  <c r="Q7"/>
  <c r="J59" i="1" l="1"/>
  <c r="Q57"/>
  <c r="R57" s="1"/>
  <c r="L57"/>
  <c r="G57" s="1"/>
  <c r="H57"/>
  <c r="N57" s="1"/>
  <c r="R56"/>
  <c r="Q56"/>
  <c r="H56"/>
  <c r="N56" s="1"/>
  <c r="Q55"/>
  <c r="R55" s="1"/>
  <c r="L55"/>
  <c r="G55" s="1"/>
  <c r="H55"/>
  <c r="N55" s="1"/>
  <c r="R54"/>
  <c r="Q54"/>
  <c r="H54"/>
  <c r="N54" s="1"/>
  <c r="Q53"/>
  <c r="R53" s="1"/>
  <c r="L53"/>
  <c r="G53" s="1"/>
  <c r="H53"/>
  <c r="N53" s="1"/>
  <c r="R52"/>
  <c r="Q52"/>
  <c r="H52"/>
  <c r="N52" s="1"/>
  <c r="Q51"/>
  <c r="R51" s="1"/>
  <c r="L51"/>
  <c r="G51" s="1"/>
  <c r="H51"/>
  <c r="N51" s="1"/>
  <c r="R50"/>
  <c r="Q50"/>
  <c r="H50"/>
  <c r="N50" s="1"/>
  <c r="Q49"/>
  <c r="R49" s="1"/>
  <c r="L49"/>
  <c r="G49" s="1"/>
  <c r="H49"/>
  <c r="N49" s="1"/>
  <c r="R48"/>
  <c r="Q48"/>
  <c r="H48"/>
  <c r="N48" s="1"/>
  <c r="Q47"/>
  <c r="R47" s="1"/>
  <c r="L47"/>
  <c r="G47" s="1"/>
  <c r="H47"/>
  <c r="N47" s="1"/>
  <c r="R46"/>
  <c r="Q46"/>
  <c r="H46"/>
  <c r="N46" s="1"/>
  <c r="Q45"/>
  <c r="R45" s="1"/>
  <c r="L45"/>
  <c r="G45" s="1"/>
  <c r="H45"/>
  <c r="N45" s="1"/>
  <c r="R44"/>
  <c r="Q44"/>
  <c r="H44"/>
  <c r="N44" s="1"/>
  <c r="Q43"/>
  <c r="R43" s="1"/>
  <c r="L43"/>
  <c r="G43" s="1"/>
  <c r="H43"/>
  <c r="N43" s="1"/>
  <c r="R42"/>
  <c r="Q42"/>
  <c r="H42"/>
  <c r="N42" s="1"/>
  <c r="Q41"/>
  <c r="R41" s="1"/>
  <c r="L41"/>
  <c r="G41" s="1"/>
  <c r="H41"/>
  <c r="N41" s="1"/>
  <c r="R40"/>
  <c r="Q40"/>
  <c r="H40"/>
  <c r="N40" s="1"/>
  <c r="Q39"/>
  <c r="R39" s="1"/>
  <c r="L39"/>
  <c r="G39" s="1"/>
  <c r="H39"/>
  <c r="N39" s="1"/>
  <c r="R38"/>
  <c r="Q38"/>
  <c r="H38"/>
  <c r="N38" s="1"/>
  <c r="Q37"/>
  <c r="R37" s="1"/>
  <c r="L37"/>
  <c r="G37" s="1"/>
  <c r="H37"/>
  <c r="N37" s="1"/>
  <c r="R36"/>
  <c r="Q36"/>
  <c r="H36"/>
  <c r="N36" s="1"/>
  <c r="Q35"/>
  <c r="R35" s="1"/>
  <c r="L35"/>
  <c r="G35" s="1"/>
  <c r="H35"/>
  <c r="N35" s="1"/>
  <c r="R34"/>
  <c r="Q34"/>
  <c r="H34"/>
  <c r="N34" s="1"/>
  <c r="Q33"/>
  <c r="R33" s="1"/>
  <c r="L33"/>
  <c r="G33" s="1"/>
  <c r="H33"/>
  <c r="N33" s="1"/>
  <c r="R32"/>
  <c r="Q32"/>
  <c r="H32"/>
  <c r="N32" s="1"/>
  <c r="Q31"/>
  <c r="R31" s="1"/>
  <c r="L31"/>
  <c r="G31" s="1"/>
  <c r="H31"/>
  <c r="N31" s="1"/>
  <c r="R30"/>
  <c r="Q30"/>
  <c r="H30"/>
  <c r="N30" s="1"/>
  <c r="Q29"/>
  <c r="R29" s="1"/>
  <c r="L29"/>
  <c r="G29" s="1"/>
  <c r="H29"/>
  <c r="N29" s="1"/>
  <c r="R28"/>
  <c r="Q28"/>
  <c r="H28"/>
  <c r="N28" s="1"/>
  <c r="Q27"/>
  <c r="R27" s="1"/>
  <c r="K27"/>
  <c r="N27" s="1"/>
  <c r="F27"/>
  <c r="I27" s="1"/>
  <c r="L27" s="1"/>
  <c r="Q26"/>
  <c r="R26" s="1"/>
  <c r="H26"/>
  <c r="L26" s="1"/>
  <c r="Q25"/>
  <c r="R25" s="1"/>
  <c r="H25"/>
  <c r="L25" s="1"/>
  <c r="Q24"/>
  <c r="R24" s="1"/>
  <c r="H24"/>
  <c r="L24" s="1"/>
  <c r="Q23"/>
  <c r="R23" s="1"/>
  <c r="H23"/>
  <c r="L23" s="1"/>
  <c r="Q22"/>
  <c r="R22" s="1"/>
  <c r="H22"/>
  <c r="L22" s="1"/>
  <c r="Q21"/>
  <c r="R21" s="1"/>
  <c r="H21"/>
  <c r="L21" s="1"/>
  <c r="Q20"/>
  <c r="R20" s="1"/>
  <c r="H20"/>
  <c r="L20" s="1"/>
  <c r="Q19"/>
  <c r="R19" s="1"/>
  <c r="H19"/>
  <c r="L19" s="1"/>
  <c r="Q18"/>
  <c r="R18" s="1"/>
  <c r="H18"/>
  <c r="L18" s="1"/>
  <c r="Q17"/>
  <c r="R17" s="1"/>
  <c r="H17"/>
  <c r="L17" s="1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Q16"/>
  <c r="R16" s="1"/>
  <c r="H16"/>
  <c r="L16" s="1"/>
  <c r="G16" s="1"/>
  <c r="R15"/>
  <c r="F15"/>
  <c r="N15" s="1"/>
  <c r="Q15" s="1"/>
  <c r="S15" s="1"/>
  <c r="R14"/>
  <c r="K14"/>
  <c r="H14"/>
  <c r="N14" s="1"/>
  <c r="Q14" s="1"/>
  <c r="S14" s="1"/>
  <c r="F14"/>
  <c r="I14" s="1"/>
  <c r="R13"/>
  <c r="K13"/>
  <c r="N13" s="1"/>
  <c r="Q13" s="1"/>
  <c r="S13" s="1"/>
  <c r="F13"/>
  <c r="I13" s="1"/>
  <c r="L13" s="1"/>
  <c r="R12"/>
  <c r="H12"/>
  <c r="N12" s="1"/>
  <c r="Q12" s="1"/>
  <c r="S12" s="1"/>
  <c r="R11"/>
  <c r="N11"/>
  <c r="Q11" s="1"/>
  <c r="S11" s="1"/>
  <c r="L11"/>
  <c r="G11" s="1"/>
  <c r="H11"/>
  <c r="R10"/>
  <c r="N10"/>
  <c r="Q10" s="1"/>
  <c r="K10"/>
  <c r="H10"/>
  <c r="F10"/>
  <c r="I10" s="1"/>
  <c r="R9"/>
  <c r="F9"/>
  <c r="I9" s="1"/>
  <c r="L9" s="1"/>
  <c r="R8"/>
  <c r="K8"/>
  <c r="K59" s="1"/>
  <c r="F8"/>
  <c r="I8" s="1"/>
  <c r="R7"/>
  <c r="H7"/>
  <c r="L7" s="1"/>
  <c r="R6"/>
  <c r="H6"/>
  <c r="N6" s="1"/>
  <c r="Q6" s="1"/>
  <c r="S6" s="1"/>
  <c r="A6"/>
  <c r="A7" s="1"/>
  <c r="A8" s="1"/>
  <c r="A9" s="1"/>
  <c r="A10" s="1"/>
  <c r="A11" s="1"/>
  <c r="A12" s="1"/>
  <c r="A13" s="1"/>
  <c r="A14" s="1"/>
  <c r="A15" s="1"/>
  <c r="R5"/>
  <c r="F5"/>
  <c r="H5" s="1"/>
  <c r="L6" l="1"/>
  <c r="M6" s="1"/>
  <c r="N9"/>
  <c r="Q9" s="1"/>
  <c r="S9" s="1"/>
  <c r="S10"/>
  <c r="M11"/>
  <c r="L12"/>
  <c r="M12" s="1"/>
  <c r="I15"/>
  <c r="L15" s="1"/>
  <c r="L28"/>
  <c r="M29"/>
  <c r="L30"/>
  <c r="M31"/>
  <c r="L32"/>
  <c r="M33"/>
  <c r="L34"/>
  <c r="M35"/>
  <c r="L36"/>
  <c r="M37"/>
  <c r="L38"/>
  <c r="M39"/>
  <c r="L40"/>
  <c r="M41"/>
  <c r="L42"/>
  <c r="M43"/>
  <c r="L44"/>
  <c r="M45"/>
  <c r="L46"/>
  <c r="M47"/>
  <c r="L48"/>
  <c r="M49"/>
  <c r="L50"/>
  <c r="M51"/>
  <c r="L52"/>
  <c r="M53"/>
  <c r="L54"/>
  <c r="M55"/>
  <c r="L56"/>
  <c r="M57"/>
  <c r="L10"/>
  <c r="G20"/>
  <c r="M20"/>
  <c r="G24"/>
  <c r="M24"/>
  <c r="G7"/>
  <c r="M7"/>
  <c r="M17"/>
  <c r="G17"/>
  <c r="N17" s="1"/>
  <c r="M19"/>
  <c r="G19"/>
  <c r="G21"/>
  <c r="M21"/>
  <c r="M23"/>
  <c r="G23"/>
  <c r="G25"/>
  <c r="M25"/>
  <c r="M27"/>
  <c r="G27"/>
  <c r="M9"/>
  <c r="G9"/>
  <c r="G10"/>
  <c r="M10"/>
  <c r="M18"/>
  <c r="G18"/>
  <c r="M22"/>
  <c r="G22"/>
  <c r="G26"/>
  <c r="M26"/>
  <c r="M15"/>
  <c r="G15"/>
  <c r="N5"/>
  <c r="L5"/>
  <c r="H59"/>
  <c r="I59"/>
  <c r="L8"/>
  <c r="G8" s="1"/>
  <c r="G13"/>
  <c r="M13"/>
  <c r="F59"/>
  <c r="N7"/>
  <c r="Q7" s="1"/>
  <c r="S7" s="1"/>
  <c r="L14"/>
  <c r="N19"/>
  <c r="N20"/>
  <c r="N21"/>
  <c r="N24"/>
  <c r="N25"/>
  <c r="N26"/>
  <c r="G6"/>
  <c r="N8"/>
  <c r="Q8" s="1"/>
  <c r="S8" s="1"/>
  <c r="G12"/>
  <c r="M16"/>
  <c r="N16"/>
  <c r="N18"/>
  <c r="N22"/>
  <c r="N23"/>
  <c r="M8"/>
  <c r="G56" l="1"/>
  <c r="M56"/>
  <c r="G54"/>
  <c r="M54"/>
  <c r="G52"/>
  <c r="M52"/>
  <c r="G50"/>
  <c r="M50"/>
  <c r="G48"/>
  <c r="M48"/>
  <c r="G46"/>
  <c r="M46"/>
  <c r="G44"/>
  <c r="M44"/>
  <c r="G42"/>
  <c r="M42"/>
  <c r="G40"/>
  <c r="M40"/>
  <c r="G38"/>
  <c r="M38"/>
  <c r="G36"/>
  <c r="M36"/>
  <c r="G34"/>
  <c r="M34"/>
  <c r="G32"/>
  <c r="M32"/>
  <c r="G30"/>
  <c r="M30"/>
  <c r="G28"/>
  <c r="M28"/>
  <c r="Q5"/>
  <c r="S5" s="1"/>
  <c r="N59"/>
  <c r="M14"/>
  <c r="G14"/>
  <c r="G5"/>
  <c r="G59" s="1"/>
  <c r="L59"/>
  <c r="M5"/>
  <c r="M59" s="1"/>
</calcChain>
</file>

<file path=xl/sharedStrings.xml><?xml version="1.0" encoding="utf-8"?>
<sst xmlns="http://schemas.openxmlformats.org/spreadsheetml/2006/main" count="519" uniqueCount="224">
  <si>
    <t>KOPERASI KARYAWAN BCA " MITRA SEJAHTERA " SURABAYA</t>
  </si>
  <si>
    <t>DAFTAR PINJAMAN NORMATIF LAIN-LAIN TGL 01-24 JULI 2018 (UPLOAD)</t>
  </si>
  <si>
    <t>NO.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</si>
  <si>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</si>
  <si>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</si>
  <si>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</si>
  <si>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</si>
  <si>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</si>
  <si>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</si>
  <si>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</si>
  <si>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</si>
  <si>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</si>
  <si>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</si>
  <si>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</si>
  <si>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</si>
  <si>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</si>
  <si>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</si>
  <si>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</si>
  <si>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</si>
  <si>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</si>
  <si>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</si>
  <si>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</si>
  <si>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</si>
  <si>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</si>
  <si>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</si>
  <si>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</si>
  <si>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RECOVERY</t>
  </si>
  <si>
    <t>ASMARANI PRIHAMDINI</t>
  </si>
  <si>
    <t>006631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</si>
  <si>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</si>
  <si>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</si>
  <si>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</si>
  <si>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</si>
  <si>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</si>
  <si>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</si>
  <si>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</si>
  <si>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</si>
  <si>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</si>
  <si>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</si>
  <si>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</si>
  <si>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010211</t>
  </si>
  <si>
    <t>SATPAM GUN BCA DARMO</t>
  </si>
  <si>
    <t>YAMAHA ALL NEW VXN</t>
  </si>
  <si>
    <t>KUSWANDI</t>
  </si>
  <si>
    <t>900835</t>
  </si>
  <si>
    <t>002349</t>
  </si>
  <si>
    <t>AGT LUAR BIASA</t>
  </si>
  <si>
    <t>PIJ NORM TMBHAN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</si>
  <si>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</si>
  <si>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</si>
  <si>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</si>
  <si>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</si>
  <si>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</si>
  <si>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</si>
  <si>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</si>
  <si>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</si>
  <si>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</si>
  <si>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</si>
  <si>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</si>
  <si>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</si>
  <si>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</si>
  <si>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</si>
  <si>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WAWAN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</si>
  <si>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</si>
  <si>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</si>
  <si>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</si>
  <si>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</si>
  <si>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</si>
  <si>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</si>
  <si>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</si>
  <si>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</si>
  <si>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</si>
  <si>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</si>
  <si>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</si>
  <si>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</si>
  <si>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</si>
  <si>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</si>
  <si>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</si>
  <si>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EKSP HR MUH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</si>
  <si>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</si>
  <si>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</si>
  <si>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</si>
  <si>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</si>
  <si>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</si>
  <si>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</si>
  <si>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</si>
  <si>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KCP KREMBANGAN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</si>
  <si>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</si>
  <si>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</si>
  <si>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</si>
  <si>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</si>
  <si>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</si>
  <si>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</si>
  <si>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</si>
  <si>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</si>
  <si>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</si>
  <si>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</si>
  <si>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</si>
  <si>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DAFTAR PINJAMAN PELUNASAN TGL 01-24 JULI 2018 (UPLOAD)</t>
  </si>
  <si>
    <t>MUJIANA</t>
  </si>
  <si>
    <t>921870</t>
  </si>
  <si>
    <t>KFCC SURABAYA</t>
  </si>
  <si>
    <t>BIAYA PROVISI</t>
  </si>
  <si>
    <t>DAFTAR DEBET BIAYA NOTARIS  TGL 01-24 JULI 2018 (UPLOAD)</t>
  </si>
  <si>
    <t>NO</t>
  </si>
  <si>
    <t>FORM</t>
  </si>
  <si>
    <t>GATOT SUMARSONO</t>
  </si>
  <si>
    <t>973142</t>
  </si>
  <si>
    <t>STAF SR ADM BCA SDA</t>
  </si>
  <si>
    <t>BIAYA NOTARIS</t>
  </si>
  <si>
    <t>GIGIH SRI HANDAYANI</t>
  </si>
  <si>
    <t>899886</t>
  </si>
  <si>
    <t>KABAG OPS BCA MAYJEND</t>
  </si>
  <si>
    <t>DJOKO PRIYO UTOMO</t>
  </si>
  <si>
    <t>900257</t>
  </si>
  <si>
    <t>002677</t>
  </si>
  <si>
    <t>KABAG OPS BCA RUNGKUT</t>
  </si>
  <si>
    <t>BIAYA NOTARIS PIJ DILUAR NORM</t>
  </si>
  <si>
    <t>KOPERASI KARYAWAN BCA MITRA SEJAHTERA</t>
  </si>
  <si>
    <t>DAFTAR PENDEBETAN PREMI BUMIDA PINJAMAN DILUAR NORMATIF TGL 01-24 JULI 2018 (UPLOAD)</t>
  </si>
  <si>
    <t>CABANG</t>
  </si>
  <si>
    <t>KET</t>
  </si>
  <si>
    <t>FORMULIR</t>
  </si>
  <si>
    <t>AGUSTINA SUSANTI</t>
  </si>
  <si>
    <t>PREMI BUMIDA PINJ DILUAR NOR</t>
  </si>
  <si>
    <t>DAFTAR PINJAMAN ASURANSI MOTOR NORMATIF  TGL 01-24 JULI 2018 (UPLOAD)</t>
  </si>
  <si>
    <t>DINDA AYU PRANITA</t>
  </si>
  <si>
    <t>063483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</si>
  <si>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</si>
  <si>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</si>
  <si>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</si>
  <si>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</si>
  <si>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</si>
  <si>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</si>
  <si>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</si>
  <si>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</si>
  <si>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</si>
  <si>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</si>
  <si>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</si>
  <si>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</si>
  <si>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</si>
  <si>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</si>
  <si>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</si>
  <si>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</si>
  <si>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</si>
  <si>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</si>
  <si>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</si>
  <si>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</si>
  <si>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</si>
  <si>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</si>
  <si>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</si>
  <si>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</si>
  <si>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</si>
  <si>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</si>
  <si>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</si>
  <si>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</si>
  <si>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</si>
  <si>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</si>
  <si>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</si>
  <si>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</si>
  <si>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</si>
  <si>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</si>
  <si>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</si>
  <si>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</si>
  <si>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HAMZAH FANSURI</t>
  </si>
  <si>
    <t>974430</t>
  </si>
  <si>
    <t>002705</t>
  </si>
  <si>
    <t>STAF BCA NGAGEL JAYA</t>
  </si>
  <si>
    <t>ASURANSI MOTOR RELIANCE</t>
  </si>
  <si>
    <t>TJATUR IDA HARIYATI</t>
  </si>
  <si>
    <t>903213</t>
  </si>
  <si>
    <t>010793</t>
  </si>
  <si>
    <t>BCA GALAXY</t>
  </si>
  <si>
    <t>DAFTAR PINJAMAN DILUAR NORMATIF SUPPLIER DOKTER KOPERASI  TGL 01-24 JULI 2018 (UPLOAD)</t>
  </si>
  <si>
    <t>SUNARYO, DRg</t>
  </si>
  <si>
    <t>DILUAR NOR SUPPLIER KOP</t>
  </si>
  <si>
    <t>DAFTAR PINJAMAN UMROH TGL 01-24 JULI 2018 (UPLOAD)</t>
  </si>
  <si>
    <t>NO FORM</t>
  </si>
  <si>
    <t>010268</t>
  </si>
  <si>
    <t>BIAYA PENGURUSAN PASPOR</t>
  </si>
  <si>
    <t>BIAYA UMROH PLUS</t>
  </si>
  <si>
    <t>ERMYN SOESY W</t>
  </si>
  <si>
    <t>900265</t>
  </si>
  <si>
    <t>002095</t>
  </si>
  <si>
    <t>002124</t>
  </si>
  <si>
    <t>STAF BO KTR KAS BCA MERR</t>
  </si>
  <si>
    <t>ANDRIYANTO</t>
  </si>
  <si>
    <t>940715</t>
  </si>
  <si>
    <t>010650</t>
  </si>
  <si>
    <t>SLK KW3 DARMO</t>
  </si>
  <si>
    <t>PENGURUSAN PASPOR UMROH</t>
  </si>
  <si>
    <t>POT APRIL'19</t>
  </si>
  <si>
    <t>POT THR'18</t>
  </si>
  <si>
    <t>POT TAT'18</t>
  </si>
  <si>
    <t>2160032076</t>
  </si>
  <si>
    <t>DAFTAR PINJAMAN DEBET RETAIL BUKAN ANGGOTA TGL 01-24 JULI 2018 (UPLOAD)</t>
  </si>
  <si>
    <t>DYAH</t>
  </si>
  <si>
    <t>091117</t>
  </si>
  <si>
    <t xml:space="preserve">Pulsa Simpati 100 &amp; 50 Rb, Axis 100 &amp; 50 Rb </t>
  </si>
  <si>
    <t>DYAH NATALIA</t>
  </si>
  <si>
    <t>CYNTHIA KARTIKA T</t>
  </si>
  <si>
    <t>864327</t>
  </si>
  <si>
    <t>Tag PDAM Sby bln Juli'18 a.n Fredericus Teguh P</t>
  </si>
  <si>
    <t>Tag. PLN bln Juli'18 a.n Agus Yutono</t>
  </si>
  <si>
    <t>INDRA NINGSIH</t>
  </si>
  <si>
    <t>964143</t>
  </si>
  <si>
    <t>Tag. PLN bln Juli'18  a.n Tjipto Rahardjo</t>
  </si>
  <si>
    <t>INDRA NINGSIH W</t>
  </si>
  <si>
    <t>Tag. PDAM-SDA bln Juni'18 a.n Indra Ningsih</t>
  </si>
  <si>
    <t>Tag.Telkom bln Juli'18 a.n Tjipto Rahardjo</t>
  </si>
  <si>
    <t>FINDRA K</t>
  </si>
  <si>
    <t>SUKAMTO</t>
  </si>
  <si>
    <t>HENRY SETYO</t>
  </si>
  <si>
    <t>NOENIK DYAH SURYANI</t>
  </si>
  <si>
    <t>DJUWADI</t>
  </si>
  <si>
    <t>VERY MARDA</t>
  </si>
  <si>
    <t>SAHAT MARULI</t>
  </si>
  <si>
    <t>903080</t>
  </si>
  <si>
    <t>910552</t>
  </si>
  <si>
    <t>911094</t>
  </si>
  <si>
    <t>970240</t>
  </si>
  <si>
    <t>973179</t>
  </si>
  <si>
    <t>973845</t>
  </si>
  <si>
    <t>975105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</si>
</sst>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_);_(* \(#,##0.00\);_(* &quot;-&quot;_);_(@_)"/>
    <numFmt numFmtId="167" formatCode="[$-421]dd\ mmmm\ yyyy;@"/>
    <numFmt numFmtId="168" formatCode="_([$Rp-421]* #,##0_);_([$Rp-421]* \(#,##0\);_([$Rp-421]* &quot;-&quot;_);_(@_)"/>
    <numFmt numFmtId="169" formatCode="_([$Rp-421]* #,##0.00_);_([$Rp-421]* \(#,##0.00\);_([$Rp-421]* &quot;-&quot;_);_(@_)"/>
    <numFmt numFmtId="170" formatCode="_(&quot;Rp&quot;* #,##0.00_);_(&quot;Rp&quot;* \(#,##0.00\);_(&quot;Rp&quot;* &quot;-&quot;_);_(@_)"/>
  </numFmts>
  <fonts count="2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name val="Calibri"/>
      <family val="2"/>
      <charset val="1"/>
      <scheme val="minor"/>
    </font>
    <font>
      <sz val="8"/>
      <color indexed="8"/>
      <name val="Times New Roman"/>
      <family val="1"/>
    </font>
    <font>
      <sz val="14"/>
      <color theme="1"/>
      <name val="Calibri"/>
      <family val="2"/>
      <scheme val="minor"/>
    </font>
    <font>
      <sz val="11"/>
      <name val="Times New Roman"/>
      <family val="1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12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  <xf numFmtId="0" fontId="11" fillId="0" borderId="0"/>
    <xf numFmtId="0" fontId="10" fillId="0" borderId="0"/>
    <xf numFmtId="0" fontId="11" fillId="0" borderId="0"/>
  </cellStyleXfs>
  <cellXfs count="305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quotePrefix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/>
    </xf>
    <xf numFmtId="39" fontId="3" fillId="2" borderId="7" xfId="1" applyNumberFormat="1" applyFont="1" applyFill="1" applyBorder="1" applyAlignment="1">
      <alignment horizontal="right"/>
    </xf>
    <xf numFmtId="39" fontId="3" fillId="2" borderId="7" xfId="0" applyNumberFormat="1" applyFont="1" applyFill="1" applyBorder="1" applyAlignment="1"/>
    <xf numFmtId="43" fontId="3" fillId="2" borderId="7" xfId="1" applyFont="1" applyFill="1" applyBorder="1"/>
    <xf numFmtId="43" fontId="3" fillId="2" borderId="7" xfId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43" fontId="5" fillId="0" borderId="7" xfId="1" applyFont="1" applyFill="1" applyBorder="1"/>
    <xf numFmtId="43" fontId="3" fillId="0" borderId="7" xfId="1" applyFont="1" applyFill="1" applyBorder="1"/>
    <xf numFmtId="39" fontId="3" fillId="0" borderId="7" xfId="1" applyNumberFormat="1" applyFont="1" applyFill="1" applyBorder="1"/>
    <xf numFmtId="0" fontId="6" fillId="0" borderId="7" xfId="0" applyFont="1" applyFill="1" applyBorder="1"/>
    <xf numFmtId="39" fontId="3" fillId="0" borderId="7" xfId="0" applyNumberFormat="1" applyFont="1" applyFill="1" applyBorder="1" applyAlignment="1">
      <alignment horizontal="right"/>
    </xf>
    <xf numFmtId="43" fontId="3" fillId="0" borderId="7" xfId="0" applyNumberFormat="1" applyFont="1" applyFill="1" applyBorder="1"/>
    <xf numFmtId="165" fontId="3" fillId="0" borderId="7" xfId="1" applyNumberFormat="1" applyFont="1" applyFill="1" applyBorder="1"/>
    <xf numFmtId="0" fontId="7" fillId="0" borderId="7" xfId="0" applyFont="1" applyBorder="1" applyAlignment="1">
      <alignment horizontal="center"/>
    </xf>
    <xf numFmtId="0" fontId="6" fillId="0" borderId="8" xfId="0" applyFont="1" applyFill="1" applyBorder="1"/>
    <xf numFmtId="164" fontId="3" fillId="2" borderId="7" xfId="0" applyNumberFormat="1" applyFont="1" applyFill="1" applyBorder="1" applyAlignment="1">
      <alignment horizontal="center"/>
    </xf>
    <xf numFmtId="39" fontId="3" fillId="2" borderId="7" xfId="1" applyNumberFormat="1" applyFont="1" applyFill="1" applyBorder="1"/>
    <xf numFmtId="39" fontId="3" fillId="2" borderId="7" xfId="0" applyNumberFormat="1" applyFont="1" applyFill="1" applyBorder="1" applyAlignment="1">
      <alignment horizontal="right"/>
    </xf>
    <xf numFmtId="43" fontId="5" fillId="0" borderId="7" xfId="1" applyFont="1" applyFill="1" applyBorder="1" applyAlignment="1">
      <alignment horizontal="right"/>
    </xf>
    <xf numFmtId="39" fontId="3" fillId="0" borderId="7" xfId="1" applyNumberFormat="1" applyFont="1" applyFill="1" applyBorder="1" applyAlignment="1">
      <alignment horizontal="right"/>
    </xf>
    <xf numFmtId="39" fontId="6" fillId="0" borderId="8" xfId="0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166" fontId="7" fillId="0" borderId="7" xfId="2" applyNumberFormat="1" applyFont="1" applyFill="1" applyBorder="1"/>
    <xf numFmtId="166" fontId="8" fillId="0" borderId="7" xfId="2" applyNumberFormat="1" applyFont="1" applyFill="1" applyBorder="1" applyAlignment="1">
      <alignment horizontal="center"/>
    </xf>
    <xf numFmtId="166" fontId="7" fillId="0" borderId="7" xfId="2" applyNumberFormat="1" applyFont="1" applyBorder="1"/>
    <xf numFmtId="166" fontId="7" fillId="3" borderId="7" xfId="2" applyNumberFormat="1" applyFont="1" applyFill="1" applyBorder="1"/>
    <xf numFmtId="0" fontId="9" fillId="0" borderId="8" xfId="0" applyFont="1" applyBorder="1"/>
    <xf numFmtId="0" fontId="9" fillId="0" borderId="7" xfId="0" applyFont="1" applyBorder="1"/>
    <xf numFmtId="15" fontId="3" fillId="2" borderId="7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right"/>
    </xf>
    <xf numFmtId="1" fontId="3" fillId="4" borderId="7" xfId="0" applyNumberFormat="1" applyFont="1" applyFill="1" applyBorder="1"/>
    <xf numFmtId="1" fontId="3" fillId="4" borderId="7" xfId="0" applyNumberFormat="1" applyFont="1" applyFill="1" applyBorder="1" applyAlignment="1">
      <alignment horizontal="center"/>
    </xf>
    <xf numFmtId="15" fontId="3" fillId="4" borderId="7" xfId="3" applyNumberFormat="1" applyFont="1" applyFill="1" applyBorder="1" applyAlignment="1">
      <alignment horizontal="center"/>
    </xf>
    <xf numFmtId="43" fontId="3" fillId="4" borderId="7" xfId="1" applyFont="1" applyFill="1" applyBorder="1"/>
    <xf numFmtId="43" fontId="3" fillId="4" borderId="7" xfId="1" applyFont="1" applyFill="1" applyBorder="1" applyAlignment="1">
      <alignment horizontal="right"/>
    </xf>
    <xf numFmtId="43" fontId="3" fillId="4" borderId="7" xfId="1" quotePrefix="1" applyFont="1" applyFill="1" applyBorder="1" applyAlignment="1">
      <alignment horizontal="right"/>
    </xf>
    <xf numFmtId="0" fontId="3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3" fillId="4" borderId="7" xfId="0" applyFont="1" applyFill="1" applyBorder="1"/>
    <xf numFmtId="0" fontId="3" fillId="4" borderId="7" xfId="0" quotePrefix="1" applyFont="1" applyFill="1" applyBorder="1" applyAlignment="1">
      <alignment horizontal="center"/>
    </xf>
    <xf numFmtId="15" fontId="3" fillId="4" borderId="7" xfId="0" applyNumberFormat="1" applyFont="1" applyFill="1" applyBorder="1" applyAlignment="1">
      <alignment horizontal="center"/>
    </xf>
    <xf numFmtId="39" fontId="3" fillId="4" borderId="7" xfId="0" applyNumberFormat="1" applyFont="1" applyFill="1" applyBorder="1" applyAlignment="1">
      <alignment horizontal="right"/>
    </xf>
    <xf numFmtId="0" fontId="7" fillId="0" borderId="7" xfId="0" quotePrefix="1" applyFont="1" applyFill="1" applyBorder="1"/>
    <xf numFmtId="0" fontId="9" fillId="0" borderId="7" xfId="0" applyFont="1" applyFill="1" applyBorder="1"/>
    <xf numFmtId="0" fontId="9" fillId="0" borderId="7" xfId="0" quotePrefix="1" applyFont="1" applyFill="1" applyBorder="1"/>
    <xf numFmtId="0" fontId="3" fillId="0" borderId="7" xfId="0" applyFont="1" applyBorder="1"/>
    <xf numFmtId="0" fontId="3" fillId="0" borderId="7" xfId="0" quotePrefix="1" applyFont="1" applyBorder="1"/>
    <xf numFmtId="0" fontId="3" fillId="0" borderId="7" xfId="0" quotePrefix="1" applyFont="1" applyBorder="1" applyAlignment="1">
      <alignment horizontal="center"/>
    </xf>
    <xf numFmtId="164" fontId="3" fillId="0" borderId="7" xfId="1" quotePrefix="1" applyNumberFormat="1" applyFont="1" applyFill="1" applyBorder="1" applyAlignment="1">
      <alignment horizontal="center"/>
    </xf>
    <xf numFmtId="43" fontId="3" fillId="0" borderId="7" xfId="1" applyFont="1" applyBorder="1"/>
    <xf numFmtId="166" fontId="3" fillId="0" borderId="7" xfId="2" applyNumberFormat="1" applyFont="1" applyBorder="1" applyAlignment="1">
      <alignment horizontal="right"/>
    </xf>
    <xf numFmtId="43" fontId="3" fillId="0" borderId="7" xfId="2" applyNumberFormat="1" applyFont="1" applyBorder="1"/>
    <xf numFmtId="0" fontId="3" fillId="0" borderId="7" xfId="0" applyFont="1" applyBorder="1" applyAlignment="1">
      <alignment horizontal="center"/>
    </xf>
    <xf numFmtId="166" fontId="3" fillId="3" borderId="7" xfId="2" applyNumberFormat="1" applyFont="1" applyFill="1" applyBorder="1" applyAlignment="1">
      <alignment horizontal="right"/>
    </xf>
    <xf numFmtId="0" fontId="6" fillId="0" borderId="7" xfId="0" applyFont="1" applyBorder="1"/>
    <xf numFmtId="167" fontId="3" fillId="4" borderId="7" xfId="3" applyNumberFormat="1" applyFont="1" applyFill="1" applyBorder="1" applyAlignment="1">
      <alignment horizontal="left"/>
    </xf>
    <xf numFmtId="49" fontId="3" fillId="4" borderId="7" xfId="3" applyNumberFormat="1" applyFont="1" applyFill="1" applyBorder="1" applyAlignment="1">
      <alignment horizontal="center"/>
    </xf>
    <xf numFmtId="43" fontId="3" fillId="4" borderId="7" xfId="0" applyNumberFormat="1" applyFont="1" applyFill="1" applyBorder="1"/>
    <xf numFmtId="168" fontId="3" fillId="0" borderId="7" xfId="2" applyNumberFormat="1" applyFont="1" applyFill="1" applyBorder="1"/>
    <xf numFmtId="0" fontId="3" fillId="0" borderId="7" xfId="0" applyFont="1" applyFill="1" applyBorder="1"/>
    <xf numFmtId="39" fontId="3" fillId="0" borderId="7" xfId="0" applyNumberFormat="1" applyFont="1" applyFill="1" applyBorder="1"/>
    <xf numFmtId="43" fontId="3" fillId="4" borderId="0" xfId="1" applyFont="1" applyFill="1" applyBorder="1"/>
    <xf numFmtId="0" fontId="3" fillId="0" borderId="7" xfId="3" applyFont="1" applyFill="1" applyBorder="1"/>
    <xf numFmtId="168" fontId="3" fillId="0" borderId="4" xfId="2" applyNumberFormat="1" applyFont="1" applyFill="1" applyBorder="1"/>
    <xf numFmtId="43" fontId="3" fillId="0" borderId="4" xfId="1" applyFont="1" applyFill="1" applyBorder="1" applyAlignment="1">
      <alignment horizontal="right"/>
    </xf>
    <xf numFmtId="43" fontId="3" fillId="0" borderId="7" xfId="0" applyNumberFormat="1" applyFont="1" applyFill="1" applyBorder="1" applyAlignment="1">
      <alignment horizontal="center"/>
    </xf>
    <xf numFmtId="39" fontId="3" fillId="4" borderId="7" xfId="1" applyNumberFormat="1" applyFont="1" applyFill="1" applyBorder="1"/>
    <xf numFmtId="15" fontId="3" fillId="4" borderId="7" xfId="3" quotePrefix="1" applyNumberFormat="1" applyFont="1" applyFill="1" applyBorder="1" applyAlignment="1">
      <alignment horizontal="center"/>
    </xf>
    <xf numFmtId="39" fontId="3" fillId="4" borderId="7" xfId="0" applyNumberFormat="1" applyFont="1" applyFill="1" applyBorder="1" applyAlignment="1"/>
    <xf numFmtId="43" fontId="3" fillId="0" borderId="7" xfId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center"/>
    </xf>
    <xf numFmtId="41" fontId="3" fillId="4" borderId="7" xfId="2" applyFont="1" applyFill="1" applyBorder="1" applyAlignment="1">
      <alignment horizontal="right"/>
    </xf>
    <xf numFmtId="39" fontId="3" fillId="0" borderId="7" xfId="0" applyNumberFormat="1" applyFont="1" applyFill="1" applyBorder="1" applyAlignment="1">
      <alignment horizontal="left"/>
    </xf>
    <xf numFmtId="43" fontId="3" fillId="4" borderId="7" xfId="0" applyNumberFormat="1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quotePrefix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43" fontId="3" fillId="4" borderId="1" xfId="1" applyFont="1" applyFill="1" applyBorder="1"/>
    <xf numFmtId="39" fontId="3" fillId="4" borderId="1" xfId="0" applyNumberFormat="1" applyFont="1" applyFill="1" applyBorder="1" applyAlignment="1"/>
    <xf numFmtId="41" fontId="3" fillId="4" borderId="1" xfId="2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43" fontId="3" fillId="0" borderId="1" xfId="1" applyFont="1" applyFill="1" applyBorder="1"/>
    <xf numFmtId="39" fontId="3" fillId="0" borderId="1" xfId="1" applyNumberFormat="1" applyFont="1" applyFill="1" applyBorder="1"/>
    <xf numFmtId="0" fontId="3" fillId="0" borderId="1" xfId="0" applyFont="1" applyFill="1" applyBorder="1"/>
    <xf numFmtId="39" fontId="3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7" xfId="4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/>
    </xf>
    <xf numFmtId="15" fontId="12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right"/>
    </xf>
    <xf numFmtId="39" fontId="14" fillId="0" borderId="7" xfId="2" applyNumberFormat="1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0" fontId="3" fillId="0" borderId="8" xfId="0" applyFont="1" applyFill="1" applyBorder="1"/>
    <xf numFmtId="0" fontId="3" fillId="0" borderId="7" xfId="0" applyNumberFormat="1" applyFont="1" applyFill="1" applyBorder="1"/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6" fontId="3" fillId="0" borderId="7" xfId="2" applyNumberFormat="1" applyFont="1" applyFill="1" applyBorder="1" applyAlignment="1">
      <alignment horizontal="right"/>
    </xf>
    <xf numFmtId="0" fontId="8" fillId="0" borderId="7" xfId="0" applyFont="1" applyFill="1" applyBorder="1"/>
    <xf numFmtId="0" fontId="0" fillId="0" borderId="0" xfId="0" applyFill="1"/>
    <xf numFmtId="0" fontId="8" fillId="0" borderId="8" xfId="0" applyFont="1" applyFill="1" applyBorder="1"/>
    <xf numFmtId="39" fontId="3" fillId="3" borderId="7" xfId="1" applyNumberFormat="1" applyFont="1" applyFill="1" applyBorder="1"/>
    <xf numFmtId="43" fontId="3" fillId="0" borderId="7" xfId="0" applyNumberFormat="1" applyFont="1" applyFill="1" applyBorder="1" applyAlignment="1">
      <alignment horizontal="right"/>
    </xf>
    <xf numFmtId="0" fontId="15" fillId="0" borderId="0" xfId="0" applyFont="1" applyFill="1"/>
    <xf numFmtId="0" fontId="15" fillId="0" borderId="0" xfId="0" applyFont="1"/>
    <xf numFmtId="166" fontId="0" fillId="0" borderId="0" xfId="0" applyNumberFormat="1" applyFill="1"/>
    <xf numFmtId="164" fontId="16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16" fillId="0" borderId="9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43" fontId="3" fillId="0" borderId="9" xfId="1" quotePrefix="1" applyFont="1" applyFill="1" applyBorder="1" applyAlignment="1">
      <alignment horizontal="right"/>
    </xf>
    <xf numFmtId="43" fontId="3" fillId="0" borderId="9" xfId="1" applyFont="1" applyFill="1" applyBorder="1" applyAlignment="1">
      <alignment horizontal="center"/>
    </xf>
    <xf numFmtId="39" fontId="3" fillId="0" borderId="9" xfId="0" applyNumberFormat="1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17" fillId="0" borderId="7" xfId="5" applyFont="1" applyFill="1" applyBorder="1" applyAlignment="1">
      <alignment horizontal="center" vertical="center"/>
    </xf>
    <xf numFmtId="0" fontId="17" fillId="2" borderId="7" xfId="5" applyFont="1" applyFill="1" applyBorder="1" applyAlignment="1">
      <alignment vertical="center"/>
    </xf>
    <xf numFmtId="14" fontId="0" fillId="2" borderId="7" xfId="0" applyNumberFormat="1" applyFill="1" applyBorder="1"/>
    <xf numFmtId="44" fontId="0" fillId="2" borderId="7" xfId="0" applyNumberFormat="1" applyFill="1" applyBorder="1"/>
    <xf numFmtId="164" fontId="0" fillId="2" borderId="7" xfId="0" applyNumberFormat="1" applyFill="1" applyBorder="1"/>
    <xf numFmtId="166" fontId="0" fillId="2" borderId="7" xfId="2" applyNumberFormat="1" applyFont="1" applyFill="1" applyBorder="1"/>
    <xf numFmtId="41" fontId="0" fillId="2" borderId="7" xfId="2" applyFont="1" applyFill="1" applyBorder="1"/>
    <xf numFmtId="0" fontId="0" fillId="2" borderId="7" xfId="0" applyFill="1" applyBorder="1" applyAlignment="1">
      <alignment horizontal="center"/>
    </xf>
    <xf numFmtId="166" fontId="0" fillId="0" borderId="7" xfId="2" applyNumberFormat="1" applyFont="1" applyFill="1" applyBorder="1"/>
    <xf numFmtId="166" fontId="0" fillId="0" borderId="7" xfId="2" applyNumberFormat="1" applyFont="1" applyBorder="1"/>
    <xf numFmtId="166" fontId="0" fillId="5" borderId="7" xfId="2" applyNumberFormat="1" applyFont="1" applyFill="1" applyBorder="1"/>
    <xf numFmtId="0" fontId="0" fillId="0" borderId="7" xfId="0" applyBorder="1"/>
    <xf numFmtId="0" fontId="18" fillId="0" borderId="7" xfId="0" applyFont="1" applyBorder="1"/>
    <xf numFmtId="43" fontId="0" fillId="0" borderId="7" xfId="0" applyNumberFormat="1" applyBorder="1"/>
    <xf numFmtId="0" fontId="17" fillId="0" borderId="7" xfId="5" applyFont="1" applyFill="1" applyBorder="1" applyAlignment="1">
      <alignment vertical="center"/>
    </xf>
    <xf numFmtId="14" fontId="0" fillId="0" borderId="7" xfId="0" quotePrefix="1" applyNumberFormat="1" applyFill="1" applyBorder="1"/>
    <xf numFmtId="44" fontId="0" fillId="0" borderId="7" xfId="0" applyNumberFormat="1" applyFill="1" applyBorder="1"/>
    <xf numFmtId="164" fontId="0" fillId="0" borderId="7" xfId="0" applyNumberFormat="1" applyFill="1" applyBorder="1"/>
    <xf numFmtId="41" fontId="0" fillId="0" borderId="7" xfId="2" applyFont="1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18" fillId="0" borderId="7" xfId="0" applyFont="1" applyFill="1" applyBorder="1"/>
    <xf numFmtId="43" fontId="0" fillId="0" borderId="7" xfId="0" applyNumberFormat="1" applyFill="1" applyBorder="1"/>
    <xf numFmtId="0" fontId="7" fillId="0" borderId="7" xfId="0" applyFont="1" applyBorder="1"/>
    <xf numFmtId="0" fontId="7" fillId="0" borderId="7" xfId="0" quotePrefix="1" applyFont="1" applyBorder="1" applyAlignment="1">
      <alignment horizontal="center"/>
    </xf>
    <xf numFmtId="41" fontId="7" fillId="0" borderId="7" xfId="2" applyFont="1" applyBorder="1"/>
    <xf numFmtId="0" fontId="16" fillId="0" borderId="7" xfId="0" applyFont="1" applyBorder="1"/>
    <xf numFmtId="0" fontId="16" fillId="0" borderId="7" xfId="0" quotePrefix="1" applyFont="1" applyBorder="1" applyAlignment="1">
      <alignment horizontal="center"/>
    </xf>
    <xf numFmtId="166" fontId="7" fillId="5" borderId="7" xfId="2" applyNumberFormat="1" applyFont="1" applyFill="1" applyBorder="1"/>
    <xf numFmtId="0" fontId="16" fillId="0" borderId="7" xfId="0" applyFont="1" applyFill="1" applyBorder="1"/>
    <xf numFmtId="0" fontId="16" fillId="0" borderId="7" xfId="0" quotePrefix="1" applyFont="1" applyFill="1" applyBorder="1" applyAlignment="1">
      <alignment horizontal="center"/>
    </xf>
    <xf numFmtId="0" fontId="7" fillId="0" borderId="7" xfId="0" quotePrefix="1" applyFont="1" applyBorder="1"/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43" fontId="3" fillId="0" borderId="10" xfId="1" applyFont="1" applyFill="1" applyBorder="1"/>
    <xf numFmtId="39" fontId="3" fillId="0" borderId="9" xfId="0" quotePrefix="1" applyNumberFormat="1" applyFont="1" applyFill="1" applyBorder="1" applyAlignment="1">
      <alignment horizontal="right"/>
    </xf>
    <xf numFmtId="39" fontId="3" fillId="0" borderId="9" xfId="0" applyNumberFormat="1" applyFont="1" applyFill="1" applyBorder="1" applyAlignment="1">
      <alignment horizontal="center"/>
    </xf>
    <xf numFmtId="166" fontId="3" fillId="2" borderId="7" xfId="2" applyNumberFormat="1" applyFont="1" applyFill="1" applyBorder="1" applyAlignment="1"/>
    <xf numFmtId="43" fontId="3" fillId="2" borderId="7" xfId="2" applyNumberFormat="1" applyFont="1" applyFill="1" applyBorder="1"/>
    <xf numFmtId="43" fontId="3" fillId="2" borderId="7" xfId="2" applyNumberFormat="1" applyFont="1" applyFill="1" applyBorder="1" applyAlignment="1">
      <alignment horizontal="right"/>
    </xf>
    <xf numFmtId="43" fontId="3" fillId="5" borderId="7" xfId="1" applyFont="1" applyFill="1" applyBorder="1" applyAlignment="1">
      <alignment horizontal="right"/>
    </xf>
    <xf numFmtId="43" fontId="3" fillId="0" borderId="0" xfId="0" applyNumberFormat="1" applyFont="1" applyFill="1"/>
    <xf numFmtId="0" fontId="3" fillId="0" borderId="7" xfId="3" quotePrefix="1" applyFont="1" applyFill="1" applyBorder="1" applyAlignment="1">
      <alignment horizontal="center"/>
    </xf>
    <xf numFmtId="15" fontId="3" fillId="0" borderId="7" xfId="3" applyNumberFormat="1" applyFont="1" applyFill="1" applyBorder="1" applyAlignment="1">
      <alignment horizontal="center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 applyAlignment="1">
      <alignment horizontal="left"/>
    </xf>
    <xf numFmtId="0" fontId="19" fillId="0" borderId="0" xfId="0" applyFont="1" applyFill="1"/>
    <xf numFmtId="0" fontId="20" fillId="0" borderId="0" xfId="0" applyFont="1" applyFill="1" applyBorder="1"/>
    <xf numFmtId="39" fontId="3" fillId="0" borderId="0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39" fontId="6" fillId="0" borderId="1" xfId="0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39" fontId="6" fillId="0" borderId="3" xfId="2" applyNumberFormat="1" applyFont="1" applyFill="1" applyBorder="1" applyAlignment="1">
      <alignment horizontal="center"/>
    </xf>
    <xf numFmtId="39" fontId="6" fillId="0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9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39" fontId="6" fillId="0" borderId="9" xfId="0" quotePrefix="1" applyNumberFormat="1" applyFont="1" applyFill="1" applyBorder="1" applyAlignment="1">
      <alignment horizontal="center"/>
    </xf>
    <xf numFmtId="39" fontId="6" fillId="0" borderId="9" xfId="0" applyNumberFormat="1" applyFont="1" applyFill="1" applyBorder="1" applyAlignment="1">
      <alignment horizontal="center"/>
    </xf>
    <xf numFmtId="43" fontId="6" fillId="0" borderId="11" xfId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39" fontId="6" fillId="0" borderId="12" xfId="2" applyNumberFormat="1" applyFont="1" applyFill="1" applyBorder="1" applyAlignment="1">
      <alignment horizontal="center"/>
    </xf>
    <xf numFmtId="39" fontId="6" fillId="0" borderId="9" xfId="2" applyNumberFormat="1" applyFont="1" applyFill="1" applyBorder="1" applyAlignment="1">
      <alignment horizontal="center"/>
    </xf>
    <xf numFmtId="39" fontId="6" fillId="0" borderId="11" xfId="2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43" fontId="19" fillId="0" borderId="7" xfId="0" applyNumberFormat="1" applyFont="1" applyFill="1" applyBorder="1"/>
    <xf numFmtId="43" fontId="0" fillId="0" borderId="7" xfId="0" quotePrefix="1" applyNumberFormat="1" applyBorder="1"/>
    <xf numFmtId="166" fontId="7" fillId="0" borderId="7" xfId="2" applyNumberFormat="1" applyFont="1" applyBorder="1" applyAlignment="1"/>
    <xf numFmtId="43" fontId="3" fillId="3" borderId="7" xfId="1" applyFont="1" applyFill="1" applyBorder="1"/>
    <xf numFmtId="0" fontId="16" fillId="0" borderId="7" xfId="0" applyFont="1" applyFill="1" applyBorder="1" applyAlignment="1">
      <alignment horizontal="left"/>
    </xf>
    <xf numFmtId="0" fontId="16" fillId="0" borderId="7" xfId="0" quotePrefix="1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7" xfId="0" quotePrefix="1" applyFont="1" applyFill="1" applyBorder="1" applyAlignment="1">
      <alignment horizontal="left"/>
    </xf>
    <xf numFmtId="43" fontId="7" fillId="0" borderId="7" xfId="2" applyNumberFormat="1" applyFont="1" applyBorder="1"/>
    <xf numFmtId="0" fontId="3" fillId="0" borderId="7" xfId="0" applyFont="1" applyFill="1" applyBorder="1" applyAlignment="1">
      <alignment horizontal="right"/>
    </xf>
    <xf numFmtId="39" fontId="19" fillId="0" borderId="7" xfId="2" applyNumberFormat="1" applyFont="1" applyFill="1" applyBorder="1" applyAlignment="1">
      <alignment horizontal="right"/>
    </xf>
    <xf numFmtId="39" fontId="19" fillId="0" borderId="7" xfId="2" applyNumberFormat="1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19" fillId="0" borderId="7" xfId="0" applyFont="1" applyFill="1" applyBorder="1"/>
    <xf numFmtId="0" fontId="3" fillId="0" borderId="0" xfId="0" applyFont="1"/>
    <xf numFmtId="0" fontId="3" fillId="6" borderId="0" xfId="0" applyFont="1" applyFill="1" applyAlignment="1">
      <alignment horizontal="center"/>
    </xf>
    <xf numFmtId="39" fontId="19" fillId="0" borderId="0" xfId="2" applyNumberFormat="1" applyFont="1" applyFill="1" applyAlignment="1">
      <alignment horizontal="right"/>
    </xf>
    <xf numFmtId="39" fontId="19" fillId="0" borderId="0" xfId="2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166" fontId="3" fillId="0" borderId="7" xfId="2" applyNumberFormat="1" applyFont="1" applyBorder="1"/>
    <xf numFmtId="41" fontId="3" fillId="0" borderId="7" xfId="2" quotePrefix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39" fontId="3" fillId="0" borderId="9" xfId="0" quotePrefix="1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39" fontId="3" fillId="0" borderId="12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left"/>
    </xf>
    <xf numFmtId="0" fontId="12" fillId="7" borderId="7" xfId="4" applyFont="1" applyFill="1" applyBorder="1" applyAlignment="1">
      <alignment horizontal="center" vertical="center"/>
    </xf>
    <xf numFmtId="0" fontId="22" fillId="0" borderId="7" xfId="4" applyFont="1" applyFill="1" applyBorder="1" applyAlignment="1">
      <alignment horizontal="left"/>
    </xf>
    <xf numFmtId="49" fontId="22" fillId="0" borderId="7" xfId="4" applyNumberFormat="1" applyFont="1" applyFill="1" applyBorder="1" applyAlignment="1">
      <alignment horizontal="center"/>
    </xf>
    <xf numFmtId="15" fontId="22" fillId="0" borderId="7" xfId="4" applyNumberFormat="1" applyFont="1" applyFill="1" applyBorder="1" applyAlignment="1">
      <alignment horizontal="center" vertical="center"/>
    </xf>
    <xf numFmtId="169" fontId="22" fillId="0" borderId="7" xfId="6" applyNumberFormat="1" applyFont="1" applyFill="1" applyBorder="1" applyAlignment="1">
      <alignment horizontal="center"/>
    </xf>
    <xf numFmtId="39" fontId="3" fillId="3" borderId="7" xfId="2" applyNumberFormat="1" applyFont="1" applyFill="1" applyBorder="1" applyAlignment="1">
      <alignment horizontal="right"/>
    </xf>
    <xf numFmtId="0" fontId="23" fillId="0" borderId="7" xfId="6" applyFont="1" applyFill="1" applyBorder="1" applyAlignment="1">
      <alignment horizontal="left"/>
    </xf>
    <xf numFmtId="39" fontId="19" fillId="0" borderId="8" xfId="2" applyNumberFormat="1" applyFont="1" applyFill="1" applyBorder="1" applyAlignment="1">
      <alignment horizontal="left"/>
    </xf>
    <xf numFmtId="0" fontId="24" fillId="0" borderId="8" xfId="4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/>
    </xf>
    <xf numFmtId="49" fontId="12" fillId="0" borderId="7" xfId="0" applyNumberFormat="1" applyFont="1" applyFill="1" applyBorder="1" applyAlignment="1">
      <alignment horizontal="center"/>
    </xf>
    <xf numFmtId="169" fontId="12" fillId="0" borderId="7" xfId="0" applyNumberFormat="1" applyFont="1" applyFill="1" applyBorder="1" applyAlignment="1">
      <alignment horizontal="center"/>
    </xf>
    <xf numFmtId="43" fontId="19" fillId="0" borderId="7" xfId="1" applyFont="1" applyFill="1" applyBorder="1" applyAlignment="1">
      <alignment horizontal="right"/>
    </xf>
    <xf numFmtId="0" fontId="19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left" vertical="top"/>
    </xf>
    <xf numFmtId="0" fontId="12" fillId="0" borderId="7" xfId="0" applyFont="1" applyBorder="1" applyAlignment="1">
      <alignment horizontal="left"/>
    </xf>
    <xf numFmtId="0" fontId="12" fillId="0" borderId="7" xfId="0" quotePrefix="1" applyFont="1" applyBorder="1" applyAlignment="1">
      <alignment horizontal="center"/>
    </xf>
    <xf numFmtId="15" fontId="12" fillId="7" borderId="7" xfId="0" applyNumberFormat="1" applyFont="1" applyFill="1" applyBorder="1" applyAlignment="1">
      <alignment horizontal="center" vertical="center"/>
    </xf>
    <xf numFmtId="169" fontId="12" fillId="7" borderId="7" xfId="0" applyNumberFormat="1" applyFont="1" applyFill="1" applyBorder="1" applyAlignment="1">
      <alignment horizontal="center"/>
    </xf>
    <xf numFmtId="0" fontId="3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0" fontId="12" fillId="7" borderId="1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left"/>
    </xf>
    <xf numFmtId="49" fontId="12" fillId="0" borderId="7" xfId="4" applyNumberFormat="1" applyFont="1" applyFill="1" applyBorder="1" applyAlignment="1">
      <alignment horizontal="center"/>
    </xf>
    <xf numFmtId="169" fontId="12" fillId="0" borderId="7" xfId="4" applyNumberFormat="1" applyFont="1" applyFill="1" applyBorder="1" applyAlignment="1">
      <alignment horizontal="center"/>
    </xf>
    <xf numFmtId="39" fontId="3" fillId="0" borderId="13" xfId="0" applyNumberFormat="1" applyFont="1" applyFill="1" applyBorder="1" applyAlignment="1">
      <alignment horizontal="right"/>
    </xf>
    <xf numFmtId="0" fontId="25" fillId="0" borderId="7" xfId="4" applyFont="1" applyFill="1" applyBorder="1" applyAlignment="1">
      <alignment horizontal="left" vertical="top"/>
    </xf>
    <xf numFmtId="0" fontId="24" fillId="0" borderId="1" xfId="4" applyFont="1" applyFill="1" applyBorder="1" applyAlignment="1">
      <alignment horizontal="center" vertical="center"/>
    </xf>
    <xf numFmtId="0" fontId="12" fillId="0" borderId="7" xfId="4" applyFont="1" applyFill="1" applyBorder="1" applyAlignment="1"/>
    <xf numFmtId="169" fontId="12" fillId="0" borderId="7" xfId="4" applyNumberFormat="1" applyFont="1" applyFill="1" applyBorder="1" applyAlignment="1">
      <alignment horizontal="right" vertical="center"/>
    </xf>
    <xf numFmtId="0" fontId="25" fillId="0" borderId="7" xfId="4" applyFont="1" applyFill="1" applyBorder="1" applyAlignment="1">
      <alignment horizontal="left"/>
    </xf>
    <xf numFmtId="0" fontId="12" fillId="0" borderId="7" xfId="4" applyFont="1" applyFill="1" applyBorder="1" applyAlignment="1">
      <alignment horizontal="center"/>
    </xf>
    <xf numFmtId="0" fontId="12" fillId="0" borderId="7" xfId="4" quotePrefix="1" applyFont="1" applyFill="1" applyBorder="1" applyAlignment="1">
      <alignment horizontal="center" vertical="center"/>
    </xf>
    <xf numFmtId="170" fontId="12" fillId="0" borderId="7" xfId="4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7" xfId="4" applyFont="1" applyFill="1" applyBorder="1" applyAlignment="1">
      <alignment horizontal="left" vertical="top"/>
    </xf>
  </cellXfs>
  <cellStyles count="7">
    <cellStyle name="Comma" xfId="1" builtinId="3"/>
    <cellStyle name="Comma [0]" xfId="2" builtinId="6"/>
    <cellStyle name="Normal" xfId="0" builtinId="0"/>
    <cellStyle name="Normal 2" xfId="5"/>
    <cellStyle name="Normal 3" xfId="4"/>
    <cellStyle name="Normal 4" xfId="6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JULI%202018/PJ%20NORMTF/pj%20uplod%20Norm%20JULI18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flasdisk%20wiwid\tahun%202014\PINJAMAN'14\NOP%202014\norm%20nop'14\PIJ%20DEBET%20NOR%20NOP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MEI%202018/DNORM%20MEI/PJ%20Upload%20MEI2018%20DN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tra%20Sejahtera%202017\PINJAMAN\JULI2017\DN%20JULI2017\stlh%20uplod%20DN%20JULI%202017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JULI%202018/GRUP%20PEL%20PIJ/uplod%20PEL%20PIJ%20JULI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APRIL%202018/ASS%20BUMIDA%20APRL/stlh%20upload%20BUMIDA%20APRL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JUNI%202018/UMROH%20JUNI2018/stlh%20upload%20pj%20UMROH%20JUNI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JULI2017/SUP%20DOKTR%20KOP%20JULI2017/sup%20dokter%20uplod%20JULI%202017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WL"/>
      <sheetName val="N1"/>
      <sheetName val="N B"/>
      <sheetName val="LAIN N1"/>
      <sheetName val="LAIN N2"/>
      <sheetName val="BRG N1"/>
      <sheetName val="BRG N2"/>
    </sheetNames>
    <sheetDataSet>
      <sheetData sheetId="0"/>
      <sheetData sheetId="1"/>
      <sheetData sheetId="2"/>
      <sheetData sheetId="3"/>
      <sheetData sheetId="4">
        <row r="9">
          <cell r="AF9">
            <v>345585</v>
          </cell>
        </row>
        <row r="10">
          <cell r="AF10">
            <v>360000</v>
          </cell>
        </row>
        <row r="11">
          <cell r="AF11">
            <v>360000</v>
          </cell>
        </row>
        <row r="12">
          <cell r="AF12">
            <v>10718168</v>
          </cell>
        </row>
        <row r="13">
          <cell r="AF13">
            <v>11426440</v>
          </cell>
        </row>
        <row r="14">
          <cell r="AF14">
            <v>5073698</v>
          </cell>
        </row>
        <row r="15">
          <cell r="AF15">
            <v>94390</v>
          </cell>
        </row>
        <row r="16">
          <cell r="AF16">
            <v>144950</v>
          </cell>
        </row>
        <row r="17">
          <cell r="AF17">
            <v>6746663</v>
          </cell>
        </row>
        <row r="18">
          <cell r="AF18">
            <v>19337500</v>
          </cell>
        </row>
        <row r="19">
          <cell r="AF19">
            <v>1999000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T awal NOR"/>
      <sheetName val="NOR"/>
      <sheetName val="NOR2"/>
      <sheetName val="LAIN&quot; 1"/>
      <sheetName val="LAIN&quot; 2"/>
      <sheetName val="ANGTRESIGN 1"/>
      <sheetName val="ANGTRESIGN 2"/>
      <sheetName val="brg"/>
      <sheetName val="brg 2"/>
      <sheetName val="DEND NORM 1"/>
      <sheetName val="DEND NORM 2"/>
      <sheetName val="DEND LAIN&quot;"/>
      <sheetName val="DEND LAIN&quot;2"/>
      <sheetName val="DEND_ANGTRESGN 1"/>
      <sheetName val="DEND_ANGTRESGN 2"/>
      <sheetName val="bg_NORM 1"/>
      <sheetName val="bg_NORM 2"/>
      <sheetName val="BG_LAIN&quot; 1"/>
      <sheetName val="BG_LAIN&quot; 2"/>
      <sheetName val="BG_ANGTRESGN 1"/>
      <sheetName val="BG_ANGTRESGN 2"/>
      <sheetName val="PEL NOP"/>
      <sheetName val="LUNS N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ij awl"/>
      <sheetName val="p dn 1"/>
      <sheetName val="p dn 2"/>
      <sheetName val="lain dn 1"/>
      <sheetName val="p lain dn 2"/>
      <sheetName val="dend p dn 1"/>
      <sheetName val="dend p dn 2"/>
      <sheetName val="bg p dn1"/>
      <sheetName val="bg p dn2"/>
      <sheetName val="pelnsn"/>
    </sheetNames>
    <sheetDataSet>
      <sheetData sheetId="0"/>
      <sheetData sheetId="1"/>
      <sheetData sheetId="2"/>
      <sheetData sheetId="3"/>
      <sheetData sheetId="4">
        <row r="7">
          <cell r="AE7">
            <v>18881731</v>
          </cell>
        </row>
        <row r="29">
          <cell r="AE29">
            <v>360000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pij agt ssb 1"/>
      <sheetName val="pij agt ssb 2"/>
      <sheetName val="lain2 1"/>
      <sheetName val="lain2 2"/>
      <sheetName val="dend dn1"/>
      <sheetName val="dend dn2"/>
      <sheetName val="bg dn1"/>
      <sheetName val="bg dn2"/>
      <sheetName val="pel dn"/>
      <sheetName val="lunas d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AE7">
            <v>19166820</v>
          </cell>
        </row>
        <row r="30">
          <cell r="AE30">
            <v>360000</v>
          </cell>
        </row>
        <row r="31">
          <cell r="AE31">
            <v>360000</v>
          </cell>
        </row>
        <row r="32">
          <cell r="AE32">
            <v>360000</v>
          </cell>
        </row>
        <row r="33">
          <cell r="AE33">
            <v>360000</v>
          </cell>
        </row>
        <row r="34">
          <cell r="AE34">
            <v>360000</v>
          </cell>
        </row>
        <row r="35">
          <cell r="AE35">
            <v>360000</v>
          </cell>
        </row>
        <row r="36">
          <cell r="AE36">
            <v>360000</v>
          </cell>
        </row>
        <row r="37">
          <cell r="AE37">
            <v>360000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PEL PJ 1"/>
      <sheetName val="PEL PJ 2"/>
    </sheetNames>
    <sheetDataSet>
      <sheetData sheetId="0" refreshError="1"/>
      <sheetData sheetId="1" refreshError="1"/>
      <sheetData sheetId="2">
        <row r="9">
          <cell r="AF9">
            <v>130000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umida1"/>
      <sheetName val="bumida2"/>
      <sheetName val="lunas"/>
    </sheetNames>
    <sheetDataSet>
      <sheetData sheetId="0">
        <row r="9">
          <cell r="F9">
            <v>1104039</v>
          </cell>
        </row>
      </sheetData>
      <sheetData sheetId="1">
        <row r="10">
          <cell r="T10">
            <v>97535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khr"/>
      <sheetName val="umroh 1"/>
      <sheetName val="umroh 2"/>
      <sheetName val="pel"/>
    </sheetNames>
    <sheetDataSet>
      <sheetData sheetId="0"/>
      <sheetData sheetId="1">
        <row r="13">
          <cell r="J13">
            <v>228</v>
          </cell>
        </row>
      </sheetData>
      <sheetData sheetId="2">
        <row r="6">
          <cell r="AA6">
            <v>1010000</v>
          </cell>
        </row>
        <row r="7">
          <cell r="AA7">
            <v>127580000</v>
          </cell>
        </row>
        <row r="8">
          <cell r="AA8">
            <v>99110000</v>
          </cell>
        </row>
        <row r="9">
          <cell r="AA9">
            <v>67232200</v>
          </cell>
        </row>
        <row r="10">
          <cell r="AA10">
            <v>9538800</v>
          </cell>
        </row>
        <row r="11">
          <cell r="AA11">
            <v>9538800</v>
          </cell>
        </row>
        <row r="12">
          <cell r="AA12">
            <v>2430550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UP DOKTR 1"/>
      <sheetName val="SUP DOKTR 2"/>
      <sheetName val="PEL"/>
      <sheetName val="LUNAS"/>
    </sheetNames>
    <sheetDataSet>
      <sheetData sheetId="0" refreshError="1"/>
      <sheetData sheetId="1" refreshError="1">
        <row r="5">
          <cell r="AA5">
            <v>78850000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C803"/>
  <sheetViews>
    <sheetView showGridLines="0" tabSelected="1" view="pageBreakPreview" zoomScaleSheetLayoutView="100" workbookViewId="0">
      <pane ySplit="4" topLeftCell="A50" activePane="bottomLeft" state="frozen"/>
      <selection pane="bottomLeft" activeCell="B64" sqref="B64"/>
    </sheetView>
  </sheetViews>
  <sheetFormatPr defaultRowHeight="15.7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0.5703125" style="8" customWidth="1"/>
    <col min="5" max="5" width="13.85546875" style="127" bestFit="1" customWidth="1"/>
    <col min="6" max="7" width="20" style="128" bestFit="1" customWidth="1"/>
    <col min="8" max="8" width="17.5703125" style="129" bestFit="1" customWidth="1"/>
    <col min="9" max="9" width="17" style="130" bestFit="1" customWidth="1"/>
    <col min="10" max="10" width="11.5703125" style="8" bestFit="1" customWidth="1"/>
    <col min="11" max="11" width="11.5703125" style="9" bestFit="1" customWidth="1"/>
    <col min="12" max="12" width="21.42578125" style="131" bestFit="1" customWidth="1"/>
    <col min="13" max="13" width="20" style="131" bestFit="1" customWidth="1"/>
    <col min="14" max="14" width="19.42578125" style="131" bestFit="1" customWidth="1"/>
    <col min="15" max="15" width="21.5703125" style="132" bestFit="1" customWidth="1"/>
    <col min="16" max="16" width="27.140625" style="133" bestFit="1" customWidth="1"/>
    <col min="17" max="18" width="16.140625" style="2" bestFit="1" customWidth="1"/>
    <col min="19" max="19" width="15.7109375" style="2" bestFit="1" customWidth="1"/>
    <col min="20" max="28" width="9.140625" style="2"/>
    <col min="29" max="16384" width="9.140625" style="9"/>
  </cols>
  <sheetData>
    <row r="1" spans="1:29" ht="20.25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9" ht="20.25">
      <c r="A2" s="13" t="s">
        <v>1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9" s="8" customFormat="1">
      <c r="A3" s="14" t="s">
        <v>2</v>
      </c>
      <c r="B3" s="14" t="s">
        <v>3</v>
      </c>
      <c r="C3" s="14" t="s">
        <v>4</v>
      </c>
      <c r="D3" s="14"/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14"/>
      <c r="R3" s="14"/>
      <c r="S3" s="14"/>
      <c r="T3" s="3"/>
      <c r="U3" s="3"/>
      <c r="V3" s="3"/>
      <c r="W3" s="3"/>
      <c r="X3" s="3"/>
      <c r="Y3" s="3"/>
      <c r="Z3" s="3"/>
      <c r="AA3" s="3"/>
      <c r="AB3" s="3"/>
    </row>
    <row r="4" spans="1:29" s="8" customFormat="1">
      <c r="A4" s="22"/>
      <c r="B4" s="22"/>
      <c r="C4" s="22"/>
      <c r="D4" s="22"/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22"/>
      <c r="R4" s="22"/>
      <c r="S4" s="22"/>
      <c r="T4" s="3"/>
      <c r="U4" s="3"/>
      <c r="V4" s="3"/>
      <c r="W4" s="3"/>
      <c r="X4" s="3"/>
      <c r="Y4" s="3"/>
      <c r="Z4" s="3"/>
      <c r="AA4" s="3"/>
      <c r="AB4" s="3"/>
    </row>
    <row r="5" spans="1:29" customFormat="1">
      <c r="A5" s="32">
        <v>1</v>
      </c>
      <c r="B5" s="33" t="s">
        <v>20</v>
      </c>
      <c r="C5" s="34" t="s">
        <v>21</v>
      </c>
      <c r="D5" s="34"/>
      <c r="E5" s="35">
        <v>42195</v>
      </c>
      <c r="F5" s="36">
        <f>360000-14415</f>
        <v>345585</v>
      </c>
      <c r="G5" s="37">
        <f t="shared" ref="G5:G23" si="0">+J5*L5</f>
        <v>345585</v>
      </c>
      <c r="H5" s="38">
        <f>+F5/J5</f>
        <v>345585</v>
      </c>
      <c r="I5" s="39">
        <v>0</v>
      </c>
      <c r="J5" s="40">
        <v>1</v>
      </c>
      <c r="K5" s="40">
        <v>1</v>
      </c>
      <c r="L5" s="41">
        <f t="shared" ref="L5:L23" si="1">+H5+I5</f>
        <v>345585</v>
      </c>
      <c r="M5" s="42">
        <f t="shared" ref="M5:M15" si="2">+K5*L5</f>
        <v>345585</v>
      </c>
      <c r="N5" s="43">
        <f>+H5*K5</f>
        <v>345585</v>
      </c>
      <c r="O5" s="44"/>
      <c r="P5" s="44" t="s">
        <v>22</v>
      </c>
      <c r="Q5" s="45">
        <f t="shared" ref="Q5:Q15" si="3">+N5</f>
        <v>345585</v>
      </c>
      <c r="R5" s="46">
        <f>+'[1]LAIN N2'!AF9</f>
        <v>345585</v>
      </c>
      <c r="S5" s="47">
        <f t="shared" ref="S5:S15" si="4">+Q5-R5</f>
        <v>0</v>
      </c>
    </row>
    <row r="6" spans="1:29" customFormat="1">
      <c r="A6" s="48">
        <f t="shared" ref="A6:A15" si="5">+A5+1</f>
        <v>2</v>
      </c>
      <c r="B6" s="33" t="s">
        <v>20</v>
      </c>
      <c r="C6" s="34" t="s">
        <v>21</v>
      </c>
      <c r="D6" s="34"/>
      <c r="E6" s="35">
        <v>42226</v>
      </c>
      <c r="F6" s="36">
        <v>360000</v>
      </c>
      <c r="G6" s="37">
        <f t="shared" si="0"/>
        <v>360000</v>
      </c>
      <c r="H6" s="38">
        <f>+F6/J6</f>
        <v>360000</v>
      </c>
      <c r="I6" s="39">
        <v>0</v>
      </c>
      <c r="J6" s="40">
        <v>1</v>
      </c>
      <c r="K6" s="40">
        <v>1</v>
      </c>
      <c r="L6" s="41">
        <f t="shared" si="1"/>
        <v>360000</v>
      </c>
      <c r="M6" s="42">
        <f t="shared" si="2"/>
        <v>360000</v>
      </c>
      <c r="N6" s="43">
        <f>+H6*K6</f>
        <v>360000</v>
      </c>
      <c r="O6" s="49"/>
      <c r="P6" s="44" t="s">
        <v>23</v>
      </c>
      <c r="Q6" s="45">
        <f t="shared" si="3"/>
        <v>360000</v>
      </c>
      <c r="R6" s="46">
        <f>+'[1]LAIN N2'!AF10</f>
        <v>360000</v>
      </c>
      <c r="S6" s="47">
        <f t="shared" si="4"/>
        <v>0</v>
      </c>
    </row>
    <row r="7" spans="1:29" customFormat="1">
      <c r="A7" s="48">
        <f t="shared" si="5"/>
        <v>3</v>
      </c>
      <c r="B7" s="33" t="s">
        <v>20</v>
      </c>
      <c r="C7" s="34" t="s">
        <v>21</v>
      </c>
      <c r="D7" s="34"/>
      <c r="E7" s="50">
        <v>42257</v>
      </c>
      <c r="F7" s="51">
        <v>360000</v>
      </c>
      <c r="G7" s="37">
        <f t="shared" si="0"/>
        <v>360000</v>
      </c>
      <c r="H7" s="38">
        <f>+F7/J7</f>
        <v>360000</v>
      </c>
      <c r="I7" s="39">
        <v>0</v>
      </c>
      <c r="J7" s="40">
        <v>1</v>
      </c>
      <c r="K7" s="40">
        <v>1</v>
      </c>
      <c r="L7" s="41">
        <f t="shared" si="1"/>
        <v>360000</v>
      </c>
      <c r="M7" s="42">
        <f t="shared" si="2"/>
        <v>360000</v>
      </c>
      <c r="N7" s="43">
        <f>+H7*K7</f>
        <v>360000</v>
      </c>
      <c r="O7" s="49"/>
      <c r="P7" s="44" t="s">
        <v>24</v>
      </c>
      <c r="Q7" s="45">
        <f t="shared" si="3"/>
        <v>360000</v>
      </c>
      <c r="R7" s="46">
        <f>+'[1]LAIN N2'!AF11</f>
        <v>360000</v>
      </c>
      <c r="S7" s="47">
        <f t="shared" si="4"/>
        <v>0</v>
      </c>
    </row>
    <row r="8" spans="1:29" customFormat="1">
      <c r="A8" s="48">
        <f t="shared" si="5"/>
        <v>4</v>
      </c>
      <c r="B8" s="33" t="s">
        <v>20</v>
      </c>
      <c r="C8" s="34" t="s">
        <v>21</v>
      </c>
      <c r="D8" s="34"/>
      <c r="E8" s="50">
        <v>41815</v>
      </c>
      <c r="F8" s="52">
        <f>25000200+625005+4374795</f>
        <v>30000000</v>
      </c>
      <c r="G8" s="52">
        <f t="shared" si="0"/>
        <v>42960600</v>
      </c>
      <c r="H8" s="39">
        <v>833350</v>
      </c>
      <c r="I8" s="52">
        <f>+F8*1.2%</f>
        <v>360000</v>
      </c>
      <c r="J8" s="40">
        <v>36</v>
      </c>
      <c r="K8" s="40">
        <f>23+1</f>
        <v>24</v>
      </c>
      <c r="L8" s="53">
        <f t="shared" si="1"/>
        <v>1193350</v>
      </c>
      <c r="M8" s="42">
        <f t="shared" si="2"/>
        <v>28640400</v>
      </c>
      <c r="N8" s="54">
        <f>+H8*K8-(5000000)-(2000000)-(2000000)-282232</f>
        <v>10718168</v>
      </c>
      <c r="O8" s="55" t="s">
        <v>25</v>
      </c>
      <c r="P8" s="56" t="s">
        <v>26</v>
      </c>
      <c r="Q8" s="45">
        <f t="shared" si="3"/>
        <v>10718168</v>
      </c>
      <c r="R8" s="46">
        <f>+'[1]LAIN N2'!AF12</f>
        <v>10718168</v>
      </c>
      <c r="S8" s="47">
        <f t="shared" si="4"/>
        <v>0</v>
      </c>
    </row>
    <row r="9" spans="1:29" customFormat="1">
      <c r="A9" s="57">
        <f t="shared" si="5"/>
        <v>5</v>
      </c>
      <c r="B9" s="58" t="s">
        <v>27</v>
      </c>
      <c r="C9" s="57">
        <v>330817</v>
      </c>
      <c r="D9" s="59" t="s">
        <v>28</v>
      </c>
      <c r="E9" s="60">
        <v>42949</v>
      </c>
      <c r="F9" s="61">
        <f>21985000+900000</f>
        <v>22885000</v>
      </c>
      <c r="G9" s="61">
        <f t="shared" si="0"/>
        <v>29508000</v>
      </c>
      <c r="H9" s="61">
        <v>954880</v>
      </c>
      <c r="I9" s="61">
        <f>+F9*1.2%</f>
        <v>274620</v>
      </c>
      <c r="J9" s="57">
        <v>24</v>
      </c>
      <c r="K9" s="32">
        <v>12</v>
      </c>
      <c r="L9" s="62">
        <f t="shared" si="1"/>
        <v>1229500</v>
      </c>
      <c r="M9" s="63">
        <f t="shared" si="2"/>
        <v>14754000</v>
      </c>
      <c r="N9" s="64">
        <f>F9-(H9*12)</f>
        <v>11426440</v>
      </c>
      <c r="O9" s="65" t="s">
        <v>29</v>
      </c>
      <c r="P9" s="66" t="s">
        <v>30</v>
      </c>
      <c r="Q9" s="45">
        <f t="shared" si="3"/>
        <v>11426440</v>
      </c>
      <c r="R9" s="46">
        <f>+'[1]LAIN N2'!AF13</f>
        <v>11426440</v>
      </c>
      <c r="S9" s="47">
        <f t="shared" si="4"/>
        <v>0</v>
      </c>
    </row>
    <row r="10" spans="1:29" customFormat="1">
      <c r="A10" s="48">
        <f t="shared" si="5"/>
        <v>6</v>
      </c>
      <c r="B10" s="33" t="s">
        <v>31</v>
      </c>
      <c r="C10" s="34">
        <v>897708</v>
      </c>
      <c r="D10" s="34"/>
      <c r="E10" s="67">
        <v>40913</v>
      </c>
      <c r="F10" s="38">
        <f>11666900+291673+75484+2965943</f>
        <v>15000000</v>
      </c>
      <c r="G10" s="39">
        <f t="shared" si="0"/>
        <v>19680000</v>
      </c>
      <c r="H10" s="38">
        <f>F10/J10</f>
        <v>625000</v>
      </c>
      <c r="I10" s="52">
        <f>+F10*1.3%</f>
        <v>195000.00000000003</v>
      </c>
      <c r="J10" s="68">
        <v>24</v>
      </c>
      <c r="K10" s="40">
        <f>11</f>
        <v>11</v>
      </c>
      <c r="L10" s="69">
        <f t="shared" si="1"/>
        <v>820000</v>
      </c>
      <c r="M10" s="69">
        <f t="shared" si="2"/>
        <v>9020000</v>
      </c>
      <c r="N10" s="69">
        <f>8125000-305000-(636755)-(211547)-(1273000)-625000</f>
        <v>5073698</v>
      </c>
      <c r="O10" s="49" t="s">
        <v>32</v>
      </c>
      <c r="P10" s="44" t="s">
        <v>26</v>
      </c>
      <c r="Q10" s="45">
        <f t="shared" si="3"/>
        <v>5073698</v>
      </c>
      <c r="R10" s="46">
        <f>+'[1]LAIN N2'!AF14</f>
        <v>5073698</v>
      </c>
      <c r="S10" s="47">
        <f t="shared" si="4"/>
        <v>0</v>
      </c>
    </row>
    <row r="11" spans="1:29" customFormat="1">
      <c r="A11" s="48">
        <f t="shared" si="5"/>
        <v>7</v>
      </c>
      <c r="B11" s="70" t="s">
        <v>33</v>
      </c>
      <c r="C11" s="71">
        <v>981316</v>
      </c>
      <c r="D11" s="71"/>
      <c r="E11" s="72">
        <v>41122</v>
      </c>
      <c r="F11" s="73">
        <v>94390</v>
      </c>
      <c r="G11" s="74">
        <f t="shared" si="0"/>
        <v>94390</v>
      </c>
      <c r="H11" s="75">
        <f>+F11/J11</f>
        <v>94390</v>
      </c>
      <c r="I11" s="74">
        <v>0</v>
      </c>
      <c r="J11" s="76">
        <v>1</v>
      </c>
      <c r="K11" s="77">
        <v>1</v>
      </c>
      <c r="L11" s="69">
        <f t="shared" si="1"/>
        <v>94390</v>
      </c>
      <c r="M11" s="69">
        <f t="shared" si="2"/>
        <v>94390</v>
      </c>
      <c r="N11" s="69">
        <f>+H11*K11</f>
        <v>94390</v>
      </c>
      <c r="O11" s="78" t="s">
        <v>34</v>
      </c>
      <c r="P11" s="44" t="s">
        <v>35</v>
      </c>
      <c r="Q11" s="45">
        <f t="shared" si="3"/>
        <v>94390</v>
      </c>
      <c r="R11" s="46">
        <f>+'[1]LAIN N2'!AF15</f>
        <v>94390</v>
      </c>
      <c r="S11" s="47">
        <f t="shared" si="4"/>
        <v>0</v>
      </c>
    </row>
    <row r="12" spans="1:29" customFormat="1">
      <c r="A12" s="48">
        <f t="shared" si="5"/>
        <v>8</v>
      </c>
      <c r="B12" s="70" t="s">
        <v>33</v>
      </c>
      <c r="C12" s="71">
        <v>981316</v>
      </c>
      <c r="D12" s="71"/>
      <c r="E12" s="72">
        <v>41163</v>
      </c>
      <c r="F12" s="74">
        <v>144950</v>
      </c>
      <c r="G12" s="74">
        <f t="shared" si="0"/>
        <v>144950</v>
      </c>
      <c r="H12" s="75">
        <f>+F12/J12</f>
        <v>144950</v>
      </c>
      <c r="I12" s="74">
        <v>0</v>
      </c>
      <c r="J12" s="76">
        <v>1</v>
      </c>
      <c r="K12" s="77">
        <v>1</v>
      </c>
      <c r="L12" s="69">
        <f t="shared" si="1"/>
        <v>144950</v>
      </c>
      <c r="M12" s="69">
        <f t="shared" si="2"/>
        <v>144950</v>
      </c>
      <c r="N12" s="69">
        <f>+H12*K12</f>
        <v>144950</v>
      </c>
      <c r="O12" s="78" t="s">
        <v>34</v>
      </c>
      <c r="P12" s="79" t="s">
        <v>36</v>
      </c>
      <c r="Q12" s="45">
        <f t="shared" si="3"/>
        <v>144950</v>
      </c>
      <c r="R12" s="46">
        <f>+'[1]LAIN N2'!AF16</f>
        <v>144950</v>
      </c>
      <c r="S12" s="47">
        <f t="shared" si="4"/>
        <v>0</v>
      </c>
    </row>
    <row r="13" spans="1:29">
      <c r="A13" s="32">
        <f t="shared" si="5"/>
        <v>9</v>
      </c>
      <c r="B13" s="80" t="s">
        <v>33</v>
      </c>
      <c r="C13" s="81">
        <v>981316</v>
      </c>
      <c r="D13" s="81"/>
      <c r="E13" s="82">
        <v>40561</v>
      </c>
      <c r="F13" s="73">
        <f>5041422+6108578</f>
        <v>11150000</v>
      </c>
      <c r="G13" s="74">
        <f t="shared" si="0"/>
        <v>16368300</v>
      </c>
      <c r="H13" s="75">
        <v>309725</v>
      </c>
      <c r="I13" s="83">
        <f>+F13*1.3%</f>
        <v>144950</v>
      </c>
      <c r="J13" s="76">
        <v>36</v>
      </c>
      <c r="K13" s="77">
        <f>23+1</f>
        <v>24</v>
      </c>
      <c r="L13" s="69">
        <f t="shared" si="1"/>
        <v>454675</v>
      </c>
      <c r="M13" s="69">
        <f t="shared" si="2"/>
        <v>10912200</v>
      </c>
      <c r="N13" s="69">
        <f>+H13*K13-(460238)-(122680)-(103819)</f>
        <v>6746663</v>
      </c>
      <c r="O13" s="56" t="s">
        <v>34</v>
      </c>
      <c r="P13" s="44" t="s">
        <v>37</v>
      </c>
      <c r="Q13" s="45">
        <f t="shared" si="3"/>
        <v>6746663</v>
      </c>
      <c r="R13" s="46">
        <f>+'[1]LAIN N2'!AF17</f>
        <v>6746663</v>
      </c>
      <c r="S13" s="47">
        <f t="shared" si="4"/>
        <v>0</v>
      </c>
      <c r="AC13" s="2"/>
    </row>
    <row r="14" spans="1:29">
      <c r="A14" s="57">
        <f t="shared" si="5"/>
        <v>10</v>
      </c>
      <c r="B14" s="58" t="s">
        <v>38</v>
      </c>
      <c r="C14" s="59" t="s">
        <v>39</v>
      </c>
      <c r="D14" s="84" t="s">
        <v>40</v>
      </c>
      <c r="E14" s="60">
        <v>42941</v>
      </c>
      <c r="F14" s="61">
        <f>26675000+100000</f>
        <v>26775000</v>
      </c>
      <c r="G14" s="61">
        <f t="shared" si="0"/>
        <v>38341800</v>
      </c>
      <c r="H14" s="61">
        <f>+F14/J14</f>
        <v>743750</v>
      </c>
      <c r="I14" s="61">
        <f>+F14*1.2%</f>
        <v>321300</v>
      </c>
      <c r="J14" s="57">
        <v>36</v>
      </c>
      <c r="K14" s="32">
        <f>26</f>
        <v>26</v>
      </c>
      <c r="L14" s="62">
        <f t="shared" si="1"/>
        <v>1065050</v>
      </c>
      <c r="M14" s="61">
        <f t="shared" si="2"/>
        <v>27691300</v>
      </c>
      <c r="N14" s="61">
        <f>+H14*K14</f>
        <v>19337500</v>
      </c>
      <c r="O14" s="85" t="s">
        <v>41</v>
      </c>
      <c r="P14" s="86" t="s">
        <v>42</v>
      </c>
      <c r="Q14" s="45">
        <f t="shared" si="3"/>
        <v>19337500</v>
      </c>
      <c r="R14" s="46">
        <f>+'[1]LAIN N2'!AF18</f>
        <v>19337500</v>
      </c>
      <c r="S14" s="47">
        <f t="shared" si="4"/>
        <v>0</v>
      </c>
      <c r="T14" s="9"/>
      <c r="U14" s="9"/>
      <c r="V14" s="9"/>
      <c r="W14" s="9"/>
      <c r="X14" s="9"/>
      <c r="Y14" s="9"/>
      <c r="Z14" s="9"/>
      <c r="AA14" s="9"/>
      <c r="AB14" s="9"/>
    </row>
    <row r="15" spans="1:29">
      <c r="A15" s="32">
        <f t="shared" si="5"/>
        <v>11</v>
      </c>
      <c r="B15" s="87" t="s">
        <v>43</v>
      </c>
      <c r="C15" s="88" t="s">
        <v>44</v>
      </c>
      <c r="D15" s="89" t="s">
        <v>45</v>
      </c>
      <c r="E15" s="90">
        <v>43157</v>
      </c>
      <c r="F15" s="91">
        <f>4000000</f>
        <v>4000000</v>
      </c>
      <c r="G15" s="92">
        <f t="shared" si="0"/>
        <v>4290000</v>
      </c>
      <c r="H15" s="93">
        <v>667000</v>
      </c>
      <c r="I15" s="93">
        <f t="shared" ref="I15" si="6">+F15*1.2%</f>
        <v>48000</v>
      </c>
      <c r="J15" s="94">
        <v>6</v>
      </c>
      <c r="K15" s="32">
        <v>3</v>
      </c>
      <c r="L15" s="92">
        <f t="shared" si="1"/>
        <v>715000</v>
      </c>
      <c r="M15" s="92">
        <f t="shared" si="2"/>
        <v>2145000</v>
      </c>
      <c r="N15" s="95">
        <f>F15-(H15*3)</f>
        <v>1999000</v>
      </c>
      <c r="O15" s="96" t="s">
        <v>46</v>
      </c>
      <c r="P15" s="96" t="s">
        <v>47</v>
      </c>
      <c r="Q15" s="45">
        <f t="shared" si="3"/>
        <v>1999000</v>
      </c>
      <c r="R15" s="46">
        <f>+'[1]LAIN N2'!AF19</f>
        <v>1999000</v>
      </c>
      <c r="S15" s="47">
        <f t="shared" si="4"/>
        <v>0</v>
      </c>
      <c r="AC15" s="2"/>
    </row>
    <row r="16" spans="1:29" ht="23.25" customHeight="1">
      <c r="A16" s="32">
        <v>1</v>
      </c>
      <c r="B16" s="97" t="s">
        <v>48</v>
      </c>
      <c r="C16" s="98" t="s">
        <v>49</v>
      </c>
      <c r="D16" s="72"/>
      <c r="E16" s="72">
        <v>41588</v>
      </c>
      <c r="F16" s="99">
        <v>61168</v>
      </c>
      <c r="G16" s="74">
        <f t="shared" si="0"/>
        <v>61168</v>
      </c>
      <c r="H16" s="73">
        <f t="shared" ref="H16:H23" si="7">+F16/J16</f>
        <v>61168</v>
      </c>
      <c r="I16" s="74">
        <v>0</v>
      </c>
      <c r="J16" s="76">
        <v>1</v>
      </c>
      <c r="K16" s="77">
        <v>1</v>
      </c>
      <c r="L16" s="69">
        <f t="shared" si="1"/>
        <v>61168</v>
      </c>
      <c r="M16" s="69">
        <f>+H16*K16</f>
        <v>61168</v>
      </c>
      <c r="N16" s="69">
        <f>+H16*K16</f>
        <v>61168</v>
      </c>
      <c r="O16" s="100" t="s">
        <v>50</v>
      </c>
      <c r="P16" s="101" t="s">
        <v>51</v>
      </c>
      <c r="Q16" s="46" t="e">
        <f>+'[2]DEND LAIN"2'!Z18</f>
        <v>#REF!</v>
      </c>
      <c r="R16" s="102" t="e">
        <f t="shared" ref="R16:R23" si="8">+P16-Q16</f>
        <v>#VALUE!</v>
      </c>
      <c r="T16" s="9"/>
      <c r="U16" s="9"/>
      <c r="V16" s="9"/>
      <c r="W16" s="9"/>
      <c r="X16" s="9"/>
      <c r="Y16" s="9"/>
      <c r="Z16" s="9"/>
      <c r="AA16" s="9"/>
      <c r="AB16" s="9"/>
    </row>
    <row r="17" spans="1:29" ht="23.25" customHeight="1">
      <c r="A17" s="32">
        <f>+A16+1</f>
        <v>2</v>
      </c>
      <c r="B17" s="97" t="s">
        <v>48</v>
      </c>
      <c r="C17" s="98" t="s">
        <v>49</v>
      </c>
      <c r="D17" s="72"/>
      <c r="E17" s="72">
        <v>41618</v>
      </c>
      <c r="F17" s="73">
        <v>61168</v>
      </c>
      <c r="G17" s="74">
        <f t="shared" si="0"/>
        <v>61168</v>
      </c>
      <c r="H17" s="73">
        <f t="shared" si="7"/>
        <v>61168</v>
      </c>
      <c r="I17" s="74">
        <v>0</v>
      </c>
      <c r="J17" s="76">
        <v>1</v>
      </c>
      <c r="K17" s="77">
        <v>1</v>
      </c>
      <c r="L17" s="69">
        <f t="shared" si="1"/>
        <v>61168</v>
      </c>
      <c r="M17" s="69">
        <f t="shared" ref="M17:M23" si="9">+K17*L17</f>
        <v>61168</v>
      </c>
      <c r="N17" s="69">
        <f>+G17*K17</f>
        <v>61168</v>
      </c>
      <c r="O17" s="100" t="s">
        <v>50</v>
      </c>
      <c r="P17" s="101" t="s">
        <v>52</v>
      </c>
      <c r="Q17" s="46" t="e">
        <f>+'[2]DEND LAIN"2'!Z19</f>
        <v>#REF!</v>
      </c>
      <c r="R17" s="102" t="e">
        <f t="shared" si="8"/>
        <v>#VALUE!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9" ht="23.25" customHeight="1">
      <c r="A18" s="32">
        <f t="shared" ref="A18:A23" si="10">+A17+1</f>
        <v>3</v>
      </c>
      <c r="B18" s="97" t="s">
        <v>48</v>
      </c>
      <c r="C18" s="98" t="s">
        <v>49</v>
      </c>
      <c r="D18" s="82"/>
      <c r="E18" s="82">
        <v>41649</v>
      </c>
      <c r="F18" s="103">
        <v>61168</v>
      </c>
      <c r="G18" s="74">
        <f t="shared" si="0"/>
        <v>61168</v>
      </c>
      <c r="H18" s="75">
        <f t="shared" si="7"/>
        <v>61168</v>
      </c>
      <c r="I18" s="74">
        <v>0</v>
      </c>
      <c r="J18" s="76">
        <v>1</v>
      </c>
      <c r="K18" s="77">
        <v>1</v>
      </c>
      <c r="L18" s="69">
        <f t="shared" si="1"/>
        <v>61168</v>
      </c>
      <c r="M18" s="69">
        <f t="shared" si="9"/>
        <v>61168</v>
      </c>
      <c r="N18" s="69">
        <f t="shared" ref="N18:N23" si="11">+H18*K18</f>
        <v>61168</v>
      </c>
      <c r="O18" s="100" t="s">
        <v>50</v>
      </c>
      <c r="P18" s="104" t="s">
        <v>53</v>
      </c>
      <c r="Q18" s="46" t="e">
        <f>+'[2]DEND LAIN"2'!Z20</f>
        <v>#REF!</v>
      </c>
      <c r="R18" s="102" t="e">
        <f t="shared" si="8"/>
        <v>#VALUE!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9" ht="23.25" customHeight="1">
      <c r="A19" s="32">
        <f t="shared" si="10"/>
        <v>4</v>
      </c>
      <c r="B19" s="97" t="s">
        <v>48</v>
      </c>
      <c r="C19" s="98" t="s">
        <v>49</v>
      </c>
      <c r="D19" s="82"/>
      <c r="E19" s="82">
        <v>41680</v>
      </c>
      <c r="F19" s="73">
        <v>61168</v>
      </c>
      <c r="G19" s="74">
        <f t="shared" si="0"/>
        <v>61168</v>
      </c>
      <c r="H19" s="75">
        <f t="shared" si="7"/>
        <v>61168</v>
      </c>
      <c r="I19" s="74">
        <v>0</v>
      </c>
      <c r="J19" s="76">
        <v>1</v>
      </c>
      <c r="K19" s="77">
        <v>1</v>
      </c>
      <c r="L19" s="69">
        <f t="shared" si="1"/>
        <v>61168</v>
      </c>
      <c r="M19" s="69">
        <f t="shared" si="9"/>
        <v>61168</v>
      </c>
      <c r="N19" s="69">
        <f t="shared" si="11"/>
        <v>61168</v>
      </c>
      <c r="O19" s="100"/>
      <c r="P19" s="104" t="s">
        <v>54</v>
      </c>
      <c r="Q19" s="46" t="e">
        <f>+'[2]DEND LAIN"2'!Z21</f>
        <v>#REF!</v>
      </c>
      <c r="R19" s="102" t="e">
        <f t="shared" si="8"/>
        <v>#VALUE!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9" ht="23.25" customHeight="1">
      <c r="A20" s="32">
        <f t="shared" si="10"/>
        <v>5</v>
      </c>
      <c r="B20" s="97" t="s">
        <v>48</v>
      </c>
      <c r="C20" s="98" t="s">
        <v>49</v>
      </c>
      <c r="D20" s="82"/>
      <c r="E20" s="82">
        <v>41708</v>
      </c>
      <c r="F20" s="73">
        <v>61168</v>
      </c>
      <c r="G20" s="74">
        <f t="shared" si="0"/>
        <v>61168</v>
      </c>
      <c r="H20" s="75">
        <f t="shared" si="7"/>
        <v>61168</v>
      </c>
      <c r="I20" s="74">
        <v>0</v>
      </c>
      <c r="J20" s="76">
        <v>1</v>
      </c>
      <c r="K20" s="77">
        <v>1</v>
      </c>
      <c r="L20" s="69">
        <f t="shared" si="1"/>
        <v>61168</v>
      </c>
      <c r="M20" s="69">
        <f t="shared" si="9"/>
        <v>61168</v>
      </c>
      <c r="N20" s="69">
        <f t="shared" si="11"/>
        <v>61168</v>
      </c>
      <c r="O20" s="100" t="s">
        <v>50</v>
      </c>
      <c r="P20" s="104" t="s">
        <v>55</v>
      </c>
      <c r="Q20" s="46" t="e">
        <f>+'[2]DEND LAIN"2'!Z22</f>
        <v>#REF!</v>
      </c>
      <c r="R20" s="102" t="e">
        <f t="shared" si="8"/>
        <v>#VALUE!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9" ht="23.25" customHeight="1">
      <c r="A21" s="32">
        <f t="shared" si="10"/>
        <v>6</v>
      </c>
      <c r="B21" s="97" t="s">
        <v>48</v>
      </c>
      <c r="C21" s="98" t="s">
        <v>49</v>
      </c>
      <c r="D21" s="72"/>
      <c r="E21" s="72">
        <v>41739</v>
      </c>
      <c r="F21" s="73">
        <v>61168</v>
      </c>
      <c r="G21" s="74">
        <f t="shared" si="0"/>
        <v>61168</v>
      </c>
      <c r="H21" s="75">
        <f t="shared" si="7"/>
        <v>61168</v>
      </c>
      <c r="I21" s="74">
        <v>0</v>
      </c>
      <c r="J21" s="76">
        <v>1</v>
      </c>
      <c r="K21" s="77">
        <v>1</v>
      </c>
      <c r="L21" s="69">
        <f t="shared" si="1"/>
        <v>61168</v>
      </c>
      <c r="M21" s="69">
        <f t="shared" si="9"/>
        <v>61168</v>
      </c>
      <c r="N21" s="69">
        <f t="shared" si="11"/>
        <v>61168</v>
      </c>
      <c r="O21" s="105" t="s">
        <v>50</v>
      </c>
      <c r="P21" s="104" t="s">
        <v>56</v>
      </c>
      <c r="Q21" s="46" t="e">
        <f>+'[2]DEND LAIN"2'!Z23</f>
        <v>#REF!</v>
      </c>
      <c r="R21" s="102" t="e">
        <f t="shared" si="8"/>
        <v>#VALUE!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9" ht="23.25" customHeight="1">
      <c r="A22" s="32">
        <f t="shared" si="10"/>
        <v>7</v>
      </c>
      <c r="B22" s="97" t="s">
        <v>48</v>
      </c>
      <c r="C22" s="98" t="s">
        <v>49</v>
      </c>
      <c r="D22" s="82"/>
      <c r="E22" s="82">
        <v>41769</v>
      </c>
      <c r="F22" s="73">
        <v>61168</v>
      </c>
      <c r="G22" s="74">
        <f t="shared" si="0"/>
        <v>61168</v>
      </c>
      <c r="H22" s="75">
        <f t="shared" si="7"/>
        <v>61168</v>
      </c>
      <c r="I22" s="74">
        <v>0</v>
      </c>
      <c r="J22" s="76">
        <v>1</v>
      </c>
      <c r="K22" s="77">
        <v>1</v>
      </c>
      <c r="L22" s="69">
        <f t="shared" si="1"/>
        <v>61168</v>
      </c>
      <c r="M22" s="69">
        <f t="shared" si="9"/>
        <v>61168</v>
      </c>
      <c r="N22" s="106">
        <f t="shared" si="11"/>
        <v>61168</v>
      </c>
      <c r="O22" s="100" t="s">
        <v>50</v>
      </c>
      <c r="P22" s="104" t="s">
        <v>57</v>
      </c>
      <c r="Q22" s="46" t="e">
        <f>+'[2]DEND LAIN"2'!Z24</f>
        <v>#REF!</v>
      </c>
      <c r="R22" s="102" t="e">
        <f t="shared" si="8"/>
        <v>#VALUE!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9" ht="23.25" customHeight="1">
      <c r="A23" s="32">
        <f t="shared" si="10"/>
        <v>8</v>
      </c>
      <c r="B23" s="97" t="s">
        <v>48</v>
      </c>
      <c r="C23" s="98" t="s">
        <v>49</v>
      </c>
      <c r="D23" s="82"/>
      <c r="E23" s="82">
        <v>41800</v>
      </c>
      <c r="F23" s="73">
        <v>61168</v>
      </c>
      <c r="G23" s="74">
        <f t="shared" si="0"/>
        <v>61168</v>
      </c>
      <c r="H23" s="75">
        <f t="shared" si="7"/>
        <v>61168</v>
      </c>
      <c r="I23" s="74">
        <v>0</v>
      </c>
      <c r="J23" s="76">
        <v>1</v>
      </c>
      <c r="K23" s="77">
        <v>1</v>
      </c>
      <c r="L23" s="69">
        <f t="shared" si="1"/>
        <v>61168</v>
      </c>
      <c r="M23" s="69">
        <f t="shared" si="9"/>
        <v>61168</v>
      </c>
      <c r="N23" s="106">
        <f t="shared" si="11"/>
        <v>61168</v>
      </c>
      <c r="O23" s="100" t="s">
        <v>50</v>
      </c>
      <c r="P23" s="104" t="s">
        <v>58</v>
      </c>
      <c r="Q23" s="46" t="e">
        <f>+'[2]DEND LAIN"2'!Z25</f>
        <v>#REF!</v>
      </c>
      <c r="R23" s="102" t="e">
        <f t="shared" si="8"/>
        <v>#VALUE!</v>
      </c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9">
      <c r="A24" s="22">
        <f>+A23+1</f>
        <v>9</v>
      </c>
      <c r="B24" s="97" t="s">
        <v>48</v>
      </c>
      <c r="C24" s="98" t="s">
        <v>49</v>
      </c>
      <c r="D24" s="72"/>
      <c r="E24" s="72">
        <v>41739</v>
      </c>
      <c r="F24" s="73">
        <v>112065</v>
      </c>
      <c r="G24" s="74">
        <f>+J24*L24</f>
        <v>112065</v>
      </c>
      <c r="H24" s="75">
        <f>+F24/J24</f>
        <v>112065</v>
      </c>
      <c r="I24" s="74">
        <v>0</v>
      </c>
      <c r="J24" s="76">
        <v>1</v>
      </c>
      <c r="K24" s="77">
        <v>1</v>
      </c>
      <c r="L24" s="69">
        <f>+H24+I24</f>
        <v>112065</v>
      </c>
      <c r="M24" s="69">
        <f>+K24*L24</f>
        <v>112065</v>
      </c>
      <c r="N24" s="69">
        <f>+H24*K24</f>
        <v>112065</v>
      </c>
      <c r="O24" s="100" t="s">
        <v>50</v>
      </c>
      <c r="P24" s="104" t="s">
        <v>59</v>
      </c>
      <c r="Q24" s="107" t="e">
        <f>+'[2]BG_LAIN" 2'!Z27</f>
        <v>#REF!</v>
      </c>
      <c r="R24" s="107" t="e">
        <f>+P24-Q24</f>
        <v>#VALUE!</v>
      </c>
      <c r="AC24" s="2"/>
    </row>
    <row r="25" spans="1:29">
      <c r="A25" s="22">
        <f>+A24+1</f>
        <v>10</v>
      </c>
      <c r="B25" s="97" t="s">
        <v>48</v>
      </c>
      <c r="C25" s="98" t="s">
        <v>49</v>
      </c>
      <c r="D25" s="82"/>
      <c r="E25" s="82">
        <v>41769</v>
      </c>
      <c r="F25" s="73">
        <v>195000.00000000003</v>
      </c>
      <c r="G25" s="74">
        <f>+J25*L25</f>
        <v>195000.00000000003</v>
      </c>
      <c r="H25" s="75">
        <f>+F25/J25</f>
        <v>195000.00000000003</v>
      </c>
      <c r="I25" s="74">
        <v>0</v>
      </c>
      <c r="J25" s="76">
        <v>1</v>
      </c>
      <c r="K25" s="77">
        <v>1</v>
      </c>
      <c r="L25" s="69">
        <f>+H25+I25</f>
        <v>195000.00000000003</v>
      </c>
      <c r="M25" s="69">
        <f>+K25*L25</f>
        <v>195000.00000000003</v>
      </c>
      <c r="N25" s="69">
        <f>+H25*K25</f>
        <v>195000.00000000003</v>
      </c>
      <c r="O25" s="100" t="s">
        <v>50</v>
      </c>
      <c r="P25" s="104" t="s">
        <v>60</v>
      </c>
      <c r="Q25" s="107" t="e">
        <f>+'[2]BG_LAIN" 2'!Z28</f>
        <v>#REF!</v>
      </c>
      <c r="R25" s="107" t="e">
        <f>+P25-Q25</f>
        <v>#VALUE!</v>
      </c>
      <c r="AC25" s="2"/>
    </row>
    <row r="26" spans="1:29">
      <c r="A26" s="22">
        <f>+A25+1</f>
        <v>11</v>
      </c>
      <c r="B26" s="97" t="s">
        <v>48</v>
      </c>
      <c r="C26" s="98" t="s">
        <v>49</v>
      </c>
      <c r="D26" s="82"/>
      <c r="E26" s="82">
        <v>41800</v>
      </c>
      <c r="F26" s="73">
        <v>195000.00000000003</v>
      </c>
      <c r="G26" s="74">
        <f>+J26*L26</f>
        <v>195000.00000000003</v>
      </c>
      <c r="H26" s="75">
        <f>+F26/J26</f>
        <v>195000.00000000003</v>
      </c>
      <c r="I26" s="74">
        <v>0</v>
      </c>
      <c r="J26" s="76">
        <v>1</v>
      </c>
      <c r="K26" s="77">
        <v>1</v>
      </c>
      <c r="L26" s="69">
        <f>+H26+I26</f>
        <v>195000.00000000003</v>
      </c>
      <c r="M26" s="69">
        <f>+K26*L26</f>
        <v>195000.00000000003</v>
      </c>
      <c r="N26" s="69">
        <f>+H26*K26</f>
        <v>195000.00000000003</v>
      </c>
      <c r="O26" s="100" t="s">
        <v>50</v>
      </c>
      <c r="P26" s="104" t="s">
        <v>61</v>
      </c>
      <c r="Q26" s="107" t="e">
        <f>+'[2]BG_LAIN" 2'!Z29</f>
        <v>#REF!</v>
      </c>
      <c r="R26" s="107" t="e">
        <f>+P26-Q26</f>
        <v>#VALUE!</v>
      </c>
      <c r="AC26" s="2"/>
    </row>
    <row r="27" spans="1:29">
      <c r="A27" s="32">
        <f t="shared" ref="A27:A57" si="12">+A26+1</f>
        <v>12</v>
      </c>
      <c r="B27" s="80" t="s">
        <v>62</v>
      </c>
      <c r="C27" s="81">
        <v>903855</v>
      </c>
      <c r="D27" s="72"/>
      <c r="E27" s="72">
        <v>41395</v>
      </c>
      <c r="F27" s="73">
        <f>91000+395841+15833650+150000+200000+13329509</f>
        <v>30000000</v>
      </c>
      <c r="G27" s="74">
        <f>+J27*L27</f>
        <v>42960240</v>
      </c>
      <c r="H27" s="73">
        <v>833340</v>
      </c>
      <c r="I27" s="74">
        <f>F27*1.2%</f>
        <v>360000</v>
      </c>
      <c r="J27" s="76">
        <v>36</v>
      </c>
      <c r="K27" s="77">
        <f>22+1</f>
        <v>23</v>
      </c>
      <c r="L27" s="69">
        <f t="shared" ref="L27" si="13">+H27+I27</f>
        <v>1193340</v>
      </c>
      <c r="M27" s="69">
        <f t="shared" ref="M27:M57" si="14">+K27*L27</f>
        <v>27446820</v>
      </c>
      <c r="N27" s="54">
        <f>H27*K27-285089</f>
        <v>18881731</v>
      </c>
      <c r="O27" s="101" t="s">
        <v>63</v>
      </c>
      <c r="P27" s="101" t="s">
        <v>64</v>
      </c>
      <c r="Q27" s="102">
        <f>+'[3]p lain dn 2'!AE29</f>
        <v>360000</v>
      </c>
      <c r="R27" s="102" t="e">
        <f>+P27-Q27</f>
        <v>#VALUE!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9">
      <c r="A28" s="32">
        <f t="shared" si="12"/>
        <v>13</v>
      </c>
      <c r="B28" s="80" t="s">
        <v>62</v>
      </c>
      <c r="C28" s="81">
        <v>903855</v>
      </c>
      <c r="D28" s="82"/>
      <c r="E28" s="82">
        <v>41830</v>
      </c>
      <c r="F28" s="73">
        <v>119334</v>
      </c>
      <c r="G28" s="108">
        <f>J28*L28</f>
        <v>119334</v>
      </c>
      <c r="H28" s="74">
        <f>F28/J28</f>
        <v>119334</v>
      </c>
      <c r="I28" s="75">
        <v>0</v>
      </c>
      <c r="J28" s="76">
        <v>1</v>
      </c>
      <c r="K28" s="77">
        <v>1</v>
      </c>
      <c r="L28" s="42">
        <f>+H28+I28</f>
        <v>119334</v>
      </c>
      <c r="M28" s="42">
        <f t="shared" si="14"/>
        <v>119334</v>
      </c>
      <c r="N28" s="43">
        <f t="shared" ref="N28:N57" si="15">+H28*K28</f>
        <v>119334</v>
      </c>
      <c r="O28" s="101" t="s">
        <v>63</v>
      </c>
      <c r="P28" s="104" t="s">
        <v>65</v>
      </c>
      <c r="Q28" s="102">
        <f>+'[4]lain2 2'!AE30</f>
        <v>360000</v>
      </c>
      <c r="R28" s="102" t="e">
        <f t="shared" ref="R28:R57" si="16">+P28-Q28</f>
        <v>#VALUE!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9">
      <c r="A29" s="32">
        <f t="shared" si="12"/>
        <v>14</v>
      </c>
      <c r="B29" s="80" t="s">
        <v>62</v>
      </c>
      <c r="C29" s="81">
        <v>903855</v>
      </c>
      <c r="D29" s="72"/>
      <c r="E29" s="72">
        <v>41861</v>
      </c>
      <c r="F29" s="73">
        <v>119334</v>
      </c>
      <c r="G29" s="74">
        <f t="shared" ref="G29:G42" si="17">+J29*L29</f>
        <v>119334</v>
      </c>
      <c r="H29" s="73">
        <f t="shared" ref="H29:H42" si="18">+F29/J29</f>
        <v>119334</v>
      </c>
      <c r="I29" s="74">
        <v>0</v>
      </c>
      <c r="J29" s="76">
        <v>1</v>
      </c>
      <c r="K29" s="77">
        <v>1</v>
      </c>
      <c r="L29" s="42">
        <f t="shared" ref="L29:L57" si="19">+H29+I29</f>
        <v>119334</v>
      </c>
      <c r="M29" s="42">
        <f t="shared" si="14"/>
        <v>119334</v>
      </c>
      <c r="N29" s="43">
        <f t="shared" si="15"/>
        <v>119334</v>
      </c>
      <c r="O29" s="104"/>
      <c r="P29" s="101" t="s">
        <v>66</v>
      </c>
      <c r="Q29" s="102">
        <f>+'[4]lain2 2'!AE31</f>
        <v>360000</v>
      </c>
      <c r="R29" s="102" t="e">
        <f t="shared" si="16"/>
        <v>#VALUE!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9">
      <c r="A30" s="32">
        <f t="shared" si="12"/>
        <v>15</v>
      </c>
      <c r="B30" s="80" t="s">
        <v>62</v>
      </c>
      <c r="C30" s="81">
        <v>903855</v>
      </c>
      <c r="D30" s="72"/>
      <c r="E30" s="72">
        <v>41892</v>
      </c>
      <c r="F30" s="73">
        <v>119334</v>
      </c>
      <c r="G30" s="74">
        <f t="shared" si="17"/>
        <v>119334</v>
      </c>
      <c r="H30" s="73">
        <f t="shared" si="18"/>
        <v>119334</v>
      </c>
      <c r="I30" s="74">
        <v>0</v>
      </c>
      <c r="J30" s="76">
        <v>1</v>
      </c>
      <c r="K30" s="77">
        <v>1</v>
      </c>
      <c r="L30" s="42">
        <f t="shared" si="19"/>
        <v>119334</v>
      </c>
      <c r="M30" s="42">
        <f t="shared" si="14"/>
        <v>119334</v>
      </c>
      <c r="N30" s="43">
        <f t="shared" si="15"/>
        <v>119334</v>
      </c>
      <c r="O30" s="101" t="s">
        <v>63</v>
      </c>
      <c r="P30" s="101" t="s">
        <v>67</v>
      </c>
      <c r="Q30" s="102">
        <f>+'[4]lain2 2'!AE32</f>
        <v>360000</v>
      </c>
      <c r="R30" s="102" t="e">
        <f t="shared" si="16"/>
        <v>#VALUE!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9">
      <c r="A31" s="32">
        <f t="shared" si="12"/>
        <v>16</v>
      </c>
      <c r="B31" s="80" t="s">
        <v>62</v>
      </c>
      <c r="C31" s="81">
        <v>903855</v>
      </c>
      <c r="D31" s="72"/>
      <c r="E31" s="72">
        <v>41922</v>
      </c>
      <c r="F31" s="73">
        <v>119334</v>
      </c>
      <c r="G31" s="74">
        <f t="shared" si="17"/>
        <v>119334</v>
      </c>
      <c r="H31" s="73">
        <f t="shared" si="18"/>
        <v>119334</v>
      </c>
      <c r="I31" s="74">
        <v>0</v>
      </c>
      <c r="J31" s="76">
        <v>1</v>
      </c>
      <c r="K31" s="77">
        <v>1</v>
      </c>
      <c r="L31" s="42">
        <f t="shared" si="19"/>
        <v>119334</v>
      </c>
      <c r="M31" s="42">
        <f t="shared" si="14"/>
        <v>119334</v>
      </c>
      <c r="N31" s="43">
        <f t="shared" si="15"/>
        <v>119334</v>
      </c>
      <c r="O31" s="101"/>
      <c r="P31" s="101" t="s">
        <v>68</v>
      </c>
      <c r="Q31" s="102">
        <f>+'[4]lain2 2'!AE33</f>
        <v>360000</v>
      </c>
      <c r="R31" s="102" t="e">
        <f t="shared" si="16"/>
        <v>#VALUE!</v>
      </c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9">
      <c r="A32" s="32">
        <f t="shared" si="12"/>
        <v>17</v>
      </c>
      <c r="B32" s="80" t="s">
        <v>62</v>
      </c>
      <c r="C32" s="81">
        <v>903855</v>
      </c>
      <c r="D32" s="109"/>
      <c r="E32" s="109">
        <v>41953</v>
      </c>
      <c r="F32" s="73">
        <v>119334</v>
      </c>
      <c r="G32" s="74">
        <f t="shared" si="17"/>
        <v>119334</v>
      </c>
      <c r="H32" s="73">
        <f t="shared" si="18"/>
        <v>119334</v>
      </c>
      <c r="I32" s="74">
        <v>0</v>
      </c>
      <c r="J32" s="76">
        <v>1</v>
      </c>
      <c r="K32" s="77">
        <v>1</v>
      </c>
      <c r="L32" s="42">
        <f t="shared" si="19"/>
        <v>119334</v>
      </c>
      <c r="M32" s="42">
        <f t="shared" si="14"/>
        <v>119334</v>
      </c>
      <c r="N32" s="43">
        <f t="shared" si="15"/>
        <v>119334</v>
      </c>
      <c r="O32" s="101" t="s">
        <v>63</v>
      </c>
      <c r="P32" s="101" t="s">
        <v>69</v>
      </c>
      <c r="Q32" s="102">
        <f>+'[4]lain2 2'!AE34</f>
        <v>360000</v>
      </c>
      <c r="R32" s="102" t="e">
        <f t="shared" si="16"/>
        <v>#VALUE!</v>
      </c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32">
        <f t="shared" si="12"/>
        <v>18</v>
      </c>
      <c r="B33" s="80" t="s">
        <v>62</v>
      </c>
      <c r="C33" s="81">
        <v>903855</v>
      </c>
      <c r="D33" s="109"/>
      <c r="E33" s="109">
        <v>41983</v>
      </c>
      <c r="F33" s="73">
        <v>119334</v>
      </c>
      <c r="G33" s="74">
        <f t="shared" si="17"/>
        <v>119334</v>
      </c>
      <c r="H33" s="73">
        <f t="shared" si="18"/>
        <v>119334</v>
      </c>
      <c r="I33" s="74">
        <v>0</v>
      </c>
      <c r="J33" s="76">
        <v>1</v>
      </c>
      <c r="K33" s="77">
        <v>1</v>
      </c>
      <c r="L33" s="42">
        <f t="shared" si="19"/>
        <v>119334</v>
      </c>
      <c r="M33" s="42">
        <f t="shared" si="14"/>
        <v>119334</v>
      </c>
      <c r="N33" s="43">
        <f t="shared" si="15"/>
        <v>119334</v>
      </c>
      <c r="O33" s="101" t="s">
        <v>63</v>
      </c>
      <c r="P33" s="101" t="s">
        <v>70</v>
      </c>
      <c r="Q33" s="102">
        <f>+'[4]lain2 2'!AE35</f>
        <v>360000</v>
      </c>
      <c r="R33" s="102" t="e">
        <f t="shared" si="16"/>
        <v>#VALUE!</v>
      </c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32">
        <f t="shared" si="12"/>
        <v>19</v>
      </c>
      <c r="B34" s="80" t="s">
        <v>62</v>
      </c>
      <c r="C34" s="81">
        <v>903855</v>
      </c>
      <c r="D34" s="82"/>
      <c r="E34" s="82">
        <v>42014</v>
      </c>
      <c r="F34" s="73">
        <v>119334</v>
      </c>
      <c r="G34" s="74">
        <f t="shared" si="17"/>
        <v>119334</v>
      </c>
      <c r="H34" s="73">
        <f t="shared" si="18"/>
        <v>119334</v>
      </c>
      <c r="I34" s="74">
        <v>0</v>
      </c>
      <c r="J34" s="76">
        <v>1</v>
      </c>
      <c r="K34" s="77">
        <v>1</v>
      </c>
      <c r="L34" s="42">
        <f t="shared" si="19"/>
        <v>119334</v>
      </c>
      <c r="M34" s="42">
        <f t="shared" si="14"/>
        <v>119334</v>
      </c>
      <c r="N34" s="43">
        <f t="shared" si="15"/>
        <v>119334</v>
      </c>
      <c r="O34" s="101" t="s">
        <v>63</v>
      </c>
      <c r="P34" s="101" t="s">
        <v>71</v>
      </c>
      <c r="Q34" s="102">
        <f>+'[4]lain2 2'!AE36</f>
        <v>360000</v>
      </c>
      <c r="R34" s="102" t="e">
        <f t="shared" si="16"/>
        <v>#VALUE!</v>
      </c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32">
        <f t="shared" si="12"/>
        <v>20</v>
      </c>
      <c r="B35" s="80" t="s">
        <v>62</v>
      </c>
      <c r="C35" s="81">
        <v>903855</v>
      </c>
      <c r="D35" s="82"/>
      <c r="E35" s="82">
        <v>42045</v>
      </c>
      <c r="F35" s="73">
        <v>119334</v>
      </c>
      <c r="G35" s="74">
        <f t="shared" si="17"/>
        <v>119334</v>
      </c>
      <c r="H35" s="73">
        <f t="shared" si="18"/>
        <v>119334</v>
      </c>
      <c r="I35" s="74">
        <v>0</v>
      </c>
      <c r="J35" s="76">
        <v>1</v>
      </c>
      <c r="K35" s="77">
        <v>1</v>
      </c>
      <c r="L35" s="42">
        <f t="shared" si="19"/>
        <v>119334</v>
      </c>
      <c r="M35" s="42">
        <f t="shared" si="14"/>
        <v>119334</v>
      </c>
      <c r="N35" s="43">
        <f t="shared" si="15"/>
        <v>119334</v>
      </c>
      <c r="O35" s="101" t="s">
        <v>63</v>
      </c>
      <c r="P35" s="101" t="s">
        <v>72</v>
      </c>
      <c r="Q35" s="102">
        <f>+'[4]lain2 2'!AE37</f>
        <v>360000</v>
      </c>
      <c r="R35" s="102" t="e">
        <f t="shared" si="16"/>
        <v>#VALUE!</v>
      </c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32">
        <f t="shared" si="12"/>
        <v>21</v>
      </c>
      <c r="B36" s="80" t="s">
        <v>62</v>
      </c>
      <c r="C36" s="81">
        <v>903855</v>
      </c>
      <c r="D36" s="82"/>
      <c r="E36" s="82">
        <v>42073</v>
      </c>
      <c r="F36" s="73">
        <v>119334</v>
      </c>
      <c r="G36" s="74">
        <f t="shared" si="17"/>
        <v>119334</v>
      </c>
      <c r="H36" s="73">
        <f t="shared" si="18"/>
        <v>119334</v>
      </c>
      <c r="I36" s="74">
        <v>0</v>
      </c>
      <c r="J36" s="76">
        <v>1</v>
      </c>
      <c r="K36" s="77">
        <v>1</v>
      </c>
      <c r="L36" s="42">
        <f t="shared" si="19"/>
        <v>119334</v>
      </c>
      <c r="M36" s="42">
        <f t="shared" si="14"/>
        <v>119334</v>
      </c>
      <c r="N36" s="43">
        <f t="shared" si="15"/>
        <v>119334</v>
      </c>
      <c r="O36" s="101" t="s">
        <v>63</v>
      </c>
      <c r="P36" s="101" t="s">
        <v>73</v>
      </c>
      <c r="Q36" s="102" t="e">
        <f>+'[4]lain2 2'!AE38</f>
        <v>#REF!</v>
      </c>
      <c r="R36" s="102" t="e">
        <f t="shared" si="16"/>
        <v>#VALUE!</v>
      </c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32">
        <f t="shared" si="12"/>
        <v>22</v>
      </c>
      <c r="B37" s="80" t="s">
        <v>62</v>
      </c>
      <c r="C37" s="81">
        <v>903855</v>
      </c>
      <c r="D37" s="82"/>
      <c r="E37" s="82">
        <v>42104</v>
      </c>
      <c r="F37" s="73">
        <v>119334</v>
      </c>
      <c r="G37" s="110">
        <f t="shared" si="17"/>
        <v>119334</v>
      </c>
      <c r="H37" s="73">
        <f t="shared" si="18"/>
        <v>119334</v>
      </c>
      <c r="I37" s="74">
        <v>0</v>
      </c>
      <c r="J37" s="77">
        <v>1</v>
      </c>
      <c r="K37" s="77">
        <v>1</v>
      </c>
      <c r="L37" s="42">
        <f t="shared" si="19"/>
        <v>119334</v>
      </c>
      <c r="M37" s="42">
        <f t="shared" si="14"/>
        <v>119334</v>
      </c>
      <c r="N37" s="43">
        <f t="shared" si="15"/>
        <v>119334</v>
      </c>
      <c r="O37" s="111"/>
      <c r="P37" s="101" t="s">
        <v>74</v>
      </c>
      <c r="Q37" s="102" t="e">
        <f>+'[4]lain2 2'!AE39</f>
        <v>#REF!</v>
      </c>
      <c r="R37" s="102" t="e">
        <f t="shared" si="16"/>
        <v>#VALUE!</v>
      </c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32">
        <f t="shared" si="12"/>
        <v>23</v>
      </c>
      <c r="B38" s="80" t="s">
        <v>62</v>
      </c>
      <c r="C38" s="81">
        <v>903855</v>
      </c>
      <c r="D38" s="112"/>
      <c r="E38" s="112">
        <v>42134</v>
      </c>
      <c r="F38" s="73">
        <v>119334</v>
      </c>
      <c r="G38" s="110">
        <f t="shared" si="17"/>
        <v>119334</v>
      </c>
      <c r="H38" s="73">
        <f t="shared" si="18"/>
        <v>119334</v>
      </c>
      <c r="I38" s="74">
        <v>0</v>
      </c>
      <c r="J38" s="77">
        <v>1</v>
      </c>
      <c r="K38" s="77">
        <v>1</v>
      </c>
      <c r="L38" s="42">
        <f t="shared" si="19"/>
        <v>119334</v>
      </c>
      <c r="M38" s="42">
        <f t="shared" si="14"/>
        <v>119334</v>
      </c>
      <c r="N38" s="43">
        <f t="shared" si="15"/>
        <v>119334</v>
      </c>
      <c r="O38" s="101"/>
      <c r="P38" s="101" t="s">
        <v>75</v>
      </c>
      <c r="Q38" s="102" t="e">
        <f>+'[4]lain2 2'!AE40</f>
        <v>#REF!</v>
      </c>
      <c r="R38" s="102" t="e">
        <f t="shared" si="16"/>
        <v>#VALUE!</v>
      </c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32">
        <f t="shared" si="12"/>
        <v>24</v>
      </c>
      <c r="B39" s="80" t="s">
        <v>62</v>
      </c>
      <c r="C39" s="81">
        <v>903855</v>
      </c>
      <c r="D39" s="112"/>
      <c r="E39" s="112">
        <v>42165</v>
      </c>
      <c r="F39" s="73">
        <v>119334</v>
      </c>
      <c r="G39" s="110">
        <f t="shared" si="17"/>
        <v>119334</v>
      </c>
      <c r="H39" s="73">
        <f t="shared" si="18"/>
        <v>119334</v>
      </c>
      <c r="I39" s="113">
        <v>0</v>
      </c>
      <c r="J39" s="77">
        <v>1</v>
      </c>
      <c r="K39" s="77">
        <v>1</v>
      </c>
      <c r="L39" s="42">
        <f t="shared" si="19"/>
        <v>119334</v>
      </c>
      <c r="M39" s="42">
        <f t="shared" si="14"/>
        <v>119334</v>
      </c>
      <c r="N39" s="43">
        <f t="shared" si="15"/>
        <v>119334</v>
      </c>
      <c r="O39" s="101" t="s">
        <v>63</v>
      </c>
      <c r="P39" s="101" t="s">
        <v>76</v>
      </c>
      <c r="Q39" s="102" t="e">
        <f>+'[4]lain2 2'!AE41</f>
        <v>#REF!</v>
      </c>
      <c r="R39" s="102" t="e">
        <f t="shared" si="16"/>
        <v>#VALUE!</v>
      </c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32">
        <f t="shared" si="12"/>
        <v>25</v>
      </c>
      <c r="B40" s="80" t="s">
        <v>62</v>
      </c>
      <c r="C40" s="81">
        <v>903855</v>
      </c>
      <c r="D40" s="112"/>
      <c r="E40" s="112">
        <v>42195</v>
      </c>
      <c r="F40" s="73">
        <v>119334</v>
      </c>
      <c r="G40" s="110">
        <f t="shared" si="17"/>
        <v>119334</v>
      </c>
      <c r="H40" s="73">
        <f t="shared" si="18"/>
        <v>119334</v>
      </c>
      <c r="I40" s="113">
        <v>0</v>
      </c>
      <c r="J40" s="77">
        <v>1</v>
      </c>
      <c r="K40" s="77">
        <v>1</v>
      </c>
      <c r="L40" s="42">
        <f t="shared" si="19"/>
        <v>119334</v>
      </c>
      <c r="M40" s="42">
        <f t="shared" si="14"/>
        <v>119334</v>
      </c>
      <c r="N40" s="43">
        <f t="shared" si="15"/>
        <v>119334</v>
      </c>
      <c r="O40" s="101" t="s">
        <v>63</v>
      </c>
      <c r="P40" s="101" t="s">
        <v>77</v>
      </c>
      <c r="Q40" s="102" t="e">
        <f>+'[4]lain2 2'!AE42</f>
        <v>#REF!</v>
      </c>
      <c r="R40" s="102" t="e">
        <f t="shared" si="16"/>
        <v>#VALUE!</v>
      </c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32">
        <f t="shared" si="12"/>
        <v>26</v>
      </c>
      <c r="B41" s="80" t="s">
        <v>62</v>
      </c>
      <c r="C41" s="81">
        <v>903855</v>
      </c>
      <c r="D41" s="112"/>
      <c r="E41" s="112">
        <v>42226</v>
      </c>
      <c r="F41" s="73">
        <v>119334</v>
      </c>
      <c r="G41" s="110">
        <f t="shared" si="17"/>
        <v>119334</v>
      </c>
      <c r="H41" s="73">
        <f t="shared" si="18"/>
        <v>119334</v>
      </c>
      <c r="I41" s="113">
        <v>0</v>
      </c>
      <c r="J41" s="77">
        <v>1</v>
      </c>
      <c r="K41" s="77">
        <v>1</v>
      </c>
      <c r="L41" s="42">
        <f t="shared" si="19"/>
        <v>119334</v>
      </c>
      <c r="M41" s="42">
        <f t="shared" si="14"/>
        <v>119334</v>
      </c>
      <c r="N41" s="43">
        <f t="shared" si="15"/>
        <v>119334</v>
      </c>
      <c r="O41" s="101" t="s">
        <v>78</v>
      </c>
      <c r="P41" s="101" t="s">
        <v>79</v>
      </c>
      <c r="Q41" s="102" t="e">
        <f>+'[4]lain2 2'!AE43</f>
        <v>#REF!</v>
      </c>
      <c r="R41" s="102" t="e">
        <f t="shared" si="16"/>
        <v>#VALUE!</v>
      </c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>
      <c r="A42" s="32">
        <f t="shared" si="12"/>
        <v>27</v>
      </c>
      <c r="B42" s="80" t="s">
        <v>62</v>
      </c>
      <c r="C42" s="81">
        <v>903855</v>
      </c>
      <c r="D42" s="112"/>
      <c r="E42" s="112">
        <v>42257</v>
      </c>
      <c r="F42" s="73">
        <v>119334</v>
      </c>
      <c r="G42" s="110">
        <f t="shared" si="17"/>
        <v>119334</v>
      </c>
      <c r="H42" s="73">
        <f t="shared" si="18"/>
        <v>119334</v>
      </c>
      <c r="I42" s="113">
        <v>0</v>
      </c>
      <c r="J42" s="77">
        <v>1</v>
      </c>
      <c r="K42" s="77">
        <v>1</v>
      </c>
      <c r="L42" s="42">
        <f t="shared" si="19"/>
        <v>119334</v>
      </c>
      <c r="M42" s="42">
        <f t="shared" si="14"/>
        <v>119334</v>
      </c>
      <c r="N42" s="43">
        <f t="shared" si="15"/>
        <v>119334</v>
      </c>
      <c r="O42" s="114"/>
      <c r="P42" s="101" t="s">
        <v>80</v>
      </c>
      <c r="Q42" s="102" t="e">
        <f>+'[4]lain2 2'!AE44</f>
        <v>#REF!</v>
      </c>
      <c r="R42" s="102" t="e">
        <f t="shared" si="16"/>
        <v>#VALUE!</v>
      </c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>
      <c r="A43" s="32">
        <f t="shared" si="12"/>
        <v>28</v>
      </c>
      <c r="B43" s="80" t="s">
        <v>62</v>
      </c>
      <c r="C43" s="81">
        <v>903855</v>
      </c>
      <c r="D43" s="82"/>
      <c r="E43" s="82">
        <v>41830</v>
      </c>
      <c r="F43" s="73">
        <v>360000</v>
      </c>
      <c r="G43" s="108">
        <f>J43*L43</f>
        <v>360000</v>
      </c>
      <c r="H43" s="74">
        <f>F43/J43</f>
        <v>360000</v>
      </c>
      <c r="I43" s="75">
        <v>0</v>
      </c>
      <c r="J43" s="76">
        <v>1</v>
      </c>
      <c r="K43" s="77">
        <v>1</v>
      </c>
      <c r="L43" s="69">
        <f t="shared" si="19"/>
        <v>360000</v>
      </c>
      <c r="M43" s="69">
        <f t="shared" si="14"/>
        <v>360000</v>
      </c>
      <c r="N43" s="54">
        <f t="shared" si="15"/>
        <v>360000</v>
      </c>
      <c r="O43" s="101" t="s">
        <v>63</v>
      </c>
      <c r="P43" s="104" t="s">
        <v>81</v>
      </c>
      <c r="Q43" s="102" t="e">
        <f>+'[4]lain2 2'!AE45</f>
        <v>#REF!</v>
      </c>
      <c r="R43" s="102" t="e">
        <f t="shared" si="16"/>
        <v>#VALUE!</v>
      </c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>
      <c r="A44" s="32">
        <f t="shared" si="12"/>
        <v>29</v>
      </c>
      <c r="B44" s="80" t="s">
        <v>62</v>
      </c>
      <c r="C44" s="81">
        <v>903855</v>
      </c>
      <c r="D44" s="72"/>
      <c r="E44" s="72">
        <v>41861</v>
      </c>
      <c r="F44" s="73">
        <v>360000</v>
      </c>
      <c r="G44" s="74">
        <f t="shared" ref="G44:G57" si="20">+J44*L44</f>
        <v>360000</v>
      </c>
      <c r="H44" s="73">
        <f t="shared" ref="H44:H57" si="21">+F44/J44</f>
        <v>360000</v>
      </c>
      <c r="I44" s="74">
        <v>0</v>
      </c>
      <c r="J44" s="76">
        <v>1</v>
      </c>
      <c r="K44" s="77">
        <v>1</v>
      </c>
      <c r="L44" s="69">
        <f t="shared" si="19"/>
        <v>360000</v>
      </c>
      <c r="M44" s="69">
        <f t="shared" si="14"/>
        <v>360000</v>
      </c>
      <c r="N44" s="54">
        <f t="shared" si="15"/>
        <v>360000</v>
      </c>
      <c r="O44" s="104"/>
      <c r="P44" s="101" t="s">
        <v>82</v>
      </c>
      <c r="Q44" s="102" t="e">
        <f>+'[4]lain2 2'!AE46</f>
        <v>#REF!</v>
      </c>
      <c r="R44" s="102" t="e">
        <f t="shared" si="16"/>
        <v>#VALUE!</v>
      </c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>
      <c r="A45" s="32">
        <f t="shared" si="12"/>
        <v>30</v>
      </c>
      <c r="B45" s="80" t="s">
        <v>62</v>
      </c>
      <c r="C45" s="81">
        <v>903855</v>
      </c>
      <c r="D45" s="72"/>
      <c r="E45" s="72">
        <v>41892</v>
      </c>
      <c r="F45" s="73">
        <v>360000</v>
      </c>
      <c r="G45" s="74">
        <f t="shared" si="20"/>
        <v>360000</v>
      </c>
      <c r="H45" s="73">
        <f t="shared" si="21"/>
        <v>360000</v>
      </c>
      <c r="I45" s="74">
        <v>0</v>
      </c>
      <c r="J45" s="76">
        <v>1</v>
      </c>
      <c r="K45" s="77">
        <v>1</v>
      </c>
      <c r="L45" s="69">
        <f t="shared" si="19"/>
        <v>360000</v>
      </c>
      <c r="M45" s="69">
        <f t="shared" si="14"/>
        <v>360000</v>
      </c>
      <c r="N45" s="54">
        <f t="shared" si="15"/>
        <v>360000</v>
      </c>
      <c r="O45" s="101" t="s">
        <v>63</v>
      </c>
      <c r="P45" s="101" t="s">
        <v>83</v>
      </c>
      <c r="Q45" s="102" t="e">
        <f>+'[4]lain2 2'!AE47</f>
        <v>#REF!</v>
      </c>
      <c r="R45" s="102" t="e">
        <f t="shared" si="16"/>
        <v>#VALUE!</v>
      </c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>
      <c r="A46" s="32">
        <f t="shared" si="12"/>
        <v>31</v>
      </c>
      <c r="B46" s="80" t="s">
        <v>62</v>
      </c>
      <c r="C46" s="81">
        <v>903855</v>
      </c>
      <c r="D46" s="72"/>
      <c r="E46" s="72">
        <v>41922</v>
      </c>
      <c r="F46" s="73">
        <v>360000</v>
      </c>
      <c r="G46" s="74">
        <f t="shared" si="20"/>
        <v>360000</v>
      </c>
      <c r="H46" s="73">
        <f t="shared" si="21"/>
        <v>360000</v>
      </c>
      <c r="I46" s="74">
        <v>0</v>
      </c>
      <c r="J46" s="76">
        <v>1</v>
      </c>
      <c r="K46" s="77">
        <v>1</v>
      </c>
      <c r="L46" s="69">
        <f t="shared" si="19"/>
        <v>360000</v>
      </c>
      <c r="M46" s="69">
        <f t="shared" si="14"/>
        <v>360000</v>
      </c>
      <c r="N46" s="54">
        <f t="shared" si="15"/>
        <v>360000</v>
      </c>
      <c r="O46" s="101"/>
      <c r="P46" s="101" t="s">
        <v>84</v>
      </c>
      <c r="Q46" s="102" t="e">
        <f>+'[4]lain2 2'!AE48</f>
        <v>#REF!</v>
      </c>
      <c r="R46" s="102" t="e">
        <f t="shared" si="16"/>
        <v>#VALUE!</v>
      </c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32">
        <f t="shared" si="12"/>
        <v>32</v>
      </c>
      <c r="B47" s="80" t="s">
        <v>62</v>
      </c>
      <c r="C47" s="81">
        <v>903855</v>
      </c>
      <c r="D47" s="109"/>
      <c r="E47" s="109">
        <v>41953</v>
      </c>
      <c r="F47" s="73">
        <v>360000</v>
      </c>
      <c r="G47" s="74">
        <f t="shared" si="20"/>
        <v>360000</v>
      </c>
      <c r="H47" s="73">
        <f t="shared" si="21"/>
        <v>360000</v>
      </c>
      <c r="I47" s="74">
        <v>0</v>
      </c>
      <c r="J47" s="76">
        <v>1</v>
      </c>
      <c r="K47" s="77">
        <v>1</v>
      </c>
      <c r="L47" s="69">
        <f t="shared" si="19"/>
        <v>360000</v>
      </c>
      <c r="M47" s="69">
        <f t="shared" si="14"/>
        <v>360000</v>
      </c>
      <c r="N47" s="54">
        <f t="shared" si="15"/>
        <v>360000</v>
      </c>
      <c r="O47" s="101" t="s">
        <v>63</v>
      </c>
      <c r="P47" s="101" t="s">
        <v>85</v>
      </c>
      <c r="Q47" s="102" t="e">
        <f>+'[4]lain2 2'!AE49</f>
        <v>#REF!</v>
      </c>
      <c r="R47" s="102" t="e">
        <f t="shared" si="16"/>
        <v>#VALUE!</v>
      </c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32">
        <f t="shared" si="12"/>
        <v>33</v>
      </c>
      <c r="B48" s="80" t="s">
        <v>62</v>
      </c>
      <c r="C48" s="81">
        <v>903855</v>
      </c>
      <c r="D48" s="109"/>
      <c r="E48" s="109">
        <v>41983</v>
      </c>
      <c r="F48" s="73">
        <v>360000</v>
      </c>
      <c r="G48" s="74">
        <f t="shared" si="20"/>
        <v>360000</v>
      </c>
      <c r="H48" s="73">
        <f t="shared" si="21"/>
        <v>360000</v>
      </c>
      <c r="I48" s="74">
        <v>0</v>
      </c>
      <c r="J48" s="76">
        <v>1</v>
      </c>
      <c r="K48" s="77">
        <v>1</v>
      </c>
      <c r="L48" s="69">
        <f t="shared" si="19"/>
        <v>360000</v>
      </c>
      <c r="M48" s="69">
        <f t="shared" si="14"/>
        <v>360000</v>
      </c>
      <c r="N48" s="54">
        <f t="shared" si="15"/>
        <v>360000</v>
      </c>
      <c r="O48" s="111" t="s">
        <v>86</v>
      </c>
      <c r="P48" s="101" t="s">
        <v>87</v>
      </c>
      <c r="Q48" s="102" t="e">
        <f>+'[4]lain2 2'!AE50</f>
        <v>#REF!</v>
      </c>
      <c r="R48" s="102" t="e">
        <f t="shared" si="16"/>
        <v>#VALUE!</v>
      </c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32">
        <f t="shared" si="12"/>
        <v>34</v>
      </c>
      <c r="B49" s="80" t="s">
        <v>62</v>
      </c>
      <c r="C49" s="81">
        <v>903855</v>
      </c>
      <c r="D49" s="82"/>
      <c r="E49" s="82">
        <v>42014</v>
      </c>
      <c r="F49" s="73">
        <v>360000</v>
      </c>
      <c r="G49" s="74">
        <f t="shared" si="20"/>
        <v>360000</v>
      </c>
      <c r="H49" s="73">
        <f t="shared" si="21"/>
        <v>360000</v>
      </c>
      <c r="I49" s="74">
        <v>0</v>
      </c>
      <c r="J49" s="76">
        <v>1</v>
      </c>
      <c r="K49" s="77">
        <v>1</v>
      </c>
      <c r="L49" s="69">
        <f t="shared" si="19"/>
        <v>360000</v>
      </c>
      <c r="M49" s="69">
        <f t="shared" si="14"/>
        <v>360000</v>
      </c>
      <c r="N49" s="54">
        <f t="shared" si="15"/>
        <v>360000</v>
      </c>
      <c r="O49" s="101" t="s">
        <v>63</v>
      </c>
      <c r="P49" s="101" t="s">
        <v>88</v>
      </c>
      <c r="Q49" s="102" t="e">
        <f>+'[4]lain2 2'!AE51</f>
        <v>#REF!</v>
      </c>
      <c r="R49" s="102" t="e">
        <f t="shared" si="16"/>
        <v>#VALUE!</v>
      </c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32">
        <f t="shared" si="12"/>
        <v>35</v>
      </c>
      <c r="B50" s="80" t="s">
        <v>62</v>
      </c>
      <c r="C50" s="81">
        <v>903855</v>
      </c>
      <c r="D50" s="82"/>
      <c r="E50" s="82">
        <v>42045</v>
      </c>
      <c r="F50" s="73">
        <v>360000</v>
      </c>
      <c r="G50" s="74">
        <f t="shared" si="20"/>
        <v>360000</v>
      </c>
      <c r="H50" s="73">
        <f t="shared" si="21"/>
        <v>360000</v>
      </c>
      <c r="I50" s="74">
        <v>0</v>
      </c>
      <c r="J50" s="76">
        <v>1</v>
      </c>
      <c r="K50" s="77">
        <v>1</v>
      </c>
      <c r="L50" s="69">
        <f t="shared" si="19"/>
        <v>360000</v>
      </c>
      <c r="M50" s="69">
        <f t="shared" si="14"/>
        <v>360000</v>
      </c>
      <c r="N50" s="54">
        <f t="shared" si="15"/>
        <v>360000</v>
      </c>
      <c r="O50" s="101" t="s">
        <v>63</v>
      </c>
      <c r="P50" s="101" t="s">
        <v>89</v>
      </c>
      <c r="Q50" s="102" t="e">
        <f>+'[4]lain2 2'!AE52</f>
        <v>#REF!</v>
      </c>
      <c r="R50" s="102" t="e">
        <f t="shared" si="16"/>
        <v>#VALUE!</v>
      </c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32">
        <f t="shared" si="12"/>
        <v>36</v>
      </c>
      <c r="B51" s="80" t="s">
        <v>62</v>
      </c>
      <c r="C51" s="81">
        <v>903855</v>
      </c>
      <c r="D51" s="82"/>
      <c r="E51" s="82">
        <v>42073</v>
      </c>
      <c r="F51" s="73">
        <v>360000</v>
      </c>
      <c r="G51" s="74">
        <f t="shared" si="20"/>
        <v>360000</v>
      </c>
      <c r="H51" s="73">
        <f t="shared" si="21"/>
        <v>360000</v>
      </c>
      <c r="I51" s="74">
        <v>0</v>
      </c>
      <c r="J51" s="76">
        <v>1</v>
      </c>
      <c r="K51" s="77">
        <v>1</v>
      </c>
      <c r="L51" s="69">
        <f t="shared" si="19"/>
        <v>360000</v>
      </c>
      <c r="M51" s="69">
        <f t="shared" si="14"/>
        <v>360000</v>
      </c>
      <c r="N51" s="54">
        <f t="shared" si="15"/>
        <v>360000</v>
      </c>
      <c r="O51" s="101" t="s">
        <v>63</v>
      </c>
      <c r="P51" s="101" t="s">
        <v>90</v>
      </c>
      <c r="Q51" s="102" t="e">
        <f>+'[4]lain2 2'!AE53</f>
        <v>#REF!</v>
      </c>
      <c r="R51" s="102" t="e">
        <f t="shared" si="16"/>
        <v>#VALUE!</v>
      </c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32">
        <f t="shared" si="12"/>
        <v>37</v>
      </c>
      <c r="B52" s="80" t="s">
        <v>62</v>
      </c>
      <c r="C52" s="81">
        <v>903855</v>
      </c>
      <c r="D52" s="82"/>
      <c r="E52" s="82">
        <v>42104</v>
      </c>
      <c r="F52" s="115">
        <v>360000</v>
      </c>
      <c r="G52" s="74">
        <f t="shared" si="20"/>
        <v>360000</v>
      </c>
      <c r="H52" s="73">
        <f t="shared" si="21"/>
        <v>360000</v>
      </c>
      <c r="I52" s="74">
        <v>0</v>
      </c>
      <c r="J52" s="76">
        <v>1</v>
      </c>
      <c r="K52" s="77">
        <v>1</v>
      </c>
      <c r="L52" s="69">
        <f t="shared" si="19"/>
        <v>360000</v>
      </c>
      <c r="M52" s="69">
        <f t="shared" si="14"/>
        <v>360000</v>
      </c>
      <c r="N52" s="54">
        <f t="shared" si="15"/>
        <v>360000</v>
      </c>
      <c r="O52" s="114"/>
      <c r="P52" s="101" t="s">
        <v>91</v>
      </c>
      <c r="Q52" s="102" t="e">
        <f>+'[4]lain2 2'!AE54</f>
        <v>#REF!</v>
      </c>
      <c r="R52" s="102" t="e">
        <f t="shared" si="16"/>
        <v>#VALUE!</v>
      </c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32">
        <f t="shared" si="12"/>
        <v>38</v>
      </c>
      <c r="B53" s="80" t="s">
        <v>62</v>
      </c>
      <c r="C53" s="81">
        <v>903855</v>
      </c>
      <c r="D53" s="112"/>
      <c r="E53" s="112">
        <v>42134</v>
      </c>
      <c r="F53" s="73">
        <v>360000</v>
      </c>
      <c r="G53" s="74">
        <f t="shared" si="20"/>
        <v>360000</v>
      </c>
      <c r="H53" s="73">
        <f t="shared" si="21"/>
        <v>360000</v>
      </c>
      <c r="I53" s="74">
        <v>0</v>
      </c>
      <c r="J53" s="76">
        <v>1</v>
      </c>
      <c r="K53" s="77">
        <v>1</v>
      </c>
      <c r="L53" s="69">
        <f t="shared" si="19"/>
        <v>360000</v>
      </c>
      <c r="M53" s="69">
        <f t="shared" si="14"/>
        <v>360000</v>
      </c>
      <c r="N53" s="54">
        <f t="shared" si="15"/>
        <v>360000</v>
      </c>
      <c r="O53" s="101"/>
      <c r="P53" s="101" t="s">
        <v>92</v>
      </c>
      <c r="Q53" s="102" t="e">
        <f>+'[4]lain2 2'!AE55</f>
        <v>#REF!</v>
      </c>
      <c r="R53" s="102" t="e">
        <f t="shared" si="16"/>
        <v>#VALUE!</v>
      </c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32">
        <f t="shared" si="12"/>
        <v>39</v>
      </c>
      <c r="B54" s="80" t="s">
        <v>62</v>
      </c>
      <c r="C54" s="81">
        <v>903855</v>
      </c>
      <c r="D54" s="112"/>
      <c r="E54" s="112">
        <v>42165</v>
      </c>
      <c r="F54" s="73">
        <v>360000</v>
      </c>
      <c r="G54" s="110">
        <f t="shared" si="20"/>
        <v>360000</v>
      </c>
      <c r="H54" s="73">
        <f t="shared" si="21"/>
        <v>360000</v>
      </c>
      <c r="I54" s="113">
        <v>0</v>
      </c>
      <c r="J54" s="77">
        <v>1</v>
      </c>
      <c r="K54" s="77">
        <v>1</v>
      </c>
      <c r="L54" s="69">
        <f t="shared" si="19"/>
        <v>360000</v>
      </c>
      <c r="M54" s="69">
        <f t="shared" si="14"/>
        <v>360000</v>
      </c>
      <c r="N54" s="54">
        <f t="shared" si="15"/>
        <v>360000</v>
      </c>
      <c r="O54" s="101" t="s">
        <v>63</v>
      </c>
      <c r="P54" s="101" t="s">
        <v>76</v>
      </c>
      <c r="Q54" s="102" t="e">
        <f>+'[4]lain2 2'!AE56</f>
        <v>#REF!</v>
      </c>
      <c r="R54" s="102" t="e">
        <f t="shared" si="16"/>
        <v>#VALUE!</v>
      </c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32">
        <f t="shared" si="12"/>
        <v>40</v>
      </c>
      <c r="B55" s="80" t="s">
        <v>62</v>
      </c>
      <c r="C55" s="81">
        <v>903855</v>
      </c>
      <c r="D55" s="112"/>
      <c r="E55" s="112">
        <v>42195</v>
      </c>
      <c r="F55" s="73">
        <v>360000</v>
      </c>
      <c r="G55" s="110">
        <f t="shared" si="20"/>
        <v>360000</v>
      </c>
      <c r="H55" s="73">
        <f t="shared" si="21"/>
        <v>360000</v>
      </c>
      <c r="I55" s="113">
        <v>0</v>
      </c>
      <c r="J55" s="77">
        <v>1</v>
      </c>
      <c r="K55" s="77">
        <v>1</v>
      </c>
      <c r="L55" s="69">
        <f t="shared" si="19"/>
        <v>360000</v>
      </c>
      <c r="M55" s="69">
        <f t="shared" si="14"/>
        <v>360000</v>
      </c>
      <c r="N55" s="54">
        <f t="shared" si="15"/>
        <v>360000</v>
      </c>
      <c r="O55" s="114" t="s">
        <v>93</v>
      </c>
      <c r="P55" s="101" t="s">
        <v>94</v>
      </c>
      <c r="Q55" s="102" t="e">
        <f>+'[4]lain2 2'!AE57</f>
        <v>#REF!</v>
      </c>
      <c r="R55" s="102" t="e">
        <f t="shared" si="16"/>
        <v>#VALUE!</v>
      </c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32">
        <f t="shared" si="12"/>
        <v>41</v>
      </c>
      <c r="B56" s="80" t="s">
        <v>62</v>
      </c>
      <c r="C56" s="81">
        <v>903855</v>
      </c>
      <c r="D56" s="112"/>
      <c r="E56" s="112">
        <v>42226</v>
      </c>
      <c r="F56" s="73">
        <v>360000</v>
      </c>
      <c r="G56" s="110">
        <f t="shared" si="20"/>
        <v>360000</v>
      </c>
      <c r="H56" s="73">
        <f t="shared" si="21"/>
        <v>360000</v>
      </c>
      <c r="I56" s="113">
        <v>0</v>
      </c>
      <c r="J56" s="77">
        <v>1</v>
      </c>
      <c r="K56" s="77">
        <v>1</v>
      </c>
      <c r="L56" s="69">
        <f t="shared" si="19"/>
        <v>360000</v>
      </c>
      <c r="M56" s="69">
        <f t="shared" si="14"/>
        <v>360000</v>
      </c>
      <c r="N56" s="54">
        <f t="shared" si="15"/>
        <v>360000</v>
      </c>
      <c r="O56" s="114" t="s">
        <v>95</v>
      </c>
      <c r="P56" s="101" t="s">
        <v>96</v>
      </c>
      <c r="Q56" s="102" t="e">
        <f>+'[4]lain2 2'!AE58</f>
        <v>#REF!</v>
      </c>
      <c r="R56" s="102" t="e">
        <f t="shared" si="16"/>
        <v>#VALUE!</v>
      </c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32">
        <f t="shared" si="12"/>
        <v>42</v>
      </c>
      <c r="B57" s="116" t="s">
        <v>62</v>
      </c>
      <c r="C57" s="117">
        <v>903855</v>
      </c>
      <c r="D57" s="118"/>
      <c r="E57" s="118">
        <v>42257</v>
      </c>
      <c r="F57" s="119">
        <v>360000</v>
      </c>
      <c r="G57" s="120">
        <f t="shared" si="20"/>
        <v>360000</v>
      </c>
      <c r="H57" s="119">
        <f t="shared" si="21"/>
        <v>360000</v>
      </c>
      <c r="I57" s="121">
        <v>0</v>
      </c>
      <c r="J57" s="122">
        <v>1</v>
      </c>
      <c r="K57" s="122">
        <v>1</v>
      </c>
      <c r="L57" s="123">
        <f t="shared" si="19"/>
        <v>360000</v>
      </c>
      <c r="M57" s="123">
        <f t="shared" si="14"/>
        <v>360000</v>
      </c>
      <c r="N57" s="124">
        <f t="shared" si="15"/>
        <v>360000</v>
      </c>
      <c r="O57" s="125"/>
      <c r="P57" s="125" t="s">
        <v>97</v>
      </c>
      <c r="Q57" s="102" t="e">
        <f>+'[4]lain2 2'!AE59</f>
        <v>#REF!</v>
      </c>
      <c r="R57" s="102" t="e">
        <f t="shared" si="16"/>
        <v>#VALUE!</v>
      </c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9"/>
      <c r="B59" s="9" t="s">
        <v>7</v>
      </c>
      <c r="C59" s="9"/>
      <c r="D59" s="9"/>
      <c r="E59" s="9"/>
      <c r="F59" s="126">
        <f>SUM(F5:F58)</f>
        <v>149296344</v>
      </c>
      <c r="G59" s="126">
        <f t="shared" ref="G59:N59" si="22">SUM(G5:G58)</f>
        <v>203595284</v>
      </c>
      <c r="H59" s="126">
        <f t="shared" si="22"/>
        <v>14453389</v>
      </c>
      <c r="I59" s="126">
        <f t="shared" si="22"/>
        <v>1703870</v>
      </c>
      <c r="J59" s="126">
        <f t="shared" si="22"/>
        <v>244</v>
      </c>
      <c r="K59" s="126">
        <f t="shared" si="22"/>
        <v>169</v>
      </c>
      <c r="L59" s="126">
        <f t="shared" si="22"/>
        <v>16157259</v>
      </c>
      <c r="M59" s="126">
        <f t="shared" si="22"/>
        <v>130096064</v>
      </c>
      <c r="N59" s="126">
        <f t="shared" si="22"/>
        <v>83669544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C794"/>
  <sheetViews>
    <sheetView showGridLines="0" view="pageBreakPreview" zoomScaleSheetLayoutView="100" workbookViewId="0">
      <pane ySplit="4" topLeftCell="A5" activePane="bottomLeft" state="frozen"/>
      <selection pane="bottomLeft" activeCell="B17" sqref="B17"/>
    </sheetView>
  </sheetViews>
  <sheetFormatPr defaultRowHeight="15.7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0.5703125" style="8" customWidth="1"/>
    <col min="5" max="5" width="13.85546875" style="127" bestFit="1" customWidth="1"/>
    <col min="6" max="7" width="20" style="128" bestFit="1" customWidth="1"/>
    <col min="8" max="8" width="17.5703125" style="129" bestFit="1" customWidth="1"/>
    <col min="9" max="9" width="17" style="130" bestFit="1" customWidth="1"/>
    <col min="10" max="10" width="11.5703125" style="8" bestFit="1" customWidth="1"/>
    <col min="11" max="11" width="11.5703125" style="9" bestFit="1" customWidth="1"/>
    <col min="12" max="12" width="21.42578125" style="131" bestFit="1" customWidth="1"/>
    <col min="13" max="13" width="20" style="131" bestFit="1" customWidth="1"/>
    <col min="14" max="14" width="19.42578125" style="131" bestFit="1" customWidth="1"/>
    <col min="15" max="15" width="21.5703125" style="132" bestFit="1" customWidth="1"/>
    <col min="16" max="16" width="27.140625" style="133" bestFit="1" customWidth="1"/>
    <col min="17" max="18" width="16.140625" style="2" bestFit="1" customWidth="1"/>
    <col min="19" max="19" width="15.7109375" style="2" bestFit="1" customWidth="1"/>
    <col min="20" max="28" width="9.140625" style="2"/>
    <col min="29" max="16384" width="9.140625" style="9"/>
  </cols>
  <sheetData>
    <row r="1" spans="1:29" ht="20.25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9" ht="20.25">
      <c r="A2" s="13" t="s">
        <v>98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9" s="8" customFormat="1">
      <c r="A3" s="14" t="s">
        <v>2</v>
      </c>
      <c r="B3" s="14" t="s">
        <v>3</v>
      </c>
      <c r="C3" s="14" t="s">
        <v>4</v>
      </c>
      <c r="D3" s="14"/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14"/>
      <c r="R3" s="14"/>
      <c r="S3" s="14"/>
      <c r="T3" s="3"/>
      <c r="U3" s="3"/>
      <c r="V3" s="3"/>
      <c r="W3" s="3"/>
      <c r="X3" s="3"/>
      <c r="Y3" s="3"/>
      <c r="Z3" s="3"/>
      <c r="AA3" s="3"/>
      <c r="AB3" s="3"/>
    </row>
    <row r="4" spans="1:29" s="8" customFormat="1">
      <c r="A4" s="22"/>
      <c r="B4" s="22"/>
      <c r="C4" s="22"/>
      <c r="D4" s="22"/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22"/>
      <c r="R4" s="22"/>
      <c r="S4" s="22"/>
      <c r="T4" s="3"/>
      <c r="U4" s="3"/>
      <c r="V4" s="3"/>
      <c r="W4" s="3"/>
      <c r="X4" s="3"/>
      <c r="Y4" s="3"/>
      <c r="Z4" s="3"/>
      <c r="AA4" s="3"/>
      <c r="AB4" s="3"/>
    </row>
    <row r="5" spans="1:29">
      <c r="A5" s="134">
        <v>1</v>
      </c>
      <c r="B5" s="101" t="s">
        <v>99</v>
      </c>
      <c r="C5" s="135" t="s">
        <v>100</v>
      </c>
      <c r="D5" s="136"/>
      <c r="E5" s="136">
        <v>43273</v>
      </c>
      <c r="F5" s="45">
        <v>130000</v>
      </c>
      <c r="G5" s="45">
        <f t="shared" ref="G5" si="0">+J5*L5</f>
        <v>130000</v>
      </c>
      <c r="H5" s="69">
        <f t="shared" ref="H5" si="1">+F5/J5</f>
        <v>130000</v>
      </c>
      <c r="I5" s="69">
        <v>0</v>
      </c>
      <c r="J5" s="137">
        <v>1</v>
      </c>
      <c r="K5" s="32">
        <v>1</v>
      </c>
      <c r="L5" s="138">
        <f t="shared" ref="L5" si="2">+H5+I5</f>
        <v>130000</v>
      </c>
      <c r="M5" s="42">
        <f t="shared" ref="M5" si="3">+K5*L5</f>
        <v>130000</v>
      </c>
      <c r="N5" s="42">
        <f>+H5*K5</f>
        <v>130000</v>
      </c>
      <c r="O5" s="139" t="s">
        <v>101</v>
      </c>
      <c r="P5" s="140" t="s">
        <v>102</v>
      </c>
      <c r="Q5" s="45">
        <f t="shared" ref="Q5" si="4">+N5</f>
        <v>130000</v>
      </c>
      <c r="R5" s="46">
        <f>+'[5]PEL PJ 2'!AF9</f>
        <v>130000</v>
      </c>
      <c r="S5" s="47">
        <f t="shared" ref="S5" si="5">+Q5-R5</f>
        <v>0</v>
      </c>
      <c r="AC5" s="2"/>
    </row>
    <row r="6" spans="1:29">
      <c r="A6" s="32"/>
      <c r="B6" s="42"/>
      <c r="C6" s="141"/>
      <c r="D6" s="141"/>
      <c r="E6" s="142"/>
      <c r="F6" s="143"/>
      <c r="G6" s="144"/>
      <c r="H6" s="42"/>
      <c r="I6" s="69"/>
      <c r="J6" s="32"/>
      <c r="K6" s="32"/>
      <c r="L6" s="42"/>
      <c r="M6" s="42"/>
      <c r="N6" s="43"/>
      <c r="O6" s="145"/>
      <c r="P6" s="101"/>
      <c r="Q6" s="101"/>
      <c r="R6" s="101"/>
      <c r="S6" s="101"/>
      <c r="T6" s="9"/>
      <c r="U6" s="9"/>
      <c r="V6" s="9"/>
      <c r="W6" s="9"/>
      <c r="X6" s="9"/>
      <c r="Y6" s="9"/>
      <c r="Z6" s="9"/>
      <c r="AA6" s="9"/>
      <c r="AB6" s="9"/>
    </row>
    <row r="7" spans="1:29">
      <c r="A7" s="32"/>
      <c r="B7" s="146" t="s">
        <v>7</v>
      </c>
      <c r="C7" s="32"/>
      <c r="D7" s="32"/>
      <c r="E7" s="142"/>
      <c r="F7" s="45">
        <f t="shared" ref="F7:N7" si="6">SUM(F5:F6)</f>
        <v>130000</v>
      </c>
      <c r="G7" s="45">
        <f t="shared" si="6"/>
        <v>130000</v>
      </c>
      <c r="H7" s="45">
        <f t="shared" si="6"/>
        <v>130000</v>
      </c>
      <c r="I7" s="45">
        <f t="shared" si="6"/>
        <v>0</v>
      </c>
      <c r="J7" s="45">
        <f t="shared" si="6"/>
        <v>1</v>
      </c>
      <c r="K7" s="45">
        <f t="shared" si="6"/>
        <v>1</v>
      </c>
      <c r="L7" s="45">
        <f t="shared" si="6"/>
        <v>130000</v>
      </c>
      <c r="M7" s="45">
        <f t="shared" si="6"/>
        <v>130000</v>
      </c>
      <c r="N7" s="45">
        <f t="shared" si="6"/>
        <v>130000</v>
      </c>
      <c r="O7" s="147"/>
      <c r="P7" s="148"/>
      <c r="Q7" s="149">
        <f>SUM(Q5:Q6)</f>
        <v>130000</v>
      </c>
      <c r="R7" s="149">
        <f>SUM(R5:R6)</f>
        <v>130000</v>
      </c>
      <c r="S7" s="149">
        <f>SUM(S5:S6)</f>
        <v>0</v>
      </c>
      <c r="T7" s="9"/>
      <c r="U7" s="9"/>
      <c r="V7" s="9"/>
      <c r="W7" s="9"/>
      <c r="X7" s="9"/>
      <c r="Y7" s="9"/>
      <c r="Z7" s="9"/>
      <c r="AA7" s="9"/>
      <c r="AB7" s="9"/>
    </row>
    <row r="15" spans="1:29">
      <c r="A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>
      <c r="A16" s="9"/>
      <c r="C16" s="9"/>
      <c r="D16" s="9"/>
      <c r="E16" s="9"/>
      <c r="F16" s="9"/>
      <c r="G16" s="9"/>
      <c r="H16" s="9"/>
      <c r="I16" s="9"/>
      <c r="J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9"/>
      <c r="C17" s="9"/>
      <c r="D17" s="9"/>
      <c r="E17" s="9"/>
      <c r="F17" s="9"/>
      <c r="G17" s="9"/>
      <c r="H17" s="9"/>
      <c r="I17" s="9"/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9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9"/>
      <c r="C19" s="9"/>
      <c r="D19" s="9"/>
      <c r="E19" s="9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9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9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9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9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9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9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S9"/>
  <sheetViews>
    <sheetView showGridLines="0" view="pageBreakPreview" zoomScaleSheetLayoutView="100" workbookViewId="0">
      <pane ySplit="5" topLeftCell="A6" activePane="bottomLeft" state="frozen"/>
      <selection pane="bottomLeft" activeCell="E22" sqref="E22"/>
    </sheetView>
  </sheetViews>
  <sheetFormatPr defaultRowHeight="15"/>
  <cols>
    <col min="1" max="1" width="9.5703125" style="151" bestFit="1" customWidth="1"/>
    <col min="2" max="2" width="23.5703125" style="151" bestFit="1" customWidth="1"/>
    <col min="3" max="3" width="10.7109375" style="151" bestFit="1" customWidth="1"/>
    <col min="4" max="4" width="12" style="151" bestFit="1" customWidth="1"/>
    <col min="5" max="5" width="11.42578125" style="151" bestFit="1" customWidth="1"/>
    <col min="6" max="6" width="18" style="151" bestFit="1" customWidth="1"/>
    <col min="7" max="7" width="17.85546875" style="151" bestFit="1" customWidth="1"/>
    <col min="8" max="8" width="17" style="151" bestFit="1" customWidth="1"/>
    <col min="9" max="9" width="9.7109375" style="151" bestFit="1" customWidth="1"/>
    <col min="10" max="10" width="11.28515625" style="151" bestFit="1" customWidth="1"/>
    <col min="11" max="11" width="10.7109375" style="151" bestFit="1" customWidth="1"/>
    <col min="12" max="12" width="17" style="151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  <col min="17" max="18" width="16.5703125" bestFit="1" customWidth="1"/>
    <col min="19" max="19" width="15.5703125" bestFit="1" customWidth="1"/>
  </cols>
  <sheetData>
    <row r="1" spans="1:19" ht="18.75">
      <c r="A1" s="155" t="s">
        <v>118</v>
      </c>
    </row>
    <row r="2" spans="1:19" ht="18.75">
      <c r="A2" s="156" t="s">
        <v>119</v>
      </c>
    </row>
    <row r="3" spans="1:19">
      <c r="H3" s="157"/>
    </row>
    <row r="4" spans="1:19" s="2" customFormat="1" ht="15.75">
      <c r="A4" s="14" t="s">
        <v>104</v>
      </c>
      <c r="B4" s="14" t="s">
        <v>3</v>
      </c>
      <c r="C4" s="14" t="s">
        <v>4</v>
      </c>
      <c r="D4" s="158" t="s">
        <v>104</v>
      </c>
      <c r="E4" s="15" t="s">
        <v>5</v>
      </c>
      <c r="F4" s="159" t="s">
        <v>6</v>
      </c>
      <c r="G4" s="159" t="s">
        <v>7</v>
      </c>
      <c r="H4" s="159" t="s">
        <v>8</v>
      </c>
      <c r="I4" s="159" t="s">
        <v>9</v>
      </c>
      <c r="J4" s="14" t="s">
        <v>10</v>
      </c>
      <c r="K4" s="14" t="s">
        <v>11</v>
      </c>
      <c r="L4" s="159" t="s">
        <v>12</v>
      </c>
      <c r="M4" s="159" t="s">
        <v>13</v>
      </c>
      <c r="N4" s="159" t="s">
        <v>14</v>
      </c>
      <c r="O4" s="16" t="s">
        <v>120</v>
      </c>
      <c r="P4" s="14" t="s">
        <v>121</v>
      </c>
    </row>
    <row r="5" spans="1:19" s="2" customFormat="1" ht="15.75">
      <c r="A5" s="160"/>
      <c r="B5" s="160"/>
      <c r="C5" s="160"/>
      <c r="D5" s="161" t="s">
        <v>122</v>
      </c>
      <c r="E5" s="162" t="s">
        <v>17</v>
      </c>
      <c r="F5" s="163"/>
      <c r="G5" s="164" t="s">
        <v>6</v>
      </c>
      <c r="H5" s="164"/>
      <c r="I5" s="164"/>
      <c r="J5" s="160"/>
      <c r="K5" s="160" t="s">
        <v>18</v>
      </c>
      <c r="L5" s="164" t="s">
        <v>19</v>
      </c>
      <c r="M5" s="164" t="s">
        <v>9</v>
      </c>
      <c r="N5" s="164"/>
      <c r="O5" s="165"/>
      <c r="P5" s="166"/>
    </row>
    <row r="6" spans="1:19">
      <c r="A6" s="167">
        <v>1</v>
      </c>
      <c r="B6" s="168" t="s">
        <v>123</v>
      </c>
      <c r="C6" s="169"/>
      <c r="D6" s="170"/>
      <c r="E6" s="171">
        <v>42786</v>
      </c>
      <c r="F6" s="170">
        <v>487711</v>
      </c>
      <c r="G6" s="172">
        <f>+J6*L6</f>
        <v>487720</v>
      </c>
      <c r="H6" s="172">
        <v>48772</v>
      </c>
      <c r="I6" s="173">
        <v>0</v>
      </c>
      <c r="J6" s="174">
        <v>10</v>
      </c>
      <c r="K6" s="174">
        <f>1+1</f>
        <v>2</v>
      </c>
      <c r="L6" s="175">
        <f>+H6+I6</f>
        <v>48772</v>
      </c>
      <c r="M6" s="176">
        <f>+K6*L6</f>
        <v>97544</v>
      </c>
      <c r="N6" s="177">
        <f>F6-(H6*8)</f>
        <v>97535</v>
      </c>
      <c r="O6" s="178"/>
      <c r="P6" s="179" t="s">
        <v>124</v>
      </c>
      <c r="Q6" s="180">
        <f>+N6</f>
        <v>97535</v>
      </c>
      <c r="R6" s="176">
        <f>+[6]bumida2!T10</f>
        <v>97535</v>
      </c>
      <c r="S6" s="180">
        <f>+Q6-R6</f>
        <v>0</v>
      </c>
    </row>
    <row r="7" spans="1:19" s="151" customFormat="1">
      <c r="A7" s="167"/>
      <c r="B7" s="181"/>
      <c r="C7" s="182"/>
      <c r="D7" s="183"/>
      <c r="E7" s="184"/>
      <c r="F7" s="183"/>
      <c r="G7" s="175"/>
      <c r="H7" s="175"/>
      <c r="I7" s="185"/>
      <c r="J7" s="186"/>
      <c r="K7" s="186"/>
      <c r="L7" s="175"/>
      <c r="M7" s="175"/>
      <c r="N7" s="175"/>
      <c r="O7" s="187"/>
      <c r="P7" s="188"/>
      <c r="Q7" s="189"/>
      <c r="R7" s="175"/>
      <c r="S7" s="189"/>
    </row>
    <row r="8" spans="1:19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78"/>
      <c r="N8" s="178"/>
      <c r="O8" s="178"/>
      <c r="P8" s="178"/>
      <c r="Q8" s="178"/>
      <c r="R8" s="178"/>
      <c r="S8" s="178"/>
    </row>
    <row r="9" spans="1:19">
      <c r="A9" s="187"/>
      <c r="B9" s="187" t="s">
        <v>7</v>
      </c>
      <c r="C9" s="187"/>
      <c r="D9" s="187"/>
      <c r="E9" s="187"/>
      <c r="F9" s="183">
        <f>SUM(F6:F8)</f>
        <v>487711</v>
      </c>
      <c r="G9" s="183">
        <f t="shared" ref="G9:N9" si="0">SUM(G6:G8)</f>
        <v>487720</v>
      </c>
      <c r="H9" s="183">
        <f t="shared" si="0"/>
        <v>48772</v>
      </c>
      <c r="I9" s="183">
        <f t="shared" si="0"/>
        <v>0</v>
      </c>
      <c r="J9" s="183">
        <f t="shared" si="0"/>
        <v>10</v>
      </c>
      <c r="K9" s="183">
        <f t="shared" si="0"/>
        <v>2</v>
      </c>
      <c r="L9" s="183">
        <f t="shared" si="0"/>
        <v>48772</v>
      </c>
      <c r="M9" s="183">
        <f t="shared" si="0"/>
        <v>97544</v>
      </c>
      <c r="N9" s="183">
        <f t="shared" si="0"/>
        <v>97535</v>
      </c>
      <c r="O9" s="178"/>
      <c r="P9" s="178"/>
      <c r="Q9" s="183">
        <f t="shared" ref="Q9:S9" si="1">SUM(Q6:Q8)</f>
        <v>97535</v>
      </c>
      <c r="R9" s="183">
        <f t="shared" si="1"/>
        <v>97535</v>
      </c>
      <c r="S9" s="183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S20"/>
  <sheetViews>
    <sheetView showGridLines="0" view="pageBreakPreview" zoomScaleSheetLayoutView="100" workbookViewId="0">
      <pane ySplit="4" topLeftCell="A5" activePane="bottomLeft" state="frozen"/>
      <selection pane="bottomLeft" activeCell="I8" sqref="I8"/>
    </sheetView>
  </sheetViews>
  <sheetFormatPr defaultRowHeight="15.75"/>
  <cols>
    <col min="1" max="1" width="5.85546875" style="8" customWidth="1"/>
    <col min="2" max="2" width="24.140625" style="9" bestFit="1" customWidth="1"/>
    <col min="3" max="3" width="10.140625" style="8" bestFit="1" customWidth="1"/>
    <col min="4" max="4" width="10.140625" style="8" customWidth="1"/>
    <col min="5" max="5" width="13.85546875" style="127" bestFit="1" customWidth="1"/>
    <col min="6" max="7" width="20.140625" style="128" bestFit="1" customWidth="1"/>
    <col min="8" max="8" width="18" style="129" bestFit="1" customWidth="1"/>
    <col min="9" max="9" width="16.85546875" style="130" bestFit="1" customWidth="1"/>
    <col min="10" max="10" width="9.7109375" style="8" bestFit="1" customWidth="1"/>
    <col min="11" max="11" width="9.7109375" style="9" bestFit="1" customWidth="1"/>
    <col min="12" max="12" width="16.85546875" style="257" bestFit="1" customWidth="1"/>
    <col min="13" max="13" width="20.140625" style="257" bestFit="1" customWidth="1"/>
    <col min="14" max="14" width="20.42578125" style="257" bestFit="1" customWidth="1"/>
    <col min="15" max="15" width="23.42578125" style="258" bestFit="1" customWidth="1"/>
    <col min="16" max="16" width="28.85546875" style="259" bestFit="1" customWidth="1"/>
    <col min="17" max="17" width="16.85546875" style="217" bestFit="1" customWidth="1"/>
    <col min="18" max="18" width="16.140625" style="217" bestFit="1" customWidth="1"/>
    <col min="19" max="16384" width="9.140625" style="217"/>
  </cols>
  <sheetData>
    <row r="1" spans="1:19">
      <c r="A1" s="12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19">
      <c r="A2" s="218" t="s">
        <v>176</v>
      </c>
      <c r="B2" s="2"/>
      <c r="C2" s="3"/>
      <c r="D2" s="3"/>
      <c r="E2" s="4"/>
      <c r="F2" s="5"/>
      <c r="G2" s="5"/>
      <c r="H2" s="6"/>
      <c r="I2" s="219"/>
      <c r="L2" s="10"/>
      <c r="M2" s="10"/>
      <c r="N2" s="10"/>
      <c r="O2" s="11"/>
      <c r="P2" s="12"/>
    </row>
    <row r="3" spans="1:19" s="229" customFormat="1" ht="12.75">
      <c r="A3" s="220" t="s">
        <v>104</v>
      </c>
      <c r="B3" s="220" t="s">
        <v>3</v>
      </c>
      <c r="C3" s="220" t="s">
        <v>4</v>
      </c>
      <c r="D3" s="221" t="s">
        <v>177</v>
      </c>
      <c r="E3" s="222" t="s">
        <v>5</v>
      </c>
      <c r="F3" s="223" t="s">
        <v>6</v>
      </c>
      <c r="G3" s="223" t="s">
        <v>7</v>
      </c>
      <c r="H3" s="220" t="s">
        <v>8</v>
      </c>
      <c r="I3" s="224" t="s">
        <v>9</v>
      </c>
      <c r="J3" s="225" t="s">
        <v>10</v>
      </c>
      <c r="K3" s="220" t="s">
        <v>11</v>
      </c>
      <c r="L3" s="226" t="s">
        <v>12</v>
      </c>
      <c r="M3" s="227" t="s">
        <v>13</v>
      </c>
      <c r="N3" s="227" t="s">
        <v>14</v>
      </c>
      <c r="O3" s="228" t="s">
        <v>15</v>
      </c>
      <c r="P3" s="220" t="s">
        <v>16</v>
      </c>
    </row>
    <row r="4" spans="1:19" s="229" customFormat="1" ht="12.75">
      <c r="A4" s="230"/>
      <c r="B4" s="230"/>
      <c r="C4" s="230"/>
      <c r="D4" s="231"/>
      <c r="E4" s="232" t="s">
        <v>17</v>
      </c>
      <c r="F4" s="233"/>
      <c r="G4" s="234" t="s">
        <v>6</v>
      </c>
      <c r="H4" s="230"/>
      <c r="I4" s="235"/>
      <c r="J4" s="236"/>
      <c r="K4" s="230" t="s">
        <v>18</v>
      </c>
      <c r="L4" s="237" t="s">
        <v>19</v>
      </c>
      <c r="M4" s="238" t="s">
        <v>9</v>
      </c>
      <c r="N4" s="238"/>
      <c r="O4" s="239"/>
      <c r="P4" s="240"/>
    </row>
    <row r="5" spans="1:19" customFormat="1">
      <c r="A5" s="48">
        <v>1</v>
      </c>
      <c r="B5" s="190" t="s">
        <v>113</v>
      </c>
      <c r="C5" s="191" t="s">
        <v>114</v>
      </c>
      <c r="D5" s="191" t="s">
        <v>178</v>
      </c>
      <c r="E5" s="60">
        <v>43182</v>
      </c>
      <c r="F5" s="63">
        <f>1200000+12000</f>
        <v>1212000</v>
      </c>
      <c r="G5" s="63">
        <f t="shared" ref="G5:G11" si="0">+J5*L5</f>
        <v>1284720</v>
      </c>
      <c r="H5" s="63">
        <f>F5/J5</f>
        <v>101000</v>
      </c>
      <c r="I5" s="63">
        <f t="shared" ref="I5:I11" si="1">+F5*0.5%</f>
        <v>6060</v>
      </c>
      <c r="J5" s="48">
        <v>12</v>
      </c>
      <c r="K5" s="48">
        <v>10</v>
      </c>
      <c r="L5" s="62">
        <f t="shared" ref="L5:L11" si="2">+H5+I5</f>
        <v>107060</v>
      </c>
      <c r="M5" s="63">
        <f t="shared" ref="M5:M11" si="3">+K5*L5</f>
        <v>1070600</v>
      </c>
      <c r="N5" s="42">
        <f>+H5*K5</f>
        <v>1010000</v>
      </c>
      <c r="O5" s="66" t="s">
        <v>116</v>
      </c>
      <c r="P5" s="66" t="s">
        <v>179</v>
      </c>
      <c r="Q5" s="241">
        <f>+N5</f>
        <v>1010000</v>
      </c>
      <c r="R5" s="180">
        <f>+'[7]umroh 2'!AA6</f>
        <v>1010000</v>
      </c>
      <c r="S5" s="242">
        <f>+Q5-R5</f>
        <v>0</v>
      </c>
    </row>
    <row r="6" spans="1:19" customFormat="1">
      <c r="A6" s="57">
        <f t="shared" ref="A6:A11" si="4">+A5+1</f>
        <v>2</v>
      </c>
      <c r="B6" s="190" t="s">
        <v>113</v>
      </c>
      <c r="C6" s="191" t="s">
        <v>114</v>
      </c>
      <c r="D6" s="191" t="s">
        <v>178</v>
      </c>
      <c r="E6" s="60">
        <v>43196</v>
      </c>
      <c r="F6" s="243">
        <f>(33000000*4)+1320000</f>
        <v>133320000</v>
      </c>
      <c r="G6" s="63">
        <f t="shared" si="0"/>
        <v>82317600</v>
      </c>
      <c r="H6" s="63">
        <f>1620000</f>
        <v>1620000</v>
      </c>
      <c r="I6" s="63">
        <f t="shared" si="1"/>
        <v>666600</v>
      </c>
      <c r="J6" s="48">
        <v>36</v>
      </c>
      <c r="K6" s="48">
        <v>34</v>
      </c>
      <c r="L6" s="62">
        <f t="shared" si="2"/>
        <v>2286600</v>
      </c>
      <c r="M6" s="63">
        <f t="shared" si="3"/>
        <v>77744400</v>
      </c>
      <c r="N6" s="244">
        <f>F6-(H6*2)-2500000</f>
        <v>127580000</v>
      </c>
      <c r="O6" s="66" t="s">
        <v>116</v>
      </c>
      <c r="P6" s="66" t="s">
        <v>180</v>
      </c>
      <c r="Q6" s="241">
        <f t="shared" ref="Q6:Q11" si="5">+N6</f>
        <v>127580000</v>
      </c>
      <c r="R6" s="180">
        <f>+'[7]umroh 2'!AA7</f>
        <v>127580000</v>
      </c>
      <c r="S6" s="242">
        <f t="shared" ref="S6:S11" si="6">+Q6-R6</f>
        <v>0</v>
      </c>
    </row>
    <row r="7" spans="1:19">
      <c r="A7" s="57">
        <f t="shared" si="4"/>
        <v>3</v>
      </c>
      <c r="B7" s="245" t="s">
        <v>181</v>
      </c>
      <c r="C7" s="246" t="s">
        <v>182</v>
      </c>
      <c r="D7" s="246" t="s">
        <v>183</v>
      </c>
      <c r="E7" s="60">
        <v>43196</v>
      </c>
      <c r="F7" s="63">
        <f>(1500000*3)+(33000000*3)+735000</f>
        <v>104235000</v>
      </c>
      <c r="G7" s="63">
        <f t="shared" si="0"/>
        <v>70512300</v>
      </c>
      <c r="H7" s="63">
        <v>1437500</v>
      </c>
      <c r="I7" s="63">
        <f t="shared" si="1"/>
        <v>521175</v>
      </c>
      <c r="J7" s="48">
        <v>36</v>
      </c>
      <c r="K7" s="48">
        <v>34</v>
      </c>
      <c r="L7" s="138">
        <f t="shared" si="2"/>
        <v>1958675</v>
      </c>
      <c r="M7" s="42">
        <f t="shared" si="3"/>
        <v>66594950</v>
      </c>
      <c r="N7" s="244">
        <f>F7-(H7*2)-2250000</f>
        <v>99110000</v>
      </c>
      <c r="O7" s="66" t="s">
        <v>116</v>
      </c>
      <c r="P7" s="66" t="s">
        <v>180</v>
      </c>
      <c r="Q7" s="241">
        <f t="shared" si="5"/>
        <v>99110000</v>
      </c>
      <c r="R7" s="180">
        <f>+'[7]umroh 2'!AA8</f>
        <v>99110000</v>
      </c>
      <c r="S7" s="242">
        <f t="shared" si="6"/>
        <v>0</v>
      </c>
    </row>
    <row r="8" spans="1:19">
      <c r="A8" s="57">
        <f t="shared" si="4"/>
        <v>4</v>
      </c>
      <c r="B8" s="247" t="s">
        <v>158</v>
      </c>
      <c r="C8" s="248" t="s">
        <v>159</v>
      </c>
      <c r="D8" s="248" t="s">
        <v>184</v>
      </c>
      <c r="E8" s="60">
        <v>43196</v>
      </c>
      <c r="F8" s="61">
        <f>(2500000*2)+(33000000*2)+710000</f>
        <v>71710000</v>
      </c>
      <c r="G8" s="61">
        <f t="shared" si="0"/>
        <v>48508200</v>
      </c>
      <c r="H8" s="61">
        <v>988900</v>
      </c>
      <c r="I8" s="61">
        <f t="shared" si="1"/>
        <v>358550</v>
      </c>
      <c r="J8" s="57">
        <v>36</v>
      </c>
      <c r="K8" s="57">
        <f>34</f>
        <v>34</v>
      </c>
      <c r="L8" s="138">
        <f t="shared" si="2"/>
        <v>1347450</v>
      </c>
      <c r="M8" s="42">
        <f t="shared" si="3"/>
        <v>45813300</v>
      </c>
      <c r="N8" s="244">
        <f>F8-(H8*2)-2500000</f>
        <v>67232200</v>
      </c>
      <c r="O8" s="66" t="s">
        <v>185</v>
      </c>
      <c r="P8" s="66" t="s">
        <v>180</v>
      </c>
      <c r="Q8" s="241">
        <f t="shared" si="5"/>
        <v>67232200</v>
      </c>
      <c r="R8" s="180">
        <f>+'[7]umroh 2'!AA9</f>
        <v>67232200</v>
      </c>
      <c r="S8" s="242">
        <f t="shared" si="6"/>
        <v>0</v>
      </c>
    </row>
    <row r="9" spans="1:19">
      <c r="A9" s="57">
        <f t="shared" si="4"/>
        <v>5</v>
      </c>
      <c r="B9" s="196" t="s">
        <v>181</v>
      </c>
      <c r="C9" s="197" t="s">
        <v>182</v>
      </c>
      <c r="D9" s="197" t="s">
        <v>183</v>
      </c>
      <c r="E9" s="60">
        <v>43202</v>
      </c>
      <c r="F9" s="63">
        <f>10000000+100000</f>
        <v>10100000</v>
      </c>
      <c r="G9" s="63">
        <f t="shared" si="0"/>
        <v>11919600</v>
      </c>
      <c r="H9" s="63">
        <f>331100-I9</f>
        <v>280600</v>
      </c>
      <c r="I9" s="63">
        <f t="shared" si="1"/>
        <v>50500</v>
      </c>
      <c r="J9" s="48">
        <v>36</v>
      </c>
      <c r="K9" s="48">
        <v>34</v>
      </c>
      <c r="L9" s="138">
        <f t="shared" si="2"/>
        <v>331100</v>
      </c>
      <c r="M9" s="42">
        <f t="shared" si="3"/>
        <v>11257400</v>
      </c>
      <c r="N9" s="244">
        <f>F9-(H9*2)</f>
        <v>9538800</v>
      </c>
      <c r="O9" s="66" t="s">
        <v>116</v>
      </c>
      <c r="P9" s="66" t="s">
        <v>180</v>
      </c>
      <c r="Q9" s="241">
        <f t="shared" si="5"/>
        <v>9538800</v>
      </c>
      <c r="R9" s="180">
        <f>+'[7]umroh 2'!AA10</f>
        <v>9538800</v>
      </c>
      <c r="S9" s="242">
        <f t="shared" si="6"/>
        <v>0</v>
      </c>
    </row>
    <row r="10" spans="1:19">
      <c r="A10" s="57">
        <f t="shared" si="4"/>
        <v>6</v>
      </c>
      <c r="B10" s="58" t="s">
        <v>158</v>
      </c>
      <c r="C10" s="59" t="s">
        <v>159</v>
      </c>
      <c r="D10" s="59" t="s">
        <v>184</v>
      </c>
      <c r="E10" s="60">
        <v>43202</v>
      </c>
      <c r="F10" s="61">
        <f>10000000+100000</f>
        <v>10100000</v>
      </c>
      <c r="G10" s="61">
        <f t="shared" si="0"/>
        <v>11919600</v>
      </c>
      <c r="H10" s="61">
        <f>331100-I10</f>
        <v>280600</v>
      </c>
      <c r="I10" s="61">
        <f t="shared" si="1"/>
        <v>50500</v>
      </c>
      <c r="J10" s="57">
        <v>36</v>
      </c>
      <c r="K10" s="57">
        <f>34</f>
        <v>34</v>
      </c>
      <c r="L10" s="138">
        <f t="shared" si="2"/>
        <v>331100</v>
      </c>
      <c r="M10" s="42">
        <f t="shared" si="3"/>
        <v>11257400</v>
      </c>
      <c r="N10" s="244">
        <f>F10-(H10*2)</f>
        <v>9538800</v>
      </c>
      <c r="O10" s="66" t="s">
        <v>185</v>
      </c>
      <c r="P10" s="66" t="s">
        <v>180</v>
      </c>
      <c r="Q10" s="241">
        <f t="shared" si="5"/>
        <v>9538800</v>
      </c>
      <c r="R10" s="180">
        <f>+'[7]umroh 2'!AA11</f>
        <v>9538800</v>
      </c>
      <c r="S10" s="242">
        <f t="shared" si="6"/>
        <v>0</v>
      </c>
    </row>
    <row r="11" spans="1:19">
      <c r="A11" s="57">
        <f t="shared" si="4"/>
        <v>7</v>
      </c>
      <c r="B11" s="190" t="s">
        <v>186</v>
      </c>
      <c r="C11" s="191" t="s">
        <v>187</v>
      </c>
      <c r="D11" s="191" t="s">
        <v>188</v>
      </c>
      <c r="E11" s="60">
        <v>43258</v>
      </c>
      <c r="F11" s="63">
        <f>2500000</f>
        <v>2500000</v>
      </c>
      <c r="G11" s="63">
        <f t="shared" si="0"/>
        <v>2950200</v>
      </c>
      <c r="H11" s="249">
        <f>81950-I11</f>
        <v>69450</v>
      </c>
      <c r="I11" s="63">
        <f t="shared" si="1"/>
        <v>12500</v>
      </c>
      <c r="J11" s="48">
        <v>36</v>
      </c>
      <c r="K11" s="48">
        <v>35</v>
      </c>
      <c r="L11" s="62">
        <f t="shared" si="2"/>
        <v>81950</v>
      </c>
      <c r="M11" s="63">
        <f t="shared" si="3"/>
        <v>2868250</v>
      </c>
      <c r="N11" s="64">
        <f>F11-(H11*1)</f>
        <v>2430550</v>
      </c>
      <c r="O11" s="66" t="s">
        <v>189</v>
      </c>
      <c r="P11" s="66" t="s">
        <v>190</v>
      </c>
      <c r="Q11" s="241">
        <f t="shared" si="5"/>
        <v>2430550</v>
      </c>
      <c r="R11" s="180">
        <f>+'[7]umroh 2'!AA12</f>
        <v>2430550</v>
      </c>
      <c r="S11" s="242">
        <f t="shared" si="6"/>
        <v>0</v>
      </c>
    </row>
    <row r="12" spans="1:19">
      <c r="A12" s="32"/>
      <c r="B12" s="101"/>
      <c r="C12" s="32"/>
      <c r="D12" s="32"/>
      <c r="E12" s="142"/>
      <c r="F12" s="45"/>
      <c r="G12" s="45"/>
      <c r="H12" s="250"/>
      <c r="I12" s="69"/>
      <c r="J12" s="32"/>
      <c r="K12" s="101"/>
      <c r="L12" s="251"/>
      <c r="M12" s="251"/>
      <c r="N12" s="251"/>
      <c r="O12" s="252"/>
      <c r="P12" s="253"/>
      <c r="Q12" s="254"/>
      <c r="R12" s="254"/>
      <c r="S12" s="254"/>
    </row>
    <row r="13" spans="1:19">
      <c r="A13" s="32"/>
      <c r="B13" s="101" t="s">
        <v>7</v>
      </c>
      <c r="C13" s="32"/>
      <c r="D13" s="32"/>
      <c r="E13" s="142"/>
      <c r="F13" s="45">
        <f>SUM(F5:F12)</f>
        <v>333177000</v>
      </c>
      <c r="G13" s="45">
        <f t="shared" ref="G13:N13" si="7">SUM(G5:G12)</f>
        <v>229412220</v>
      </c>
      <c r="H13" s="45">
        <f t="shared" si="7"/>
        <v>4778050</v>
      </c>
      <c r="I13" s="45">
        <f t="shared" si="7"/>
        <v>1665885</v>
      </c>
      <c r="J13" s="45">
        <f t="shared" si="7"/>
        <v>228</v>
      </c>
      <c r="K13" s="45">
        <f t="shared" si="7"/>
        <v>215</v>
      </c>
      <c r="L13" s="45">
        <f t="shared" si="7"/>
        <v>6443935</v>
      </c>
      <c r="M13" s="45">
        <f t="shared" si="7"/>
        <v>216606300</v>
      </c>
      <c r="N13" s="45">
        <f t="shared" si="7"/>
        <v>316440350</v>
      </c>
      <c r="O13" s="45"/>
      <c r="P13" s="253"/>
      <c r="Q13" s="45">
        <f t="shared" ref="Q13:S13" si="8">SUM(Q5:Q11)</f>
        <v>316440350</v>
      </c>
      <c r="R13" s="45">
        <f t="shared" si="8"/>
        <v>316440350</v>
      </c>
      <c r="S13" s="45">
        <f t="shared" si="8"/>
        <v>0</v>
      </c>
    </row>
    <row r="16" spans="1:19">
      <c r="A16" s="9"/>
      <c r="B16" s="255"/>
      <c r="C16" s="255"/>
      <c r="D16" s="255"/>
      <c r="E16" s="255"/>
      <c r="F16" s="256" t="s">
        <v>191</v>
      </c>
      <c r="G16" s="256" t="s">
        <v>192</v>
      </c>
      <c r="H16" s="256" t="s">
        <v>193</v>
      </c>
      <c r="I16" s="255"/>
    </row>
    <row r="17" spans="1:16">
      <c r="A17" s="32">
        <v>1</v>
      </c>
      <c r="B17" s="190" t="s">
        <v>113</v>
      </c>
      <c r="C17" s="191" t="s">
        <v>114</v>
      </c>
      <c r="D17" s="191" t="s">
        <v>178</v>
      </c>
      <c r="E17" s="60">
        <v>43196</v>
      </c>
      <c r="F17" s="260">
        <v>20000000</v>
      </c>
      <c r="G17" s="260">
        <v>2500000</v>
      </c>
      <c r="H17" s="260">
        <v>2500000</v>
      </c>
      <c r="I17" s="261" t="s">
        <v>194</v>
      </c>
    </row>
    <row r="18" spans="1:16">
      <c r="A18" s="32">
        <f t="shared" ref="A18:A20" si="9">+A17+1</f>
        <v>2</v>
      </c>
      <c r="B18" s="196" t="s">
        <v>181</v>
      </c>
      <c r="C18" s="197" t="s">
        <v>182</v>
      </c>
      <c r="D18" s="197" t="s">
        <v>183</v>
      </c>
      <c r="E18" s="60">
        <v>43196</v>
      </c>
      <c r="F18" s="260">
        <v>12750000</v>
      </c>
      <c r="G18" s="260">
        <v>2250000</v>
      </c>
      <c r="H18" s="260">
        <v>2250000</v>
      </c>
      <c r="I18" s="261"/>
      <c r="J18" s="217"/>
      <c r="K18" s="217"/>
      <c r="L18" s="217"/>
      <c r="M18" s="217"/>
      <c r="N18" s="217"/>
      <c r="O18" s="217"/>
      <c r="P18" s="217"/>
    </row>
    <row r="19" spans="1:16">
      <c r="A19" s="57">
        <f>+A18+1</f>
        <v>3</v>
      </c>
      <c r="B19" s="190" t="s">
        <v>158</v>
      </c>
      <c r="C19" s="191" t="s">
        <v>159</v>
      </c>
      <c r="D19" s="191" t="s">
        <v>184</v>
      </c>
      <c r="E19" s="60">
        <v>43196</v>
      </c>
      <c r="F19" s="260">
        <v>6800000</v>
      </c>
      <c r="G19" s="260">
        <v>2500000</v>
      </c>
      <c r="H19" s="260">
        <v>2500000</v>
      </c>
      <c r="I19" s="261"/>
      <c r="J19" s="217"/>
      <c r="K19" s="217"/>
      <c r="L19" s="217"/>
      <c r="M19" s="217"/>
      <c r="N19" s="217"/>
      <c r="O19" s="217"/>
      <c r="P19" s="217"/>
    </row>
    <row r="20" spans="1:16">
      <c r="A20" s="32">
        <f t="shared" si="9"/>
        <v>4</v>
      </c>
      <c r="B20" s="87"/>
      <c r="C20" s="88"/>
      <c r="D20" s="88"/>
      <c r="E20" s="60"/>
      <c r="F20" s="260">
        <v>0</v>
      </c>
      <c r="G20" s="260">
        <v>0</v>
      </c>
      <c r="H20" s="260">
        <v>0</v>
      </c>
      <c r="I20" s="261"/>
      <c r="J20" s="217"/>
      <c r="K20" s="217"/>
      <c r="L20" s="217"/>
      <c r="M20" s="217"/>
      <c r="N20" s="217"/>
      <c r="O20" s="217"/>
      <c r="P20" s="217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"/>
  <sheetViews>
    <sheetView showGridLines="0" view="pageBreakPreview" zoomScaleSheetLayoutView="100" workbookViewId="0">
      <pane ySplit="4" topLeftCell="A5" activePane="bottomLeft" state="frozen"/>
      <selection pane="bottomLeft" activeCell="K22" sqref="K22"/>
    </sheetView>
  </sheetViews>
  <sheetFormatPr defaultRowHeight="15.75"/>
  <cols>
    <col min="1" max="1" width="11" style="8" bestFit="1" customWidth="1"/>
    <col min="2" max="2" width="18.85546875" style="9" customWidth="1"/>
    <col min="3" max="3" width="10.42578125" style="8" bestFit="1" customWidth="1"/>
    <col min="4" max="4" width="13" style="127" bestFit="1" customWidth="1"/>
    <col min="5" max="5" width="19" style="128" bestFit="1" customWidth="1"/>
    <col min="6" max="6" width="17.5703125" style="128" bestFit="1" customWidth="1"/>
    <col min="7" max="7" width="18" style="129" bestFit="1" customWidth="1"/>
    <col min="8" max="8" width="13.42578125" style="130" bestFit="1" customWidth="1"/>
    <col min="9" max="9" width="9" style="8" bestFit="1" customWidth="1"/>
    <col min="10" max="10" width="8.5703125" style="9" bestFit="1" customWidth="1"/>
    <col min="11" max="11" width="17.5703125" style="131" bestFit="1" customWidth="1"/>
    <col min="12" max="12" width="18" style="131" bestFit="1" customWidth="1"/>
    <col min="13" max="13" width="18.7109375" style="131" bestFit="1" customWidth="1"/>
    <col min="14" max="14" width="15.7109375" style="132" bestFit="1" customWidth="1"/>
    <col min="15" max="15" width="36.140625" style="133" bestFit="1" customWidth="1"/>
    <col min="16" max="16384" width="9.140625" style="9"/>
  </cols>
  <sheetData>
    <row r="1" spans="1:15" ht="18.75">
      <c r="A1" s="262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>
      <c r="A2" s="218" t="s">
        <v>195</v>
      </c>
      <c r="B2" s="2"/>
      <c r="C2" s="3"/>
      <c r="D2" s="4"/>
      <c r="E2" s="5"/>
      <c r="F2" s="5"/>
      <c r="G2" s="6"/>
      <c r="H2" s="219"/>
      <c r="K2" s="10"/>
      <c r="L2" s="10"/>
      <c r="M2" s="10"/>
      <c r="N2" s="11"/>
      <c r="O2" s="12"/>
    </row>
    <row r="3" spans="1:15" s="8" customFormat="1">
      <c r="A3" s="14" t="s">
        <v>104</v>
      </c>
      <c r="B3" s="14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4" t="s">
        <v>8</v>
      </c>
      <c r="H3" s="17" t="s">
        <v>9</v>
      </c>
      <c r="I3" s="18" t="s">
        <v>10</v>
      </c>
      <c r="J3" s="14" t="s">
        <v>11</v>
      </c>
      <c r="K3" s="19" t="s">
        <v>12</v>
      </c>
      <c r="L3" s="20" t="s">
        <v>13</v>
      </c>
      <c r="M3" s="20" t="s">
        <v>14</v>
      </c>
      <c r="N3" s="21" t="s">
        <v>15</v>
      </c>
      <c r="O3" s="14" t="s">
        <v>16</v>
      </c>
    </row>
    <row r="4" spans="1:15" s="8" customFormat="1">
      <c r="A4" s="160"/>
      <c r="B4" s="160"/>
      <c r="C4" s="160"/>
      <c r="D4" s="162" t="s">
        <v>17</v>
      </c>
      <c r="E4" s="263"/>
      <c r="F4" s="206" t="s">
        <v>6</v>
      </c>
      <c r="G4" s="160"/>
      <c r="H4" s="264"/>
      <c r="I4" s="265"/>
      <c r="J4" s="160" t="s">
        <v>18</v>
      </c>
      <c r="K4" s="266" t="s">
        <v>19</v>
      </c>
      <c r="L4" s="267" t="s">
        <v>9</v>
      </c>
      <c r="M4" s="267"/>
      <c r="N4" s="268"/>
      <c r="O4" s="166"/>
    </row>
    <row r="5" spans="1:15">
      <c r="A5" s="269">
        <v>1</v>
      </c>
      <c r="B5" s="270" t="s">
        <v>196</v>
      </c>
      <c r="C5" s="271" t="s">
        <v>197</v>
      </c>
      <c r="D5" s="272">
        <v>43175</v>
      </c>
      <c r="E5" s="273">
        <v>959500</v>
      </c>
      <c r="F5" s="45">
        <f>+I5*K5</f>
        <v>1063134</v>
      </c>
      <c r="G5" s="149">
        <v>106612</v>
      </c>
      <c r="H5" s="69">
        <f>E5*1.2%</f>
        <v>11514</v>
      </c>
      <c r="I5" s="32">
        <v>9</v>
      </c>
      <c r="J5" s="32">
        <v>5</v>
      </c>
      <c r="K5" s="138">
        <f>+G5+H5</f>
        <v>118126</v>
      </c>
      <c r="L5" s="138">
        <f>+J5*K5</f>
        <v>590630</v>
      </c>
      <c r="M5" s="274">
        <f>E5-(G5*4)</f>
        <v>533052</v>
      </c>
      <c r="N5" s="147"/>
      <c r="O5" s="275" t="s">
        <v>198</v>
      </c>
    </row>
    <row r="6" spans="1:15" ht="16.5">
      <c r="A6" s="277">
        <f>+A5+1</f>
        <v>2</v>
      </c>
      <c r="B6" s="278" t="s">
        <v>200</v>
      </c>
      <c r="C6" s="279" t="s">
        <v>201</v>
      </c>
      <c r="D6" s="136">
        <v>43283</v>
      </c>
      <c r="E6" s="280">
        <v>125140</v>
      </c>
      <c r="F6" s="45">
        <f>+I6*K6</f>
        <v>125140</v>
      </c>
      <c r="G6" s="149">
        <f>+E6/I6</f>
        <v>125140</v>
      </c>
      <c r="H6" s="281">
        <v>0</v>
      </c>
      <c r="I6" s="282">
        <v>1</v>
      </c>
      <c r="J6" s="32">
        <v>1</v>
      </c>
      <c r="K6" s="138">
        <f>+G6+H6</f>
        <v>125140</v>
      </c>
      <c r="L6" s="138">
        <f>+J6*K6</f>
        <v>125140</v>
      </c>
      <c r="M6" s="251">
        <f>+G6*J6</f>
        <v>125140</v>
      </c>
      <c r="N6" s="147"/>
      <c r="O6" s="283" t="s">
        <v>202</v>
      </c>
    </row>
    <row r="7" spans="1:15" ht="16.5">
      <c r="A7" s="277">
        <f>+A6+1</f>
        <v>3</v>
      </c>
      <c r="B7" s="284" t="s">
        <v>199</v>
      </c>
      <c r="C7" s="285" t="s">
        <v>197</v>
      </c>
      <c r="D7" s="286">
        <v>43286</v>
      </c>
      <c r="E7" s="287">
        <v>260493</v>
      </c>
      <c r="F7" s="45">
        <f>+I7*K7</f>
        <v>260493</v>
      </c>
      <c r="G7" s="149">
        <f>+E7/I7</f>
        <v>260493</v>
      </c>
      <c r="H7" s="281">
        <v>0</v>
      </c>
      <c r="I7" s="282">
        <v>1</v>
      </c>
      <c r="J7" s="32">
        <v>1</v>
      </c>
      <c r="K7" s="138">
        <f>+G7+H7</f>
        <v>260493</v>
      </c>
      <c r="L7" s="138">
        <f>+J7*K7</f>
        <v>260493</v>
      </c>
      <c r="M7" s="251">
        <f>+G7*J7</f>
        <v>260493</v>
      </c>
      <c r="N7" s="147"/>
      <c r="O7" s="283" t="s">
        <v>203</v>
      </c>
    </row>
    <row r="8" spans="1:15" s="217" customFormat="1">
      <c r="A8" s="290">
        <f t="shared" ref="A8:A9" si="0">+A7+1</f>
        <v>4</v>
      </c>
      <c r="B8" s="291" t="s">
        <v>204</v>
      </c>
      <c r="C8" s="292" t="s">
        <v>205</v>
      </c>
      <c r="D8" s="136">
        <v>43286</v>
      </c>
      <c r="E8" s="293">
        <v>359359</v>
      </c>
      <c r="F8" s="294">
        <f t="shared" ref="F8:F10" si="1">+I8*K8</f>
        <v>359359</v>
      </c>
      <c r="G8" s="149">
        <f t="shared" ref="G8:G10" si="2">+E8/I8</f>
        <v>359359</v>
      </c>
      <c r="H8" s="281">
        <v>0</v>
      </c>
      <c r="I8" s="282">
        <v>1</v>
      </c>
      <c r="J8" s="282">
        <v>1</v>
      </c>
      <c r="K8" s="251">
        <f t="shared" ref="K8:K10" si="3">+G8+H8</f>
        <v>359359</v>
      </c>
      <c r="L8" s="138">
        <f t="shared" ref="L8:L10" si="4">+J8*K8</f>
        <v>359359</v>
      </c>
      <c r="M8" s="251">
        <f t="shared" ref="M8:M10" si="5">+G8*J8</f>
        <v>359359</v>
      </c>
      <c r="N8" s="276"/>
      <c r="O8" s="295" t="s">
        <v>206</v>
      </c>
    </row>
    <row r="9" spans="1:15" ht="16.5">
      <c r="A9" s="296">
        <f t="shared" si="0"/>
        <v>5</v>
      </c>
      <c r="B9" s="297" t="s">
        <v>207</v>
      </c>
      <c r="C9" s="134">
        <v>964143</v>
      </c>
      <c r="D9" s="136">
        <v>43286</v>
      </c>
      <c r="E9" s="298">
        <v>42300</v>
      </c>
      <c r="F9" s="45">
        <f t="shared" si="1"/>
        <v>42300</v>
      </c>
      <c r="G9" s="138">
        <f t="shared" si="2"/>
        <v>42300</v>
      </c>
      <c r="H9" s="69">
        <v>0</v>
      </c>
      <c r="I9" s="32">
        <v>1</v>
      </c>
      <c r="J9" s="32">
        <v>1</v>
      </c>
      <c r="K9" s="138">
        <f t="shared" si="3"/>
        <v>42300</v>
      </c>
      <c r="L9" s="138">
        <f t="shared" si="4"/>
        <v>42300</v>
      </c>
      <c r="M9" s="138">
        <f t="shared" si="5"/>
        <v>42300</v>
      </c>
      <c r="N9" s="147"/>
      <c r="O9" s="299" t="s">
        <v>208</v>
      </c>
    </row>
    <row r="10" spans="1:15" s="217" customFormat="1">
      <c r="A10" s="300">
        <f>+A9+1</f>
        <v>6</v>
      </c>
      <c r="B10" s="291" t="s">
        <v>204</v>
      </c>
      <c r="C10" s="301">
        <v>964143</v>
      </c>
      <c r="D10" s="136">
        <v>43286</v>
      </c>
      <c r="E10" s="302">
        <v>168383</v>
      </c>
      <c r="F10" s="45">
        <f t="shared" si="1"/>
        <v>168383</v>
      </c>
      <c r="G10" s="149">
        <f t="shared" si="2"/>
        <v>168383</v>
      </c>
      <c r="H10" s="281">
        <v>0</v>
      </c>
      <c r="I10" s="303">
        <v>1</v>
      </c>
      <c r="J10" s="303">
        <v>1</v>
      </c>
      <c r="K10" s="138">
        <f t="shared" si="3"/>
        <v>168383</v>
      </c>
      <c r="L10" s="138">
        <f t="shared" si="4"/>
        <v>168383</v>
      </c>
      <c r="M10" s="251">
        <f t="shared" si="5"/>
        <v>168383</v>
      </c>
      <c r="N10" s="276"/>
      <c r="O10" s="304" t="s">
        <v>209</v>
      </c>
    </row>
    <row r="11" spans="1:15">
      <c r="A11" s="32"/>
      <c r="B11" s="288"/>
      <c r="C11" s="22"/>
      <c r="D11" s="23"/>
      <c r="E11" s="289"/>
      <c r="F11" s="45"/>
      <c r="G11" s="250"/>
      <c r="H11" s="69"/>
      <c r="I11" s="32"/>
      <c r="J11" s="101"/>
      <c r="K11" s="138"/>
      <c r="L11" s="138"/>
      <c r="M11" s="138"/>
      <c r="N11" s="147"/>
      <c r="O11" s="148"/>
    </row>
    <row r="12" spans="1:15">
      <c r="A12" s="32"/>
      <c r="B12" s="101" t="s">
        <v>7</v>
      </c>
      <c r="C12" s="32"/>
      <c r="D12" s="142"/>
      <c r="E12" s="69">
        <f t="shared" ref="E12:M12" si="6">SUM(E5:E11)</f>
        <v>1915175</v>
      </c>
      <c r="F12" s="69">
        <f t="shared" si="6"/>
        <v>2018809</v>
      </c>
      <c r="G12" s="69">
        <f t="shared" si="6"/>
        <v>1062287</v>
      </c>
      <c r="H12" s="69">
        <f t="shared" si="6"/>
        <v>11514</v>
      </c>
      <c r="I12" s="69">
        <f t="shared" si="6"/>
        <v>14</v>
      </c>
      <c r="J12" s="69">
        <f t="shared" si="6"/>
        <v>10</v>
      </c>
      <c r="K12" s="69">
        <f t="shared" si="6"/>
        <v>1073801</v>
      </c>
      <c r="L12" s="69">
        <f t="shared" si="6"/>
        <v>1546305</v>
      </c>
      <c r="M12" s="69">
        <f t="shared" si="6"/>
        <v>1488727</v>
      </c>
      <c r="N12" s="147"/>
      <c r="O12" s="148"/>
    </row>
  </sheetData>
  <pageMargins left="0.11811023622047245" right="0.70866141732283472" top="0.74803149606299213" bottom="0.74803149606299213" header="0.23622047244094491" footer="0.31496062992125984"/>
  <pageSetup paperSize="5" scale="67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R7"/>
  <sheetViews>
    <sheetView showGridLines="0" view="pageBreakPreview" zoomScaleSheetLayoutView="100" workbookViewId="0">
      <pane ySplit="4" topLeftCell="A5" activePane="bottomLeft" state="frozen"/>
      <selection pane="bottomLeft" activeCell="G2" sqref="G2"/>
    </sheetView>
  </sheetViews>
  <sheetFormatPr defaultRowHeight="15.75"/>
  <cols>
    <col min="1" max="1" width="5.5703125" style="9" customWidth="1"/>
    <col min="2" max="2" width="17.28515625" style="9" bestFit="1" customWidth="1"/>
    <col min="3" max="3" width="10.7109375" style="8" bestFit="1" customWidth="1"/>
    <col min="4" max="4" width="11.5703125" style="127" customWidth="1"/>
    <col min="5" max="5" width="21.140625" style="128" customWidth="1"/>
    <col min="6" max="6" width="19.140625" style="214" customWidth="1"/>
    <col min="7" max="7" width="18.5703125" style="215" bestFit="1" customWidth="1"/>
    <col min="8" max="8" width="16.140625" style="128" customWidth="1"/>
    <col min="9" max="9" width="8.7109375" style="8" bestFit="1" customWidth="1"/>
    <col min="10" max="10" width="8.28515625" style="8" bestFit="1" customWidth="1"/>
    <col min="11" max="11" width="16.140625" style="126" customWidth="1"/>
    <col min="12" max="12" width="19.140625" style="126" customWidth="1"/>
    <col min="13" max="13" width="19.5703125" style="215" bestFit="1" customWidth="1"/>
    <col min="14" max="14" width="10.42578125" style="216" bestFit="1" customWidth="1"/>
    <col min="15" max="15" width="31.28515625" style="133" bestFit="1" customWidth="1"/>
    <col min="16" max="17" width="15.7109375" style="9" bestFit="1" customWidth="1"/>
    <col min="18" max="16384" width="9.140625" style="9"/>
  </cols>
  <sheetData>
    <row r="1" spans="1:18" ht="20.25">
      <c r="A1" s="1" t="s">
        <v>0</v>
      </c>
      <c r="B1" s="2"/>
      <c r="C1" s="3"/>
      <c r="D1" s="4"/>
      <c r="E1" s="5"/>
      <c r="F1" s="199"/>
      <c r="G1" s="200"/>
      <c r="H1" s="143"/>
      <c r="J1" s="3"/>
      <c r="K1" s="201"/>
      <c r="L1" s="201"/>
      <c r="M1" s="200"/>
      <c r="N1" s="202"/>
      <c r="O1" s="12"/>
    </row>
    <row r="2" spans="1:18" ht="20.25">
      <c r="A2" s="203" t="s">
        <v>173</v>
      </c>
      <c r="B2" s="2"/>
      <c r="C2" s="3"/>
      <c r="D2" s="4"/>
      <c r="E2" s="5"/>
      <c r="F2" s="199"/>
      <c r="G2" s="200"/>
      <c r="H2" s="204"/>
      <c r="J2" s="3"/>
      <c r="K2" s="201"/>
      <c r="L2" s="201"/>
      <c r="M2" s="200"/>
      <c r="N2" s="202"/>
      <c r="O2" s="12"/>
    </row>
    <row r="3" spans="1:18">
      <c r="A3" s="14" t="s">
        <v>104</v>
      </c>
      <c r="B3" s="14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59" t="s">
        <v>8</v>
      </c>
      <c r="H3" s="16" t="s">
        <v>9</v>
      </c>
      <c r="I3" s="14" t="s">
        <v>10</v>
      </c>
      <c r="J3" s="14" t="s">
        <v>11</v>
      </c>
      <c r="K3" s="16" t="s">
        <v>12</v>
      </c>
      <c r="L3" s="16" t="s">
        <v>13</v>
      </c>
      <c r="M3" s="159" t="s">
        <v>14</v>
      </c>
      <c r="N3" s="16" t="s">
        <v>120</v>
      </c>
      <c r="O3" s="14" t="s">
        <v>121</v>
      </c>
    </row>
    <row r="4" spans="1:18">
      <c r="A4" s="160"/>
      <c r="B4" s="160"/>
      <c r="C4" s="160"/>
      <c r="D4" s="162" t="s">
        <v>17</v>
      </c>
      <c r="E4" s="205"/>
      <c r="F4" s="206" t="s">
        <v>6</v>
      </c>
      <c r="G4" s="164"/>
      <c r="H4" s="206"/>
      <c r="I4" s="160"/>
      <c r="J4" s="160" t="s">
        <v>18</v>
      </c>
      <c r="K4" s="206" t="s">
        <v>19</v>
      </c>
      <c r="L4" s="206" t="s">
        <v>9</v>
      </c>
      <c r="M4" s="164"/>
      <c r="N4" s="165"/>
      <c r="O4" s="166"/>
    </row>
    <row r="5" spans="1:18">
      <c r="A5" s="32">
        <f t="shared" ref="A5" si="0">+A4+1</f>
        <v>1</v>
      </c>
      <c r="B5" s="33" t="s">
        <v>174</v>
      </c>
      <c r="C5" s="34">
        <v>256126</v>
      </c>
      <c r="D5" s="67">
        <v>42845</v>
      </c>
      <c r="E5" s="38">
        <v>90000000</v>
      </c>
      <c r="F5" s="207">
        <f>+I5*K5</f>
        <v>120000000</v>
      </c>
      <c r="G5" s="208">
        <f>5000000-H5</f>
        <v>3650000</v>
      </c>
      <c r="H5" s="209">
        <f>+E5*1.5%</f>
        <v>1350000</v>
      </c>
      <c r="I5" s="40">
        <v>24</v>
      </c>
      <c r="J5" s="40">
        <f>20+1</f>
        <v>21</v>
      </c>
      <c r="K5" s="42">
        <f t="shared" ref="K5" si="1">+G5+H5</f>
        <v>5000000</v>
      </c>
      <c r="L5" s="42">
        <f>+J5*K5</f>
        <v>105000000</v>
      </c>
      <c r="M5" s="210">
        <f>E5-(G5*3)-200000</f>
        <v>78850000</v>
      </c>
      <c r="N5" s="87"/>
      <c r="O5" s="101" t="s">
        <v>175</v>
      </c>
      <c r="P5" s="211">
        <f>+M5</f>
        <v>78850000</v>
      </c>
      <c r="Q5" s="211">
        <f>+'[8]SUP DOKTR 2'!AA5</f>
        <v>78850000</v>
      </c>
      <c r="R5" s="211">
        <f>+P5-Q5</f>
        <v>0</v>
      </c>
    </row>
    <row r="6" spans="1:18">
      <c r="A6" s="32"/>
      <c r="B6" s="104"/>
      <c r="C6" s="212"/>
      <c r="D6" s="213"/>
      <c r="E6" s="45"/>
      <c r="F6" s="45"/>
      <c r="G6" s="42"/>
      <c r="H6" s="45"/>
      <c r="I6" s="32"/>
      <c r="J6" s="32"/>
      <c r="K6" s="102"/>
      <c r="L6" s="45"/>
      <c r="M6" s="42"/>
      <c r="N6" s="114"/>
      <c r="O6" s="148"/>
    </row>
    <row r="7" spans="1:18">
      <c r="A7" s="101"/>
      <c r="B7" s="146" t="s">
        <v>7</v>
      </c>
      <c r="C7" s="32"/>
      <c r="D7" s="142"/>
      <c r="E7" s="45">
        <f t="shared" ref="E7:M7" si="2">SUM(E5:E6)</f>
        <v>90000000</v>
      </c>
      <c r="F7" s="45">
        <f t="shared" si="2"/>
        <v>120000000</v>
      </c>
      <c r="G7" s="45">
        <f t="shared" si="2"/>
        <v>3650000</v>
      </c>
      <c r="H7" s="45">
        <f t="shared" si="2"/>
        <v>1350000</v>
      </c>
      <c r="I7" s="45">
        <f t="shared" si="2"/>
        <v>24</v>
      </c>
      <c r="J7" s="45">
        <f t="shared" si="2"/>
        <v>21</v>
      </c>
      <c r="K7" s="45">
        <f t="shared" si="2"/>
        <v>5000000</v>
      </c>
      <c r="L7" s="45">
        <f t="shared" si="2"/>
        <v>105000000</v>
      </c>
      <c r="M7" s="45">
        <f t="shared" si="2"/>
        <v>78850000</v>
      </c>
      <c r="N7" s="45"/>
      <c r="O7" s="45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Y804"/>
  <sheetViews>
    <sheetView showGridLines="0" view="pageBreakPreview" topLeftCell="G1" zoomScaleSheetLayoutView="100" workbookViewId="0">
      <pane ySplit="4" topLeftCell="A5" activePane="bottomLeft" state="frozen"/>
      <selection pane="bottomLeft" activeCell="L8" sqref="L8"/>
    </sheetView>
  </sheetViews>
  <sheetFormatPr defaultRowHeight="15.7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0.5703125" style="8" customWidth="1"/>
    <col min="5" max="5" width="13.85546875" style="127" bestFit="1" customWidth="1"/>
    <col min="6" max="7" width="20" style="128" bestFit="1" customWidth="1"/>
    <col min="8" max="8" width="17.5703125" style="129" bestFit="1" customWidth="1"/>
    <col min="9" max="9" width="17" style="130" bestFit="1" customWidth="1"/>
    <col min="10" max="10" width="11.5703125" style="8" bestFit="1" customWidth="1"/>
    <col min="11" max="11" width="11.5703125" style="9" bestFit="1" customWidth="1"/>
    <col min="12" max="12" width="21.42578125" style="131" bestFit="1" customWidth="1"/>
    <col min="13" max="13" width="20" style="131" bestFit="1" customWidth="1"/>
    <col min="14" max="14" width="19.42578125" style="131" bestFit="1" customWidth="1"/>
    <col min="15" max="15" width="24.7109375" style="132" bestFit="1" customWidth="1"/>
    <col min="16" max="16" width="31.42578125" style="133" bestFit="1" customWidth="1"/>
    <col min="17" max="25" width="9.140625" style="2"/>
    <col min="26" max="16384" width="9.140625" style="9"/>
  </cols>
  <sheetData>
    <row r="1" spans="1:25" ht="20.25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5" ht="20.25">
      <c r="A2" s="13" t="s">
        <v>103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5" s="8" customFormat="1">
      <c r="A3" s="14" t="s">
        <v>2</v>
      </c>
      <c r="B3" s="14" t="s">
        <v>3</v>
      </c>
      <c r="C3" s="14" t="s">
        <v>4</v>
      </c>
      <c r="D3" s="14" t="s">
        <v>104</v>
      </c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3"/>
      <c r="R3" s="3"/>
      <c r="S3" s="3"/>
      <c r="T3" s="3"/>
      <c r="U3" s="3"/>
      <c r="V3" s="3"/>
      <c r="W3" s="3"/>
      <c r="X3" s="3"/>
      <c r="Y3" s="3"/>
    </row>
    <row r="4" spans="1:25" s="8" customFormat="1">
      <c r="A4" s="22"/>
      <c r="B4" s="22"/>
      <c r="C4" s="22"/>
      <c r="D4" s="22" t="s">
        <v>105</v>
      </c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3"/>
      <c r="R4" s="3"/>
      <c r="S4" s="3"/>
      <c r="T4" s="3"/>
      <c r="U4" s="3"/>
      <c r="V4" s="3"/>
      <c r="W4" s="3"/>
      <c r="X4" s="3"/>
      <c r="Y4" s="3"/>
    </row>
    <row r="5" spans="1:25" s="151" customFormat="1">
      <c r="A5" s="32">
        <v>1</v>
      </c>
      <c r="B5" s="101" t="s">
        <v>106</v>
      </c>
      <c r="C5" s="135" t="s">
        <v>107</v>
      </c>
      <c r="D5" s="135"/>
      <c r="E5" s="60">
        <v>43186</v>
      </c>
      <c r="F5" s="54">
        <f>500000+2500000</f>
        <v>3000000</v>
      </c>
      <c r="G5" s="144">
        <f>+J5*L5</f>
        <v>3216000</v>
      </c>
      <c r="H5" s="42">
        <f>+F5/J5</f>
        <v>500000</v>
      </c>
      <c r="I5" s="69">
        <f>+F5*1.2%</f>
        <v>36000</v>
      </c>
      <c r="J5" s="32">
        <v>6</v>
      </c>
      <c r="K5" s="32">
        <v>3</v>
      </c>
      <c r="L5" s="42">
        <f>+H5+I5</f>
        <v>536000</v>
      </c>
      <c r="M5" s="42">
        <f>+K5*L5</f>
        <v>1608000</v>
      </c>
      <c r="N5" s="43">
        <f>+H5*K5</f>
        <v>1500000</v>
      </c>
      <c r="O5" s="150" t="s">
        <v>108</v>
      </c>
      <c r="P5" s="150" t="s">
        <v>109</v>
      </c>
    </row>
    <row r="6" spans="1:25" s="151" customFormat="1">
      <c r="A6" s="57">
        <f>+A5+1</f>
        <v>2</v>
      </c>
      <c r="B6" s="101" t="s">
        <v>110</v>
      </c>
      <c r="C6" s="135" t="s">
        <v>111</v>
      </c>
      <c r="D6" s="135"/>
      <c r="E6" s="60">
        <v>43186</v>
      </c>
      <c r="F6" s="54">
        <f>700000+700000+28000</f>
        <v>1428000</v>
      </c>
      <c r="G6" s="144">
        <f>+J6*L6</f>
        <v>1599360</v>
      </c>
      <c r="H6" s="42">
        <f>+F6/J6</f>
        <v>142800</v>
      </c>
      <c r="I6" s="69">
        <f>+F6*1.2%</f>
        <v>17136</v>
      </c>
      <c r="J6" s="32">
        <v>10</v>
      </c>
      <c r="K6" s="32">
        <v>7</v>
      </c>
      <c r="L6" s="42">
        <f>+H6+I6</f>
        <v>159936</v>
      </c>
      <c r="M6" s="42">
        <f>+K6*L6</f>
        <v>1119552</v>
      </c>
      <c r="N6" s="43">
        <f>+H6*K6</f>
        <v>999600</v>
      </c>
      <c r="O6" s="152" t="s">
        <v>112</v>
      </c>
      <c r="P6" s="150" t="s">
        <v>109</v>
      </c>
    </row>
    <row r="7" spans="1:25" s="151" customFormat="1">
      <c r="A7" s="57">
        <f>+A6+1</f>
        <v>3</v>
      </c>
      <c r="B7" s="101" t="s">
        <v>113</v>
      </c>
      <c r="C7" s="135" t="s">
        <v>114</v>
      </c>
      <c r="D7" s="135" t="s">
        <v>115</v>
      </c>
      <c r="E7" s="60">
        <v>43290</v>
      </c>
      <c r="F7" s="54">
        <f>50000+464000</f>
        <v>514000</v>
      </c>
      <c r="G7" s="144">
        <f t="shared" ref="G7:G15" si="0">+J7*L7</f>
        <v>589200</v>
      </c>
      <c r="H7" s="42">
        <v>42932</v>
      </c>
      <c r="I7" s="69">
        <f>+F7*1.2%</f>
        <v>6168</v>
      </c>
      <c r="J7" s="32">
        <v>12</v>
      </c>
      <c r="K7" s="32">
        <v>12</v>
      </c>
      <c r="L7" s="42">
        <f t="shared" ref="L7:L15" si="1">+H7+I7</f>
        <v>49100</v>
      </c>
      <c r="M7" s="42">
        <f t="shared" ref="M7:M15" si="2">+K7*L7</f>
        <v>589200</v>
      </c>
      <c r="N7" s="153">
        <f>F7-(H7*0)</f>
        <v>514000</v>
      </c>
      <c r="O7" s="150" t="s">
        <v>116</v>
      </c>
      <c r="P7" s="150" t="s">
        <v>117</v>
      </c>
    </row>
    <row r="8" spans="1:25">
      <c r="A8" s="57">
        <f t="shared" ref="A8:A15" si="3">+A7+1</f>
        <v>4</v>
      </c>
      <c r="B8" s="42" t="s">
        <v>210</v>
      </c>
      <c r="C8" s="141" t="s">
        <v>217</v>
      </c>
      <c r="D8" s="141"/>
      <c r="E8" s="60">
        <v>43304</v>
      </c>
      <c r="F8" s="154">
        <f>514000</f>
        <v>514000</v>
      </c>
      <c r="G8" s="144">
        <f t="shared" si="0"/>
        <v>514000</v>
      </c>
      <c r="H8" s="42">
        <f t="shared" ref="H8:H15" si="4">+F8/J8</f>
        <v>514000</v>
      </c>
      <c r="I8" s="69">
        <v>0</v>
      </c>
      <c r="J8" s="32">
        <v>1</v>
      </c>
      <c r="K8" s="32">
        <v>1</v>
      </c>
      <c r="L8" s="42">
        <f t="shared" si="1"/>
        <v>514000</v>
      </c>
      <c r="M8" s="42">
        <f t="shared" si="2"/>
        <v>514000</v>
      </c>
      <c r="N8" s="43">
        <f t="shared" ref="N8:N15" si="5">+H8*K8</f>
        <v>514000</v>
      </c>
      <c r="O8" s="145"/>
      <c r="P8" s="150" t="s">
        <v>117</v>
      </c>
      <c r="Q8" s="9"/>
      <c r="R8" s="9"/>
      <c r="S8" s="9"/>
      <c r="T8" s="9"/>
      <c r="U8" s="9"/>
      <c r="V8" s="9"/>
      <c r="W8" s="9"/>
      <c r="X8" s="9"/>
      <c r="Y8" s="9"/>
    </row>
    <row r="9" spans="1:25">
      <c r="A9" s="57">
        <f t="shared" si="3"/>
        <v>5</v>
      </c>
      <c r="B9" s="42" t="s">
        <v>211</v>
      </c>
      <c r="C9" s="141" t="s">
        <v>218</v>
      </c>
      <c r="D9" s="141"/>
      <c r="E9" s="60">
        <v>43304</v>
      </c>
      <c r="F9" s="154">
        <f>514000</f>
        <v>514000</v>
      </c>
      <c r="G9" s="144">
        <f t="shared" si="0"/>
        <v>514000</v>
      </c>
      <c r="H9" s="42">
        <f t="shared" si="4"/>
        <v>514000</v>
      </c>
      <c r="I9" s="69">
        <v>0</v>
      </c>
      <c r="J9" s="32">
        <v>1</v>
      </c>
      <c r="K9" s="32">
        <v>1</v>
      </c>
      <c r="L9" s="42">
        <f t="shared" si="1"/>
        <v>514000</v>
      </c>
      <c r="M9" s="42">
        <f t="shared" si="2"/>
        <v>514000</v>
      </c>
      <c r="N9" s="43">
        <f t="shared" si="5"/>
        <v>514000</v>
      </c>
      <c r="O9" s="145"/>
      <c r="P9" s="150" t="s">
        <v>117</v>
      </c>
      <c r="Q9" s="9"/>
      <c r="R9" s="9"/>
      <c r="S9" s="9"/>
      <c r="T9" s="9"/>
      <c r="U9" s="9"/>
      <c r="V9" s="9"/>
      <c r="W9" s="9"/>
      <c r="X9" s="9"/>
      <c r="Y9" s="9"/>
    </row>
    <row r="10" spans="1:25">
      <c r="A10" s="57">
        <f t="shared" si="3"/>
        <v>6</v>
      </c>
      <c r="B10" s="42" t="s">
        <v>212</v>
      </c>
      <c r="C10" s="141" t="s">
        <v>219</v>
      </c>
      <c r="D10" s="141"/>
      <c r="E10" s="60">
        <v>43304</v>
      </c>
      <c r="F10" s="154">
        <f>514000</f>
        <v>514000</v>
      </c>
      <c r="G10" s="144">
        <f t="shared" si="0"/>
        <v>514000</v>
      </c>
      <c r="H10" s="42">
        <f t="shared" si="4"/>
        <v>514000</v>
      </c>
      <c r="I10" s="69">
        <v>0</v>
      </c>
      <c r="J10" s="32">
        <v>1</v>
      </c>
      <c r="K10" s="32">
        <v>1</v>
      </c>
      <c r="L10" s="42">
        <f t="shared" si="1"/>
        <v>514000</v>
      </c>
      <c r="M10" s="42">
        <f t="shared" si="2"/>
        <v>514000</v>
      </c>
      <c r="N10" s="43">
        <f t="shared" si="5"/>
        <v>514000</v>
      </c>
      <c r="O10" s="145"/>
      <c r="P10" s="150" t="s">
        <v>117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57">
        <f t="shared" si="3"/>
        <v>7</v>
      </c>
      <c r="B11" s="42" t="s">
        <v>213</v>
      </c>
      <c r="C11" s="141" t="s">
        <v>220</v>
      </c>
      <c r="D11" s="141"/>
      <c r="E11" s="60">
        <v>43304</v>
      </c>
      <c r="F11" s="154">
        <v>664000</v>
      </c>
      <c r="G11" s="144">
        <f t="shared" si="0"/>
        <v>664000</v>
      </c>
      <c r="H11" s="42">
        <f t="shared" si="4"/>
        <v>664000</v>
      </c>
      <c r="I11" s="69">
        <v>0</v>
      </c>
      <c r="J11" s="32">
        <v>1</v>
      </c>
      <c r="K11" s="32">
        <v>1</v>
      </c>
      <c r="L11" s="42">
        <f t="shared" si="1"/>
        <v>664000</v>
      </c>
      <c r="M11" s="42">
        <f t="shared" si="2"/>
        <v>664000</v>
      </c>
      <c r="N11" s="43">
        <f t="shared" si="5"/>
        <v>664000</v>
      </c>
      <c r="O11" s="145"/>
      <c r="P11" s="150" t="s">
        <v>117</v>
      </c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A12" s="57">
        <f t="shared" si="3"/>
        <v>8</v>
      </c>
      <c r="B12" s="42" t="s">
        <v>214</v>
      </c>
      <c r="C12" s="141" t="s">
        <v>221</v>
      </c>
      <c r="D12" s="141"/>
      <c r="E12" s="60">
        <v>43304</v>
      </c>
      <c r="F12" s="154">
        <v>514000</v>
      </c>
      <c r="G12" s="144">
        <f t="shared" si="0"/>
        <v>514000</v>
      </c>
      <c r="H12" s="42">
        <f t="shared" si="4"/>
        <v>514000</v>
      </c>
      <c r="I12" s="69">
        <v>0</v>
      </c>
      <c r="J12" s="32">
        <v>1</v>
      </c>
      <c r="K12" s="32">
        <v>1</v>
      </c>
      <c r="L12" s="42">
        <f t="shared" si="1"/>
        <v>514000</v>
      </c>
      <c r="M12" s="42">
        <f t="shared" si="2"/>
        <v>514000</v>
      </c>
      <c r="N12" s="43">
        <f t="shared" si="5"/>
        <v>514000</v>
      </c>
      <c r="O12" s="145"/>
      <c r="P12" s="150" t="s">
        <v>117</v>
      </c>
      <c r="Q12" s="9"/>
      <c r="R12" s="9"/>
      <c r="S12" s="9"/>
      <c r="T12" s="9"/>
      <c r="U12" s="9"/>
      <c r="V12" s="9"/>
      <c r="W12" s="9"/>
      <c r="X12" s="9"/>
      <c r="Y12" s="9"/>
    </row>
    <row r="13" spans="1:25">
      <c r="A13" s="57">
        <f t="shared" si="3"/>
        <v>9</v>
      </c>
      <c r="B13" s="42" t="s">
        <v>215</v>
      </c>
      <c r="C13" s="141" t="s">
        <v>222</v>
      </c>
      <c r="D13" s="141"/>
      <c r="E13" s="60">
        <v>43304</v>
      </c>
      <c r="F13" s="154">
        <v>514000</v>
      </c>
      <c r="G13" s="144">
        <f t="shared" si="0"/>
        <v>514000</v>
      </c>
      <c r="H13" s="42">
        <f t="shared" si="4"/>
        <v>514000</v>
      </c>
      <c r="I13" s="69">
        <v>0</v>
      </c>
      <c r="J13" s="32">
        <v>1</v>
      </c>
      <c r="K13" s="32">
        <v>1</v>
      </c>
      <c r="L13" s="42">
        <f t="shared" si="1"/>
        <v>514000</v>
      </c>
      <c r="M13" s="42">
        <f t="shared" si="2"/>
        <v>514000</v>
      </c>
      <c r="N13" s="43">
        <f t="shared" si="5"/>
        <v>514000</v>
      </c>
      <c r="O13" s="145"/>
      <c r="P13" s="150" t="s">
        <v>117</v>
      </c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57">
        <f t="shared" si="3"/>
        <v>10</v>
      </c>
      <c r="B14" s="42" t="s">
        <v>164</v>
      </c>
      <c r="C14" s="141" t="s">
        <v>165</v>
      </c>
      <c r="D14" s="141"/>
      <c r="E14" s="60">
        <v>43304</v>
      </c>
      <c r="F14" s="154">
        <v>514000</v>
      </c>
      <c r="G14" s="144">
        <f t="shared" si="0"/>
        <v>514000</v>
      </c>
      <c r="H14" s="42">
        <f t="shared" si="4"/>
        <v>514000</v>
      </c>
      <c r="I14" s="69">
        <v>0</v>
      </c>
      <c r="J14" s="32">
        <v>1</v>
      </c>
      <c r="K14" s="32">
        <v>1</v>
      </c>
      <c r="L14" s="42">
        <f t="shared" si="1"/>
        <v>514000</v>
      </c>
      <c r="M14" s="42">
        <f t="shared" si="2"/>
        <v>514000</v>
      </c>
      <c r="N14" s="43">
        <f t="shared" si="5"/>
        <v>514000</v>
      </c>
      <c r="O14" s="145"/>
      <c r="P14" s="150" t="s">
        <v>117</v>
      </c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57">
        <f t="shared" si="3"/>
        <v>11</v>
      </c>
      <c r="B15" s="42" t="s">
        <v>216</v>
      </c>
      <c r="C15" s="141" t="s">
        <v>223</v>
      </c>
      <c r="D15" s="141"/>
      <c r="E15" s="60">
        <v>43304</v>
      </c>
      <c r="F15" s="154">
        <v>514000</v>
      </c>
      <c r="G15" s="144">
        <f t="shared" si="0"/>
        <v>514000</v>
      </c>
      <c r="H15" s="42">
        <f t="shared" si="4"/>
        <v>514000</v>
      </c>
      <c r="I15" s="69">
        <v>0</v>
      </c>
      <c r="J15" s="32">
        <v>1</v>
      </c>
      <c r="K15" s="32">
        <v>1</v>
      </c>
      <c r="L15" s="42">
        <f t="shared" si="1"/>
        <v>514000</v>
      </c>
      <c r="M15" s="42">
        <f t="shared" si="2"/>
        <v>514000</v>
      </c>
      <c r="N15" s="43">
        <f t="shared" si="5"/>
        <v>514000</v>
      </c>
      <c r="O15" s="145"/>
      <c r="P15" s="150" t="s">
        <v>117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32"/>
      <c r="B16" s="42"/>
      <c r="C16" s="141"/>
      <c r="D16" s="141"/>
      <c r="E16" s="142"/>
      <c r="F16" s="154"/>
      <c r="G16" s="144"/>
      <c r="H16" s="42"/>
      <c r="I16" s="69"/>
      <c r="J16" s="32"/>
      <c r="K16" s="32"/>
      <c r="L16" s="42"/>
      <c r="M16" s="42"/>
      <c r="N16" s="43"/>
      <c r="O16" s="145"/>
      <c r="P16" s="101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32"/>
      <c r="B17" s="146" t="s">
        <v>7</v>
      </c>
      <c r="C17" s="32"/>
      <c r="D17" s="32"/>
      <c r="E17" s="142"/>
      <c r="F17" s="45">
        <f>SUM(F5:F16)</f>
        <v>9204000</v>
      </c>
      <c r="G17" s="45">
        <f t="shared" ref="G17:N17" si="6">SUM(G5:G16)</f>
        <v>9666560</v>
      </c>
      <c r="H17" s="45">
        <f t="shared" si="6"/>
        <v>4947732</v>
      </c>
      <c r="I17" s="45">
        <f t="shared" si="6"/>
        <v>59304</v>
      </c>
      <c r="J17" s="45">
        <f t="shared" si="6"/>
        <v>36</v>
      </c>
      <c r="K17" s="45">
        <f t="shared" si="6"/>
        <v>30</v>
      </c>
      <c r="L17" s="45">
        <f t="shared" si="6"/>
        <v>5007036</v>
      </c>
      <c r="M17" s="45">
        <f t="shared" si="6"/>
        <v>7578752</v>
      </c>
      <c r="N17" s="45">
        <f t="shared" si="6"/>
        <v>7275600</v>
      </c>
      <c r="O17" s="147"/>
      <c r="P17" s="148"/>
      <c r="Q17" s="9"/>
      <c r="R17" s="9"/>
      <c r="S17" s="9"/>
      <c r="T17" s="9"/>
      <c r="U17" s="9"/>
      <c r="V17" s="9"/>
      <c r="W17" s="9"/>
      <c r="X17" s="9"/>
      <c r="Y17" s="9"/>
    </row>
    <row r="25" spans="1:25">
      <c r="A25" s="9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>
      <c r="A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>
      <c r="A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>
      <c r="A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>
      <c r="A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>
      <c r="A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</sheetData>
  <pageMargins left="0.11811023622047245" right="0.70866141732283472" top="0.74803149606299213" bottom="0.74803149606299213" header="0.23622047244094491" footer="0.31496062992125984"/>
  <pageSetup paperSize="5" scale="57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Y814"/>
  <sheetViews>
    <sheetView showGridLines="0" view="pageBreakPreview" topLeftCell="I1" zoomScaleSheetLayoutView="100" workbookViewId="0">
      <pane ySplit="4" topLeftCell="A5" activePane="bottomLeft" state="frozen"/>
      <selection pane="bottomLeft" activeCell="O10" sqref="O10"/>
    </sheetView>
  </sheetViews>
  <sheetFormatPr defaultRowHeight="15.75"/>
  <cols>
    <col min="1" max="1" width="10.28515625" style="8" bestFit="1" customWidth="1"/>
    <col min="2" max="2" width="33.5703125" style="9" bestFit="1" customWidth="1"/>
    <col min="3" max="3" width="10.5703125" style="8" bestFit="1" customWidth="1"/>
    <col min="4" max="4" width="10.5703125" style="8" customWidth="1"/>
    <col min="5" max="5" width="14.28515625" style="127" bestFit="1" customWidth="1"/>
    <col min="6" max="7" width="17.42578125" style="128" bestFit="1" customWidth="1"/>
    <col min="8" max="8" width="14.85546875" style="129" bestFit="1" customWidth="1"/>
    <col min="9" max="9" width="13.7109375" style="130" bestFit="1" customWidth="1"/>
    <col min="10" max="10" width="9.28515625" style="8" bestFit="1" customWidth="1"/>
    <col min="11" max="11" width="8.85546875" style="9" bestFit="1" customWidth="1"/>
    <col min="12" max="12" width="15.28515625" style="131" bestFit="1" customWidth="1"/>
    <col min="13" max="13" width="17.28515625" style="131" bestFit="1" customWidth="1"/>
    <col min="14" max="14" width="18.5703125" style="131" bestFit="1" customWidth="1"/>
    <col min="15" max="15" width="27.140625" style="132" customWidth="1"/>
    <col min="16" max="16" width="24" style="133" bestFit="1" customWidth="1"/>
    <col min="17" max="25" width="9.140625" style="2"/>
    <col min="26" max="16384" width="9.140625" style="9"/>
  </cols>
  <sheetData>
    <row r="1" spans="1:25" ht="20.25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5" ht="20.25">
      <c r="A2" s="13" t="s">
        <v>125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5" s="8" customFormat="1">
      <c r="A3" s="14" t="s">
        <v>2</v>
      </c>
      <c r="B3" s="14" t="s">
        <v>3</v>
      </c>
      <c r="C3" s="14" t="s">
        <v>4</v>
      </c>
      <c r="D3" s="14"/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3"/>
      <c r="R3" s="3"/>
      <c r="S3" s="3"/>
      <c r="T3" s="3"/>
      <c r="U3" s="3"/>
      <c r="V3" s="3"/>
      <c r="W3" s="3"/>
      <c r="X3" s="3"/>
      <c r="Y3" s="3"/>
    </row>
    <row r="4" spans="1:25" s="8" customFormat="1">
      <c r="A4" s="22"/>
      <c r="B4" s="22"/>
      <c r="C4" s="22"/>
      <c r="D4" s="22"/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3"/>
      <c r="R4" s="3"/>
      <c r="S4" s="3"/>
      <c r="T4" s="3"/>
      <c r="U4" s="3"/>
      <c r="V4" s="3"/>
      <c r="W4" s="3"/>
      <c r="X4" s="3"/>
      <c r="Y4" s="3"/>
    </row>
    <row r="5" spans="1:25" customFormat="1">
      <c r="A5" s="48">
        <f>+A4+1</f>
        <v>1</v>
      </c>
      <c r="B5" s="190" t="s">
        <v>126</v>
      </c>
      <c r="C5" s="191" t="s">
        <v>127</v>
      </c>
      <c r="D5" s="191" t="s">
        <v>128</v>
      </c>
      <c r="E5" s="60">
        <v>43014</v>
      </c>
      <c r="F5" s="63">
        <f>365700</f>
        <v>365700</v>
      </c>
      <c r="G5" s="63">
        <f t="shared" ref="G5:G14" si="0">+J5*L5</f>
        <v>365700</v>
      </c>
      <c r="H5" s="63">
        <f t="shared" ref="H5:H7" si="1">+F5/J5</f>
        <v>30475</v>
      </c>
      <c r="I5" s="63"/>
      <c r="J5" s="48">
        <v>12</v>
      </c>
      <c r="K5" s="48">
        <v>3</v>
      </c>
      <c r="L5" s="62">
        <f t="shared" ref="L5:L14" si="2">+H5+I5</f>
        <v>30475</v>
      </c>
      <c r="M5" s="63">
        <f t="shared" ref="M5:M14" si="3">+K5*L5</f>
        <v>91425</v>
      </c>
      <c r="N5" s="63">
        <f>+H5*K5</f>
        <v>91425</v>
      </c>
      <c r="O5" s="66" t="s">
        <v>129</v>
      </c>
      <c r="P5" s="66" t="s">
        <v>130</v>
      </c>
    </row>
    <row r="6" spans="1:25" customFormat="1">
      <c r="A6" s="48">
        <f t="shared" ref="A6:A12" si="4">+A5+1</f>
        <v>2</v>
      </c>
      <c r="B6" s="190" t="s">
        <v>131</v>
      </c>
      <c r="C6" s="191" t="s">
        <v>132</v>
      </c>
      <c r="D6" s="191" t="s">
        <v>133</v>
      </c>
      <c r="E6" s="60">
        <v>43014</v>
      </c>
      <c r="F6" s="63">
        <f>404400</f>
        <v>404400</v>
      </c>
      <c r="G6" s="63">
        <f t="shared" si="0"/>
        <v>404400</v>
      </c>
      <c r="H6" s="63">
        <f t="shared" si="1"/>
        <v>33700</v>
      </c>
      <c r="I6" s="192">
        <v>0</v>
      </c>
      <c r="J6" s="48">
        <v>12</v>
      </c>
      <c r="K6" s="48">
        <v>3</v>
      </c>
      <c r="L6" s="62">
        <f t="shared" si="2"/>
        <v>33700</v>
      </c>
      <c r="M6" s="63">
        <f t="shared" si="3"/>
        <v>101100</v>
      </c>
      <c r="N6" s="63">
        <f>+H6*K6</f>
        <v>101100</v>
      </c>
      <c r="O6" s="66" t="s">
        <v>134</v>
      </c>
      <c r="P6" s="66" t="s">
        <v>130</v>
      </c>
    </row>
    <row r="7" spans="1:25" customFormat="1">
      <c r="A7" s="48">
        <f t="shared" si="4"/>
        <v>3</v>
      </c>
      <c r="B7" s="190" t="s">
        <v>135</v>
      </c>
      <c r="C7" s="191" t="s">
        <v>136</v>
      </c>
      <c r="D7" s="191" t="s">
        <v>137</v>
      </c>
      <c r="E7" s="60">
        <v>43028</v>
      </c>
      <c r="F7" s="63">
        <f>357900</f>
        <v>357900</v>
      </c>
      <c r="G7" s="63">
        <f t="shared" si="0"/>
        <v>357900</v>
      </c>
      <c r="H7" s="63">
        <f t="shared" si="1"/>
        <v>29825</v>
      </c>
      <c r="I7" s="192">
        <v>0</v>
      </c>
      <c r="J7" s="48">
        <v>12</v>
      </c>
      <c r="K7" s="48">
        <v>3</v>
      </c>
      <c r="L7" s="62">
        <f t="shared" si="2"/>
        <v>29825</v>
      </c>
      <c r="M7" s="63">
        <f t="shared" si="3"/>
        <v>89475</v>
      </c>
      <c r="N7" s="63">
        <f>+H7*K7</f>
        <v>89475</v>
      </c>
      <c r="O7" s="66" t="s">
        <v>138</v>
      </c>
      <c r="P7" s="66" t="s">
        <v>130</v>
      </c>
    </row>
    <row r="8" spans="1:25" customFormat="1">
      <c r="A8" s="48">
        <f t="shared" si="4"/>
        <v>4</v>
      </c>
      <c r="B8" s="193" t="s">
        <v>139</v>
      </c>
      <c r="C8" s="194" t="s">
        <v>140</v>
      </c>
      <c r="D8" s="194" t="s">
        <v>141</v>
      </c>
      <c r="E8" s="60">
        <v>43028</v>
      </c>
      <c r="F8" s="63">
        <f>356300</f>
        <v>356300</v>
      </c>
      <c r="G8" s="63">
        <f t="shared" si="0"/>
        <v>356400</v>
      </c>
      <c r="H8" s="63">
        <f>29700</f>
        <v>29700</v>
      </c>
      <c r="I8" s="192">
        <v>0</v>
      </c>
      <c r="J8" s="48">
        <v>12</v>
      </c>
      <c r="K8" s="48">
        <v>3</v>
      </c>
      <c r="L8" s="62">
        <f t="shared" si="2"/>
        <v>29700</v>
      </c>
      <c r="M8" s="63">
        <f t="shared" si="3"/>
        <v>89100</v>
      </c>
      <c r="N8" s="64">
        <f>F8-(H8*9)</f>
        <v>89000</v>
      </c>
      <c r="O8" s="66" t="s">
        <v>142</v>
      </c>
      <c r="P8" s="66" t="s">
        <v>130</v>
      </c>
    </row>
    <row r="9" spans="1:25">
      <c r="A9" s="48">
        <f t="shared" si="4"/>
        <v>5</v>
      </c>
      <c r="B9" s="190" t="s">
        <v>143</v>
      </c>
      <c r="C9" s="191" t="s">
        <v>144</v>
      </c>
      <c r="D9" s="191" t="s">
        <v>145</v>
      </c>
      <c r="E9" s="60">
        <v>43090</v>
      </c>
      <c r="F9" s="63">
        <f>469000</f>
        <v>469000</v>
      </c>
      <c r="G9" s="63">
        <f t="shared" si="0"/>
        <v>469008</v>
      </c>
      <c r="H9" s="63">
        <v>39084</v>
      </c>
      <c r="I9" s="63">
        <v>0</v>
      </c>
      <c r="J9" s="48">
        <v>12</v>
      </c>
      <c r="K9" s="48">
        <v>6</v>
      </c>
      <c r="L9" s="62">
        <f t="shared" si="2"/>
        <v>39084</v>
      </c>
      <c r="M9" s="63">
        <f t="shared" si="3"/>
        <v>234504</v>
      </c>
      <c r="N9" s="195">
        <f>F9-(H9*6)</f>
        <v>234496</v>
      </c>
      <c r="O9" s="66" t="s">
        <v>146</v>
      </c>
      <c r="P9" s="66" t="s">
        <v>147</v>
      </c>
      <c r="Q9" s="9"/>
      <c r="R9" s="9"/>
      <c r="S9" s="9"/>
      <c r="T9" s="9"/>
      <c r="U9" s="9"/>
      <c r="V9" s="9"/>
      <c r="W9" s="9"/>
      <c r="X9" s="9"/>
      <c r="Y9" s="9"/>
    </row>
    <row r="10" spans="1:25">
      <c r="A10" s="57">
        <f t="shared" si="4"/>
        <v>6</v>
      </c>
      <c r="B10" s="196" t="s">
        <v>148</v>
      </c>
      <c r="C10" s="197" t="s">
        <v>149</v>
      </c>
      <c r="D10" s="197"/>
      <c r="E10" s="60">
        <v>43091</v>
      </c>
      <c r="F10" s="63">
        <f>401100</f>
        <v>401100</v>
      </c>
      <c r="G10" s="63">
        <f t="shared" si="0"/>
        <v>401100</v>
      </c>
      <c r="H10" s="63">
        <f>+F10/J10</f>
        <v>33425</v>
      </c>
      <c r="I10" s="63">
        <v>0</v>
      </c>
      <c r="J10" s="48">
        <v>12</v>
      </c>
      <c r="K10" s="48">
        <v>6</v>
      </c>
      <c r="L10" s="62">
        <f t="shared" si="2"/>
        <v>33425</v>
      </c>
      <c r="M10" s="63">
        <f t="shared" si="3"/>
        <v>200550</v>
      </c>
      <c r="N10" s="61">
        <f>+H10*K10</f>
        <v>200550</v>
      </c>
      <c r="O10" s="66" t="s">
        <v>150</v>
      </c>
      <c r="P10" s="66" t="s">
        <v>147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57">
        <f t="shared" si="4"/>
        <v>7</v>
      </c>
      <c r="B11" s="190" t="s">
        <v>151</v>
      </c>
      <c r="C11" s="191" t="s">
        <v>152</v>
      </c>
      <c r="D11" s="191" t="s">
        <v>153</v>
      </c>
      <c r="E11" s="60">
        <v>43103</v>
      </c>
      <c r="F11" s="63">
        <f>469000</f>
        <v>469000</v>
      </c>
      <c r="G11" s="63">
        <f t="shared" si="0"/>
        <v>525280</v>
      </c>
      <c r="H11" s="63">
        <f>+F11/J11</f>
        <v>46900</v>
      </c>
      <c r="I11" s="63">
        <v>5628</v>
      </c>
      <c r="J11" s="48">
        <v>10</v>
      </c>
      <c r="K11" s="48">
        <v>4</v>
      </c>
      <c r="L11" s="62">
        <f t="shared" si="2"/>
        <v>52528</v>
      </c>
      <c r="M11" s="63">
        <f t="shared" si="3"/>
        <v>210112</v>
      </c>
      <c r="N11" s="61">
        <f>+H11*K11</f>
        <v>187600</v>
      </c>
      <c r="O11" s="66" t="s">
        <v>154</v>
      </c>
      <c r="P11" s="66" t="s">
        <v>147</v>
      </c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A12" s="57">
        <f t="shared" si="4"/>
        <v>8</v>
      </c>
      <c r="B12" s="190" t="s">
        <v>155</v>
      </c>
      <c r="C12" s="191" t="s">
        <v>156</v>
      </c>
      <c r="D12" s="191"/>
      <c r="E12" s="60">
        <v>43178</v>
      </c>
      <c r="F12" s="63">
        <f>359500</f>
        <v>359500</v>
      </c>
      <c r="G12" s="63">
        <f t="shared" si="0"/>
        <v>402640</v>
      </c>
      <c r="H12" s="63">
        <f>+F12/J12</f>
        <v>35950</v>
      </c>
      <c r="I12" s="63">
        <v>4314</v>
      </c>
      <c r="J12" s="48">
        <v>10</v>
      </c>
      <c r="K12" s="48">
        <v>6</v>
      </c>
      <c r="L12" s="62">
        <f t="shared" si="2"/>
        <v>40264</v>
      </c>
      <c r="M12" s="63">
        <f t="shared" si="3"/>
        <v>241584</v>
      </c>
      <c r="N12" s="61">
        <f>+H12*K12</f>
        <v>215700</v>
      </c>
      <c r="O12" s="66" t="s">
        <v>157</v>
      </c>
      <c r="P12" s="66" t="s">
        <v>130</v>
      </c>
      <c r="Q12" s="9"/>
      <c r="R12" s="9"/>
      <c r="S12" s="9"/>
      <c r="T12" s="9"/>
      <c r="U12" s="9"/>
      <c r="V12" s="9"/>
      <c r="W12" s="9"/>
      <c r="X12" s="9"/>
      <c r="Y12" s="9"/>
    </row>
    <row r="13" spans="1:25">
      <c r="A13" s="57">
        <f>+A12+1</f>
        <v>9</v>
      </c>
      <c r="B13" s="196" t="s">
        <v>158</v>
      </c>
      <c r="C13" s="197" t="s">
        <v>159</v>
      </c>
      <c r="D13" s="197"/>
      <c r="E13" s="60">
        <v>43178</v>
      </c>
      <c r="F13" s="61">
        <f>631000</f>
        <v>631000</v>
      </c>
      <c r="G13" s="61">
        <f t="shared" si="0"/>
        <v>706720</v>
      </c>
      <c r="H13" s="61">
        <f>+F13/J13</f>
        <v>63100</v>
      </c>
      <c r="I13" s="61">
        <v>7572</v>
      </c>
      <c r="J13" s="57">
        <v>10</v>
      </c>
      <c r="K13" s="57">
        <f>6</f>
        <v>6</v>
      </c>
      <c r="L13" s="62">
        <f t="shared" si="2"/>
        <v>70672</v>
      </c>
      <c r="M13" s="63">
        <f t="shared" si="3"/>
        <v>424032</v>
      </c>
      <c r="N13" s="61">
        <f>+H13*K13</f>
        <v>378600</v>
      </c>
      <c r="O13" s="66" t="s">
        <v>160</v>
      </c>
      <c r="P13" s="66" t="s">
        <v>130</v>
      </c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48">
        <f>+A13+1</f>
        <v>10</v>
      </c>
      <c r="B14" s="190" t="s">
        <v>161</v>
      </c>
      <c r="C14" s="191" t="s">
        <v>162</v>
      </c>
      <c r="D14" s="198"/>
      <c r="E14" s="60">
        <v>43178</v>
      </c>
      <c r="F14" s="63">
        <f>494000</f>
        <v>494000</v>
      </c>
      <c r="G14" s="63">
        <f t="shared" si="0"/>
        <v>553280</v>
      </c>
      <c r="H14" s="63">
        <f>+F14/J14</f>
        <v>49400</v>
      </c>
      <c r="I14" s="63">
        <v>5928</v>
      </c>
      <c r="J14" s="48">
        <v>10</v>
      </c>
      <c r="K14" s="48">
        <v>6</v>
      </c>
      <c r="L14" s="62">
        <f t="shared" si="2"/>
        <v>55328</v>
      </c>
      <c r="M14" s="63">
        <f t="shared" si="3"/>
        <v>331968</v>
      </c>
      <c r="N14" s="61">
        <f>+H14*K14</f>
        <v>296400</v>
      </c>
      <c r="O14" s="66" t="s">
        <v>163</v>
      </c>
      <c r="P14" s="66" t="s">
        <v>130</v>
      </c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48">
        <f>+A14+1</f>
        <v>11</v>
      </c>
      <c r="B15" s="190" t="s">
        <v>164</v>
      </c>
      <c r="C15" s="191" t="s">
        <v>165</v>
      </c>
      <c r="D15" s="191" t="s">
        <v>166</v>
      </c>
      <c r="E15" s="60">
        <v>43280</v>
      </c>
      <c r="F15" s="63">
        <f>687350</f>
        <v>687350</v>
      </c>
      <c r="G15" s="63">
        <f>+J15*L15</f>
        <v>770000</v>
      </c>
      <c r="H15" s="63">
        <v>68752</v>
      </c>
      <c r="I15" s="63">
        <v>8248</v>
      </c>
      <c r="J15" s="48">
        <v>10</v>
      </c>
      <c r="K15" s="48">
        <v>10</v>
      </c>
      <c r="L15" s="62">
        <f>+H15+I15</f>
        <v>77000</v>
      </c>
      <c r="M15" s="63">
        <f>+K15*L15</f>
        <v>770000</v>
      </c>
      <c r="N15" s="64">
        <f>F15-(H15*0)</f>
        <v>687350</v>
      </c>
      <c r="O15" s="66" t="s">
        <v>167</v>
      </c>
      <c r="P15" s="66" t="s">
        <v>168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57">
        <f>+A15+1</f>
        <v>12</v>
      </c>
      <c r="B16" s="196" t="s">
        <v>169</v>
      </c>
      <c r="C16" s="197" t="s">
        <v>170</v>
      </c>
      <c r="D16" s="197" t="s">
        <v>171</v>
      </c>
      <c r="E16" s="60">
        <v>43280</v>
      </c>
      <c r="F16" s="63">
        <f>699250</f>
        <v>699250</v>
      </c>
      <c r="G16" s="63">
        <f>+J16*L16</f>
        <v>800400</v>
      </c>
      <c r="H16" s="63">
        <f>66700-I16</f>
        <v>58309</v>
      </c>
      <c r="I16" s="63">
        <v>8391</v>
      </c>
      <c r="J16" s="48">
        <v>12</v>
      </c>
      <c r="K16" s="48">
        <v>12</v>
      </c>
      <c r="L16" s="62">
        <f>+H16+I16</f>
        <v>66700</v>
      </c>
      <c r="M16" s="63">
        <f>+K16*L16</f>
        <v>800400</v>
      </c>
      <c r="N16" s="64">
        <f>F16-(H16*0)</f>
        <v>699250</v>
      </c>
      <c r="O16" s="66" t="s">
        <v>172</v>
      </c>
      <c r="P16" s="66" t="s">
        <v>168</v>
      </c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32"/>
      <c r="B17" s="42"/>
      <c r="C17" s="141"/>
      <c r="D17" s="141"/>
      <c r="E17" s="142"/>
      <c r="F17" s="154"/>
      <c r="G17" s="144"/>
      <c r="H17" s="42"/>
      <c r="I17" s="69"/>
      <c r="J17" s="32"/>
      <c r="K17" s="32"/>
      <c r="L17" s="42"/>
      <c r="M17" s="42"/>
      <c r="N17" s="43"/>
      <c r="O17" s="145"/>
      <c r="P17" s="101"/>
      <c r="Q17" s="9"/>
      <c r="R17" s="9"/>
      <c r="S17" s="9"/>
      <c r="T17" s="9"/>
      <c r="U17" s="9"/>
      <c r="V17" s="9"/>
      <c r="W17" s="9"/>
      <c r="X17" s="9"/>
      <c r="Y17" s="9"/>
    </row>
    <row r="18" spans="1:25">
      <c r="A18" s="32"/>
      <c r="B18" s="146" t="s">
        <v>7</v>
      </c>
      <c r="C18" s="32"/>
      <c r="D18" s="32"/>
      <c r="E18" s="142"/>
      <c r="F18" s="45">
        <f>SUM(F5:F17)</f>
        <v>5694500</v>
      </c>
      <c r="G18" s="45">
        <f t="shared" ref="G18:N18" si="5">SUM(G5:G17)</f>
        <v>6112828</v>
      </c>
      <c r="H18" s="45">
        <f t="shared" si="5"/>
        <v>518620</v>
      </c>
      <c r="I18" s="45">
        <f t="shared" si="5"/>
        <v>40081</v>
      </c>
      <c r="J18" s="45">
        <f t="shared" si="5"/>
        <v>134</v>
      </c>
      <c r="K18" s="45">
        <f t="shared" si="5"/>
        <v>68</v>
      </c>
      <c r="L18" s="45">
        <f t="shared" si="5"/>
        <v>558701</v>
      </c>
      <c r="M18" s="45">
        <f t="shared" si="5"/>
        <v>3584250</v>
      </c>
      <c r="N18" s="45">
        <f t="shared" si="5"/>
        <v>3270946</v>
      </c>
      <c r="O18" s="147"/>
      <c r="P18" s="148"/>
      <c r="Q18" s="9"/>
      <c r="R18" s="9"/>
      <c r="S18" s="9"/>
      <c r="T18" s="9"/>
      <c r="U18" s="9"/>
      <c r="V18" s="9"/>
      <c r="W18" s="9"/>
      <c r="X18" s="9"/>
      <c r="Y18" s="9"/>
    </row>
    <row r="26" spans="1: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>
      <c r="A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>
      <c r="A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>
      <c r="A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>
      <c r="A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>
      <c r="A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>
      <c r="A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9" spans="1:25">
      <c r="A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>
      <c r="A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>
      <c r="A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>
      <c r="A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>
      <c r="A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>
      <c r="A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</sheetData>
  <pageMargins left="0.12" right="0.70866141732283472" top="0.74803149606299213" bottom="0.74803149606299213" header="0.31496062992125984" footer="0.31496062992125984"/>
  <pageSetup paperSize="5" scale="64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dbt bkn agta</vt:lpstr>
      <vt:lpstr>PEL PIJ</vt:lpstr>
      <vt:lpstr>BUMIDA</vt:lpstr>
      <vt:lpstr>ANGS UMROH</vt:lpstr>
      <vt:lpstr>PJ BKN AGT RETAIL</vt:lpstr>
      <vt:lpstr>SUP DOKTR</vt:lpstr>
      <vt:lpstr>BY NOT</vt:lpstr>
      <vt:lpstr>RELIANCE</vt:lpstr>
      <vt:lpstr>RELIANCE!Print_Area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cp:lastPrinted>2018-07-24T08:45:23Z</cp:lastPrinted>
  <dcterms:created xsi:type="dcterms:W3CDTF">2018-07-23T09:42:37Z</dcterms:created>
  <dcterms:modified xsi:type="dcterms:W3CDTF">2018-08-23T01:43:07Z</dcterms:modified>
</cp:coreProperties>
</file>